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drawings/drawing2.xml" ContentType="application/vnd.openxmlformats-officedocument.drawing+xml"/>
  <Override PartName="/xl/namedSheetViews/namedSheetView4.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defaultThemeVersion="124226"/>
  <xr:revisionPtr revIDLastSave="0" documentId="13_ncr:1_{89EDA745-98C4-4CB1-A31C-3F2A7BDD95F1}" xr6:coauthVersionLast="47" xr6:coauthVersionMax="47" xr10:uidLastSave="{00000000-0000-0000-0000-000000000000}"/>
  <bookViews>
    <workbookView xWindow="-120" yWindow="-120" windowWidth="29040" windowHeight="15840" tabRatio="921" firstSheet="3" activeTab="6" xr2:uid="{00000000-000D-0000-FFFF-FFFF00000000}"/>
  </bookViews>
  <sheets>
    <sheet name="README" sheetId="8" r:id="rId1"/>
    <sheet name="Version" sheetId="49" r:id="rId2"/>
    <sheet name="Data Quality Indicators" sheetId="29" r:id="rId3"/>
    <sheet name="Materials" sheetId="15" r:id="rId4"/>
    <sheet name="Input_NL" sheetId="20" r:id="rId5"/>
    <sheet name="Input_EU" sheetId="18" r:id="rId6"/>
    <sheet name="Transfer coefficients" sheetId="19" r:id="rId7"/>
    <sheet name="Input_compartment_order" sheetId="51" r:id="rId8"/>
    <sheet name="Clothing_update" sheetId="50" r:id="rId9"/>
    <sheet name="Pellets" sheetId="46" r:id="rId10"/>
    <sheet name="Tyre wear" sheetId="44" r:id="rId11"/>
    <sheet name="Paints and Coatings" sheetId="39" r:id="rId12"/>
    <sheet name="Textiles" sheetId="26" r:id="rId13"/>
    <sheet name="Agriculture" sheetId="38" r:id="rId14"/>
    <sheet name="Intentionally_produced_MPs" sheetId="22" r:id="rId15"/>
    <sheet name="Packaging" sheetId="35" r:id="rId16"/>
    <sheet name="Recycling TCs" sheetId="37" r:id="rId17"/>
    <sheet name="Compost TCs" sheetId="43" r:id="rId18"/>
    <sheet name="Scaling tables" sheetId="45" r:id="rId19"/>
    <sheet name="Input projections" sheetId="47" r:id="rId20"/>
    <sheet name="Lifetimes" sheetId="13" r:id="rId21"/>
    <sheet name="Lifetimes_pairs" sheetId="25" r:id="rId22"/>
    <sheet name="Lifetimes_references" sheetId="48" r:id="rId23"/>
    <sheet name="Compartments" sheetId="33" r:id="rId24"/>
    <sheet name="Compartments_Kawecki&amp;Nowack19" sheetId="23" r:id="rId25"/>
    <sheet name="Compartments_Added" sheetId="36" r:id="rId26"/>
    <sheet name="Check_Compartments" sheetId="30" r:id="rId27"/>
  </sheets>
  <definedNames>
    <definedName name="_xlnm._FilterDatabase" localSheetId="23" hidden="1">Compartments!$A$1:$D$407</definedName>
    <definedName name="_xlnm._FilterDatabase" localSheetId="25" hidden="1">Compartments_Added!$A$2:$C$197</definedName>
    <definedName name="_xlnm._FilterDatabase" localSheetId="24" hidden="1">'Compartments_Kawecki&amp;Nowack19'!$A$2:$F$136</definedName>
    <definedName name="_xlnm._FilterDatabase" localSheetId="5" hidden="1">Input_EU!$A$1:$L$603</definedName>
    <definedName name="_xlnm._FilterDatabase" localSheetId="4" hidden="1">Input_NL!$A$1:$L$829</definedName>
    <definedName name="_xlnm._FilterDatabase" localSheetId="21" hidden="1">Lifetimes_pairs!$A$1:$B$93</definedName>
    <definedName name="_xlnm._FilterDatabase" localSheetId="11" hidden="1">'Paints and Coatings'!$A$60:$P$315</definedName>
    <definedName name="_xlnm._FilterDatabase" localSheetId="6" hidden="1">'Transfer coefficients'!$A$1:$P$1225</definedName>
    <definedName name="Aggr_2021">Intentionally_produced_MPs!$J$63</definedName>
    <definedName name="In_EU_2018">Agriculture!$E$4</definedName>
    <definedName name="In_EU_2019">Agriculture!$E$5</definedName>
    <definedName name="IN_NL_2018_high">Agriculture!$E$23</definedName>
    <definedName name="In_NL_2018_low">Agriculture!$E$22</definedName>
    <definedName name="IN_NL_2019_high">Agriculture!$E$25</definedName>
    <definedName name="IN_NL_2019_low">Agriculture!$E$24</definedName>
    <definedName name="Intentional_Agr_EU_2020">Agriculture!$B$232</definedName>
    <definedName name="Intentional_Agr_NL_2020">Agriculture!$C$232</definedName>
    <definedName name="OECD_ref_2018">'Input projections'!$B$40</definedName>
    <definedName name="OECD_ref_2019">'Input projections'!$B$41</definedName>
    <definedName name="OIL_GAS_2020">Intentionally_produced_MPs!$J$65</definedName>
    <definedName name="POP_coef_2020">Intentionally_produced_MPs!$J$61</definedName>
    <definedName name="RiskSelectedCell" hidden="1">"$AF$54"</definedName>
    <definedName name="RiskSelectedNameCell1" hidden="1">"$AE$54"</definedName>
    <definedName name="RiskSelectedNameCell2" hidden="1">"$AF$53"</definedName>
    <definedName name="Synthetic_fraction" comment="Manshoven et al. (2021)">Clothing_update!#REF!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18" i="20" l="1"/>
  <c r="D819" i="20"/>
  <c r="D820" i="20"/>
  <c r="D821" i="20"/>
  <c r="D822" i="20"/>
  <c r="D823" i="20"/>
  <c r="D824" i="20"/>
  <c r="D825" i="20"/>
  <c r="D826" i="20"/>
  <c r="D827" i="20"/>
  <c r="D828" i="20"/>
  <c r="D829" i="20"/>
  <c r="D817" i="20"/>
  <c r="K829" i="20"/>
  <c r="K828" i="20"/>
  <c r="K827" i="20"/>
  <c r="K826" i="20"/>
  <c r="K825" i="20"/>
  <c r="K824" i="20"/>
  <c r="K823" i="20"/>
  <c r="K822" i="20"/>
  <c r="K821" i="20"/>
  <c r="K820" i="20"/>
  <c r="K819" i="20"/>
  <c r="K818" i="20"/>
  <c r="K817" i="20"/>
  <c r="N4" i="45"/>
  <c r="O4" i="45" s="1"/>
  <c r="N5" i="45"/>
  <c r="N6" i="45"/>
  <c r="N7" i="45"/>
  <c r="N8" i="45"/>
  <c r="N9" i="45"/>
  <c r="O9" i="45" s="1"/>
  <c r="N10" i="45"/>
  <c r="P10" i="45" s="1"/>
  <c r="N11" i="45"/>
  <c r="P11" i="45" s="1"/>
  <c r="N12" i="45"/>
  <c r="N13" i="45"/>
  <c r="O13" i="45" s="1"/>
  <c r="N3" i="45"/>
  <c r="P3" i="45" s="1"/>
  <c r="M4" i="45"/>
  <c r="M5" i="45"/>
  <c r="O5" i="45" s="1"/>
  <c r="M6" i="45"/>
  <c r="M7" i="45"/>
  <c r="M8" i="45"/>
  <c r="M9" i="45"/>
  <c r="M10" i="45"/>
  <c r="M11" i="45"/>
  <c r="M12" i="45"/>
  <c r="M13" i="45"/>
  <c r="M3" i="45"/>
  <c r="O3" i="45" s="1"/>
  <c r="P12" i="45"/>
  <c r="O12" i="45"/>
  <c r="O11" i="45"/>
  <c r="P9" i="45"/>
  <c r="P8" i="45"/>
  <c r="O8" i="45"/>
  <c r="P7" i="45"/>
  <c r="O7" i="45"/>
  <c r="P6" i="45"/>
  <c r="O6" i="45"/>
  <c r="P5" i="45"/>
  <c r="P4" i="45"/>
  <c r="O86" i="44"/>
  <c r="O87" i="44"/>
  <c r="O82" i="44"/>
  <c r="D158" i="22"/>
  <c r="P13" i="45" l="1"/>
  <c r="O10" i="45"/>
  <c r="E950" i="19"/>
  <c r="E948" i="19"/>
  <c r="E397" i="46"/>
  <c r="E399" i="46"/>
  <c r="O1029" i="19"/>
  <c r="N1029" i="19"/>
  <c r="O1010" i="19"/>
  <c r="N1010" i="19"/>
  <c r="O991" i="19"/>
  <c r="N991" i="19"/>
  <c r="N959" i="19"/>
  <c r="O959" i="19"/>
  <c r="O960" i="19"/>
  <c r="N961" i="19"/>
  <c r="O961" i="19"/>
  <c r="N962" i="19"/>
  <c r="O962" i="19"/>
  <c r="N963" i="19"/>
  <c r="O963" i="19"/>
  <c r="N964" i="19"/>
  <c r="O964" i="19"/>
  <c r="N965" i="19"/>
  <c r="O965" i="19"/>
  <c r="N966" i="19"/>
  <c r="O966" i="19"/>
  <c r="N967" i="19"/>
  <c r="O967" i="19"/>
  <c r="N968" i="19"/>
  <c r="O968" i="19"/>
  <c r="N969" i="19"/>
  <c r="O969" i="19"/>
  <c r="N970" i="19"/>
  <c r="O970" i="19"/>
  <c r="N971" i="19"/>
  <c r="O971" i="19"/>
  <c r="N972" i="19"/>
  <c r="O972" i="19"/>
  <c r="N973" i="19"/>
  <c r="O973" i="19"/>
  <c r="N974" i="19"/>
  <c r="O974" i="19"/>
  <c r="N975" i="19"/>
  <c r="O975" i="19"/>
  <c r="N976" i="19"/>
  <c r="O976" i="19"/>
  <c r="N977" i="19"/>
  <c r="O977" i="19"/>
  <c r="N978" i="19"/>
  <c r="O978" i="19"/>
  <c r="N979" i="19"/>
  <c r="O979" i="19"/>
  <c r="N980" i="19"/>
  <c r="O980" i="19"/>
  <c r="N981" i="19"/>
  <c r="O981" i="19"/>
  <c r="N982" i="19"/>
  <c r="O982" i="19"/>
  <c r="E983" i="19"/>
  <c r="N983" i="19"/>
  <c r="O983" i="19"/>
  <c r="E984" i="19"/>
  <c r="N984" i="19"/>
  <c r="O984" i="19"/>
  <c r="N985" i="19"/>
  <c r="O985" i="19"/>
  <c r="N986" i="19"/>
  <c r="O986" i="19"/>
  <c r="N987" i="19"/>
  <c r="O987" i="19"/>
  <c r="N988" i="19"/>
  <c r="O988" i="19"/>
  <c r="N989" i="19"/>
  <c r="O989" i="19"/>
  <c r="N990" i="19"/>
  <c r="O990" i="19"/>
  <c r="E992" i="19"/>
  <c r="N992" i="19"/>
  <c r="O992" i="19"/>
  <c r="N993" i="19"/>
  <c r="O993" i="19"/>
  <c r="N994" i="19"/>
  <c r="O994" i="19"/>
  <c r="N995" i="19"/>
  <c r="O995" i="19"/>
  <c r="N996" i="19"/>
  <c r="O996" i="19"/>
  <c r="N997" i="19"/>
  <c r="O997" i="19"/>
  <c r="N998" i="19"/>
  <c r="O998" i="19"/>
  <c r="N999" i="19"/>
  <c r="O999" i="19"/>
  <c r="N1000" i="19"/>
  <c r="O1000" i="19"/>
  <c r="N1001" i="19"/>
  <c r="O1001" i="19"/>
  <c r="E1002" i="19"/>
  <c r="N1002" i="19"/>
  <c r="O1002" i="19"/>
  <c r="E1003" i="19"/>
  <c r="N1003" i="19"/>
  <c r="O1003" i="19"/>
  <c r="N1004" i="19"/>
  <c r="O1004" i="19"/>
  <c r="N1005" i="19"/>
  <c r="O1005" i="19"/>
  <c r="N1006" i="19"/>
  <c r="O1006" i="19"/>
  <c r="N1007" i="19"/>
  <c r="O1007" i="19"/>
  <c r="N1008" i="19"/>
  <c r="O1008" i="19"/>
  <c r="N1009" i="19"/>
  <c r="O1009" i="19"/>
  <c r="E1011" i="19"/>
  <c r="N1011" i="19"/>
  <c r="O1011" i="19"/>
  <c r="N1012" i="19"/>
  <c r="O1012" i="19"/>
  <c r="N1013" i="19"/>
  <c r="O1013" i="19"/>
  <c r="N1014" i="19"/>
  <c r="O1014" i="19"/>
  <c r="N1015" i="19"/>
  <c r="O1015" i="19"/>
  <c r="N1016" i="19"/>
  <c r="O1016" i="19"/>
  <c r="N1017" i="19"/>
  <c r="O1017" i="19"/>
  <c r="N1018" i="19"/>
  <c r="O1018" i="19"/>
  <c r="N1019" i="19"/>
  <c r="O1019" i="19"/>
  <c r="N1020" i="19"/>
  <c r="O1020" i="19"/>
  <c r="E1021" i="19"/>
  <c r="N1021" i="19"/>
  <c r="O1021" i="19"/>
  <c r="E1022" i="19"/>
  <c r="N1022" i="19"/>
  <c r="O1022" i="19"/>
  <c r="N1023" i="19"/>
  <c r="O1023" i="19"/>
  <c r="N1024" i="19"/>
  <c r="O1024" i="19"/>
  <c r="N1025" i="19"/>
  <c r="O1025" i="19"/>
  <c r="N1026" i="19"/>
  <c r="O1026" i="19"/>
  <c r="N1027" i="19"/>
  <c r="O1027" i="19"/>
  <c r="N1028" i="19"/>
  <c r="O1028" i="19"/>
  <c r="E1030" i="19"/>
  <c r="N1030" i="19"/>
  <c r="O1030" i="19"/>
  <c r="N1031" i="19"/>
  <c r="O1031" i="19"/>
  <c r="N1032" i="19"/>
  <c r="O1032" i="19"/>
  <c r="N1033" i="19"/>
  <c r="O1033" i="19"/>
  <c r="N1034" i="19"/>
  <c r="O1034" i="19"/>
  <c r="N1035" i="19"/>
  <c r="O1035" i="19"/>
  <c r="N1036" i="19"/>
  <c r="O1036" i="19"/>
  <c r="N1037" i="19"/>
  <c r="O1037" i="19"/>
  <c r="N1038" i="19"/>
  <c r="O1038" i="19"/>
  <c r="N1039" i="19"/>
  <c r="O1039" i="19"/>
  <c r="E1040" i="19"/>
  <c r="N1040" i="19"/>
  <c r="O1040" i="19"/>
  <c r="E1041" i="19"/>
  <c r="N1041" i="19"/>
  <c r="O1041" i="19"/>
  <c r="N1042" i="19"/>
  <c r="O1042" i="19"/>
  <c r="N1043" i="19"/>
  <c r="O1043" i="19"/>
  <c r="N1044" i="19"/>
  <c r="O1044" i="19"/>
  <c r="N1045" i="19"/>
  <c r="O1045" i="19"/>
  <c r="N1046" i="19"/>
  <c r="O1046" i="19"/>
  <c r="N1047" i="19"/>
  <c r="O1047" i="19"/>
  <c r="E1049" i="19"/>
  <c r="N1049" i="19"/>
  <c r="O1049" i="19"/>
  <c r="N1050" i="19"/>
  <c r="O1050" i="19"/>
  <c r="N1051" i="19"/>
  <c r="O1051" i="19"/>
  <c r="N1052" i="19"/>
  <c r="O1052" i="19"/>
  <c r="N1053" i="19"/>
  <c r="O1053" i="19"/>
  <c r="N1054" i="19"/>
  <c r="O1054" i="19"/>
  <c r="N1055" i="19"/>
  <c r="O1055" i="19"/>
  <c r="N1056" i="19"/>
  <c r="O1056" i="19"/>
  <c r="N1057" i="19"/>
  <c r="O1057" i="19"/>
  <c r="N1058" i="19"/>
  <c r="O1058" i="19"/>
  <c r="E1059" i="19"/>
  <c r="N1059" i="19"/>
  <c r="O1059" i="19"/>
  <c r="E1060" i="19"/>
  <c r="N1060" i="19"/>
  <c r="O1060" i="19"/>
  <c r="N1061" i="19"/>
  <c r="O1061" i="19"/>
  <c r="N1062" i="19"/>
  <c r="O1062" i="19"/>
  <c r="N1063" i="19"/>
  <c r="O1063" i="19"/>
  <c r="N1064" i="19"/>
  <c r="O1064" i="19"/>
  <c r="N1065" i="19"/>
  <c r="O1065" i="19"/>
  <c r="N1066" i="19"/>
  <c r="O1066" i="19"/>
  <c r="E1068" i="19"/>
  <c r="N1068" i="19"/>
  <c r="O1068" i="19"/>
  <c r="N1069" i="19"/>
  <c r="O1069" i="19"/>
  <c r="N1070" i="19"/>
  <c r="O1070" i="19"/>
  <c r="N1071" i="19"/>
  <c r="O1071" i="19"/>
  <c r="N1072" i="19"/>
  <c r="O1072" i="19"/>
  <c r="N1073" i="19"/>
  <c r="O1073" i="19"/>
  <c r="N1074" i="19"/>
  <c r="O1074" i="19"/>
  <c r="N1075" i="19"/>
  <c r="O1075" i="19"/>
  <c r="N1076" i="19"/>
  <c r="O1076" i="19"/>
  <c r="N1077" i="19"/>
  <c r="O1077" i="19"/>
  <c r="E1078" i="19"/>
  <c r="N1078" i="19"/>
  <c r="O1078" i="19"/>
  <c r="E1079" i="19"/>
  <c r="N1079" i="19"/>
  <c r="O1079" i="19"/>
  <c r="N1080" i="19"/>
  <c r="O1080" i="19"/>
  <c r="N1081" i="19"/>
  <c r="O1081" i="19"/>
  <c r="N1082" i="19"/>
  <c r="O1082" i="19"/>
  <c r="N1083" i="19"/>
  <c r="O1083" i="19"/>
  <c r="N1084" i="19"/>
  <c r="O1084" i="19"/>
  <c r="N1085" i="19"/>
  <c r="O1085" i="19"/>
  <c r="E1087" i="19"/>
  <c r="N1087" i="19"/>
  <c r="O1087" i="19"/>
  <c r="N1088" i="19"/>
  <c r="O1088" i="19"/>
  <c r="N1089" i="19"/>
  <c r="O1089" i="19"/>
  <c r="N1090" i="19"/>
  <c r="O1090" i="19"/>
  <c r="N1091" i="19"/>
  <c r="O1091" i="19"/>
  <c r="N1092" i="19"/>
  <c r="O1092" i="19"/>
  <c r="N1093" i="19"/>
  <c r="O1093" i="19"/>
  <c r="N1094" i="19"/>
  <c r="O1094" i="19"/>
  <c r="N1095" i="19"/>
  <c r="O1095" i="19"/>
  <c r="N1096" i="19"/>
  <c r="O1096" i="19"/>
  <c r="E1097" i="19"/>
  <c r="N1097" i="19"/>
  <c r="O1097" i="19"/>
  <c r="E1098" i="19"/>
  <c r="N1098" i="19"/>
  <c r="O1098" i="19"/>
  <c r="N1099" i="19"/>
  <c r="O1099" i="19"/>
  <c r="N1100" i="19"/>
  <c r="O1100" i="19"/>
  <c r="N1101" i="19"/>
  <c r="O1101" i="19"/>
  <c r="N1102" i="19"/>
  <c r="O1102" i="19"/>
  <c r="N1103" i="19"/>
  <c r="O1103" i="19"/>
  <c r="N1104" i="19"/>
  <c r="O1104" i="19"/>
  <c r="E1106" i="19"/>
  <c r="N1106" i="19"/>
  <c r="O1106" i="19"/>
  <c r="N1107" i="19"/>
  <c r="O1107" i="19"/>
  <c r="N1108" i="19"/>
  <c r="O1108" i="19"/>
  <c r="N1109" i="19"/>
  <c r="O1109" i="19"/>
  <c r="N1110" i="19"/>
  <c r="O1110" i="19"/>
  <c r="N1111" i="19"/>
  <c r="O1111" i="19"/>
  <c r="N1112" i="19"/>
  <c r="O1112" i="19"/>
  <c r="N1113" i="19"/>
  <c r="O1113" i="19"/>
  <c r="N1114" i="19"/>
  <c r="O1114" i="19"/>
  <c r="N1115" i="19"/>
  <c r="O1115" i="19"/>
  <c r="E1116" i="19"/>
  <c r="N1116" i="19"/>
  <c r="O1116" i="19"/>
  <c r="E1117" i="19"/>
  <c r="N1117" i="19"/>
  <c r="O1117" i="19"/>
  <c r="N1118" i="19"/>
  <c r="O1118" i="19"/>
  <c r="N1119" i="19"/>
  <c r="O1119" i="19"/>
  <c r="N1120" i="19"/>
  <c r="O1120" i="19"/>
  <c r="N1121" i="19"/>
  <c r="O1121" i="19"/>
  <c r="N1122" i="19"/>
  <c r="O1122" i="19"/>
  <c r="N1123" i="19"/>
  <c r="O1123" i="19"/>
  <c r="E1125" i="19"/>
  <c r="N1125" i="19"/>
  <c r="O1125" i="19"/>
  <c r="N1126" i="19"/>
  <c r="O1126" i="19"/>
  <c r="N1127" i="19"/>
  <c r="O1127" i="19"/>
  <c r="N1128" i="19"/>
  <c r="O1128" i="19"/>
  <c r="N1129" i="19"/>
  <c r="O1129" i="19"/>
  <c r="N1130" i="19"/>
  <c r="O1130" i="19"/>
  <c r="N1131" i="19"/>
  <c r="O1131" i="19"/>
  <c r="N1132" i="19"/>
  <c r="O1132" i="19"/>
  <c r="N1133" i="19"/>
  <c r="O1133" i="19"/>
  <c r="N1134" i="19"/>
  <c r="O1134" i="19"/>
  <c r="E1135" i="19"/>
  <c r="N1135" i="19"/>
  <c r="O1135" i="19"/>
  <c r="E1136" i="19"/>
  <c r="N1136" i="19"/>
  <c r="O1136" i="19"/>
  <c r="N1137" i="19"/>
  <c r="O1137" i="19"/>
  <c r="N1138" i="19"/>
  <c r="O1138" i="19"/>
  <c r="N1139" i="19"/>
  <c r="O1139" i="19"/>
  <c r="N1140" i="19"/>
  <c r="O1140" i="19"/>
  <c r="N1141" i="19"/>
  <c r="O1141" i="19"/>
  <c r="N1142" i="19"/>
  <c r="O1142" i="19"/>
  <c r="E1144" i="19"/>
  <c r="N1144" i="19"/>
  <c r="O1144" i="19"/>
  <c r="N1145" i="19"/>
  <c r="O1145" i="19"/>
  <c r="N1146" i="19"/>
  <c r="O1146" i="19"/>
  <c r="N1147" i="19"/>
  <c r="O1147" i="19"/>
  <c r="N1148" i="19"/>
  <c r="O1148" i="19"/>
  <c r="N1149" i="19"/>
  <c r="O1149" i="19"/>
  <c r="N1150" i="19"/>
  <c r="O1150" i="19"/>
  <c r="N1151" i="19"/>
  <c r="O1151" i="19"/>
  <c r="N1152" i="19"/>
  <c r="O1152" i="19"/>
  <c r="N1153" i="19"/>
  <c r="O1153" i="19"/>
  <c r="N1154" i="19"/>
  <c r="O1154" i="19"/>
  <c r="N1155" i="19"/>
  <c r="O1155" i="19"/>
  <c r="N1156" i="19"/>
  <c r="O1156" i="19"/>
  <c r="N1157" i="19"/>
  <c r="O1157" i="19"/>
  <c r="N1158" i="19"/>
  <c r="O1158" i="19"/>
  <c r="N1159" i="19"/>
  <c r="O1159" i="19"/>
  <c r="N1160" i="19"/>
  <c r="O1160" i="19"/>
  <c r="N1161" i="19"/>
  <c r="O1161" i="19"/>
  <c r="N1163" i="19"/>
  <c r="O1163" i="19"/>
  <c r="E1164" i="19"/>
  <c r="N1164" i="19"/>
  <c r="O1164" i="19"/>
  <c r="E1165" i="19"/>
  <c r="N1165" i="19"/>
  <c r="O1165" i="19"/>
  <c r="N1166" i="19"/>
  <c r="O1166" i="19"/>
  <c r="N1167" i="19"/>
  <c r="O1167" i="19"/>
  <c r="N1168" i="19"/>
  <c r="O1168" i="19"/>
  <c r="N1169" i="19"/>
  <c r="O1169" i="19"/>
  <c r="N1170" i="19"/>
  <c r="O1170" i="19"/>
  <c r="N1171" i="19"/>
  <c r="O1171" i="19"/>
  <c r="N1172" i="19"/>
  <c r="O1172" i="19"/>
  <c r="N1173" i="19"/>
  <c r="O1173" i="19"/>
  <c r="N1174" i="19"/>
  <c r="O1174" i="19"/>
  <c r="N1175" i="19"/>
  <c r="O1175" i="19"/>
  <c r="N1176" i="19"/>
  <c r="O1176" i="19"/>
  <c r="N1177" i="19"/>
  <c r="O1177" i="19"/>
  <c r="N1178" i="19"/>
  <c r="O1178" i="19"/>
  <c r="N1179" i="19"/>
  <c r="O1179" i="19"/>
  <c r="N1180" i="19"/>
  <c r="O1180" i="19"/>
  <c r="N1181" i="19"/>
  <c r="O1181" i="19"/>
  <c r="N1182" i="19"/>
  <c r="O1182" i="19"/>
  <c r="N1183" i="19"/>
  <c r="O1183" i="19"/>
  <c r="E1185" i="19"/>
  <c r="N1185" i="19"/>
  <c r="O1185" i="19"/>
  <c r="N1186" i="19"/>
  <c r="O1186" i="19"/>
  <c r="N1187" i="19"/>
  <c r="O1187" i="19"/>
  <c r="N1188" i="19"/>
  <c r="O1188" i="19"/>
  <c r="N1189" i="19"/>
  <c r="O1189" i="19"/>
  <c r="N1190" i="19"/>
  <c r="O1190" i="19"/>
  <c r="N1191" i="19"/>
  <c r="O1191" i="19"/>
  <c r="N1192" i="19"/>
  <c r="O1192" i="19"/>
  <c r="N1193" i="19"/>
  <c r="O1193" i="19"/>
  <c r="N1194" i="19"/>
  <c r="O1194" i="19"/>
  <c r="N1195" i="19"/>
  <c r="O1195" i="19"/>
  <c r="N1196" i="19"/>
  <c r="O1196" i="19"/>
  <c r="N1197" i="19"/>
  <c r="O1197" i="19"/>
  <c r="N1198" i="19"/>
  <c r="O1198" i="19"/>
  <c r="N1199" i="19"/>
  <c r="O1199" i="19"/>
  <c r="N1200" i="19"/>
  <c r="O1200" i="19"/>
  <c r="N1201" i="19"/>
  <c r="O1201" i="19"/>
  <c r="N1202" i="19"/>
  <c r="O1202" i="19"/>
  <c r="E1204" i="19"/>
  <c r="N1204" i="19"/>
  <c r="O1204" i="19"/>
  <c r="N1205" i="19"/>
  <c r="O1205" i="19"/>
  <c r="N1206" i="19"/>
  <c r="O1206" i="19"/>
  <c r="N1207" i="19"/>
  <c r="O1207" i="19"/>
  <c r="N1208" i="19"/>
  <c r="O1208" i="19"/>
  <c r="N1209" i="19"/>
  <c r="O1209" i="19"/>
  <c r="N1210" i="19"/>
  <c r="O1210" i="19"/>
  <c r="N1211" i="19"/>
  <c r="O1211" i="19"/>
  <c r="N1212" i="19"/>
  <c r="O1212" i="19"/>
  <c r="N1213" i="19"/>
  <c r="O1213" i="19"/>
  <c r="E794" i="19"/>
  <c r="E764" i="19"/>
  <c r="E760" i="19"/>
  <c r="E761" i="19"/>
  <c r="E312" i="19"/>
  <c r="E313" i="19"/>
  <c r="E309" i="19"/>
  <c r="E310" i="19"/>
  <c r="E941" i="19"/>
  <c r="E942" i="19"/>
  <c r="E943" i="19"/>
  <c r="E944" i="19"/>
  <c r="E945" i="19"/>
  <c r="E946" i="19"/>
  <c r="E10" i="37"/>
  <c r="E11" i="37"/>
  <c r="E12" i="37"/>
  <c r="E13" i="37"/>
  <c r="E8" i="37"/>
  <c r="E9" i="37"/>
  <c r="E15" i="37"/>
  <c r="E16" i="37"/>
  <c r="E17" i="37"/>
  <c r="E18" i="37"/>
  <c r="E6" i="37"/>
  <c r="E5" i="37"/>
  <c r="E4" i="37"/>
  <c r="E3" i="37"/>
  <c r="N20" i="37"/>
  <c r="O20" i="37"/>
  <c r="N21" i="37"/>
  <c r="O21" i="37"/>
  <c r="N947" i="19"/>
  <c r="O947" i="19"/>
  <c r="N948" i="19"/>
  <c r="O948" i="19"/>
  <c r="N949" i="19"/>
  <c r="O949" i="19"/>
  <c r="N950" i="19"/>
  <c r="O950" i="19"/>
  <c r="N951" i="19"/>
  <c r="O951" i="19"/>
  <c r="N952" i="19"/>
  <c r="O952" i="19"/>
  <c r="N953" i="19"/>
  <c r="O953" i="19"/>
  <c r="N954" i="19"/>
  <c r="O954" i="19"/>
  <c r="N955" i="19"/>
  <c r="O955" i="19"/>
  <c r="N956" i="19"/>
  <c r="O956" i="19"/>
  <c r="N957" i="19"/>
  <c r="O957" i="19"/>
  <c r="N958" i="19"/>
  <c r="O958" i="19"/>
  <c r="N398" i="46"/>
  <c r="N399" i="46"/>
  <c r="N400" i="46"/>
  <c r="N401" i="46"/>
  <c r="N402" i="46"/>
  <c r="N403" i="46"/>
  <c r="N404" i="46"/>
  <c r="N405" i="46"/>
  <c r="N406" i="46"/>
  <c r="N407" i="46"/>
  <c r="O398" i="46"/>
  <c r="O399" i="46"/>
  <c r="O400" i="46"/>
  <c r="O401" i="46"/>
  <c r="O402" i="46"/>
  <c r="O403" i="46"/>
  <c r="O404" i="46"/>
  <c r="O405" i="46"/>
  <c r="O406" i="46"/>
  <c r="O407" i="46"/>
  <c r="N396" i="46"/>
  <c r="O396" i="46"/>
  <c r="N397" i="46"/>
  <c r="O397" i="46"/>
  <c r="N312" i="39"/>
  <c r="O312" i="39"/>
  <c r="N293" i="39"/>
  <c r="O293" i="39"/>
  <c r="N274" i="39"/>
  <c r="O274" i="39"/>
  <c r="N252" i="39"/>
  <c r="O252" i="39"/>
  <c r="N233" i="39"/>
  <c r="O233" i="39"/>
  <c r="N214" i="39"/>
  <c r="O214" i="39"/>
  <c r="N195" i="39"/>
  <c r="O195" i="39"/>
  <c r="N176" i="39"/>
  <c r="O176" i="39"/>
  <c r="N157" i="39"/>
  <c r="O157" i="39"/>
  <c r="N138" i="39"/>
  <c r="O138" i="39"/>
  <c r="N119" i="39"/>
  <c r="O119" i="39"/>
  <c r="N99" i="39"/>
  <c r="O99" i="39"/>
  <c r="N100" i="39"/>
  <c r="O100" i="39"/>
  <c r="O92" i="39"/>
  <c r="N92" i="39"/>
  <c r="N941" i="19"/>
  <c r="N942" i="19"/>
  <c r="N943" i="19"/>
  <c r="N944" i="19"/>
  <c r="N945" i="19"/>
  <c r="N946" i="19"/>
  <c r="N940" i="19"/>
  <c r="O940" i="19"/>
  <c r="N13" i="37"/>
  <c r="N12" i="37"/>
  <c r="E140" i="38"/>
  <c r="N15" i="37"/>
  <c r="N16" i="37"/>
  <c r="N17" i="37"/>
  <c r="N18" i="37"/>
  <c r="N8" i="37"/>
  <c r="N9" i="37"/>
  <c r="N10" i="37"/>
  <c r="N11" i="37"/>
  <c r="E137" i="38"/>
  <c r="E138" i="38"/>
  <c r="E141" i="38"/>
  <c r="N3" i="37"/>
  <c r="N4" i="37"/>
  <c r="N5" i="37"/>
  <c r="N6" i="37"/>
  <c r="S372" i="46" l="1"/>
  <c r="K278" i="18"/>
  <c r="K279" i="18"/>
  <c r="K280" i="18"/>
  <c r="K281" i="18"/>
  <c r="K282" i="18"/>
  <c r="K283" i="18"/>
  <c r="K284" i="18"/>
  <c r="K285" i="18"/>
  <c r="K286" i="18"/>
  <c r="K287" i="18"/>
  <c r="K288" i="18"/>
  <c r="K289" i="18"/>
  <c r="K290" i="18"/>
  <c r="K291" i="18"/>
  <c r="K292" i="18"/>
  <c r="K293" i="18"/>
  <c r="K294" i="18"/>
  <c r="K295" i="18"/>
  <c r="K296" i="18"/>
  <c r="K297" i="18"/>
  <c r="K298" i="18"/>
  <c r="K299" i="18"/>
  <c r="K300" i="18"/>
  <c r="K301" i="18"/>
  <c r="K302" i="18"/>
  <c r="K303" i="18"/>
  <c r="K304" i="18"/>
  <c r="K305" i="18"/>
  <c r="K306" i="18"/>
  <c r="K307" i="18"/>
  <c r="K308" i="18"/>
  <c r="K309" i="18"/>
  <c r="K310" i="18"/>
  <c r="K311" i="18"/>
  <c r="K312" i="18"/>
  <c r="K313" i="18"/>
  <c r="K314" i="18"/>
  <c r="K315" i="18"/>
  <c r="K316" i="18"/>
  <c r="K317" i="18"/>
  <c r="K318" i="18"/>
  <c r="K319" i="18"/>
  <c r="K320" i="18"/>
  <c r="K321" i="18"/>
  <c r="K322" i="18"/>
  <c r="K323" i="18"/>
  <c r="K324" i="18"/>
  <c r="K325" i="18"/>
  <c r="K326" i="18"/>
  <c r="K327" i="18"/>
  <c r="K328" i="18"/>
  <c r="K329" i="18"/>
  <c r="K330" i="18"/>
  <c r="K331" i="18"/>
  <c r="K332" i="18"/>
  <c r="K333" i="18"/>
  <c r="K334" i="18"/>
  <c r="K335" i="18"/>
  <c r="K336" i="18"/>
  <c r="K337" i="18"/>
  <c r="K338" i="18"/>
  <c r="K339" i="18"/>
  <c r="K340" i="18"/>
  <c r="K341" i="18"/>
  <c r="K342" i="18"/>
  <c r="K343" i="18"/>
  <c r="K344" i="18"/>
  <c r="K345" i="18"/>
  <c r="K346" i="18"/>
  <c r="K347" i="18"/>
  <c r="K348" i="18"/>
  <c r="K349" i="18"/>
  <c r="K350" i="18"/>
  <c r="K351" i="18"/>
  <c r="K352" i="18"/>
  <c r="K353" i="18"/>
  <c r="K354" i="18"/>
  <c r="K355" i="18"/>
  <c r="K356" i="18"/>
  <c r="K357" i="18"/>
  <c r="K358" i="18"/>
  <c r="K359" i="18"/>
  <c r="K360" i="18"/>
  <c r="K361" i="18"/>
  <c r="K362" i="18"/>
  <c r="K363" i="18"/>
  <c r="K364" i="18"/>
  <c r="K365" i="18"/>
  <c r="K366" i="18"/>
  <c r="K367" i="18"/>
  <c r="K368" i="18"/>
  <c r="K369" i="18"/>
  <c r="K370" i="18"/>
  <c r="K371" i="18"/>
  <c r="K372" i="18"/>
  <c r="K373" i="18"/>
  <c r="K374" i="18"/>
  <c r="K375" i="18"/>
  <c r="K376" i="18"/>
  <c r="K377" i="18"/>
  <c r="K378" i="18"/>
  <c r="K379" i="18"/>
  <c r="K380" i="18"/>
  <c r="K381" i="18"/>
  <c r="K382" i="18"/>
  <c r="K383" i="18"/>
  <c r="K384" i="18"/>
  <c r="K385" i="18"/>
  <c r="K386" i="18"/>
  <c r="K387" i="18"/>
  <c r="K388" i="18"/>
  <c r="K389" i="18"/>
  <c r="K390" i="18"/>
  <c r="K391" i="18"/>
  <c r="K392" i="18"/>
  <c r="K393" i="18"/>
  <c r="K394" i="18"/>
  <c r="K395" i="18"/>
  <c r="K396" i="18"/>
  <c r="K397" i="18"/>
  <c r="K398" i="18"/>
  <c r="K399" i="18"/>
  <c r="K400" i="18"/>
  <c r="K401" i="18"/>
  <c r="K402" i="18"/>
  <c r="K403" i="18"/>
  <c r="K404" i="18"/>
  <c r="K405" i="18"/>
  <c r="K406" i="18"/>
  <c r="K407" i="18"/>
  <c r="K408" i="18"/>
  <c r="K409" i="18"/>
  <c r="K410" i="18"/>
  <c r="K411" i="18"/>
  <c r="K412" i="18"/>
  <c r="K413" i="18"/>
  <c r="K414" i="18"/>
  <c r="K415" i="18"/>
  <c r="K416" i="18"/>
  <c r="K417" i="18"/>
  <c r="K418" i="18"/>
  <c r="K419" i="18"/>
  <c r="K420" i="18"/>
  <c r="K421" i="18"/>
  <c r="K422" i="18"/>
  <c r="K423" i="18"/>
  <c r="K424" i="18"/>
  <c r="K425" i="18"/>
  <c r="K426" i="18"/>
  <c r="K427" i="18"/>
  <c r="K428" i="18"/>
  <c r="K429" i="18"/>
  <c r="K430" i="18"/>
  <c r="K431" i="18"/>
  <c r="K432" i="18"/>
  <c r="K433" i="18"/>
  <c r="K434" i="18"/>
  <c r="K435" i="18"/>
  <c r="K436" i="18"/>
  <c r="K437" i="18"/>
  <c r="K438" i="18"/>
  <c r="K439" i="18"/>
  <c r="K440" i="18"/>
  <c r="K441" i="18"/>
  <c r="K442" i="18"/>
  <c r="K443" i="18"/>
  <c r="K444" i="18"/>
  <c r="K445" i="18"/>
  <c r="K446" i="18"/>
  <c r="K447" i="18"/>
  <c r="K448" i="18"/>
  <c r="K449" i="18"/>
  <c r="K450" i="18"/>
  <c r="K451" i="18"/>
  <c r="K452" i="18"/>
  <c r="K453" i="18"/>
  <c r="K454" i="18"/>
  <c r="K455" i="18"/>
  <c r="K456" i="18"/>
  <c r="K457" i="18"/>
  <c r="K458" i="18"/>
  <c r="K459" i="18"/>
  <c r="K460" i="18"/>
  <c r="K461" i="18"/>
  <c r="K462" i="18"/>
  <c r="K463" i="18"/>
  <c r="K464" i="18"/>
  <c r="K465" i="18"/>
  <c r="K466" i="18"/>
  <c r="K467" i="18"/>
  <c r="K468" i="18"/>
  <c r="K469" i="18"/>
  <c r="K470" i="18"/>
  <c r="K471" i="18"/>
  <c r="K472" i="18"/>
  <c r="K473" i="18"/>
  <c r="K474" i="18"/>
  <c r="K475" i="18"/>
  <c r="K476" i="18"/>
  <c r="K477" i="18"/>
  <c r="K478" i="18"/>
  <c r="K479" i="18"/>
  <c r="K480" i="18"/>
  <c r="K481" i="18"/>
  <c r="K482" i="18"/>
  <c r="K483" i="18"/>
  <c r="K484" i="18"/>
  <c r="K485" i="18"/>
  <c r="K486" i="18"/>
  <c r="K487" i="18"/>
  <c r="K488" i="18"/>
  <c r="K489" i="18"/>
  <c r="K490" i="18"/>
  <c r="K491" i="18"/>
  <c r="K492" i="18"/>
  <c r="K493" i="18"/>
  <c r="K494" i="18"/>
  <c r="K495" i="18"/>
  <c r="K496" i="18"/>
  <c r="K497" i="18"/>
  <c r="K498" i="18"/>
  <c r="K499" i="18"/>
  <c r="K500" i="18"/>
  <c r="K501" i="18"/>
  <c r="K502" i="18"/>
  <c r="K503" i="18"/>
  <c r="K504" i="18"/>
  <c r="K505" i="18"/>
  <c r="K506" i="18"/>
  <c r="K507" i="18"/>
  <c r="K508" i="18"/>
  <c r="K509" i="18"/>
  <c r="K510" i="18"/>
  <c r="K511" i="18"/>
  <c r="K512" i="18"/>
  <c r="K513" i="18"/>
  <c r="K514" i="18"/>
  <c r="K515" i="18"/>
  <c r="K516" i="18"/>
  <c r="K517" i="18"/>
  <c r="K518" i="18"/>
  <c r="K519" i="18"/>
  <c r="K520" i="18"/>
  <c r="K521" i="18"/>
  <c r="K522" i="18"/>
  <c r="K523" i="18"/>
  <c r="O906" i="19"/>
  <c r="N906" i="19"/>
  <c r="O728" i="19"/>
  <c r="N728" i="19"/>
  <c r="N329" i="19"/>
  <c r="O329" i="19"/>
  <c r="N330" i="19"/>
  <c r="O330" i="19"/>
  <c r="N331" i="19"/>
  <c r="O331" i="19"/>
  <c r="N332" i="19"/>
  <c r="O332" i="19"/>
  <c r="N333" i="19"/>
  <c r="O333" i="19"/>
  <c r="N334" i="19"/>
  <c r="O334" i="19"/>
  <c r="N335" i="19"/>
  <c r="O335" i="19"/>
  <c r="N442" i="19"/>
  <c r="O442" i="19"/>
  <c r="N725" i="19"/>
  <c r="O725" i="19"/>
  <c r="N726" i="19"/>
  <c r="O726" i="19"/>
  <c r="N727" i="19"/>
  <c r="O727" i="19"/>
  <c r="N729" i="19"/>
  <c r="O729" i="19"/>
  <c r="N744" i="19"/>
  <c r="O744" i="19"/>
  <c r="N758" i="19"/>
  <c r="O758" i="19"/>
  <c r="N762" i="19"/>
  <c r="O762" i="19"/>
  <c r="N793" i="19"/>
  <c r="O793" i="19"/>
  <c r="N849" i="19"/>
  <c r="O849" i="19"/>
  <c r="N850" i="19"/>
  <c r="O850" i="19"/>
  <c r="N853" i="19"/>
  <c r="O853" i="19"/>
  <c r="N854" i="19"/>
  <c r="O854" i="19"/>
  <c r="N857" i="19"/>
  <c r="O857" i="19"/>
  <c r="N858" i="19"/>
  <c r="O858" i="19"/>
  <c r="N905" i="19"/>
  <c r="O905" i="19"/>
  <c r="N907" i="19"/>
  <c r="O907" i="19"/>
  <c r="N928" i="19"/>
  <c r="O928" i="19"/>
  <c r="K277" i="18"/>
  <c r="K184" i="18"/>
  <c r="K214" i="18"/>
  <c r="K92" i="18"/>
  <c r="K61" i="18"/>
  <c r="K198" i="18"/>
  <c r="K131" i="18"/>
  <c r="K24" i="18"/>
  <c r="K56" i="18"/>
  <c r="K158" i="18"/>
  <c r="K105" i="18"/>
  <c r="K156" i="18"/>
  <c r="K250" i="18"/>
  <c r="K237" i="18"/>
  <c r="K179" i="18"/>
  <c r="K215" i="18"/>
  <c r="K74" i="18"/>
  <c r="K57" i="18"/>
  <c r="K202" i="18"/>
  <c r="K133" i="18"/>
  <c r="K34" i="18"/>
  <c r="K46" i="18"/>
  <c r="K148" i="18"/>
  <c r="K97" i="18"/>
  <c r="K157" i="18"/>
  <c r="K241" i="18"/>
  <c r="K238" i="18"/>
  <c r="K178" i="18"/>
  <c r="K217" i="18"/>
  <c r="K76" i="18"/>
  <c r="K48" i="18"/>
  <c r="K199" i="18"/>
  <c r="K172" i="18"/>
  <c r="K32" i="18"/>
  <c r="K49" i="18"/>
  <c r="K165" i="18"/>
  <c r="K115" i="18"/>
  <c r="K162" i="18"/>
  <c r="K260" i="18"/>
  <c r="K239" i="18"/>
  <c r="K174" i="18"/>
  <c r="K225" i="18"/>
  <c r="K106" i="18"/>
  <c r="K53" i="18"/>
  <c r="K197" i="18"/>
  <c r="K147" i="18"/>
  <c r="K35" i="18"/>
  <c r="K45" i="18"/>
  <c r="K160" i="18"/>
  <c r="K121" i="18"/>
  <c r="K163" i="18"/>
  <c r="K267" i="18"/>
  <c r="K266" i="18"/>
  <c r="K191" i="18"/>
  <c r="K230" i="18"/>
  <c r="K94" i="18"/>
  <c r="K64" i="18"/>
  <c r="K193" i="18"/>
  <c r="K138" i="18"/>
  <c r="K41" i="18"/>
  <c r="K60" i="18"/>
  <c r="K168" i="18"/>
  <c r="K132" i="18"/>
  <c r="K129" i="18"/>
  <c r="K265" i="18"/>
  <c r="K246" i="18"/>
  <c r="K176" i="18"/>
  <c r="K226" i="18"/>
  <c r="K82" i="18"/>
  <c r="K62" i="18"/>
  <c r="K182" i="18"/>
  <c r="K152" i="18"/>
  <c r="K39" i="18"/>
  <c r="K59" i="18"/>
  <c r="K171" i="18"/>
  <c r="K125" i="18"/>
  <c r="K137" i="18"/>
  <c r="K263" i="18"/>
  <c r="K231" i="18"/>
  <c r="K173" i="18"/>
  <c r="K224" i="18"/>
  <c r="K78" i="18"/>
  <c r="K75" i="18"/>
  <c r="K189" i="18"/>
  <c r="K146" i="18"/>
  <c r="K31" i="18"/>
  <c r="K58" i="18"/>
  <c r="K164" i="18"/>
  <c r="K102" i="18"/>
  <c r="K114" i="18"/>
  <c r="K264" i="18"/>
  <c r="K232" i="18"/>
  <c r="K175" i="18"/>
  <c r="K216" i="18"/>
  <c r="K68" i="18"/>
  <c r="K73" i="18"/>
  <c r="K183" i="18"/>
  <c r="K151" i="18"/>
  <c r="K30" i="18"/>
  <c r="K54" i="18"/>
  <c r="K161" i="18"/>
  <c r="K130" i="18"/>
  <c r="K100" i="18"/>
  <c r="K259" i="18"/>
  <c r="K240" i="18"/>
  <c r="K181" i="18"/>
  <c r="K228" i="18"/>
  <c r="K80" i="18"/>
  <c r="K65" i="18"/>
  <c r="K192" i="18"/>
  <c r="K149" i="18"/>
  <c r="K37" i="18"/>
  <c r="K63" i="18"/>
  <c r="K169" i="18"/>
  <c r="K112" i="18"/>
  <c r="K101" i="18"/>
  <c r="K261" i="18"/>
  <c r="K255" i="18"/>
  <c r="K195" i="18"/>
  <c r="K221" i="18"/>
  <c r="K88" i="18"/>
  <c r="K89" i="18"/>
  <c r="K211" i="18"/>
  <c r="K116" i="18"/>
  <c r="K25" i="18"/>
  <c r="K40" i="18"/>
  <c r="K127" i="18"/>
  <c r="K91" i="18"/>
  <c r="K167" i="18"/>
  <c r="K253" i="18"/>
  <c r="K242" i="18"/>
  <c r="K196" i="18"/>
  <c r="K223" i="18"/>
  <c r="K79" i="18"/>
  <c r="K90" i="18"/>
  <c r="K201" i="18"/>
  <c r="K117" i="18"/>
  <c r="K22" i="18"/>
  <c r="K38" i="18"/>
  <c r="K107" i="18"/>
  <c r="K86" i="18"/>
  <c r="K113" i="18"/>
  <c r="K229" i="18"/>
  <c r="K236" i="18"/>
  <c r="K190" i="18"/>
  <c r="K213" i="18"/>
  <c r="K77" i="18"/>
  <c r="K98" i="18"/>
  <c r="K207" i="18"/>
  <c r="K135" i="18"/>
  <c r="K36" i="18"/>
  <c r="K43" i="18"/>
  <c r="K159" i="18"/>
  <c r="K124" i="18"/>
  <c r="K150" i="18"/>
  <c r="K249" i="18"/>
  <c r="K234" i="18"/>
  <c r="K180" i="18"/>
  <c r="K210" i="18"/>
  <c r="K67" i="18"/>
  <c r="K72" i="18"/>
  <c r="K206" i="18"/>
  <c r="K142" i="18"/>
  <c r="K21" i="18"/>
  <c r="K42" i="18"/>
  <c r="K108" i="18"/>
  <c r="K122" i="18"/>
  <c r="K119" i="18"/>
  <c r="K248" i="18"/>
  <c r="K233" i="18"/>
  <c r="K177" i="18"/>
  <c r="K212" i="18"/>
  <c r="K81" i="18"/>
  <c r="K66" i="18"/>
  <c r="K185" i="18"/>
  <c r="K136" i="18"/>
  <c r="K23" i="18"/>
  <c r="K47" i="18"/>
  <c r="K95" i="18"/>
  <c r="K118" i="18"/>
  <c r="K120" i="18"/>
  <c r="K247" i="18"/>
  <c r="K243" i="18"/>
  <c r="K186" i="18"/>
  <c r="K218" i="18"/>
  <c r="K83" i="18"/>
  <c r="K69" i="18"/>
  <c r="K203" i="18"/>
  <c r="K143" i="18"/>
  <c r="K27" i="18"/>
  <c r="K50" i="18"/>
  <c r="K153" i="18"/>
  <c r="K109" i="18"/>
  <c r="K139" i="18"/>
  <c r="K256" i="18"/>
  <c r="K244" i="18"/>
  <c r="K187" i="18"/>
  <c r="K219" i="18"/>
  <c r="K84" i="18"/>
  <c r="K70" i="18"/>
  <c r="K204" i="18"/>
  <c r="K144" i="18"/>
  <c r="K28" i="18"/>
  <c r="K51" i="18"/>
  <c r="K154" i="18"/>
  <c r="K110" i="18"/>
  <c r="K140" i="18"/>
  <c r="K257" i="18"/>
  <c r="K245" i="18"/>
  <c r="K188" i="18"/>
  <c r="K220" i="18"/>
  <c r="K85" i="18"/>
  <c r="K71" i="18"/>
  <c r="K205" i="18"/>
  <c r="K145" i="18"/>
  <c r="K29" i="18"/>
  <c r="K52" i="18"/>
  <c r="K155" i="18"/>
  <c r="K111" i="18"/>
  <c r="K141" i="18"/>
  <c r="K258" i="18"/>
  <c r="K251" i="18"/>
  <c r="K194" i="18"/>
  <c r="K227" i="18"/>
  <c r="K96" i="18"/>
  <c r="K87" i="18"/>
  <c r="K209" i="18"/>
  <c r="K126" i="18"/>
  <c r="K26" i="18"/>
  <c r="K44" i="18"/>
  <c r="K123" i="18"/>
  <c r="K103" i="18"/>
  <c r="K170" i="18"/>
  <c r="K254" i="18"/>
  <c r="K252" i="18"/>
  <c r="K200" i="18"/>
  <c r="K222" i="18"/>
  <c r="K99" i="18"/>
  <c r="K93" i="18"/>
  <c r="K208" i="18"/>
  <c r="K134" i="18"/>
  <c r="K33" i="18"/>
  <c r="K55" i="18"/>
  <c r="K128" i="18"/>
  <c r="K104" i="18"/>
  <c r="K166" i="18"/>
  <c r="K262" i="18"/>
  <c r="K235" i="18"/>
  <c r="K733" i="20"/>
  <c r="K732" i="20"/>
  <c r="K731" i="20"/>
  <c r="K730" i="20"/>
  <c r="K729" i="20"/>
  <c r="K728" i="20"/>
  <c r="K727" i="20"/>
  <c r="K726" i="20"/>
  <c r="K725" i="20"/>
  <c r="K724" i="20"/>
  <c r="K723" i="20"/>
  <c r="K722" i="20"/>
  <c r="K721" i="20"/>
  <c r="K720" i="20"/>
  <c r="K719" i="20"/>
  <c r="K718" i="20"/>
  <c r="K717" i="20"/>
  <c r="K716" i="20"/>
  <c r="K715" i="20"/>
  <c r="K714" i="20"/>
  <c r="K713" i="20"/>
  <c r="K712" i="20"/>
  <c r="K711" i="20"/>
  <c r="K710" i="20"/>
  <c r="K709" i="20"/>
  <c r="K708" i="20"/>
  <c r="K707" i="20"/>
  <c r="K706" i="20"/>
  <c r="K705" i="20"/>
  <c r="K704" i="20"/>
  <c r="K703" i="20"/>
  <c r="K702" i="20"/>
  <c r="K701" i="20"/>
  <c r="K700" i="20"/>
  <c r="K699" i="20"/>
  <c r="K698" i="20"/>
  <c r="K697" i="20"/>
  <c r="K696" i="20"/>
  <c r="K695" i="20"/>
  <c r="K694" i="20"/>
  <c r="K693" i="20"/>
  <c r="K692" i="20"/>
  <c r="K691" i="20"/>
  <c r="K690" i="20"/>
  <c r="K689" i="20"/>
  <c r="K688" i="20"/>
  <c r="K687" i="20"/>
  <c r="K686" i="20"/>
  <c r="K685" i="20"/>
  <c r="K684" i="20"/>
  <c r="K683" i="20"/>
  <c r="K682" i="20"/>
  <c r="K681" i="20"/>
  <c r="K680" i="20"/>
  <c r="K679" i="20"/>
  <c r="K678" i="20"/>
  <c r="K677" i="20"/>
  <c r="K676" i="20"/>
  <c r="K675" i="20"/>
  <c r="K674" i="20"/>
  <c r="K673" i="20"/>
  <c r="K672" i="20"/>
  <c r="K671" i="20"/>
  <c r="K670" i="20"/>
  <c r="K669" i="20"/>
  <c r="K668" i="20"/>
  <c r="K667" i="20"/>
  <c r="K666" i="20"/>
  <c r="K665" i="20"/>
  <c r="K664" i="20"/>
  <c r="K663" i="20"/>
  <c r="K662" i="20"/>
  <c r="K661" i="20"/>
  <c r="K660" i="20"/>
  <c r="K659" i="20"/>
  <c r="K658" i="20"/>
  <c r="K657" i="20"/>
  <c r="K656" i="20"/>
  <c r="K655" i="20"/>
  <c r="K654" i="20"/>
  <c r="K653" i="20"/>
  <c r="K652" i="20"/>
  <c r="K651" i="20"/>
  <c r="K650" i="20"/>
  <c r="K649" i="20"/>
  <c r="K648" i="20"/>
  <c r="K647" i="20"/>
  <c r="K646" i="20"/>
  <c r="K645" i="20"/>
  <c r="K644" i="20"/>
  <c r="K643" i="20"/>
  <c r="K642" i="20"/>
  <c r="K641" i="20"/>
  <c r="K640" i="20"/>
  <c r="K639" i="20"/>
  <c r="K638" i="20"/>
  <c r="K637" i="20"/>
  <c r="K636" i="20"/>
  <c r="K635" i="20"/>
  <c r="K634" i="20"/>
  <c r="K633" i="20"/>
  <c r="K632" i="20"/>
  <c r="K631" i="20"/>
  <c r="K630" i="20"/>
  <c r="K629" i="20"/>
  <c r="K628" i="20"/>
  <c r="K627" i="20"/>
  <c r="K626" i="20"/>
  <c r="K625" i="20"/>
  <c r="K624" i="20"/>
  <c r="K623" i="20"/>
  <c r="K622" i="20"/>
  <c r="K621" i="20"/>
  <c r="K620" i="20"/>
  <c r="K619" i="20"/>
  <c r="K618" i="20"/>
  <c r="K617" i="20"/>
  <c r="K616" i="20"/>
  <c r="K615" i="20"/>
  <c r="K614" i="20"/>
  <c r="K613" i="20"/>
  <c r="K612" i="20"/>
  <c r="K611" i="20"/>
  <c r="K610" i="20"/>
  <c r="K609" i="20"/>
  <c r="K608" i="20"/>
  <c r="K607" i="20"/>
  <c r="K606" i="20"/>
  <c r="K605" i="20"/>
  <c r="K604" i="20"/>
  <c r="K603" i="20"/>
  <c r="K602" i="20"/>
  <c r="K601" i="20"/>
  <c r="K600" i="20"/>
  <c r="K599" i="20"/>
  <c r="K598" i="20"/>
  <c r="K597" i="20"/>
  <c r="K596" i="20"/>
  <c r="K595" i="20"/>
  <c r="K594" i="20"/>
  <c r="K593" i="20"/>
  <c r="K592" i="20"/>
  <c r="K591" i="20"/>
  <c r="K590" i="20"/>
  <c r="K589" i="20"/>
  <c r="K588" i="20"/>
  <c r="K587" i="20"/>
  <c r="K586" i="20"/>
  <c r="K585" i="20"/>
  <c r="K584" i="20"/>
  <c r="K583" i="20"/>
  <c r="K582" i="20"/>
  <c r="K581" i="20"/>
  <c r="K580" i="20"/>
  <c r="K579" i="20"/>
  <c r="K578" i="20"/>
  <c r="K577" i="20"/>
  <c r="K576" i="20"/>
  <c r="K575" i="20"/>
  <c r="K574" i="20"/>
  <c r="K573" i="20"/>
  <c r="K572" i="20"/>
  <c r="K571" i="20"/>
  <c r="K570" i="20"/>
  <c r="K569" i="20"/>
  <c r="K568" i="20"/>
  <c r="K567" i="20"/>
  <c r="K566" i="20"/>
  <c r="K565" i="20"/>
  <c r="K564" i="20"/>
  <c r="K563" i="20"/>
  <c r="K562" i="20"/>
  <c r="K561" i="20"/>
  <c r="K560" i="20"/>
  <c r="K559" i="20"/>
  <c r="K558" i="20"/>
  <c r="K557" i="20"/>
  <c r="K556" i="20"/>
  <c r="K555" i="20"/>
  <c r="K554" i="20"/>
  <c r="K553" i="20"/>
  <c r="K552" i="20"/>
  <c r="K551" i="20"/>
  <c r="K550" i="20"/>
  <c r="K549" i="20"/>
  <c r="K548" i="20"/>
  <c r="K547" i="20"/>
  <c r="K546" i="20"/>
  <c r="K545" i="20"/>
  <c r="K544" i="20"/>
  <c r="K543" i="20"/>
  <c r="K542" i="20"/>
  <c r="K541" i="20"/>
  <c r="K540" i="20"/>
  <c r="K539" i="20"/>
  <c r="K538" i="20"/>
  <c r="K537" i="20"/>
  <c r="K536" i="20"/>
  <c r="K535" i="20"/>
  <c r="K534" i="20"/>
  <c r="K533" i="20"/>
  <c r="K532" i="20"/>
  <c r="K531" i="20"/>
  <c r="K530" i="20"/>
  <c r="K529" i="20"/>
  <c r="K528" i="20"/>
  <c r="K527" i="20"/>
  <c r="K526" i="20"/>
  <c r="K525" i="20"/>
  <c r="K524" i="20"/>
  <c r="K523" i="20"/>
  <c r="K522" i="20"/>
  <c r="K521" i="20"/>
  <c r="K520" i="20"/>
  <c r="K519" i="20"/>
  <c r="K518" i="20"/>
  <c r="K517" i="20"/>
  <c r="K516" i="20"/>
  <c r="K515" i="20"/>
  <c r="K514" i="20"/>
  <c r="K513" i="20"/>
  <c r="K512" i="20"/>
  <c r="K511" i="20"/>
  <c r="K510" i="20"/>
  <c r="K509" i="20"/>
  <c r="K508" i="20"/>
  <c r="K507" i="20"/>
  <c r="K506" i="20"/>
  <c r="K505" i="20"/>
  <c r="K504" i="20"/>
  <c r="K503" i="20"/>
  <c r="K502" i="20"/>
  <c r="K501" i="20"/>
  <c r="K500" i="20"/>
  <c r="K499" i="20"/>
  <c r="K498" i="20"/>
  <c r="K497" i="20"/>
  <c r="K496" i="20"/>
  <c r="K495" i="20"/>
  <c r="K494" i="20"/>
  <c r="K493" i="20"/>
  <c r="K492" i="20"/>
  <c r="K491" i="20"/>
  <c r="K490" i="20"/>
  <c r="K489" i="20"/>
  <c r="K488" i="20"/>
  <c r="K487" i="20"/>
  <c r="K486" i="20"/>
  <c r="K485" i="20"/>
  <c r="K484" i="20"/>
  <c r="K483" i="20"/>
  <c r="K482" i="20"/>
  <c r="K481" i="20"/>
  <c r="K480" i="20"/>
  <c r="K479" i="20"/>
  <c r="K478" i="20"/>
  <c r="K477" i="20"/>
  <c r="K476" i="20"/>
  <c r="K475" i="20"/>
  <c r="K474" i="20"/>
  <c r="K473" i="20"/>
  <c r="K472" i="20"/>
  <c r="K471" i="20"/>
  <c r="K470" i="20"/>
  <c r="K469" i="20"/>
  <c r="K468" i="20"/>
  <c r="K467" i="20"/>
  <c r="K466" i="20"/>
  <c r="K465" i="20"/>
  <c r="K464" i="20"/>
  <c r="K463" i="20"/>
  <c r="K462" i="20"/>
  <c r="K461" i="20"/>
  <c r="K460" i="20"/>
  <c r="K459" i="20"/>
  <c r="K458" i="20"/>
  <c r="K457" i="20"/>
  <c r="K456" i="20"/>
  <c r="K455" i="20"/>
  <c r="K454" i="20"/>
  <c r="K453" i="20"/>
  <c r="K452" i="20"/>
  <c r="K451" i="20"/>
  <c r="K450" i="20"/>
  <c r="K449" i="20"/>
  <c r="K448" i="20"/>
  <c r="K447" i="20"/>
  <c r="K446" i="20"/>
  <c r="K445" i="20"/>
  <c r="K444" i="20"/>
  <c r="K443" i="20"/>
  <c r="K442" i="20"/>
  <c r="K441" i="20"/>
  <c r="K440" i="20"/>
  <c r="K439" i="20"/>
  <c r="K438" i="20"/>
  <c r="K437" i="20"/>
  <c r="K436" i="20"/>
  <c r="K435" i="20"/>
  <c r="K434" i="20"/>
  <c r="K433" i="20"/>
  <c r="K432" i="20"/>
  <c r="K431" i="20"/>
  <c r="K430" i="20"/>
  <c r="K429" i="20"/>
  <c r="K428" i="20"/>
  <c r="K427" i="20"/>
  <c r="K426" i="20"/>
  <c r="K425" i="20"/>
  <c r="K424" i="20"/>
  <c r="K423" i="20"/>
  <c r="K422" i="20"/>
  <c r="K421" i="20"/>
  <c r="K420" i="20"/>
  <c r="K419" i="20"/>
  <c r="K418" i="20"/>
  <c r="K417" i="20"/>
  <c r="K416" i="20"/>
  <c r="K415" i="20"/>
  <c r="K414" i="20"/>
  <c r="K413" i="20"/>
  <c r="K412" i="20"/>
  <c r="K411" i="20"/>
  <c r="K410" i="20"/>
  <c r="K409" i="20"/>
  <c r="K408" i="20"/>
  <c r="K407" i="20"/>
  <c r="K406" i="20"/>
  <c r="K405" i="20"/>
  <c r="K404" i="20"/>
  <c r="K403" i="20"/>
  <c r="K402" i="20"/>
  <c r="K401" i="20"/>
  <c r="K400" i="20"/>
  <c r="K399" i="20"/>
  <c r="K398" i="20"/>
  <c r="K397" i="20"/>
  <c r="K396" i="20"/>
  <c r="K395" i="20"/>
  <c r="K394" i="20"/>
  <c r="K393" i="20"/>
  <c r="K392" i="20"/>
  <c r="K391" i="20"/>
  <c r="K390" i="20"/>
  <c r="K389" i="20"/>
  <c r="K388" i="20"/>
  <c r="K387" i="20"/>
  <c r="K386" i="20"/>
  <c r="K385" i="20"/>
  <c r="K384" i="20"/>
  <c r="K383" i="20"/>
  <c r="K41" i="20"/>
  <c r="K42" i="20"/>
  <c r="K43" i="20"/>
  <c r="K44" i="20"/>
  <c r="K45" i="20"/>
  <c r="K46" i="20"/>
  <c r="K47" i="20"/>
  <c r="K48" i="20"/>
  <c r="K49" i="20"/>
  <c r="K50" i="20"/>
  <c r="K51" i="20"/>
  <c r="K52" i="20"/>
  <c r="K53" i="20"/>
  <c r="K54" i="20"/>
  <c r="K55" i="20"/>
  <c r="K56" i="20"/>
  <c r="K57" i="20"/>
  <c r="K58" i="20"/>
  <c r="K59" i="20"/>
  <c r="K60" i="20"/>
  <c r="K61" i="20"/>
  <c r="K62" i="20"/>
  <c r="K63" i="20"/>
  <c r="K64" i="20"/>
  <c r="K65" i="20"/>
  <c r="K66" i="20"/>
  <c r="K67" i="20"/>
  <c r="K68" i="20"/>
  <c r="K69" i="20"/>
  <c r="K70" i="20"/>
  <c r="K71" i="20"/>
  <c r="K72" i="20"/>
  <c r="K73" i="20"/>
  <c r="K74" i="20"/>
  <c r="K75" i="20"/>
  <c r="K76" i="20"/>
  <c r="K77" i="20"/>
  <c r="K78" i="20"/>
  <c r="K79" i="20"/>
  <c r="K80" i="20"/>
  <c r="K81" i="20"/>
  <c r="K82" i="20"/>
  <c r="K83" i="20"/>
  <c r="K84" i="20"/>
  <c r="K85" i="20"/>
  <c r="K86" i="20"/>
  <c r="K87" i="20"/>
  <c r="K88" i="20"/>
  <c r="K89" i="20"/>
  <c r="K90" i="20"/>
  <c r="K91" i="20"/>
  <c r="K92" i="20"/>
  <c r="K93" i="20"/>
  <c r="K94" i="20"/>
  <c r="K95" i="20"/>
  <c r="K96" i="20"/>
  <c r="K97" i="20"/>
  <c r="K98" i="20"/>
  <c r="K99" i="20"/>
  <c r="K100" i="20"/>
  <c r="K101" i="20"/>
  <c r="K102" i="20"/>
  <c r="K103" i="20"/>
  <c r="K104" i="20"/>
  <c r="K105" i="20"/>
  <c r="K106" i="20"/>
  <c r="K107" i="20"/>
  <c r="K108" i="20"/>
  <c r="K109" i="20"/>
  <c r="K110" i="20"/>
  <c r="K111" i="20"/>
  <c r="K112" i="20"/>
  <c r="K113" i="20"/>
  <c r="K114" i="20"/>
  <c r="K115" i="20"/>
  <c r="K116" i="20"/>
  <c r="K117" i="20"/>
  <c r="K118" i="20"/>
  <c r="K119" i="20"/>
  <c r="K120" i="20"/>
  <c r="K121" i="20"/>
  <c r="K122" i="20"/>
  <c r="K123" i="20"/>
  <c r="K124" i="20"/>
  <c r="K125" i="20"/>
  <c r="K126" i="20"/>
  <c r="K127" i="20"/>
  <c r="K128" i="20"/>
  <c r="K129" i="20"/>
  <c r="K130" i="20"/>
  <c r="K131" i="20"/>
  <c r="K132" i="20"/>
  <c r="K133" i="20"/>
  <c r="K134" i="20"/>
  <c r="K135" i="20"/>
  <c r="K136" i="20"/>
  <c r="K137" i="20"/>
  <c r="K138" i="20"/>
  <c r="K139" i="20"/>
  <c r="K140" i="20"/>
  <c r="K141" i="20"/>
  <c r="K142" i="20"/>
  <c r="K143" i="20"/>
  <c r="K144" i="20"/>
  <c r="K145" i="20"/>
  <c r="K146" i="20"/>
  <c r="K147" i="20"/>
  <c r="K148" i="20"/>
  <c r="K149" i="20"/>
  <c r="K150" i="20"/>
  <c r="K151" i="20"/>
  <c r="K152" i="20"/>
  <c r="K153" i="20"/>
  <c r="K154" i="20"/>
  <c r="K155" i="20"/>
  <c r="K156" i="20"/>
  <c r="K157" i="20"/>
  <c r="K158" i="20"/>
  <c r="K159" i="20"/>
  <c r="K160" i="20"/>
  <c r="K161" i="20"/>
  <c r="K162" i="20"/>
  <c r="K163" i="20"/>
  <c r="K164" i="20"/>
  <c r="K165" i="20"/>
  <c r="K166" i="20"/>
  <c r="K167" i="20"/>
  <c r="K168" i="20"/>
  <c r="K169" i="20"/>
  <c r="K170" i="20"/>
  <c r="K171" i="20"/>
  <c r="K172" i="20"/>
  <c r="K173" i="20"/>
  <c r="K174" i="20"/>
  <c r="K175" i="20"/>
  <c r="K176" i="20"/>
  <c r="K177" i="20"/>
  <c r="K178" i="20"/>
  <c r="K179" i="20"/>
  <c r="K180" i="20"/>
  <c r="K181" i="20"/>
  <c r="K182" i="20"/>
  <c r="K183" i="20"/>
  <c r="K184" i="20"/>
  <c r="K185" i="20"/>
  <c r="K186" i="20"/>
  <c r="K187" i="20"/>
  <c r="K188" i="20"/>
  <c r="K189" i="20"/>
  <c r="K190" i="20"/>
  <c r="K191" i="20"/>
  <c r="K192" i="20"/>
  <c r="K193" i="20"/>
  <c r="K194" i="20"/>
  <c r="K195" i="20"/>
  <c r="K196" i="20"/>
  <c r="K197" i="20"/>
  <c r="K198" i="20"/>
  <c r="K199" i="20"/>
  <c r="K200" i="20"/>
  <c r="K201" i="20"/>
  <c r="K202" i="20"/>
  <c r="K203" i="20"/>
  <c r="K204" i="20"/>
  <c r="K205" i="20"/>
  <c r="K206" i="20"/>
  <c r="K207" i="20"/>
  <c r="K208" i="20"/>
  <c r="K209" i="20"/>
  <c r="K210" i="20"/>
  <c r="K211" i="20"/>
  <c r="K212" i="20"/>
  <c r="K213" i="20"/>
  <c r="K214" i="20"/>
  <c r="K215" i="20"/>
  <c r="K216" i="20"/>
  <c r="K217" i="20"/>
  <c r="K218" i="20"/>
  <c r="K219" i="20"/>
  <c r="K220" i="20"/>
  <c r="K221" i="20"/>
  <c r="K222" i="20"/>
  <c r="K223" i="20"/>
  <c r="K224" i="20"/>
  <c r="K225" i="20"/>
  <c r="K226" i="20"/>
  <c r="K227" i="20"/>
  <c r="K228" i="20"/>
  <c r="K229" i="20"/>
  <c r="K230" i="20"/>
  <c r="K231" i="20"/>
  <c r="K232" i="20"/>
  <c r="K233" i="20"/>
  <c r="K234" i="20"/>
  <c r="K235" i="20"/>
  <c r="K236" i="20"/>
  <c r="K237" i="20"/>
  <c r="K238" i="20"/>
  <c r="K239" i="20"/>
  <c r="K240" i="20"/>
  <c r="K241" i="20"/>
  <c r="K242" i="20"/>
  <c r="K243" i="20"/>
  <c r="K244" i="20"/>
  <c r="K245" i="20"/>
  <c r="K246" i="20"/>
  <c r="K247" i="20"/>
  <c r="K248" i="20"/>
  <c r="K249" i="20"/>
  <c r="K250" i="20"/>
  <c r="K251" i="20"/>
  <c r="K252" i="20"/>
  <c r="K253" i="20"/>
  <c r="K254" i="20"/>
  <c r="K255" i="20"/>
  <c r="K256" i="20"/>
  <c r="K257" i="20"/>
  <c r="K258" i="20"/>
  <c r="K259" i="20"/>
  <c r="K260" i="20"/>
  <c r="K261" i="20"/>
  <c r="K262" i="20"/>
  <c r="K263" i="20"/>
  <c r="K264" i="20"/>
  <c r="K265" i="20"/>
  <c r="K266" i="20"/>
  <c r="K267" i="20"/>
  <c r="K268" i="20"/>
  <c r="K269" i="20"/>
  <c r="K270" i="20"/>
  <c r="K271" i="20"/>
  <c r="K272" i="20"/>
  <c r="K273" i="20"/>
  <c r="K274" i="20"/>
  <c r="K275" i="20"/>
  <c r="K276" i="20"/>
  <c r="K277" i="20"/>
  <c r="K278" i="20"/>
  <c r="K279" i="20"/>
  <c r="K280" i="20"/>
  <c r="K281" i="20"/>
  <c r="K282" i="20"/>
  <c r="K283" i="20"/>
  <c r="K284" i="20"/>
  <c r="K285" i="20"/>
  <c r="K286" i="20"/>
  <c r="K287" i="20"/>
  <c r="K288" i="20"/>
  <c r="K289" i="20"/>
  <c r="K290" i="20"/>
  <c r="K291" i="20"/>
  <c r="K292" i="20"/>
  <c r="K293" i="20"/>
  <c r="K294" i="20"/>
  <c r="K295" i="20"/>
  <c r="K296" i="20"/>
  <c r="K297" i="20"/>
  <c r="K298" i="20"/>
  <c r="K299" i="20"/>
  <c r="K300" i="20"/>
  <c r="K301" i="20"/>
  <c r="K302" i="20"/>
  <c r="K303" i="20"/>
  <c r="K304" i="20"/>
  <c r="K305" i="20"/>
  <c r="K306" i="20"/>
  <c r="K307" i="20"/>
  <c r="K308" i="20"/>
  <c r="K309" i="20"/>
  <c r="K310" i="20"/>
  <c r="K311" i="20"/>
  <c r="K312" i="20"/>
  <c r="K313" i="20"/>
  <c r="K314" i="20"/>
  <c r="K315" i="20"/>
  <c r="K316" i="20"/>
  <c r="K317" i="20"/>
  <c r="K318" i="20"/>
  <c r="K319" i="20"/>
  <c r="K320" i="20"/>
  <c r="K321" i="20"/>
  <c r="K322" i="20"/>
  <c r="K323" i="20"/>
  <c r="K324" i="20"/>
  <c r="K325" i="20"/>
  <c r="K326" i="20"/>
  <c r="K327" i="20"/>
  <c r="K328" i="20"/>
  <c r="K329" i="20"/>
  <c r="K330" i="20"/>
  <c r="K331" i="20"/>
  <c r="K332" i="20"/>
  <c r="K333" i="20"/>
  <c r="K334" i="20"/>
  <c r="K335" i="20"/>
  <c r="K336" i="20"/>
  <c r="K337" i="20"/>
  <c r="K338" i="20"/>
  <c r="K339" i="20"/>
  <c r="K340" i="20"/>
  <c r="K341" i="20"/>
  <c r="K342" i="20"/>
  <c r="K343" i="20"/>
  <c r="K344" i="20"/>
  <c r="K345" i="20"/>
  <c r="K346" i="20"/>
  <c r="K347" i="20"/>
  <c r="K348" i="20"/>
  <c r="K349" i="20"/>
  <c r="K350" i="20"/>
  <c r="K351" i="20"/>
  <c r="K352" i="20"/>
  <c r="K353" i="20"/>
  <c r="K354" i="20"/>
  <c r="K355" i="20"/>
  <c r="K356" i="20"/>
  <c r="K357" i="20"/>
  <c r="K358" i="20"/>
  <c r="K359" i="20"/>
  <c r="K360" i="20"/>
  <c r="K361" i="20"/>
  <c r="K362" i="20"/>
  <c r="K363" i="20"/>
  <c r="K364" i="20"/>
  <c r="K365" i="20"/>
  <c r="K366" i="20"/>
  <c r="K367" i="20"/>
  <c r="K368" i="20"/>
  <c r="K369" i="20"/>
  <c r="K370" i="20"/>
  <c r="K371" i="20"/>
  <c r="K372" i="20"/>
  <c r="K373" i="20"/>
  <c r="K374" i="20"/>
  <c r="K375" i="20"/>
  <c r="K376" i="20"/>
  <c r="K377" i="20"/>
  <c r="K28" i="20"/>
  <c r="K29" i="20"/>
  <c r="K30" i="20"/>
  <c r="K31" i="20"/>
  <c r="K32" i="20"/>
  <c r="K33" i="20"/>
  <c r="K34" i="20"/>
  <c r="K35" i="20"/>
  <c r="K36" i="20"/>
  <c r="K37" i="20"/>
  <c r="K38" i="20"/>
  <c r="K39" i="20"/>
  <c r="K40" i="20"/>
  <c r="K27" i="20"/>
  <c r="F505" i="46"/>
  <c r="F504" i="46"/>
  <c r="F503" i="46"/>
  <c r="F502" i="46"/>
  <c r="F501" i="46"/>
  <c r="F500" i="46"/>
  <c r="F499" i="46"/>
  <c r="F498" i="46"/>
  <c r="F497" i="46"/>
  <c r="F496" i="46"/>
  <c r="F495" i="46"/>
  <c r="F494" i="46"/>
  <c r="F493" i="46"/>
  <c r="F492" i="46"/>
  <c r="F491" i="46"/>
  <c r="F490" i="46"/>
  <c r="F489" i="46"/>
  <c r="F488" i="46"/>
  <c r="F487" i="46"/>
  <c r="F486" i="46"/>
  <c r="F485" i="46"/>
  <c r="F484" i="46"/>
  <c r="F483" i="46"/>
  <c r="F482" i="46"/>
  <c r="F481" i="46"/>
  <c r="F480" i="46"/>
  <c r="F479" i="46"/>
  <c r="F478" i="46"/>
  <c r="F477" i="46"/>
  <c r="F476" i="46"/>
  <c r="F475" i="46"/>
  <c r="F474" i="46"/>
  <c r="F473" i="46"/>
  <c r="F472" i="46"/>
  <c r="F471" i="46"/>
  <c r="F470" i="46"/>
  <c r="F469" i="46"/>
  <c r="F468" i="46"/>
  <c r="F467" i="46"/>
  <c r="F466" i="46"/>
  <c r="F465" i="46"/>
  <c r="F464" i="46"/>
  <c r="F463" i="46"/>
  <c r="F462" i="46"/>
  <c r="F461" i="46"/>
  <c r="F460" i="46"/>
  <c r="F459" i="46"/>
  <c r="F458" i="46"/>
  <c r="N392" i="46"/>
  <c r="N380" i="46"/>
  <c r="N367" i="46"/>
  <c r="O367" i="46"/>
  <c r="N368" i="46"/>
  <c r="N369" i="46"/>
  <c r="N370" i="46"/>
  <c r="N371" i="46"/>
  <c r="N372" i="46"/>
  <c r="N373" i="46"/>
  <c r="N374" i="46"/>
  <c r="N375" i="46"/>
  <c r="N376" i="46"/>
  <c r="N377" i="46"/>
  <c r="N378" i="46"/>
  <c r="N379" i="46"/>
  <c r="N381" i="46"/>
  <c r="N382" i="46"/>
  <c r="N383" i="46"/>
  <c r="N384" i="46"/>
  <c r="N385" i="46"/>
  <c r="N386" i="46"/>
  <c r="N387" i="46"/>
  <c r="N388" i="46"/>
  <c r="N389" i="46"/>
  <c r="N390" i="46"/>
  <c r="N391" i="46"/>
  <c r="N393" i="46"/>
  <c r="O7" i="46"/>
  <c r="O8" i="46"/>
  <c r="O9" i="46"/>
  <c r="O10" i="46"/>
  <c r="O11" i="46"/>
  <c r="O12" i="46"/>
  <c r="O13" i="46"/>
  <c r="O14" i="46"/>
  <c r="O15" i="46"/>
  <c r="O16" i="46"/>
  <c r="O17" i="46"/>
  <c r="O18" i="46"/>
  <c r="O19" i="46"/>
  <c r="O20" i="46"/>
  <c r="O21" i="46"/>
  <c r="O22" i="46"/>
  <c r="O23" i="46"/>
  <c r="O24" i="46"/>
  <c r="O25" i="46"/>
  <c r="O26" i="46"/>
  <c r="O27" i="46"/>
  <c r="O28" i="46"/>
  <c r="O29" i="46"/>
  <c r="O30" i="46"/>
  <c r="O31" i="46"/>
  <c r="O32" i="46"/>
  <c r="O33" i="46"/>
  <c r="O34" i="46"/>
  <c r="O35" i="46"/>
  <c r="O36" i="46"/>
  <c r="O37" i="46"/>
  <c r="O38" i="46"/>
  <c r="O39" i="46"/>
  <c r="O40" i="46"/>
  <c r="O41" i="46"/>
  <c r="O42" i="46"/>
  <c r="O43" i="46"/>
  <c r="O44" i="46"/>
  <c r="O45" i="46"/>
  <c r="O46" i="46"/>
  <c r="O47" i="46"/>
  <c r="O48" i="46"/>
  <c r="O49" i="46"/>
  <c r="O50" i="46"/>
  <c r="O51" i="46"/>
  <c r="O52" i="46"/>
  <c r="O53" i="46"/>
  <c r="O54" i="46"/>
  <c r="O55" i="46"/>
  <c r="O56" i="46"/>
  <c r="O57" i="46"/>
  <c r="O58" i="46"/>
  <c r="O59" i="46"/>
  <c r="O60" i="46"/>
  <c r="O61" i="46"/>
  <c r="O62" i="46"/>
  <c r="O63" i="46"/>
  <c r="O64" i="46"/>
  <c r="O65" i="46"/>
  <c r="O66" i="46"/>
  <c r="O67" i="46"/>
  <c r="O68" i="46"/>
  <c r="O69" i="46"/>
  <c r="O70" i="46"/>
  <c r="O71" i="46"/>
  <c r="O72" i="46"/>
  <c r="O73" i="46"/>
  <c r="O74" i="46"/>
  <c r="O75" i="46"/>
  <c r="O76" i="46"/>
  <c r="O77" i="46"/>
  <c r="O78" i="46"/>
  <c r="O79" i="46"/>
  <c r="O80" i="46"/>
  <c r="O81" i="46"/>
  <c r="O82" i="46"/>
  <c r="O83" i="46"/>
  <c r="O84" i="46"/>
  <c r="O85" i="46"/>
  <c r="O86" i="46"/>
  <c r="O87" i="46"/>
  <c r="O88" i="46"/>
  <c r="O89" i="46"/>
  <c r="O90" i="46"/>
  <c r="O91" i="46"/>
  <c r="O92" i="46"/>
  <c r="O93" i="46"/>
  <c r="O94" i="46"/>
  <c r="O95" i="46"/>
  <c r="O96" i="46"/>
  <c r="O97" i="46"/>
  <c r="O98" i="46"/>
  <c r="O99" i="46"/>
  <c r="O100" i="46"/>
  <c r="O101" i="46"/>
  <c r="O102" i="46"/>
  <c r="O103" i="46"/>
  <c r="O104" i="46"/>
  <c r="O105" i="46"/>
  <c r="O106" i="46"/>
  <c r="O107" i="46"/>
  <c r="O108" i="46"/>
  <c r="O109" i="46"/>
  <c r="O110" i="46"/>
  <c r="O111" i="46"/>
  <c r="O112" i="46"/>
  <c r="O113" i="46"/>
  <c r="O114" i="46"/>
  <c r="O115" i="46"/>
  <c r="O116" i="46"/>
  <c r="O117" i="46"/>
  <c r="O118" i="46"/>
  <c r="O119" i="46"/>
  <c r="O120" i="46"/>
  <c r="O121" i="46"/>
  <c r="O122" i="46"/>
  <c r="O123" i="46"/>
  <c r="O124" i="46"/>
  <c r="O125" i="46"/>
  <c r="O126" i="46"/>
  <c r="O127" i="46"/>
  <c r="O128" i="46"/>
  <c r="O129" i="46"/>
  <c r="O130" i="46"/>
  <c r="O131" i="46"/>
  <c r="O132" i="46"/>
  <c r="O133" i="46"/>
  <c r="O134" i="46"/>
  <c r="O135" i="46"/>
  <c r="O136" i="46"/>
  <c r="O137" i="46"/>
  <c r="O138" i="46"/>
  <c r="O139" i="46"/>
  <c r="O140" i="46"/>
  <c r="O141" i="46"/>
  <c r="O142" i="46"/>
  <c r="O143" i="46"/>
  <c r="O144" i="46"/>
  <c r="O145" i="46"/>
  <c r="O146" i="46"/>
  <c r="O147" i="46"/>
  <c r="O148" i="46"/>
  <c r="O149" i="46"/>
  <c r="O150" i="46"/>
  <c r="O151" i="46"/>
  <c r="O152" i="46"/>
  <c r="O153" i="46"/>
  <c r="O154" i="46"/>
  <c r="O155" i="46"/>
  <c r="O156" i="46"/>
  <c r="O157" i="46"/>
  <c r="O158" i="46"/>
  <c r="O159" i="46"/>
  <c r="O160" i="46"/>
  <c r="O161" i="46"/>
  <c r="O162" i="46"/>
  <c r="O163" i="46"/>
  <c r="O164" i="46"/>
  <c r="O165" i="46"/>
  <c r="O166" i="46"/>
  <c r="O167" i="46"/>
  <c r="O168" i="46"/>
  <c r="O169" i="46"/>
  <c r="O170" i="46"/>
  <c r="O171" i="46"/>
  <c r="O172" i="46"/>
  <c r="O173" i="46"/>
  <c r="O174" i="46"/>
  <c r="O175" i="46"/>
  <c r="O176" i="46"/>
  <c r="O177" i="46"/>
  <c r="O178" i="46"/>
  <c r="O179" i="46"/>
  <c r="O180" i="46"/>
  <c r="O181" i="46"/>
  <c r="O182" i="46"/>
  <c r="O183" i="46"/>
  <c r="O184" i="46"/>
  <c r="O185" i="46"/>
  <c r="O186" i="46"/>
  <c r="O187" i="46"/>
  <c r="O188" i="46"/>
  <c r="O189" i="46"/>
  <c r="O190" i="46"/>
  <c r="O191" i="46"/>
  <c r="O192" i="46"/>
  <c r="O193" i="46"/>
  <c r="O194" i="46"/>
  <c r="O195" i="46"/>
  <c r="O196" i="46"/>
  <c r="O197" i="46"/>
  <c r="O198" i="46"/>
  <c r="O199" i="46"/>
  <c r="O200" i="46"/>
  <c r="O201" i="46"/>
  <c r="O202" i="46"/>
  <c r="O203" i="46"/>
  <c r="O204" i="46"/>
  <c r="O205" i="46"/>
  <c r="O206" i="46"/>
  <c r="O207" i="46"/>
  <c r="O208" i="46"/>
  <c r="O209" i="46"/>
  <c r="O210" i="46"/>
  <c r="O211" i="46"/>
  <c r="O212" i="46"/>
  <c r="O213" i="46"/>
  <c r="O214" i="46"/>
  <c r="O215" i="46"/>
  <c r="O216" i="46"/>
  <c r="O217" i="46"/>
  <c r="O218" i="46"/>
  <c r="O219" i="46"/>
  <c r="O220" i="46"/>
  <c r="O221" i="46"/>
  <c r="O222" i="46"/>
  <c r="O223" i="46"/>
  <c r="O224" i="46"/>
  <c r="O225" i="46"/>
  <c r="O226" i="46"/>
  <c r="O227" i="46"/>
  <c r="O228" i="46"/>
  <c r="O229" i="46"/>
  <c r="O230" i="46"/>
  <c r="O231" i="46"/>
  <c r="O232" i="46"/>
  <c r="O233" i="46"/>
  <c r="O234" i="46"/>
  <c r="O235" i="46"/>
  <c r="O236" i="46"/>
  <c r="O237" i="46"/>
  <c r="O238" i="46"/>
  <c r="O239" i="46"/>
  <c r="O240" i="46"/>
  <c r="O241" i="46"/>
  <c r="O242" i="46"/>
  <c r="O243" i="46"/>
  <c r="O244" i="46"/>
  <c r="O245" i="46"/>
  <c r="O246" i="46"/>
  <c r="O247" i="46"/>
  <c r="O248" i="46"/>
  <c r="O249" i="46"/>
  <c r="O250" i="46"/>
  <c r="O251" i="46"/>
  <c r="O252" i="46"/>
  <c r="O253" i="46"/>
  <c r="O254" i="46"/>
  <c r="O255" i="46"/>
  <c r="O256" i="46"/>
  <c r="O257" i="46"/>
  <c r="O258" i="46"/>
  <c r="O259" i="46"/>
  <c r="O260" i="46"/>
  <c r="O261" i="46"/>
  <c r="O262" i="46"/>
  <c r="O263" i="46"/>
  <c r="O264" i="46"/>
  <c r="O265" i="46"/>
  <c r="O266" i="46"/>
  <c r="O267" i="46"/>
  <c r="O268" i="46"/>
  <c r="O269" i="46"/>
  <c r="O270" i="46"/>
  <c r="O271" i="46"/>
  <c r="O272" i="46"/>
  <c r="O273" i="46"/>
  <c r="O274" i="46"/>
  <c r="O275" i="46"/>
  <c r="O276" i="46"/>
  <c r="O277" i="46"/>
  <c r="O278" i="46"/>
  <c r="O279" i="46"/>
  <c r="O280" i="46"/>
  <c r="O281" i="46"/>
  <c r="O282" i="46"/>
  <c r="O283" i="46"/>
  <c r="O284" i="46"/>
  <c r="O285" i="46"/>
  <c r="O286" i="46"/>
  <c r="O287" i="46"/>
  <c r="O288" i="46"/>
  <c r="O289" i="46"/>
  <c r="O290" i="46"/>
  <c r="O291" i="46"/>
  <c r="O292" i="46"/>
  <c r="O293" i="46"/>
  <c r="O294" i="46"/>
  <c r="O295" i="46"/>
  <c r="O296" i="46"/>
  <c r="O297" i="46"/>
  <c r="O298" i="46"/>
  <c r="O299" i="46"/>
  <c r="O300" i="46"/>
  <c r="O301" i="46"/>
  <c r="O302" i="46"/>
  <c r="O303" i="46"/>
  <c r="O304" i="46"/>
  <c r="O305" i="46"/>
  <c r="O306" i="46"/>
  <c r="O307" i="46"/>
  <c r="O308" i="46"/>
  <c r="O309" i="46"/>
  <c r="O310" i="46"/>
  <c r="O311" i="46"/>
  <c r="O312" i="46"/>
  <c r="O313" i="46"/>
  <c r="O314" i="46"/>
  <c r="O315" i="46"/>
  <c r="O316" i="46"/>
  <c r="O317" i="46"/>
  <c r="O318" i="46"/>
  <c r="O319" i="46"/>
  <c r="O320" i="46"/>
  <c r="O321" i="46"/>
  <c r="O322" i="46"/>
  <c r="O323" i="46"/>
  <c r="O324" i="46"/>
  <c r="O325" i="46"/>
  <c r="O326" i="46"/>
  <c r="O327" i="46"/>
  <c r="O328" i="46"/>
  <c r="O329" i="46"/>
  <c r="O330" i="46"/>
  <c r="O331" i="46"/>
  <c r="O332" i="46"/>
  <c r="O333" i="46"/>
  <c r="O334" i="46"/>
  <c r="O335" i="46"/>
  <c r="O336" i="46"/>
  <c r="O337" i="46"/>
  <c r="O338" i="46"/>
  <c r="O339" i="46"/>
  <c r="O340" i="46"/>
  <c r="O341" i="46"/>
  <c r="O342" i="46"/>
  <c r="O343" i="46"/>
  <c r="O344" i="46"/>
  <c r="O345" i="46"/>
  <c r="O346" i="46"/>
  <c r="O347" i="46"/>
  <c r="O348" i="46"/>
  <c r="O349" i="46"/>
  <c r="O350" i="46"/>
  <c r="O351" i="46"/>
  <c r="O352" i="46"/>
  <c r="O353" i="46"/>
  <c r="O354" i="46"/>
  <c r="O355" i="46"/>
  <c r="O356" i="46"/>
  <c r="O6" i="46"/>
  <c r="N62" i="39" l="1"/>
  <c r="O62" i="39"/>
  <c r="N63" i="39"/>
  <c r="O63" i="39"/>
  <c r="N64" i="39"/>
  <c r="O64" i="39"/>
  <c r="N65" i="39"/>
  <c r="O65" i="39"/>
  <c r="N66" i="39"/>
  <c r="O66" i="39"/>
  <c r="N67" i="39"/>
  <c r="O67" i="39"/>
  <c r="N68" i="39"/>
  <c r="O68" i="39"/>
  <c r="N69" i="39"/>
  <c r="O69" i="39"/>
  <c r="N70" i="39"/>
  <c r="O70" i="39"/>
  <c r="N71" i="39"/>
  <c r="O71" i="39"/>
  <c r="N72" i="39"/>
  <c r="O72" i="39"/>
  <c r="N73" i="39"/>
  <c r="O73" i="39"/>
  <c r="N74" i="39"/>
  <c r="O74" i="39"/>
  <c r="N75" i="39"/>
  <c r="O75" i="39"/>
  <c r="N76" i="39"/>
  <c r="O76" i="39"/>
  <c r="N77" i="39"/>
  <c r="O77" i="39"/>
  <c r="N78" i="39"/>
  <c r="O78" i="39"/>
  <c r="N79" i="39"/>
  <c r="O79" i="39"/>
  <c r="N80" i="39"/>
  <c r="O80" i="39"/>
  <c r="N81" i="39"/>
  <c r="O81" i="39"/>
  <c r="N82" i="39"/>
  <c r="O82" i="39"/>
  <c r="N83" i="39"/>
  <c r="O83" i="39"/>
  <c r="N84" i="39"/>
  <c r="O84" i="39"/>
  <c r="N85" i="39"/>
  <c r="O85" i="39"/>
  <c r="N86" i="39"/>
  <c r="O86" i="39"/>
  <c r="N87" i="39"/>
  <c r="O87" i="39"/>
  <c r="N88" i="39"/>
  <c r="O88" i="39"/>
  <c r="N89" i="39"/>
  <c r="O89" i="39"/>
  <c r="N91" i="39"/>
  <c r="O91" i="39"/>
  <c r="N90" i="39"/>
  <c r="O90" i="39"/>
  <c r="N94" i="39"/>
  <c r="O94" i="39"/>
  <c r="N95" i="39"/>
  <c r="O95" i="39"/>
  <c r="N96" i="39"/>
  <c r="O96" i="39"/>
  <c r="N97" i="39"/>
  <c r="O97" i="39"/>
  <c r="N98" i="39"/>
  <c r="O98" i="39"/>
  <c r="N101" i="39"/>
  <c r="O101" i="39"/>
  <c r="N102" i="39"/>
  <c r="O102" i="39"/>
  <c r="N103" i="39"/>
  <c r="O103" i="39"/>
  <c r="N104" i="39"/>
  <c r="O104" i="39"/>
  <c r="N105" i="39"/>
  <c r="O105" i="39"/>
  <c r="N106" i="39"/>
  <c r="O106" i="39"/>
  <c r="N107" i="39"/>
  <c r="O107" i="39"/>
  <c r="N108" i="39"/>
  <c r="O108" i="39"/>
  <c r="N109" i="39"/>
  <c r="O109" i="39"/>
  <c r="N110" i="39"/>
  <c r="O110" i="39"/>
  <c r="N111" i="39"/>
  <c r="O111" i="39"/>
  <c r="N113" i="39"/>
  <c r="O113" i="39"/>
  <c r="N114" i="39"/>
  <c r="O114" i="39"/>
  <c r="N115" i="39"/>
  <c r="O115" i="39"/>
  <c r="N116" i="39"/>
  <c r="O116" i="39"/>
  <c r="N117" i="39"/>
  <c r="O117" i="39"/>
  <c r="N118" i="39"/>
  <c r="O118" i="39"/>
  <c r="N120" i="39"/>
  <c r="O120" i="39"/>
  <c r="N121" i="39"/>
  <c r="O121" i="39"/>
  <c r="N122" i="39"/>
  <c r="O122" i="39"/>
  <c r="N123" i="39"/>
  <c r="O123" i="39"/>
  <c r="N124" i="39"/>
  <c r="O124" i="39"/>
  <c r="N125" i="39"/>
  <c r="O125" i="39"/>
  <c r="N126" i="39"/>
  <c r="O126" i="39"/>
  <c r="N127" i="39"/>
  <c r="O127" i="39"/>
  <c r="N128" i="39"/>
  <c r="O128" i="39"/>
  <c r="N129" i="39"/>
  <c r="O129" i="39"/>
  <c r="N130" i="39"/>
  <c r="O130" i="39"/>
  <c r="N132" i="39"/>
  <c r="O132" i="39"/>
  <c r="N133" i="39"/>
  <c r="O133" i="39"/>
  <c r="N134" i="39"/>
  <c r="O134" i="39"/>
  <c r="N135" i="39"/>
  <c r="O135" i="39"/>
  <c r="N136" i="39"/>
  <c r="O136" i="39"/>
  <c r="N137" i="39"/>
  <c r="O137" i="39"/>
  <c r="N139" i="39"/>
  <c r="O139" i="39"/>
  <c r="N140" i="39"/>
  <c r="O140" i="39"/>
  <c r="N141" i="39"/>
  <c r="O141" i="39"/>
  <c r="N142" i="39"/>
  <c r="O142" i="39"/>
  <c r="N143" i="39"/>
  <c r="O143" i="39"/>
  <c r="N144" i="39"/>
  <c r="O144" i="39"/>
  <c r="N145" i="39"/>
  <c r="O145" i="39"/>
  <c r="N146" i="39"/>
  <c r="O146" i="39"/>
  <c r="N147" i="39"/>
  <c r="O147" i="39"/>
  <c r="N148" i="39"/>
  <c r="O148" i="39"/>
  <c r="N149" i="39"/>
  <c r="O149" i="39"/>
  <c r="N151" i="39"/>
  <c r="O151" i="39"/>
  <c r="N152" i="39"/>
  <c r="O152" i="39"/>
  <c r="N153" i="39"/>
  <c r="O153" i="39"/>
  <c r="N154" i="39"/>
  <c r="O154" i="39"/>
  <c r="N155" i="39"/>
  <c r="O155" i="39"/>
  <c r="N156" i="39"/>
  <c r="O156" i="39"/>
  <c r="N158" i="39"/>
  <c r="O158" i="39"/>
  <c r="N159" i="39"/>
  <c r="O159" i="39"/>
  <c r="N160" i="39"/>
  <c r="O160" i="39"/>
  <c r="N161" i="39"/>
  <c r="O161" i="39"/>
  <c r="N162" i="39"/>
  <c r="O162" i="39"/>
  <c r="N163" i="39"/>
  <c r="O163" i="39"/>
  <c r="N164" i="39"/>
  <c r="O164" i="39"/>
  <c r="N165" i="39"/>
  <c r="O165" i="39"/>
  <c r="N166" i="39"/>
  <c r="O166" i="39"/>
  <c r="N167" i="39"/>
  <c r="O167" i="39"/>
  <c r="N168" i="39"/>
  <c r="O168" i="39"/>
  <c r="N170" i="39"/>
  <c r="O170" i="39"/>
  <c r="N171" i="39"/>
  <c r="O171" i="39"/>
  <c r="N172" i="39"/>
  <c r="O172" i="39"/>
  <c r="N173" i="39"/>
  <c r="O173" i="39"/>
  <c r="N174" i="39"/>
  <c r="O174" i="39"/>
  <c r="N175" i="39"/>
  <c r="O175" i="39"/>
  <c r="N177" i="39"/>
  <c r="O177" i="39"/>
  <c r="N178" i="39"/>
  <c r="O178" i="39"/>
  <c r="N179" i="39"/>
  <c r="O179" i="39"/>
  <c r="N180" i="39"/>
  <c r="O180" i="39"/>
  <c r="N181" i="39"/>
  <c r="O181" i="39"/>
  <c r="N182" i="39"/>
  <c r="O182" i="39"/>
  <c r="N183" i="39"/>
  <c r="O183" i="39"/>
  <c r="N184" i="39"/>
  <c r="O184" i="39"/>
  <c r="N185" i="39"/>
  <c r="O185" i="39"/>
  <c r="N186" i="39"/>
  <c r="O186" i="39"/>
  <c r="N187" i="39"/>
  <c r="O187" i="39"/>
  <c r="N189" i="39"/>
  <c r="O189" i="39"/>
  <c r="N190" i="39"/>
  <c r="O190" i="39"/>
  <c r="N191" i="39"/>
  <c r="O191" i="39"/>
  <c r="N192" i="39"/>
  <c r="O192" i="39"/>
  <c r="N193" i="39"/>
  <c r="O193" i="39"/>
  <c r="N194" i="39"/>
  <c r="O194" i="39"/>
  <c r="N196" i="39"/>
  <c r="O196" i="39"/>
  <c r="N197" i="39"/>
  <c r="O197" i="39"/>
  <c r="N198" i="39"/>
  <c r="O198" i="39"/>
  <c r="N199" i="39"/>
  <c r="O199" i="39"/>
  <c r="N200" i="39"/>
  <c r="O200" i="39"/>
  <c r="N201" i="39"/>
  <c r="O201" i="39"/>
  <c r="N202" i="39"/>
  <c r="O202" i="39"/>
  <c r="N203" i="39"/>
  <c r="O203" i="39"/>
  <c r="N204" i="39"/>
  <c r="O204" i="39"/>
  <c r="N205" i="39"/>
  <c r="O205" i="39"/>
  <c r="N206" i="39"/>
  <c r="O206" i="39"/>
  <c r="N208" i="39"/>
  <c r="O208" i="39"/>
  <c r="N209" i="39"/>
  <c r="O209" i="39"/>
  <c r="N210" i="39"/>
  <c r="O210" i="39"/>
  <c r="N211" i="39"/>
  <c r="O211" i="39"/>
  <c r="N212" i="39"/>
  <c r="O212" i="39"/>
  <c r="N213" i="39"/>
  <c r="O213" i="39"/>
  <c r="N215" i="39"/>
  <c r="O215" i="39"/>
  <c r="N216" i="39"/>
  <c r="O216" i="39"/>
  <c r="N217" i="39"/>
  <c r="O217" i="39"/>
  <c r="N218" i="39"/>
  <c r="O218" i="39"/>
  <c r="N219" i="39"/>
  <c r="O219" i="39"/>
  <c r="N220" i="39"/>
  <c r="O220" i="39"/>
  <c r="N221" i="39"/>
  <c r="O221" i="39"/>
  <c r="N222" i="39"/>
  <c r="O222" i="39"/>
  <c r="N223" i="39"/>
  <c r="O223" i="39"/>
  <c r="N224" i="39"/>
  <c r="O224" i="39"/>
  <c r="N225" i="39"/>
  <c r="O225" i="39"/>
  <c r="N227" i="39"/>
  <c r="O227" i="39"/>
  <c r="N228" i="39"/>
  <c r="O228" i="39"/>
  <c r="N229" i="39"/>
  <c r="O229" i="39"/>
  <c r="N230" i="39"/>
  <c r="O230" i="39"/>
  <c r="N231" i="39"/>
  <c r="O231" i="39"/>
  <c r="N232" i="39"/>
  <c r="O232" i="39"/>
  <c r="N234" i="39"/>
  <c r="O234" i="39"/>
  <c r="N235" i="39"/>
  <c r="O235" i="39"/>
  <c r="N236" i="39"/>
  <c r="O236" i="39"/>
  <c r="N237" i="39"/>
  <c r="O237" i="39"/>
  <c r="N238" i="39"/>
  <c r="O238" i="39"/>
  <c r="N239" i="39"/>
  <c r="O239" i="39"/>
  <c r="N240" i="39"/>
  <c r="O240" i="39"/>
  <c r="N241" i="39"/>
  <c r="O241" i="39"/>
  <c r="N242" i="39"/>
  <c r="O242" i="39"/>
  <c r="N243" i="39"/>
  <c r="O243" i="39"/>
  <c r="N244" i="39"/>
  <c r="O244" i="39"/>
  <c r="N246" i="39"/>
  <c r="O246" i="39"/>
  <c r="N247" i="39"/>
  <c r="O247" i="39"/>
  <c r="N248" i="39"/>
  <c r="O248" i="39"/>
  <c r="N249" i="39"/>
  <c r="O249" i="39"/>
  <c r="N250" i="39"/>
  <c r="O250" i="39"/>
  <c r="N251" i="39"/>
  <c r="O251" i="39"/>
  <c r="N253" i="39"/>
  <c r="O253" i="39"/>
  <c r="N254" i="39"/>
  <c r="O254" i="39"/>
  <c r="N255" i="39"/>
  <c r="O255" i="39"/>
  <c r="N256" i="39"/>
  <c r="O256" i="39"/>
  <c r="N257" i="39"/>
  <c r="O257" i="39"/>
  <c r="N258" i="39"/>
  <c r="O258" i="39"/>
  <c r="N259" i="39"/>
  <c r="O259" i="39"/>
  <c r="N260" i="39"/>
  <c r="O260" i="39"/>
  <c r="N261" i="39"/>
  <c r="O261" i="39"/>
  <c r="N262" i="39"/>
  <c r="O262" i="39"/>
  <c r="N263" i="39"/>
  <c r="O263" i="39"/>
  <c r="N265" i="39"/>
  <c r="O265" i="39"/>
  <c r="N266" i="39"/>
  <c r="O266" i="39"/>
  <c r="N267" i="39"/>
  <c r="O267" i="39"/>
  <c r="N268" i="39"/>
  <c r="O268" i="39"/>
  <c r="N269" i="39"/>
  <c r="O269" i="39"/>
  <c r="N270" i="39"/>
  <c r="O270" i="39"/>
  <c r="N271" i="39"/>
  <c r="O271" i="39"/>
  <c r="N272" i="39"/>
  <c r="O272" i="39"/>
  <c r="N273" i="39"/>
  <c r="O273" i="39"/>
  <c r="N275" i="39"/>
  <c r="O275" i="39"/>
  <c r="N276" i="39"/>
  <c r="O276" i="39"/>
  <c r="N277" i="39"/>
  <c r="O277" i="39"/>
  <c r="N278" i="39"/>
  <c r="O278" i="39"/>
  <c r="N279" i="39"/>
  <c r="O279" i="39"/>
  <c r="N280" i="39"/>
  <c r="O280" i="39"/>
  <c r="N281" i="39"/>
  <c r="O281" i="39"/>
  <c r="N282" i="39"/>
  <c r="O282" i="39"/>
  <c r="N283" i="39"/>
  <c r="O283" i="39"/>
  <c r="N284" i="39"/>
  <c r="O284" i="39"/>
  <c r="N285" i="39"/>
  <c r="O285" i="39"/>
  <c r="N287" i="39"/>
  <c r="O287" i="39"/>
  <c r="N288" i="39"/>
  <c r="O288" i="39"/>
  <c r="N289" i="39"/>
  <c r="O289" i="39"/>
  <c r="N290" i="39"/>
  <c r="O290" i="39"/>
  <c r="N291" i="39"/>
  <c r="O291" i="39"/>
  <c r="N292" i="39"/>
  <c r="O292" i="39"/>
  <c r="N294" i="39"/>
  <c r="O294" i="39"/>
  <c r="N295" i="39"/>
  <c r="O295" i="39"/>
  <c r="N296" i="39"/>
  <c r="O296" i="39"/>
  <c r="N297" i="39"/>
  <c r="O297" i="39"/>
  <c r="N298" i="39"/>
  <c r="O298" i="39"/>
  <c r="N299" i="39"/>
  <c r="O299" i="39"/>
  <c r="N300" i="39"/>
  <c r="O300" i="39"/>
  <c r="N301" i="39"/>
  <c r="O301" i="39"/>
  <c r="N302" i="39"/>
  <c r="O302" i="39"/>
  <c r="N303" i="39"/>
  <c r="O303" i="39"/>
  <c r="N304" i="39"/>
  <c r="O304" i="39"/>
  <c r="N306" i="39"/>
  <c r="O306" i="39"/>
  <c r="N307" i="39"/>
  <c r="O307" i="39"/>
  <c r="N308" i="39"/>
  <c r="O308" i="39"/>
  <c r="N309" i="39"/>
  <c r="O309" i="39"/>
  <c r="N310" i="39"/>
  <c r="O310" i="39"/>
  <c r="N311" i="39"/>
  <c r="O311" i="39"/>
  <c r="N313" i="39"/>
  <c r="O313" i="39"/>
  <c r="N314" i="39"/>
  <c r="O314" i="39"/>
  <c r="N315" i="39"/>
  <c r="O315" i="39"/>
  <c r="O132" i="19"/>
  <c r="N132" i="19"/>
  <c r="O133" i="19"/>
  <c r="N133" i="19"/>
  <c r="N844" i="19"/>
  <c r="O844" i="19"/>
  <c r="N243" i="26"/>
  <c r="N242" i="26"/>
  <c r="N241" i="26"/>
  <c r="AJ4" i="13"/>
  <c r="AJ5" i="13"/>
  <c r="AJ6" i="13"/>
  <c r="AJ7" i="13"/>
  <c r="AJ8" i="13"/>
  <c r="AJ9" i="13"/>
  <c r="AJ10" i="13"/>
  <c r="AJ11" i="13"/>
  <c r="AJ12" i="13"/>
  <c r="AJ13" i="13"/>
  <c r="AJ14" i="13"/>
  <c r="AJ15" i="13"/>
  <c r="AJ16" i="13"/>
  <c r="AJ17" i="13"/>
  <c r="AJ18" i="13"/>
  <c r="AJ19" i="13"/>
  <c r="AJ20" i="13"/>
  <c r="AJ21" i="13"/>
  <c r="AJ22" i="13"/>
  <c r="AJ23" i="13"/>
  <c r="AJ24" i="13"/>
  <c r="AJ25" i="13"/>
  <c r="AJ26" i="13"/>
  <c r="AJ27" i="13"/>
  <c r="AJ28" i="13"/>
  <c r="AJ29" i="13"/>
  <c r="AJ30" i="13"/>
  <c r="AJ31" i="13"/>
  <c r="AJ32" i="13"/>
  <c r="AJ33" i="13"/>
  <c r="AJ34" i="13"/>
  <c r="AJ35" i="13"/>
  <c r="AJ36" i="13"/>
  <c r="AJ37" i="13"/>
  <c r="AJ38" i="13"/>
  <c r="AJ39" i="13"/>
  <c r="AJ40" i="13"/>
  <c r="AJ41" i="13"/>
  <c r="AJ42" i="13"/>
  <c r="AJ43" i="13"/>
  <c r="AJ44" i="13"/>
  <c r="AJ45" i="13"/>
  <c r="AJ46" i="13"/>
  <c r="AJ47" i="13"/>
  <c r="AJ48" i="13"/>
  <c r="AJ49" i="13"/>
  <c r="AJ50" i="13"/>
  <c r="AJ51" i="13"/>
  <c r="AJ52" i="13"/>
  <c r="AJ53" i="13"/>
  <c r="AJ54" i="13"/>
  <c r="AJ55" i="13"/>
  <c r="AJ56" i="13"/>
  <c r="AJ57" i="13"/>
  <c r="AJ58" i="13"/>
  <c r="AJ59" i="13"/>
  <c r="AJ60" i="13"/>
  <c r="AJ61" i="13"/>
  <c r="AJ62" i="13"/>
  <c r="AJ63" i="13"/>
  <c r="AJ64" i="13"/>
  <c r="AJ65" i="13"/>
  <c r="AJ66" i="13"/>
  <c r="AJ67" i="13"/>
  <c r="AJ68" i="13"/>
  <c r="AJ69" i="13"/>
  <c r="AJ70" i="13"/>
  <c r="AJ71" i="13"/>
  <c r="AJ72" i="13"/>
  <c r="AJ73" i="13"/>
  <c r="AJ74" i="13"/>
  <c r="AJ75" i="13"/>
  <c r="AJ76" i="13"/>
  <c r="AJ77" i="13"/>
  <c r="AJ78" i="13"/>
  <c r="AJ79" i="13"/>
  <c r="AJ80" i="13"/>
  <c r="AJ81" i="13"/>
  <c r="AJ82" i="13"/>
  <c r="AJ83" i="13"/>
  <c r="AJ84" i="13"/>
  <c r="AJ85" i="13"/>
  <c r="AJ86" i="13"/>
  <c r="AJ87" i="13"/>
  <c r="AJ88" i="13"/>
  <c r="AJ89" i="13"/>
  <c r="AJ90" i="13"/>
  <c r="AJ91" i="13"/>
  <c r="AJ92" i="13"/>
  <c r="AJ93" i="13"/>
  <c r="AJ94" i="13"/>
  <c r="AJ95" i="13"/>
  <c r="AJ96" i="13"/>
  <c r="AJ97" i="13"/>
  <c r="AJ98" i="13"/>
  <c r="AJ99" i="13"/>
  <c r="AJ100" i="13"/>
  <c r="AJ101" i="13"/>
  <c r="AJ102" i="13"/>
  <c r="AJ103" i="13"/>
  <c r="AJ104" i="13"/>
  <c r="AJ105" i="13"/>
  <c r="AJ106" i="13"/>
  <c r="AJ107" i="13"/>
  <c r="AJ108" i="13"/>
  <c r="AJ109" i="13"/>
  <c r="AJ110" i="13"/>
  <c r="AJ111" i="13"/>
  <c r="AJ112" i="13"/>
  <c r="AJ113" i="13"/>
  <c r="AJ114" i="13"/>
  <c r="AJ115" i="13"/>
  <c r="AJ116" i="13"/>
  <c r="AJ117" i="13"/>
  <c r="AJ118" i="13"/>
  <c r="AJ119" i="13"/>
  <c r="AJ120" i="13"/>
  <c r="AJ121" i="13"/>
  <c r="AJ122" i="13"/>
  <c r="AJ123" i="13"/>
  <c r="AJ124" i="13"/>
  <c r="AJ125" i="13"/>
  <c r="AJ126" i="13"/>
  <c r="AJ127" i="13"/>
  <c r="AJ128" i="13"/>
  <c r="AJ129" i="13"/>
  <c r="AJ130" i="13"/>
  <c r="AJ131" i="13"/>
  <c r="AJ132" i="13"/>
  <c r="AJ133" i="13"/>
  <c r="AJ134" i="13"/>
  <c r="AJ135" i="13"/>
  <c r="AJ136" i="13"/>
  <c r="AJ137" i="13"/>
  <c r="AJ138" i="13"/>
  <c r="AJ139" i="13"/>
  <c r="AJ140" i="13"/>
  <c r="AJ141" i="13"/>
  <c r="AJ3" i="13"/>
  <c r="AJ2" i="13"/>
  <c r="O675" i="19" l="1"/>
  <c r="N675" i="19"/>
  <c r="O674" i="19"/>
  <c r="N674" i="19"/>
  <c r="O79" i="44"/>
  <c r="O75" i="44"/>
  <c r="O533" i="19" l="1"/>
  <c r="N533" i="19"/>
  <c r="D251" i="33"/>
  <c r="P61" i="30"/>
  <c r="P62" i="30"/>
  <c r="P63" i="30"/>
  <c r="P64" i="30"/>
  <c r="P65" i="30"/>
  <c r="P66" i="30"/>
  <c r="P67" i="30"/>
  <c r="P68" i="30"/>
  <c r="P69" i="30"/>
  <c r="P70" i="30"/>
  <c r="P71" i="30"/>
  <c r="P72" i="30"/>
  <c r="P73" i="30"/>
  <c r="P74" i="30"/>
  <c r="P75" i="30"/>
  <c r="P76" i="30"/>
  <c r="P77" i="30"/>
  <c r="P78" i="30"/>
  <c r="P79" i="30"/>
  <c r="P80" i="30"/>
  <c r="P81" i="30"/>
  <c r="P82" i="30"/>
  <c r="P83" i="30"/>
  <c r="P84" i="30"/>
  <c r="P85" i="30"/>
  <c r="P86" i="30"/>
  <c r="P87" i="30"/>
  <c r="P88" i="30"/>
  <c r="P89" i="30"/>
  <c r="P90" i="30"/>
  <c r="P91" i="30"/>
  <c r="P92" i="30"/>
  <c r="P93" i="30"/>
  <c r="P94" i="30"/>
  <c r="P95" i="30"/>
  <c r="P96" i="30"/>
  <c r="P97" i="30"/>
  <c r="P98" i="30"/>
  <c r="P99" i="30"/>
  <c r="P100" i="30"/>
  <c r="P101" i="30"/>
  <c r="P102" i="30"/>
  <c r="P103" i="30"/>
  <c r="P104" i="30"/>
  <c r="P105" i="30"/>
  <c r="P106" i="30"/>
  <c r="P107" i="30"/>
  <c r="P108" i="30"/>
  <c r="P109" i="30"/>
  <c r="P110" i="30"/>
  <c r="P111" i="30"/>
  <c r="P112" i="30"/>
  <c r="P113" i="30"/>
  <c r="P114" i="30"/>
  <c r="P115" i="30"/>
  <c r="P116" i="30"/>
  <c r="P117" i="30"/>
  <c r="P118" i="30"/>
  <c r="P119" i="30"/>
  <c r="P120" i="30"/>
  <c r="P121" i="30"/>
  <c r="P122" i="30"/>
  <c r="P123" i="30"/>
  <c r="P124" i="30"/>
  <c r="P125" i="30"/>
  <c r="P126" i="30"/>
  <c r="P127" i="30"/>
  <c r="P128" i="30"/>
  <c r="P129" i="30"/>
  <c r="P130" i="30"/>
  <c r="P131" i="30"/>
  <c r="P132" i="30"/>
  <c r="P133" i="30"/>
  <c r="P134" i="30"/>
  <c r="P135" i="30"/>
  <c r="P136" i="30"/>
  <c r="P137" i="30"/>
  <c r="P138" i="30"/>
  <c r="P139" i="30"/>
  <c r="P140" i="30"/>
  <c r="P141" i="30"/>
  <c r="P142" i="30"/>
  <c r="P143" i="30"/>
  <c r="P144" i="30"/>
  <c r="P145" i="30"/>
  <c r="P146" i="30"/>
  <c r="P147" i="30"/>
  <c r="P148" i="30"/>
  <c r="P149" i="30"/>
  <c r="P150" i="30"/>
  <c r="O61" i="30"/>
  <c r="O62" i="30"/>
  <c r="O63" i="30"/>
  <c r="O64" i="30"/>
  <c r="O65" i="30"/>
  <c r="O66" i="30"/>
  <c r="O67" i="30"/>
  <c r="O68" i="30"/>
  <c r="O69" i="30"/>
  <c r="O70" i="30"/>
  <c r="O71" i="30"/>
  <c r="O72" i="30"/>
  <c r="O73" i="30"/>
  <c r="O74" i="30"/>
  <c r="O75" i="30"/>
  <c r="O76" i="30"/>
  <c r="O77" i="30"/>
  <c r="O78" i="30"/>
  <c r="O79" i="30"/>
  <c r="O80" i="30"/>
  <c r="O81" i="30"/>
  <c r="O82" i="30"/>
  <c r="O83" i="30"/>
  <c r="O84" i="30"/>
  <c r="O85" i="30"/>
  <c r="O86" i="30"/>
  <c r="O87" i="30"/>
  <c r="O88" i="30"/>
  <c r="O89" i="30"/>
  <c r="O90" i="30"/>
  <c r="O91" i="30"/>
  <c r="O92" i="30"/>
  <c r="O93" i="30"/>
  <c r="O94" i="30"/>
  <c r="O95" i="30"/>
  <c r="O96" i="30"/>
  <c r="O97" i="30"/>
  <c r="O98" i="30"/>
  <c r="O99" i="30"/>
  <c r="O100" i="30"/>
  <c r="O101" i="30"/>
  <c r="O102" i="30"/>
  <c r="O103" i="30"/>
  <c r="O104" i="30"/>
  <c r="O105" i="30"/>
  <c r="O106" i="30"/>
  <c r="O107" i="30"/>
  <c r="O108" i="30"/>
  <c r="O109" i="30"/>
  <c r="O110" i="30"/>
  <c r="O111" i="30"/>
  <c r="O112" i="30"/>
  <c r="O113" i="30"/>
  <c r="O114" i="30"/>
  <c r="O115" i="30"/>
  <c r="O116" i="30"/>
  <c r="O117" i="30"/>
  <c r="O118" i="30"/>
  <c r="O119" i="30"/>
  <c r="O120" i="30"/>
  <c r="O121" i="30"/>
  <c r="O122" i="30"/>
  <c r="O123" i="30"/>
  <c r="O124" i="30"/>
  <c r="O125" i="30"/>
  <c r="O126" i="30"/>
  <c r="O127" i="30"/>
  <c r="O128" i="30"/>
  <c r="O129" i="30"/>
  <c r="O130" i="30"/>
  <c r="O131" i="30"/>
  <c r="O132" i="30"/>
  <c r="O133" i="30"/>
  <c r="O134" i="30"/>
  <c r="O135" i="30"/>
  <c r="O136" i="30"/>
  <c r="O137" i="30"/>
  <c r="O138" i="30"/>
  <c r="O139" i="30"/>
  <c r="O140" i="30"/>
  <c r="O141" i="30"/>
  <c r="O142" i="30"/>
  <c r="O143" i="30"/>
  <c r="O144" i="30"/>
  <c r="O145" i="30"/>
  <c r="O146" i="30"/>
  <c r="O147" i="30"/>
  <c r="O148" i="30"/>
  <c r="O149" i="30"/>
  <c r="O150" i="30"/>
  <c r="G88" i="25"/>
  <c r="G89" i="25"/>
  <c r="G90" i="25"/>
  <c r="G91" i="25"/>
  <c r="G92" i="25"/>
  <c r="G93" i="25"/>
  <c r="G94" i="25"/>
  <c r="G95" i="25"/>
  <c r="G96" i="25"/>
  <c r="G97" i="25"/>
  <c r="G98" i="25"/>
  <c r="G99" i="25"/>
  <c r="A596" i="18" l="1"/>
  <c r="B596" i="18"/>
  <c r="C596" i="18"/>
  <c r="E596" i="18"/>
  <c r="F596" i="18"/>
  <c r="G596" i="18"/>
  <c r="H596" i="18"/>
  <c r="I596" i="18"/>
  <c r="J596" i="18"/>
  <c r="A597" i="18"/>
  <c r="B597" i="18"/>
  <c r="C597" i="18"/>
  <c r="E597" i="18"/>
  <c r="F597" i="18"/>
  <c r="G597" i="18"/>
  <c r="H597" i="18"/>
  <c r="I597" i="18"/>
  <c r="J597" i="18"/>
  <c r="A599" i="18"/>
  <c r="B599" i="18"/>
  <c r="C599" i="18"/>
  <c r="E599" i="18"/>
  <c r="F599" i="18"/>
  <c r="G599" i="18"/>
  <c r="H599" i="18"/>
  <c r="I599" i="18"/>
  <c r="J599" i="18"/>
  <c r="A600" i="18"/>
  <c r="B600" i="18"/>
  <c r="C600" i="18"/>
  <c r="E600" i="18"/>
  <c r="F600" i="18"/>
  <c r="G600" i="18"/>
  <c r="H600" i="18"/>
  <c r="I600" i="18"/>
  <c r="J600" i="18"/>
  <c r="A602" i="18"/>
  <c r="B602" i="18"/>
  <c r="C602" i="18"/>
  <c r="E602" i="18"/>
  <c r="F602" i="18"/>
  <c r="G602" i="18"/>
  <c r="H602" i="18"/>
  <c r="I602" i="18"/>
  <c r="J602" i="18"/>
  <c r="A601" i="18"/>
  <c r="B601" i="18"/>
  <c r="C601" i="18"/>
  <c r="E601" i="18"/>
  <c r="F601" i="18"/>
  <c r="G601" i="18"/>
  <c r="H601" i="18"/>
  <c r="I601" i="18"/>
  <c r="J601" i="18"/>
  <c r="A603" i="18"/>
  <c r="B603" i="18"/>
  <c r="C603" i="18"/>
  <c r="E603" i="18"/>
  <c r="F603" i="18"/>
  <c r="G603" i="18"/>
  <c r="H603" i="18"/>
  <c r="I603" i="18"/>
  <c r="J603" i="18"/>
  <c r="A598" i="18"/>
  <c r="B598" i="18"/>
  <c r="C598" i="18"/>
  <c r="E598" i="18"/>
  <c r="F598" i="18"/>
  <c r="G598" i="18"/>
  <c r="H598" i="18"/>
  <c r="I598" i="18"/>
  <c r="J598" i="18"/>
  <c r="A588" i="18"/>
  <c r="B588" i="18"/>
  <c r="C588" i="18"/>
  <c r="E588" i="18"/>
  <c r="F588" i="18"/>
  <c r="G588" i="18"/>
  <c r="H588" i="18"/>
  <c r="I588" i="18"/>
  <c r="J588" i="18"/>
  <c r="A589" i="18"/>
  <c r="B589" i="18"/>
  <c r="C589" i="18"/>
  <c r="E589" i="18"/>
  <c r="F589" i="18"/>
  <c r="G589" i="18"/>
  <c r="H589" i="18"/>
  <c r="I589" i="18"/>
  <c r="J589" i="18"/>
  <c r="A591" i="18"/>
  <c r="B591" i="18"/>
  <c r="C591" i="18"/>
  <c r="E591" i="18"/>
  <c r="F591" i="18"/>
  <c r="G591" i="18"/>
  <c r="H591" i="18"/>
  <c r="I591" i="18"/>
  <c r="J591" i="18"/>
  <c r="A592" i="18"/>
  <c r="B592" i="18"/>
  <c r="C592" i="18"/>
  <c r="E592" i="18"/>
  <c r="F592" i="18"/>
  <c r="G592" i="18"/>
  <c r="H592" i="18"/>
  <c r="I592" i="18"/>
  <c r="J592" i="18"/>
  <c r="A594" i="18"/>
  <c r="B594" i="18"/>
  <c r="C594" i="18"/>
  <c r="E594" i="18"/>
  <c r="F594" i="18"/>
  <c r="G594" i="18"/>
  <c r="H594" i="18"/>
  <c r="I594" i="18"/>
  <c r="J594" i="18"/>
  <c r="A593" i="18"/>
  <c r="B593" i="18"/>
  <c r="C593" i="18"/>
  <c r="E593" i="18"/>
  <c r="F593" i="18"/>
  <c r="G593" i="18"/>
  <c r="H593" i="18"/>
  <c r="I593" i="18"/>
  <c r="J593" i="18"/>
  <c r="A595" i="18"/>
  <c r="B595" i="18"/>
  <c r="C595" i="18"/>
  <c r="E595" i="18"/>
  <c r="F595" i="18"/>
  <c r="G595" i="18"/>
  <c r="H595" i="18"/>
  <c r="I595" i="18"/>
  <c r="J595" i="18"/>
  <c r="A590" i="18"/>
  <c r="B590" i="18"/>
  <c r="C590" i="18"/>
  <c r="E590" i="18"/>
  <c r="F590" i="18"/>
  <c r="G590" i="18"/>
  <c r="H590" i="18"/>
  <c r="I590" i="18"/>
  <c r="J590" i="18"/>
  <c r="A809" i="20"/>
  <c r="B809" i="20"/>
  <c r="C809" i="20"/>
  <c r="D809" i="20"/>
  <c r="E809" i="20"/>
  <c r="F809" i="20"/>
  <c r="G809" i="20"/>
  <c r="H809" i="20"/>
  <c r="I809" i="20"/>
  <c r="J809" i="20"/>
  <c r="A810" i="20"/>
  <c r="B810" i="20"/>
  <c r="C810" i="20"/>
  <c r="D810" i="20"/>
  <c r="E810" i="20"/>
  <c r="F810" i="20"/>
  <c r="G810" i="20"/>
  <c r="H810" i="20"/>
  <c r="I810" i="20"/>
  <c r="J810" i="20"/>
  <c r="A811" i="20"/>
  <c r="B811" i="20"/>
  <c r="C811" i="20"/>
  <c r="D811" i="20"/>
  <c r="E811" i="20"/>
  <c r="F811" i="20"/>
  <c r="G811" i="20"/>
  <c r="H811" i="20"/>
  <c r="I811" i="20"/>
  <c r="J811" i="20"/>
  <c r="A812" i="20"/>
  <c r="B812" i="20"/>
  <c r="C812" i="20"/>
  <c r="D812" i="20"/>
  <c r="E812" i="20"/>
  <c r="F812" i="20"/>
  <c r="G812" i="20"/>
  <c r="H812" i="20"/>
  <c r="I812" i="20"/>
  <c r="J812" i="20"/>
  <c r="A813" i="20"/>
  <c r="B813" i="20"/>
  <c r="C813" i="20"/>
  <c r="D813" i="20"/>
  <c r="E813" i="20"/>
  <c r="F813" i="20"/>
  <c r="G813" i="20"/>
  <c r="H813" i="20"/>
  <c r="I813" i="20"/>
  <c r="J813" i="20"/>
  <c r="A814" i="20"/>
  <c r="B814" i="20"/>
  <c r="C814" i="20"/>
  <c r="D814" i="20"/>
  <c r="E814" i="20"/>
  <c r="F814" i="20"/>
  <c r="G814" i="20"/>
  <c r="H814" i="20"/>
  <c r="I814" i="20"/>
  <c r="J814" i="20"/>
  <c r="A815" i="20"/>
  <c r="B815" i="20"/>
  <c r="C815" i="20"/>
  <c r="D815" i="20"/>
  <c r="E815" i="20"/>
  <c r="F815" i="20"/>
  <c r="G815" i="20"/>
  <c r="H815" i="20"/>
  <c r="I815" i="20"/>
  <c r="J815" i="20"/>
  <c r="A816" i="20"/>
  <c r="B816" i="20"/>
  <c r="C816" i="20"/>
  <c r="D816" i="20"/>
  <c r="E816" i="20"/>
  <c r="F816" i="20"/>
  <c r="G816" i="20"/>
  <c r="H816" i="20"/>
  <c r="I816" i="20"/>
  <c r="J816" i="20"/>
  <c r="A801" i="20"/>
  <c r="B801" i="20"/>
  <c r="C801" i="20"/>
  <c r="D801" i="20"/>
  <c r="E801" i="20"/>
  <c r="F801" i="20"/>
  <c r="G801" i="20"/>
  <c r="H801" i="20"/>
  <c r="I801" i="20"/>
  <c r="J801" i="20"/>
  <c r="A802" i="20"/>
  <c r="B802" i="20"/>
  <c r="C802" i="20"/>
  <c r="D802" i="20"/>
  <c r="E802" i="20"/>
  <c r="F802" i="20"/>
  <c r="G802" i="20"/>
  <c r="H802" i="20"/>
  <c r="I802" i="20"/>
  <c r="J802" i="20"/>
  <c r="A803" i="20"/>
  <c r="B803" i="20"/>
  <c r="C803" i="20"/>
  <c r="D803" i="20"/>
  <c r="E803" i="20"/>
  <c r="F803" i="20"/>
  <c r="G803" i="20"/>
  <c r="H803" i="20"/>
  <c r="I803" i="20"/>
  <c r="J803" i="20"/>
  <c r="A804" i="20"/>
  <c r="B804" i="20"/>
  <c r="C804" i="20"/>
  <c r="D804" i="20"/>
  <c r="E804" i="20"/>
  <c r="F804" i="20"/>
  <c r="G804" i="20"/>
  <c r="H804" i="20"/>
  <c r="I804" i="20"/>
  <c r="J804" i="20"/>
  <c r="A805" i="20"/>
  <c r="B805" i="20"/>
  <c r="C805" i="20"/>
  <c r="D805" i="20"/>
  <c r="E805" i="20"/>
  <c r="F805" i="20"/>
  <c r="G805" i="20"/>
  <c r="H805" i="20"/>
  <c r="I805" i="20"/>
  <c r="J805" i="20"/>
  <c r="A806" i="20"/>
  <c r="B806" i="20"/>
  <c r="C806" i="20"/>
  <c r="D806" i="20"/>
  <c r="E806" i="20"/>
  <c r="F806" i="20"/>
  <c r="G806" i="20"/>
  <c r="H806" i="20"/>
  <c r="I806" i="20"/>
  <c r="J806" i="20"/>
  <c r="A807" i="20"/>
  <c r="B807" i="20"/>
  <c r="C807" i="20"/>
  <c r="D807" i="20"/>
  <c r="E807" i="20"/>
  <c r="F807" i="20"/>
  <c r="G807" i="20"/>
  <c r="H807" i="20"/>
  <c r="I807" i="20"/>
  <c r="J807" i="20"/>
  <c r="A808" i="20"/>
  <c r="B808" i="20"/>
  <c r="C808" i="20"/>
  <c r="D808" i="20"/>
  <c r="E808" i="20"/>
  <c r="F808" i="20"/>
  <c r="G808" i="20"/>
  <c r="H808" i="20"/>
  <c r="I808" i="20"/>
  <c r="J808" i="20"/>
  <c r="L55" i="44" l="1"/>
  <c r="L56" i="44"/>
  <c r="L57" i="44"/>
  <c r="L58" i="44"/>
  <c r="L59" i="44"/>
  <c r="L60" i="44"/>
  <c r="L61" i="44"/>
  <c r="L62" i="44"/>
  <c r="L46" i="44"/>
  <c r="K588" i="18" s="1"/>
  <c r="L47" i="44"/>
  <c r="K589" i="18" s="1"/>
  <c r="L48" i="44"/>
  <c r="K591" i="18" s="1"/>
  <c r="L49" i="44"/>
  <c r="K592" i="18" s="1"/>
  <c r="L50" i="44"/>
  <c r="K594" i="18" s="1"/>
  <c r="L51" i="44"/>
  <c r="K593" i="18" s="1"/>
  <c r="L52" i="44"/>
  <c r="K595" i="18" s="1"/>
  <c r="L53" i="44"/>
  <c r="K590" i="18" s="1"/>
  <c r="L24" i="44"/>
  <c r="K809" i="20" s="1"/>
  <c r="L25" i="44"/>
  <c r="K810" i="20" s="1"/>
  <c r="L26" i="44"/>
  <c r="K811" i="20" s="1"/>
  <c r="L27" i="44"/>
  <c r="K812" i="20" s="1"/>
  <c r="L28" i="44"/>
  <c r="K813" i="20" s="1"/>
  <c r="L29" i="44"/>
  <c r="K814" i="20" s="1"/>
  <c r="L30" i="44"/>
  <c r="K815" i="20" s="1"/>
  <c r="L31" i="44"/>
  <c r="K816" i="20" s="1"/>
  <c r="L15" i="44"/>
  <c r="K801" i="20" s="1"/>
  <c r="L16" i="44"/>
  <c r="K802" i="20" s="1"/>
  <c r="L17" i="44"/>
  <c r="K803" i="20" s="1"/>
  <c r="L18" i="44"/>
  <c r="K804" i="20" s="1"/>
  <c r="L19" i="44"/>
  <c r="K805" i="20" s="1"/>
  <c r="L20" i="44"/>
  <c r="K806" i="20" s="1"/>
  <c r="L21" i="44"/>
  <c r="K807" i="20" s="1"/>
  <c r="L22" i="44"/>
  <c r="K808" i="20" s="1"/>
  <c r="K53" i="39"/>
  <c r="E266" i="39"/>
  <c r="E267" i="39"/>
  <c r="E306" i="39"/>
  <c r="E287" i="39"/>
  <c r="E132" i="39"/>
  <c r="E151" i="39"/>
  <c r="E170" i="39"/>
  <c r="E189" i="39"/>
  <c r="E208" i="39"/>
  <c r="E227" i="39"/>
  <c r="E246" i="39"/>
  <c r="E238" i="39"/>
  <c r="E237" i="39"/>
  <c r="E219" i="39"/>
  <c r="E218" i="39"/>
  <c r="E200" i="39"/>
  <c r="E199" i="39"/>
  <c r="E181" i="39"/>
  <c r="E180" i="39"/>
  <c r="E162" i="39"/>
  <c r="E161" i="39"/>
  <c r="E143" i="39"/>
  <c r="E142" i="39"/>
  <c r="E124" i="39"/>
  <c r="E123" i="39"/>
  <c r="E113" i="39"/>
  <c r="E105" i="39"/>
  <c r="E104" i="39"/>
  <c r="E94" i="39"/>
  <c r="E86" i="39"/>
  <c r="E85" i="39"/>
  <c r="O61" i="39"/>
  <c r="N61" i="39"/>
  <c r="F196" i="36"/>
  <c r="F195" i="36"/>
  <c r="F194" i="36"/>
  <c r="F193" i="36"/>
  <c r="F192" i="36"/>
  <c r="F191" i="36"/>
  <c r="F190" i="36"/>
  <c r="F189" i="36"/>
  <c r="F188" i="36"/>
  <c r="F187" i="36"/>
  <c r="F186" i="36"/>
  <c r="F185" i="36"/>
  <c r="F184" i="36"/>
  <c r="F183" i="36"/>
  <c r="F182" i="36"/>
  <c r="F181" i="36"/>
  <c r="F180" i="36"/>
  <c r="F179" i="36"/>
  <c r="F178" i="36"/>
  <c r="F177" i="36"/>
  <c r="F176" i="36"/>
  <c r="F175" i="36"/>
  <c r="F174" i="36"/>
  <c r="F173" i="36"/>
  <c r="F172" i="36"/>
  <c r="F171" i="36"/>
  <c r="F170" i="36"/>
  <c r="F169" i="36"/>
  <c r="F168" i="36"/>
  <c r="F167" i="36"/>
  <c r="F166" i="36"/>
  <c r="F165" i="36"/>
  <c r="F164" i="36"/>
  <c r="F163" i="36"/>
  <c r="F162" i="36"/>
  <c r="F161" i="36"/>
  <c r="F160" i="36"/>
  <c r="F159" i="36"/>
  <c r="F158" i="36"/>
  <c r="F157" i="36"/>
  <c r="F156" i="36"/>
  <c r="F155" i="36"/>
  <c r="F154" i="36"/>
  <c r="F153" i="36"/>
  <c r="F152" i="36"/>
  <c r="F151" i="36"/>
  <c r="F150" i="36"/>
  <c r="F149" i="36"/>
  <c r="F148" i="36"/>
  <c r="F147" i="36"/>
  <c r="F146" i="36"/>
  <c r="F145" i="36"/>
  <c r="F144" i="36"/>
  <c r="F143" i="36"/>
  <c r="F142" i="36"/>
  <c r="F141" i="36"/>
  <c r="F140" i="36"/>
  <c r="F139" i="36"/>
  <c r="F138" i="36"/>
  <c r="F137" i="36"/>
  <c r="F136" i="36"/>
  <c r="F135" i="36"/>
  <c r="F134" i="36"/>
  <c r="F133" i="36"/>
  <c r="F132" i="36"/>
  <c r="F131" i="36"/>
  <c r="F130" i="36"/>
  <c r="F129" i="36"/>
  <c r="F128" i="36"/>
  <c r="F127" i="36"/>
  <c r="F126" i="36"/>
  <c r="F125" i="36"/>
  <c r="F124" i="36"/>
  <c r="F123" i="36"/>
  <c r="F122" i="36"/>
  <c r="F121" i="36"/>
  <c r="F120" i="36"/>
  <c r="F119" i="36"/>
  <c r="F118" i="36"/>
  <c r="F117" i="36"/>
  <c r="F116" i="36"/>
  <c r="F115" i="36"/>
  <c r="F114" i="36"/>
  <c r="F113" i="36"/>
  <c r="F112" i="36"/>
  <c r="F111" i="36"/>
  <c r="F110" i="36"/>
  <c r="F109" i="36"/>
  <c r="F108" i="36"/>
  <c r="F107" i="36"/>
  <c r="F106" i="36"/>
  <c r="F105" i="36"/>
  <c r="F104" i="36"/>
  <c r="F103" i="36"/>
  <c r="F102" i="36"/>
  <c r="F101" i="36"/>
  <c r="F100" i="36"/>
  <c r="F99" i="36"/>
  <c r="F98" i="36"/>
  <c r="F97" i="36"/>
  <c r="F96" i="36"/>
  <c r="F95" i="36"/>
  <c r="O101" i="44"/>
  <c r="O432" i="19"/>
  <c r="O476" i="19"/>
  <c r="O481" i="19"/>
  <c r="O480" i="19"/>
  <c r="O210" i="19"/>
  <c r="O275" i="19"/>
  <c r="O501" i="19"/>
  <c r="O500" i="19"/>
  <c r="N432" i="19"/>
  <c r="N476" i="19"/>
  <c r="N481" i="19"/>
  <c r="N480" i="19"/>
  <c r="N210" i="19"/>
  <c r="N275" i="19"/>
  <c r="N501" i="19"/>
  <c r="N500" i="19"/>
  <c r="E486" i="19"/>
  <c r="N751" i="19"/>
  <c r="O751" i="19"/>
  <c r="K482" i="19"/>
  <c r="O482" i="19" s="1"/>
  <c r="N486" i="19"/>
  <c r="O486" i="19"/>
  <c r="K505" i="19"/>
  <c r="O505" i="19" s="1"/>
  <c r="O748" i="19"/>
  <c r="N748" i="19"/>
  <c r="O484" i="19"/>
  <c r="N484" i="19"/>
  <c r="O5" i="30"/>
  <c r="O6" i="30"/>
  <c r="O7" i="30"/>
  <c r="O8" i="30"/>
  <c r="O9" i="30"/>
  <c r="O10" i="30"/>
  <c r="O11" i="30"/>
  <c r="O12" i="30"/>
  <c r="O13" i="30"/>
  <c r="O14" i="30"/>
  <c r="O15" i="30"/>
  <c r="O16" i="30"/>
  <c r="O17" i="30"/>
  <c r="O18" i="30"/>
  <c r="O19" i="30"/>
  <c r="O20" i="30"/>
  <c r="O21" i="30"/>
  <c r="O22" i="30"/>
  <c r="O23" i="30"/>
  <c r="O24" i="30"/>
  <c r="O25" i="30"/>
  <c r="O26" i="30"/>
  <c r="O27" i="30"/>
  <c r="O28" i="30"/>
  <c r="O29" i="30"/>
  <c r="O30" i="30"/>
  <c r="O31" i="30"/>
  <c r="O32" i="30"/>
  <c r="O33" i="30"/>
  <c r="O34" i="30"/>
  <c r="O35" i="30"/>
  <c r="O36" i="30"/>
  <c r="O37" i="30"/>
  <c r="O38" i="30"/>
  <c r="O39" i="30"/>
  <c r="O40" i="30"/>
  <c r="O41" i="30"/>
  <c r="O42" i="30"/>
  <c r="O43" i="30"/>
  <c r="O44" i="30"/>
  <c r="O45" i="30"/>
  <c r="O46" i="30"/>
  <c r="O47" i="30"/>
  <c r="O48" i="30"/>
  <c r="O49" i="30"/>
  <c r="O50" i="30"/>
  <c r="O51" i="30"/>
  <c r="O52" i="30"/>
  <c r="O53" i="30"/>
  <c r="O54" i="30"/>
  <c r="O55" i="30"/>
  <c r="O56" i="30"/>
  <c r="O57" i="30"/>
  <c r="O58" i="30"/>
  <c r="O59" i="30"/>
  <c r="O60" i="30"/>
  <c r="P5" i="30"/>
  <c r="P6" i="30"/>
  <c r="P8" i="30"/>
  <c r="P9" i="30"/>
  <c r="P10" i="30"/>
  <c r="P11" i="30"/>
  <c r="P12" i="30"/>
  <c r="P13" i="30"/>
  <c r="P14" i="30"/>
  <c r="P17" i="30"/>
  <c r="P18" i="30"/>
  <c r="P19" i="30"/>
  <c r="P20" i="30"/>
  <c r="P21" i="30"/>
  <c r="P22" i="30"/>
  <c r="P23" i="30"/>
  <c r="P24" i="30"/>
  <c r="P25" i="30"/>
  <c r="P26" i="30"/>
  <c r="P28" i="30"/>
  <c r="P29" i="30"/>
  <c r="P30" i="30"/>
  <c r="P31" i="30"/>
  <c r="P32" i="30"/>
  <c r="P33" i="30"/>
  <c r="P34" i="30"/>
  <c r="P35" i="30"/>
  <c r="P36" i="30"/>
  <c r="P37" i="30"/>
  <c r="P38" i="30"/>
  <c r="P41" i="30"/>
  <c r="P42" i="30"/>
  <c r="P43" i="30"/>
  <c r="P44" i="30"/>
  <c r="P45" i="30"/>
  <c r="P46" i="30"/>
  <c r="P47" i="30"/>
  <c r="P48" i="30"/>
  <c r="P49" i="30"/>
  <c r="P50" i="30"/>
  <c r="P51" i="30"/>
  <c r="P52" i="30"/>
  <c r="P54" i="30"/>
  <c r="P55" i="30"/>
  <c r="P56" i="30"/>
  <c r="P57" i="30"/>
  <c r="P58" i="30"/>
  <c r="P59" i="30"/>
  <c r="P60" i="30"/>
  <c r="K234" i="30"/>
  <c r="K235" i="30"/>
  <c r="K236" i="30"/>
  <c r="K237" i="30"/>
  <c r="K238" i="30"/>
  <c r="K239" i="30"/>
  <c r="K240" i="30"/>
  <c r="K241" i="30"/>
  <c r="K242" i="30"/>
  <c r="K243" i="30"/>
  <c r="K244" i="30"/>
  <c r="K245" i="30"/>
  <c r="K246" i="30"/>
  <c r="K247" i="30"/>
  <c r="K248" i="30"/>
  <c r="K249" i="30"/>
  <c r="K250" i="30"/>
  <c r="K251" i="30"/>
  <c r="K252" i="30"/>
  <c r="K253" i="30"/>
  <c r="K254" i="30"/>
  <c r="K255" i="30"/>
  <c r="K256" i="30"/>
  <c r="K257" i="30"/>
  <c r="K258" i="30"/>
  <c r="K259" i="30"/>
  <c r="K260" i="30"/>
  <c r="K261" i="30"/>
  <c r="K262" i="30"/>
  <c r="K263" i="30"/>
  <c r="K264" i="30"/>
  <c r="K265" i="30"/>
  <c r="K266" i="30"/>
  <c r="K267" i="30"/>
  <c r="K268" i="30"/>
  <c r="K269" i="30"/>
  <c r="K270" i="30"/>
  <c r="K271" i="30"/>
  <c r="C251" i="33" l="1"/>
  <c r="B251" i="33"/>
  <c r="N482" i="19"/>
  <c r="N505" i="19"/>
  <c r="Q210" i="30" l="1"/>
  <c r="Q209" i="30"/>
  <c r="Q208" i="30"/>
  <c r="Q207" i="30"/>
  <c r="Q206" i="30"/>
  <c r="Q205" i="30"/>
  <c r="Q204" i="30"/>
  <c r="Q203" i="30"/>
  <c r="Q202" i="30"/>
  <c r="Q201" i="30"/>
  <c r="Q200" i="30"/>
  <c r="Q199" i="30"/>
  <c r="Q198" i="30"/>
  <c r="Q197" i="30"/>
  <c r="Q196" i="30"/>
  <c r="Q195" i="30"/>
  <c r="Q194" i="30"/>
  <c r="Q193" i="30"/>
  <c r="Q192" i="30"/>
  <c r="Q191" i="30"/>
  <c r="Q190" i="30"/>
  <c r="Q189" i="30"/>
  <c r="Q188" i="30"/>
  <c r="Q187" i="30"/>
  <c r="Q186" i="30"/>
  <c r="Q185" i="30"/>
  <c r="Q184" i="30"/>
  <c r="Q183" i="30"/>
  <c r="Q182" i="30"/>
  <c r="Q181" i="30"/>
  <c r="Q180" i="30"/>
  <c r="Q179" i="30"/>
  <c r="Q178" i="30"/>
  <c r="Q177" i="30"/>
  <c r="Q176" i="30"/>
  <c r="Q175" i="30"/>
  <c r="Q174" i="30"/>
  <c r="Q173" i="30"/>
  <c r="Q172" i="30"/>
  <c r="Q171" i="30"/>
  <c r="Q170" i="30"/>
  <c r="Q169" i="30"/>
  <c r="Q168" i="30"/>
  <c r="Q167" i="30"/>
  <c r="Q166" i="30"/>
  <c r="Q165" i="30"/>
  <c r="Q164" i="30"/>
  <c r="Q163" i="30"/>
  <c r="Q162" i="30"/>
  <c r="Q161" i="30"/>
  <c r="Q160" i="30"/>
  <c r="Q159" i="30"/>
  <c r="Q158" i="30"/>
  <c r="Q157" i="30"/>
  <c r="Q156" i="30"/>
  <c r="Q155" i="30"/>
  <c r="Q154" i="30"/>
  <c r="Q153" i="30"/>
  <c r="Q152" i="30"/>
  <c r="Q151" i="30"/>
  <c r="Q150" i="30"/>
  <c r="Q149" i="30"/>
  <c r="Q148" i="30"/>
  <c r="Q147" i="30"/>
  <c r="Q146" i="30"/>
  <c r="Q145" i="30"/>
  <c r="Q144" i="30"/>
  <c r="Q143" i="30"/>
  <c r="Q142" i="30"/>
  <c r="Q141" i="30"/>
  <c r="Q140" i="30"/>
  <c r="Q139" i="30"/>
  <c r="Q138" i="30"/>
  <c r="Q137" i="30"/>
  <c r="Q136" i="30"/>
  <c r="Q135" i="30"/>
  <c r="Q134" i="30"/>
  <c r="Q133" i="30"/>
  <c r="Q132" i="30"/>
  <c r="Q131" i="30"/>
  <c r="Q130" i="30"/>
  <c r="Q129" i="30"/>
  <c r="Q128" i="30"/>
  <c r="Q127" i="30"/>
  <c r="Q126" i="30"/>
  <c r="Q125" i="30"/>
  <c r="Q124" i="30"/>
  <c r="Q123" i="30"/>
  <c r="Q122" i="30"/>
  <c r="Q121" i="30"/>
  <c r="Q120" i="30"/>
  <c r="Q119" i="30"/>
  <c r="Q118" i="30"/>
  <c r="Q117" i="30"/>
  <c r="Q116" i="30"/>
  <c r="Q115" i="30"/>
  <c r="Q114" i="30"/>
  <c r="Q113" i="30"/>
  <c r="Q112" i="30"/>
  <c r="Q111" i="30"/>
  <c r="Q110" i="30"/>
  <c r="Q109" i="30"/>
  <c r="Q108" i="30"/>
  <c r="Q107" i="30"/>
  <c r="Q106" i="30"/>
  <c r="Q105" i="30"/>
  <c r="Q104" i="30"/>
  <c r="Q103" i="30"/>
  <c r="Q102" i="30"/>
  <c r="Q101" i="30"/>
  <c r="Q100" i="30"/>
  <c r="Q99" i="30"/>
  <c r="Q98" i="30"/>
  <c r="Q97" i="30"/>
  <c r="Q96" i="30"/>
  <c r="Q95" i="30"/>
  <c r="Q94" i="30"/>
  <c r="Q93" i="30"/>
  <c r="Q92" i="30"/>
  <c r="Q91" i="30"/>
  <c r="Q90" i="30"/>
  <c r="Q89" i="30"/>
  <c r="Q88" i="30"/>
  <c r="Q87" i="30"/>
  <c r="Q86" i="30"/>
  <c r="Q85" i="30"/>
  <c r="Q84" i="30"/>
  <c r="Q83" i="30"/>
  <c r="Q82" i="30"/>
  <c r="Q81" i="30"/>
  <c r="Q80" i="30"/>
  <c r="Q79" i="30"/>
  <c r="Q78" i="30"/>
  <c r="Q77" i="30"/>
  <c r="Q76" i="30"/>
  <c r="Q75" i="30"/>
  <c r="Q74" i="30"/>
  <c r="Q73" i="30"/>
  <c r="Q72" i="30"/>
  <c r="Q71" i="30"/>
  <c r="Q70" i="30"/>
  <c r="Q69" i="30"/>
  <c r="Q68" i="30"/>
  <c r="Q67" i="30"/>
  <c r="Q66" i="30"/>
  <c r="Q65" i="30"/>
  <c r="Q64" i="30"/>
  <c r="Q63" i="30"/>
  <c r="Q62" i="30"/>
  <c r="Q61" i="30"/>
  <c r="Q60" i="30"/>
  <c r="Q59" i="30"/>
  <c r="Q58" i="30"/>
  <c r="Q57" i="30"/>
  <c r="Q56" i="30"/>
  <c r="Q55" i="30"/>
  <c r="Q54" i="30"/>
  <c r="Q53" i="30"/>
  <c r="Q52" i="30"/>
  <c r="Q51" i="30"/>
  <c r="Q50" i="30"/>
  <c r="Q49" i="30"/>
  <c r="Q48" i="30"/>
  <c r="Q47" i="30"/>
  <c r="Q46" i="30"/>
  <c r="Q45" i="30"/>
  <c r="Q44" i="30"/>
  <c r="Q43" i="30"/>
  <c r="Q42" i="30"/>
  <c r="Q41" i="30"/>
  <c r="Q40" i="30"/>
  <c r="Q39" i="30"/>
  <c r="Q38" i="30"/>
  <c r="Q37" i="30"/>
  <c r="Q36" i="30"/>
  <c r="Q35" i="30"/>
  <c r="Q34" i="30"/>
  <c r="Q33" i="30"/>
  <c r="Q32" i="30"/>
  <c r="Q31" i="30"/>
  <c r="Q30" i="30"/>
  <c r="Q29" i="30"/>
  <c r="Q28" i="30"/>
  <c r="Q27" i="30"/>
  <c r="Q26" i="30"/>
  <c r="Q25" i="30"/>
  <c r="Q24" i="30"/>
  <c r="Q23" i="30"/>
  <c r="Q22" i="30"/>
  <c r="Q21" i="30"/>
  <c r="Q20" i="30"/>
  <c r="Q19" i="30"/>
  <c r="Q18" i="30"/>
  <c r="Q17" i="30"/>
  <c r="Q16" i="30"/>
  <c r="Q15" i="30"/>
  <c r="Q14" i="30"/>
  <c r="Q13" i="30"/>
  <c r="Q12" i="30"/>
  <c r="Q11" i="30"/>
  <c r="Q10" i="30"/>
  <c r="Q9" i="30"/>
  <c r="Q8" i="30"/>
  <c r="Q7" i="30"/>
  <c r="Q6" i="30"/>
  <c r="Q5" i="30"/>
  <c r="Q4" i="30"/>
  <c r="K734" i="20"/>
  <c r="K736" i="20"/>
  <c r="K737" i="20"/>
  <c r="O561" i="19"/>
  <c r="N561" i="19"/>
  <c r="O560" i="19"/>
  <c r="N560" i="19"/>
  <c r="O759" i="19"/>
  <c r="N759" i="19"/>
  <c r="O917" i="19"/>
  <c r="N917" i="19"/>
  <c r="O460" i="19"/>
  <c r="N460" i="19"/>
  <c r="O459" i="19"/>
  <c r="N459" i="19"/>
  <c r="N149" i="22"/>
  <c r="N150" i="22"/>
  <c r="O149" i="22"/>
  <c r="O150" i="22"/>
  <c r="K506" i="19"/>
  <c r="N506" i="19" s="1"/>
  <c r="O753" i="19"/>
  <c r="N753" i="19"/>
  <c r="N754" i="19"/>
  <c r="O754" i="19"/>
  <c r="D25" i="25"/>
  <c r="P16" i="30" s="1"/>
  <c r="E156" i="22"/>
  <c r="O506" i="19" l="1"/>
  <c r="E154" i="22" l="1"/>
  <c r="O146" i="22"/>
  <c r="N146" i="22"/>
  <c r="O145" i="22"/>
  <c r="N145" i="22"/>
  <c r="O148" i="22"/>
  <c r="N148" i="22"/>
  <c r="O147" i="22"/>
  <c r="N147" i="22"/>
  <c r="F4" i="23"/>
  <c r="F3" i="23"/>
  <c r="F5" i="23"/>
  <c r="F6" i="23"/>
  <c r="F7" i="23"/>
  <c r="F8" i="23"/>
  <c r="F9" i="23"/>
  <c r="F10" i="23"/>
  <c r="F11" i="23"/>
  <c r="F12" i="23"/>
  <c r="F13" i="23"/>
  <c r="F14" i="23"/>
  <c r="F15" i="23"/>
  <c r="F16" i="23"/>
  <c r="F17" i="23"/>
  <c r="F18" i="23"/>
  <c r="F19" i="23"/>
  <c r="F20" i="23"/>
  <c r="F21" i="23"/>
  <c r="F22" i="23"/>
  <c r="F23" i="23"/>
  <c r="F24" i="23"/>
  <c r="F25" i="23"/>
  <c r="F26" i="23"/>
  <c r="F27" i="23"/>
  <c r="F28" i="23"/>
  <c r="F29" i="23"/>
  <c r="F30" i="23"/>
  <c r="F31" i="23"/>
  <c r="F32" i="23"/>
  <c r="F33" i="23"/>
  <c r="F34" i="23"/>
  <c r="F35" i="23"/>
  <c r="F36" i="23"/>
  <c r="F37" i="23"/>
  <c r="F38" i="23"/>
  <c r="F39" i="23"/>
  <c r="F40" i="23"/>
  <c r="F41" i="23"/>
  <c r="F42" i="23"/>
  <c r="F43" i="23"/>
  <c r="F44" i="23"/>
  <c r="F45" i="23"/>
  <c r="F46" i="23"/>
  <c r="F47" i="23"/>
  <c r="F48" i="23"/>
  <c r="F49" i="23"/>
  <c r="F50" i="23"/>
  <c r="F51" i="23"/>
  <c r="F52" i="23"/>
  <c r="F53" i="23"/>
  <c r="F54" i="23"/>
  <c r="F55" i="23"/>
  <c r="F56" i="23"/>
  <c r="F57" i="23"/>
  <c r="F58" i="23"/>
  <c r="F59" i="23"/>
  <c r="F60" i="23"/>
  <c r="F61" i="23"/>
  <c r="F62" i="23"/>
  <c r="F63" i="23"/>
  <c r="F64" i="23"/>
  <c r="F65" i="23"/>
  <c r="F66" i="23"/>
  <c r="F67" i="23"/>
  <c r="F68" i="23"/>
  <c r="F69" i="23"/>
  <c r="F70" i="23"/>
  <c r="F71" i="23"/>
  <c r="F72" i="23"/>
  <c r="F73" i="23"/>
  <c r="F74" i="23"/>
  <c r="F75" i="23"/>
  <c r="F76" i="23"/>
  <c r="F77" i="23"/>
  <c r="F78" i="23"/>
  <c r="F79" i="23"/>
  <c r="F80" i="23"/>
  <c r="F81" i="23"/>
  <c r="F82" i="23"/>
  <c r="F83" i="23"/>
  <c r="F84" i="23"/>
  <c r="F85" i="23"/>
  <c r="F86" i="23"/>
  <c r="F87" i="23"/>
  <c r="F88" i="23"/>
  <c r="F89" i="23"/>
  <c r="F90" i="23"/>
  <c r="F91" i="23"/>
  <c r="F92" i="23"/>
  <c r="F93" i="23"/>
  <c r="F94" i="23"/>
  <c r="F26" i="36"/>
  <c r="F94" i="36"/>
  <c r="F93" i="36"/>
  <c r="F92" i="36"/>
  <c r="F91" i="36"/>
  <c r="F90" i="36"/>
  <c r="F89" i="36"/>
  <c r="F88" i="36"/>
  <c r="F87" i="36"/>
  <c r="F86" i="36"/>
  <c r="F85" i="36"/>
  <c r="F84" i="36"/>
  <c r="F83" i="36"/>
  <c r="F82" i="36"/>
  <c r="F81" i="36"/>
  <c r="F80" i="36"/>
  <c r="F79" i="36"/>
  <c r="F78" i="36"/>
  <c r="F77" i="36"/>
  <c r="F76" i="36"/>
  <c r="F75" i="36"/>
  <c r="F74" i="36"/>
  <c r="F73" i="36"/>
  <c r="F72" i="36"/>
  <c r="F71" i="36"/>
  <c r="F70" i="36"/>
  <c r="F69" i="36"/>
  <c r="F68" i="36"/>
  <c r="F67" i="36"/>
  <c r="F66" i="36"/>
  <c r="F65" i="36"/>
  <c r="F64" i="36"/>
  <c r="F63" i="36"/>
  <c r="F62" i="36"/>
  <c r="F61" i="36"/>
  <c r="F60" i="36"/>
  <c r="F59" i="36"/>
  <c r="F58" i="36"/>
  <c r="F57" i="36"/>
  <c r="F56" i="36"/>
  <c r="F55" i="36"/>
  <c r="F54" i="36"/>
  <c r="F53" i="36"/>
  <c r="F52" i="36"/>
  <c r="F51" i="36"/>
  <c r="F50" i="36"/>
  <c r="F49" i="36"/>
  <c r="F48" i="36"/>
  <c r="F47" i="36"/>
  <c r="F46" i="36"/>
  <c r="F45" i="36"/>
  <c r="F44" i="36"/>
  <c r="F43" i="36"/>
  <c r="F42" i="36"/>
  <c r="F41" i="36"/>
  <c r="F40" i="36"/>
  <c r="F39" i="36"/>
  <c r="F38" i="36"/>
  <c r="F37" i="36"/>
  <c r="F36" i="36"/>
  <c r="F35" i="36"/>
  <c r="F34" i="36"/>
  <c r="F33" i="36"/>
  <c r="F32" i="36"/>
  <c r="F31" i="36"/>
  <c r="F30" i="36"/>
  <c r="F29" i="36"/>
  <c r="F28" i="36"/>
  <c r="F27" i="36"/>
  <c r="F25" i="36"/>
  <c r="F24" i="36"/>
  <c r="F23" i="36"/>
  <c r="F22" i="36"/>
  <c r="F21" i="36"/>
  <c r="F20" i="36"/>
  <c r="F19" i="36"/>
  <c r="F18" i="36"/>
  <c r="F17" i="36"/>
  <c r="F16" i="36"/>
  <c r="F15" i="36"/>
  <c r="F14" i="36"/>
  <c r="F13" i="36"/>
  <c r="F12" i="36"/>
  <c r="F11" i="36"/>
  <c r="F10" i="36"/>
  <c r="F9" i="36"/>
  <c r="F8" i="36"/>
  <c r="F7" i="36"/>
  <c r="F6" i="36"/>
  <c r="F5" i="36"/>
  <c r="F4" i="36"/>
  <c r="F3" i="36"/>
  <c r="D93" i="25"/>
  <c r="D92" i="25"/>
  <c r="D91" i="25"/>
  <c r="D90" i="25"/>
  <c r="D89" i="25"/>
  <c r="D88" i="25"/>
  <c r="D87" i="25"/>
  <c r="D86" i="25"/>
  <c r="D85" i="25"/>
  <c r="D84" i="25"/>
  <c r="D83" i="25"/>
  <c r="D82" i="25"/>
  <c r="D81" i="25"/>
  <c r="D80" i="25"/>
  <c r="D79" i="25"/>
  <c r="D78" i="25"/>
  <c r="D77" i="25"/>
  <c r="D76" i="25"/>
  <c r="D75" i="25"/>
  <c r="D74" i="25"/>
  <c r="D73" i="25"/>
  <c r="D72" i="25"/>
  <c r="D71" i="25"/>
  <c r="D70" i="25"/>
  <c r="D69" i="25"/>
  <c r="D68" i="25"/>
  <c r="D67" i="25"/>
  <c r="D66" i="25"/>
  <c r="D65" i="25"/>
  <c r="D64" i="25"/>
  <c r="D63" i="25"/>
  <c r="D62" i="25"/>
  <c r="D61" i="25"/>
  <c r="D60" i="25"/>
  <c r="D59" i="25"/>
  <c r="D58" i="25"/>
  <c r="D57" i="25"/>
  <c r="D56" i="25"/>
  <c r="D55" i="25"/>
  <c r="D54" i="25"/>
  <c r="D53" i="25"/>
  <c r="D52" i="25"/>
  <c r="D51" i="25"/>
  <c r="D50" i="25"/>
  <c r="D49" i="25"/>
  <c r="D48" i="25"/>
  <c r="D47" i="25"/>
  <c r="D46" i="25"/>
  <c r="D45" i="25"/>
  <c r="D44" i="25"/>
  <c r="D43" i="25"/>
  <c r="D42" i="25"/>
  <c r="D41" i="25"/>
  <c r="D40" i="25"/>
  <c r="D39" i="25"/>
  <c r="D38" i="25"/>
  <c r="D37" i="25"/>
  <c r="D36" i="25"/>
  <c r="D35" i="25"/>
  <c r="D34" i="25"/>
  <c r="P40" i="30" s="1"/>
  <c r="D33" i="25"/>
  <c r="D32" i="25"/>
  <c r="D31" i="25"/>
  <c r="P39" i="30" s="1"/>
  <c r="D30" i="25"/>
  <c r="D29" i="25"/>
  <c r="D28" i="25"/>
  <c r="D27" i="25"/>
  <c r="P27" i="30" s="1"/>
  <c r="D26" i="25"/>
  <c r="D24" i="25"/>
  <c r="D23" i="25"/>
  <c r="D22" i="25"/>
  <c r="D21" i="25"/>
  <c r="D20" i="25"/>
  <c r="D19" i="25"/>
  <c r="D18" i="25"/>
  <c r="D17" i="25"/>
  <c r="D16" i="25"/>
  <c r="D15" i="25"/>
  <c r="D14" i="25"/>
  <c r="D13" i="25"/>
  <c r="D12" i="25"/>
  <c r="D11" i="25"/>
  <c r="D10" i="25"/>
  <c r="D9" i="25"/>
  <c r="D8" i="25"/>
  <c r="D7" i="25"/>
  <c r="D6" i="25"/>
  <c r="D5" i="25"/>
  <c r="P7" i="30" s="1"/>
  <c r="D4" i="25"/>
  <c r="D3" i="25"/>
  <c r="D2" i="25"/>
  <c r="C90" i="25" l="1"/>
  <c r="C92" i="25"/>
  <c r="C91" i="25"/>
  <c r="C88" i="25"/>
  <c r="C93" i="25"/>
  <c r="C94" i="25"/>
  <c r="C95" i="25"/>
  <c r="C96" i="25"/>
  <c r="C89" i="25"/>
  <c r="C87" i="25"/>
  <c r="P15" i="30"/>
  <c r="C86" i="25"/>
  <c r="P53" i="30"/>
  <c r="C83" i="25"/>
  <c r="C2" i="25"/>
  <c r="C79" i="25"/>
  <c r="C76" i="25"/>
  <c r="C78" i="25"/>
  <c r="C77" i="25"/>
  <c r="C80" i="25"/>
  <c r="C74" i="25"/>
  <c r="C72" i="25"/>
  <c r="C75" i="25"/>
  <c r="C73" i="25"/>
  <c r="C82" i="25"/>
  <c r="C81" i="25"/>
  <c r="C84" i="25"/>
  <c r="C85" i="25"/>
  <c r="D193" i="36"/>
  <c r="D8" i="36"/>
  <c r="D104" i="36"/>
  <c r="D190" i="36"/>
  <c r="D40" i="36"/>
  <c r="D64" i="36"/>
  <c r="D96" i="36"/>
  <c r="D194" i="36"/>
  <c r="D16" i="36"/>
  <c r="D112" i="36"/>
  <c r="D191" i="36"/>
  <c r="D136" i="36"/>
  <c r="D176" i="36"/>
  <c r="D182" i="36"/>
  <c r="D195" i="36"/>
  <c r="D24" i="36"/>
  <c r="D120" i="36"/>
  <c r="D192" i="36"/>
  <c r="D72" i="36"/>
  <c r="D88" i="36"/>
  <c r="D196" i="36"/>
  <c r="D32" i="36"/>
  <c r="D128" i="36"/>
  <c r="D3" i="36"/>
  <c r="D152" i="36"/>
  <c r="D168" i="36"/>
  <c r="D48" i="36"/>
  <c r="D144" i="36"/>
  <c r="D56" i="36"/>
  <c r="D160" i="36"/>
  <c r="D80" i="36"/>
  <c r="D184" i="36"/>
  <c r="D9" i="36"/>
  <c r="D119" i="36"/>
  <c r="D23" i="36"/>
  <c r="D102" i="36"/>
  <c r="D6" i="36"/>
  <c r="D93" i="36"/>
  <c r="D180" i="36"/>
  <c r="D84" i="36"/>
  <c r="D179" i="36"/>
  <c r="D83" i="36"/>
  <c r="D186" i="36"/>
  <c r="D90" i="36"/>
  <c r="D177" i="36"/>
  <c r="D81" i="36"/>
  <c r="D15" i="36"/>
  <c r="D94" i="36"/>
  <c r="D181" i="36"/>
  <c r="D85" i="36"/>
  <c r="D76" i="36"/>
  <c r="D75" i="36"/>
  <c r="D82" i="36"/>
  <c r="D73" i="36"/>
  <c r="D189" i="36"/>
  <c r="D5" i="36"/>
  <c r="D111" i="36"/>
  <c r="D172" i="36"/>
  <c r="D171" i="36"/>
  <c r="D178" i="36"/>
  <c r="D169" i="36"/>
  <c r="D106" i="36"/>
  <c r="D188" i="36"/>
  <c r="D103" i="36"/>
  <c r="D7" i="36"/>
  <c r="D86" i="36"/>
  <c r="D173" i="36"/>
  <c r="D77" i="36"/>
  <c r="D164" i="36"/>
  <c r="D68" i="36"/>
  <c r="D163" i="36"/>
  <c r="D67" i="36"/>
  <c r="D170" i="36"/>
  <c r="D74" i="36"/>
  <c r="D161" i="36"/>
  <c r="D65" i="36"/>
  <c r="D30" i="36"/>
  <c r="D107" i="36"/>
  <c r="D105" i="36"/>
  <c r="D118" i="36"/>
  <c r="D13" i="36"/>
  <c r="D99" i="36"/>
  <c r="D127" i="36"/>
  <c r="D14" i="36"/>
  <c r="D187" i="36"/>
  <c r="D89" i="36"/>
  <c r="D95" i="36"/>
  <c r="D174" i="36"/>
  <c r="D78" i="36"/>
  <c r="D165" i="36"/>
  <c r="D69" i="36"/>
  <c r="D156" i="36"/>
  <c r="D60" i="36"/>
  <c r="D155" i="36"/>
  <c r="D59" i="36"/>
  <c r="D162" i="36"/>
  <c r="D66" i="36"/>
  <c r="D153" i="36"/>
  <c r="D57" i="36"/>
  <c r="D26" i="36"/>
  <c r="D17" i="36"/>
  <c r="D108" i="36"/>
  <c r="D18" i="36"/>
  <c r="D39" i="36"/>
  <c r="D109" i="36"/>
  <c r="D4" i="36"/>
  <c r="D10" i="36"/>
  <c r="D31" i="36"/>
  <c r="D101" i="36"/>
  <c r="D91" i="36"/>
  <c r="D185" i="36"/>
  <c r="D183" i="36"/>
  <c r="D87" i="36"/>
  <c r="D166" i="36"/>
  <c r="D70" i="36"/>
  <c r="D157" i="36"/>
  <c r="D61" i="36"/>
  <c r="D148" i="36"/>
  <c r="D52" i="36"/>
  <c r="D147" i="36"/>
  <c r="D51" i="36"/>
  <c r="D154" i="36"/>
  <c r="D58" i="36"/>
  <c r="D145" i="36"/>
  <c r="D49" i="36"/>
  <c r="D124" i="36"/>
  <c r="D130" i="36"/>
  <c r="D121" i="36"/>
  <c r="D122" i="36"/>
  <c r="D143" i="36"/>
  <c r="D126" i="36"/>
  <c r="D21" i="36"/>
  <c r="D11" i="36"/>
  <c r="D175" i="36"/>
  <c r="D79" i="36"/>
  <c r="D158" i="36"/>
  <c r="D62" i="36"/>
  <c r="D149" i="36"/>
  <c r="D53" i="36"/>
  <c r="D140" i="36"/>
  <c r="D44" i="36"/>
  <c r="D139" i="36"/>
  <c r="D43" i="36"/>
  <c r="D146" i="36"/>
  <c r="D50" i="36"/>
  <c r="D137" i="36"/>
  <c r="D41" i="36"/>
  <c r="D167" i="36"/>
  <c r="D71" i="36"/>
  <c r="D150" i="36"/>
  <c r="D54" i="36"/>
  <c r="D141" i="36"/>
  <c r="D45" i="36"/>
  <c r="D132" i="36"/>
  <c r="D36" i="36"/>
  <c r="D131" i="36"/>
  <c r="D35" i="36"/>
  <c r="D138" i="36"/>
  <c r="D42" i="36"/>
  <c r="D129" i="36"/>
  <c r="D33" i="36"/>
  <c r="D159" i="36"/>
  <c r="D63" i="36"/>
  <c r="D142" i="36"/>
  <c r="D46" i="36"/>
  <c r="D133" i="36"/>
  <c r="D37" i="36"/>
  <c r="D28" i="36"/>
  <c r="D123" i="36"/>
  <c r="D27" i="36"/>
  <c r="D34" i="36"/>
  <c r="D25" i="36"/>
  <c r="D151" i="36"/>
  <c r="D55" i="36"/>
  <c r="D134" i="36"/>
  <c r="D38" i="36"/>
  <c r="D125" i="36"/>
  <c r="D29" i="36"/>
  <c r="D116" i="36"/>
  <c r="D20" i="36"/>
  <c r="D115" i="36"/>
  <c r="D19" i="36"/>
  <c r="D113" i="36"/>
  <c r="D47" i="36"/>
  <c r="D117" i="36"/>
  <c r="D12" i="36"/>
  <c r="D114" i="36"/>
  <c r="D135" i="36"/>
  <c r="D22" i="36"/>
  <c r="D100" i="36"/>
  <c r="D97" i="36"/>
  <c r="D110" i="36"/>
  <c r="D92" i="36"/>
  <c r="D98" i="36"/>
  <c r="C3" i="25"/>
  <c r="C11" i="25"/>
  <c r="C19" i="25"/>
  <c r="C27" i="25"/>
  <c r="C35" i="25"/>
  <c r="C43" i="25"/>
  <c r="C51" i="25"/>
  <c r="C65" i="25"/>
  <c r="C4" i="25"/>
  <c r="C12" i="25"/>
  <c r="C20" i="25"/>
  <c r="C28" i="25"/>
  <c r="C36" i="25"/>
  <c r="C44" i="25"/>
  <c r="C52" i="25"/>
  <c r="C66" i="25"/>
  <c r="C64" i="25"/>
  <c r="C5" i="25"/>
  <c r="C13" i="25"/>
  <c r="C21" i="25"/>
  <c r="C29" i="25"/>
  <c r="C37" i="25"/>
  <c r="C45" i="25"/>
  <c r="C53" i="25"/>
  <c r="C59" i="25"/>
  <c r="C67" i="25"/>
  <c r="C23" i="25"/>
  <c r="C31" i="25"/>
  <c r="C47" i="25"/>
  <c r="C61" i="25"/>
  <c r="C16" i="25"/>
  <c r="C24" i="25"/>
  <c r="C40" i="25"/>
  <c r="C48" i="25"/>
  <c r="C62" i="25"/>
  <c r="C17" i="25"/>
  <c r="C25" i="25"/>
  <c r="C41" i="25"/>
  <c r="C63" i="25"/>
  <c r="C71" i="25"/>
  <c r="C10" i="25"/>
  <c r="C26" i="25"/>
  <c r="C42" i="25"/>
  <c r="C58" i="25"/>
  <c r="C6" i="25"/>
  <c r="C14" i="25"/>
  <c r="C22" i="25"/>
  <c r="C30" i="25"/>
  <c r="C38" i="25"/>
  <c r="C46" i="25"/>
  <c r="C54" i="25"/>
  <c r="C60" i="25"/>
  <c r="C68" i="25"/>
  <c r="C15" i="25"/>
  <c r="C39" i="25"/>
  <c r="C55" i="25"/>
  <c r="C69" i="25"/>
  <c r="C32" i="25"/>
  <c r="C56" i="25"/>
  <c r="C70" i="25"/>
  <c r="C9" i="25"/>
  <c r="C33" i="25"/>
  <c r="C49" i="25"/>
  <c r="C57" i="25"/>
  <c r="C18" i="25"/>
  <c r="C34" i="25"/>
  <c r="C50" i="25"/>
  <c r="C7" i="25"/>
  <c r="C8" i="25"/>
  <c r="W8" i="13" l="1"/>
  <c r="F2" i="13"/>
  <c r="AL2" i="13"/>
  <c r="AQ2" i="13"/>
  <c r="AS2" i="13"/>
  <c r="AU2" i="13"/>
  <c r="AW2" i="13"/>
  <c r="AY2" i="13"/>
  <c r="BA2" i="13"/>
  <c r="BC2" i="13"/>
  <c r="BG2" i="13"/>
  <c r="BK2" i="13"/>
  <c r="BO2" i="13"/>
  <c r="BS2" i="13"/>
  <c r="BU2" i="13"/>
  <c r="CG2" i="13"/>
  <c r="CM2" i="13"/>
  <c r="F3" i="13"/>
  <c r="AL3" i="13"/>
  <c r="AQ3" i="13"/>
  <c r="AS3" i="13"/>
  <c r="AU3" i="13"/>
  <c r="AW3" i="13"/>
  <c r="AY3" i="13"/>
  <c r="BA3" i="13"/>
  <c r="BC3" i="13"/>
  <c r="BG3" i="13"/>
  <c r="BK3" i="13"/>
  <c r="BO3" i="13"/>
  <c r="BS3" i="13"/>
  <c r="BU3" i="13"/>
  <c r="CG3" i="13"/>
  <c r="CM3" i="13"/>
  <c r="F4" i="13"/>
  <c r="AL4" i="13"/>
  <c r="AQ4" i="13"/>
  <c r="AS4" i="13"/>
  <c r="AU4" i="13"/>
  <c r="AW4" i="13"/>
  <c r="AY4" i="13"/>
  <c r="BA4" i="13"/>
  <c r="BC4" i="13"/>
  <c r="BG4" i="13"/>
  <c r="BK4" i="13"/>
  <c r="BO4" i="13"/>
  <c r="BS4" i="13"/>
  <c r="BU4" i="13"/>
  <c r="CG4" i="13"/>
  <c r="CM4" i="13"/>
  <c r="F5" i="13"/>
  <c r="AL5" i="13"/>
  <c r="AQ5" i="13"/>
  <c r="AS5" i="13"/>
  <c r="AU5" i="13"/>
  <c r="AY5" i="13"/>
  <c r="BA5" i="13"/>
  <c r="BC5" i="13"/>
  <c r="BG5" i="13"/>
  <c r="BK5" i="13"/>
  <c r="BO5" i="13"/>
  <c r="BS5" i="13"/>
  <c r="BU5" i="13"/>
  <c r="CG5" i="13"/>
  <c r="CM5" i="13"/>
  <c r="F6" i="13"/>
  <c r="AL6" i="13"/>
  <c r="AQ6" i="13"/>
  <c r="AS6" i="13"/>
  <c r="AU6" i="13"/>
  <c r="AY6" i="13"/>
  <c r="BA6" i="13"/>
  <c r="BC6" i="13"/>
  <c r="BG6" i="13"/>
  <c r="BK6" i="13"/>
  <c r="BO6" i="13"/>
  <c r="BS6" i="13"/>
  <c r="BU6" i="13"/>
  <c r="CG6" i="13"/>
  <c r="CM6" i="13"/>
  <c r="F7" i="13"/>
  <c r="AL7" i="13"/>
  <c r="AQ7" i="13"/>
  <c r="AS7" i="13"/>
  <c r="AU7" i="13"/>
  <c r="AY7" i="13"/>
  <c r="BA7" i="13"/>
  <c r="BC7" i="13"/>
  <c r="BG7" i="13"/>
  <c r="BK7" i="13"/>
  <c r="BO7" i="13"/>
  <c r="BS7" i="13"/>
  <c r="BU7" i="13"/>
  <c r="CG7" i="13"/>
  <c r="CM7" i="13"/>
  <c r="F8" i="13"/>
  <c r="AL8" i="13"/>
  <c r="AQ8" i="13"/>
  <c r="AS8" i="13"/>
  <c r="AY8" i="13"/>
  <c r="BA8" i="13"/>
  <c r="BC8" i="13"/>
  <c r="BG8" i="13"/>
  <c r="BK8" i="13"/>
  <c r="BO8" i="13"/>
  <c r="BS8" i="13"/>
  <c r="BU8" i="13"/>
  <c r="CG8" i="13"/>
  <c r="CM8" i="13"/>
  <c r="F9" i="13"/>
  <c r="AL9" i="13"/>
  <c r="AQ9" i="13"/>
  <c r="AS9" i="13"/>
  <c r="AY9" i="13"/>
  <c r="BA9" i="13"/>
  <c r="BK9" i="13"/>
  <c r="BO9" i="13"/>
  <c r="BS9" i="13"/>
  <c r="BU9" i="13"/>
  <c r="CM9" i="13"/>
  <c r="F10" i="13"/>
  <c r="AL10" i="13"/>
  <c r="AQ10" i="13"/>
  <c r="AY10" i="13"/>
  <c r="BK10" i="13"/>
  <c r="BO10" i="13"/>
  <c r="BS10" i="13"/>
  <c r="BU10" i="13"/>
  <c r="F11" i="13"/>
  <c r="AL11" i="13"/>
  <c r="AQ11" i="13"/>
  <c r="AY11" i="13"/>
  <c r="BK11" i="13"/>
  <c r="BO11" i="13"/>
  <c r="BS11" i="13"/>
  <c r="BU11" i="13"/>
  <c r="F12" i="13"/>
  <c r="AL12" i="13"/>
  <c r="AQ12" i="13"/>
  <c r="AY12" i="13"/>
  <c r="BK12" i="13"/>
  <c r="BO12" i="13"/>
  <c r="BS12" i="13"/>
  <c r="BU12" i="13"/>
  <c r="F13" i="13"/>
  <c r="AL13" i="13"/>
  <c r="AY13" i="13"/>
  <c r="BK13" i="13"/>
  <c r="BO13" i="13"/>
  <c r="BS13" i="13"/>
  <c r="BU13" i="13"/>
  <c r="F14" i="13"/>
  <c r="AL14" i="13"/>
  <c r="AY14" i="13"/>
  <c r="BK14" i="13"/>
  <c r="BO14" i="13"/>
  <c r="BS14" i="13"/>
  <c r="BU14" i="13"/>
  <c r="F15" i="13"/>
  <c r="AL15" i="13"/>
  <c r="AY15" i="13"/>
  <c r="BK15" i="13"/>
  <c r="BO15" i="13"/>
  <c r="BS15" i="13"/>
  <c r="BU15" i="13"/>
  <c r="F16" i="13"/>
  <c r="AL16" i="13"/>
  <c r="AY16" i="13"/>
  <c r="BK16" i="13"/>
  <c r="BO16" i="13"/>
  <c r="BS16" i="13"/>
  <c r="BU16" i="13"/>
  <c r="F17" i="13"/>
  <c r="AL17" i="13"/>
  <c r="AY17" i="13"/>
  <c r="BS17" i="13"/>
  <c r="F18" i="13"/>
  <c r="AL18" i="13"/>
  <c r="BS18" i="13"/>
  <c r="F19" i="13"/>
  <c r="AL19" i="13"/>
  <c r="BS19" i="13"/>
  <c r="F20" i="13"/>
  <c r="AL20" i="13"/>
  <c r="BS20" i="13"/>
  <c r="F21" i="13"/>
  <c r="AL21" i="13"/>
  <c r="BS21" i="13"/>
  <c r="F22" i="13"/>
  <c r="AL22" i="13"/>
  <c r="F23" i="13"/>
  <c r="AL23" i="13"/>
  <c r="F24" i="13"/>
  <c r="AL24" i="13"/>
  <c r="F25" i="13"/>
  <c r="AL25" i="13"/>
  <c r="F26" i="13"/>
  <c r="AL26" i="13"/>
  <c r="F27" i="13"/>
  <c r="AL27" i="13"/>
  <c r="F28" i="13"/>
  <c r="AL28" i="13"/>
  <c r="F29" i="13"/>
  <c r="AL29" i="13"/>
  <c r="F30" i="13"/>
  <c r="AL30" i="13"/>
  <c r="F31" i="13"/>
  <c r="AL31" i="13"/>
  <c r="F32" i="13"/>
  <c r="AL32" i="13"/>
  <c r="F33" i="13"/>
  <c r="AL33" i="13"/>
  <c r="F34" i="13"/>
  <c r="AL34" i="13"/>
  <c r="F35" i="13"/>
  <c r="AL35" i="13"/>
  <c r="F36" i="13"/>
  <c r="AL36" i="13"/>
  <c r="F37" i="13"/>
  <c r="AL37" i="13"/>
  <c r="F38" i="13"/>
  <c r="AL38" i="13"/>
  <c r="F39" i="13"/>
  <c r="AL39" i="13"/>
  <c r="F40" i="13"/>
  <c r="AL40" i="13"/>
  <c r="F41" i="13"/>
  <c r="AL41" i="13"/>
  <c r="F42" i="13"/>
  <c r="AL42" i="13"/>
  <c r="F43" i="13"/>
  <c r="AL43" i="13"/>
  <c r="F44" i="13"/>
  <c r="AL44" i="13"/>
  <c r="F45" i="13"/>
  <c r="AL45" i="13"/>
  <c r="F46" i="13"/>
  <c r="AL46" i="13"/>
  <c r="F47" i="13"/>
  <c r="AL47" i="13"/>
  <c r="F48" i="13"/>
  <c r="AL48" i="13"/>
  <c r="F49" i="13"/>
  <c r="AL49" i="13"/>
  <c r="F50" i="13"/>
  <c r="AL50" i="13"/>
  <c r="F51" i="13"/>
  <c r="AL51" i="13"/>
  <c r="F52" i="13"/>
  <c r="AL52" i="13"/>
  <c r="F53" i="13"/>
  <c r="AL53" i="13"/>
  <c r="F54" i="13"/>
  <c r="AL54" i="13"/>
  <c r="F55" i="13"/>
  <c r="AL55" i="13"/>
  <c r="F56" i="13"/>
  <c r="AL56" i="13"/>
  <c r="F57" i="13"/>
  <c r="AL57" i="13"/>
  <c r="F58" i="13"/>
  <c r="AL58" i="13"/>
  <c r="F59" i="13"/>
  <c r="AL59" i="13"/>
  <c r="F60" i="13"/>
  <c r="AL60" i="13"/>
  <c r="F61" i="13"/>
  <c r="AL61" i="13"/>
  <c r="F62" i="13"/>
  <c r="AL62" i="13"/>
  <c r="F63" i="13"/>
  <c r="AL63" i="13"/>
  <c r="F64" i="13"/>
  <c r="AL64" i="13"/>
  <c r="F65" i="13"/>
  <c r="AL65" i="13"/>
  <c r="F66" i="13"/>
  <c r="AL66" i="13"/>
  <c r="F67" i="13"/>
  <c r="AL67" i="13"/>
  <c r="F68" i="13"/>
  <c r="AL68" i="13"/>
  <c r="F69" i="13"/>
  <c r="AL69" i="13"/>
  <c r="F70" i="13"/>
  <c r="AL70" i="13"/>
  <c r="F71" i="13"/>
  <c r="AL71" i="13"/>
  <c r="F72" i="13"/>
  <c r="AL72" i="13"/>
  <c r="F73" i="13"/>
  <c r="AL73" i="13"/>
  <c r="F74" i="13"/>
  <c r="AL74" i="13"/>
  <c r="F75" i="13"/>
  <c r="AL75" i="13"/>
  <c r="F76" i="13"/>
  <c r="AL76" i="13"/>
  <c r="F77" i="13"/>
  <c r="AL77" i="13"/>
  <c r="F78" i="13"/>
  <c r="AL78" i="13"/>
  <c r="F79" i="13"/>
  <c r="AL79" i="13"/>
  <c r="F80" i="13"/>
  <c r="AL80" i="13"/>
  <c r="F81" i="13"/>
  <c r="AL81" i="13"/>
  <c r="D94" i="23" l="1"/>
  <c r="D126" i="23"/>
  <c r="D11" i="23"/>
  <c r="D61" i="23"/>
  <c r="D27" i="23"/>
  <c r="D127" i="23"/>
  <c r="D6" i="23"/>
  <c r="D42" i="23"/>
  <c r="D3" i="23"/>
  <c r="D120" i="23"/>
  <c r="D96" i="23"/>
  <c r="D87" i="23"/>
  <c r="D79" i="23"/>
  <c r="D71" i="23"/>
  <c r="D63" i="23"/>
  <c r="D54" i="23"/>
  <c r="D46" i="23"/>
  <c r="D37" i="23"/>
  <c r="D29" i="23"/>
  <c r="D21" i="23"/>
  <c r="D13" i="23"/>
  <c r="D136" i="23"/>
  <c r="D128" i="23"/>
  <c r="D119" i="23"/>
  <c r="D111" i="23"/>
  <c r="D103" i="23"/>
  <c r="D95" i="23"/>
  <c r="D86" i="23"/>
  <c r="D78" i="23"/>
  <c r="D70" i="23"/>
  <c r="D62" i="23"/>
  <c r="D53" i="23"/>
  <c r="D45" i="23"/>
  <c r="D36" i="23"/>
  <c r="D28" i="23"/>
  <c r="D20" i="23"/>
  <c r="D12" i="23"/>
  <c r="D60" i="23"/>
  <c r="D134" i="23"/>
  <c r="D125" i="23"/>
  <c r="D117" i="23"/>
  <c r="D109" i="23"/>
  <c r="D101" i="23"/>
  <c r="D92" i="23"/>
  <c r="D84" i="23"/>
  <c r="D76" i="23"/>
  <c r="D68" i="23"/>
  <c r="D59" i="23"/>
  <c r="D51" i="23"/>
  <c r="D43" i="23"/>
  <c r="D34" i="23"/>
  <c r="D26" i="23"/>
  <c r="D18" i="23"/>
  <c r="D10" i="23"/>
  <c r="D112" i="23"/>
  <c r="D110" i="23"/>
  <c r="D77" i="23"/>
  <c r="D44" i="23"/>
  <c r="D35" i="23"/>
  <c r="D133" i="23"/>
  <c r="D124" i="23"/>
  <c r="D116" i="23"/>
  <c r="D108" i="23"/>
  <c r="D100" i="23"/>
  <c r="D91" i="23"/>
  <c r="D83" i="23"/>
  <c r="D75" i="23"/>
  <c r="D67" i="23"/>
  <c r="D58" i="23"/>
  <c r="D50" i="23"/>
  <c r="D41" i="23"/>
  <c r="D33" i="23"/>
  <c r="D25" i="23"/>
  <c r="D17" i="23"/>
  <c r="D9" i="23"/>
  <c r="D129" i="23"/>
  <c r="D118" i="23"/>
  <c r="D93" i="23"/>
  <c r="D52" i="23"/>
  <c r="D19" i="23"/>
  <c r="D132" i="23"/>
  <c r="D123" i="23"/>
  <c r="D115" i="23"/>
  <c r="D107" i="23"/>
  <c r="D99" i="23"/>
  <c r="D90" i="23"/>
  <c r="D82" i="23"/>
  <c r="D74" i="23"/>
  <c r="D66" i="23"/>
  <c r="D57" i="23"/>
  <c r="D49" i="23"/>
  <c r="D40" i="23"/>
  <c r="D32" i="23"/>
  <c r="D24" i="23"/>
  <c r="D16" i="23"/>
  <c r="D8" i="23"/>
  <c r="D104" i="23"/>
  <c r="D135" i="23"/>
  <c r="D102" i="23"/>
  <c r="D85" i="23"/>
  <c r="D69" i="23"/>
  <c r="D5" i="23"/>
  <c r="D131" i="23"/>
  <c r="D122" i="23"/>
  <c r="D114" i="23"/>
  <c r="D106" i="23"/>
  <c r="D98" i="23"/>
  <c r="D89" i="23"/>
  <c r="D81" i="23"/>
  <c r="D73" i="23"/>
  <c r="D65" i="23"/>
  <c r="D56" i="23"/>
  <c r="D48" i="23"/>
  <c r="D39" i="23"/>
  <c r="D31" i="23"/>
  <c r="D23" i="23"/>
  <c r="D15" i="23"/>
  <c r="D7" i="23"/>
  <c r="D4" i="23"/>
  <c r="D130" i="23"/>
  <c r="D121" i="23"/>
  <c r="D113" i="23"/>
  <c r="D105" i="23"/>
  <c r="D97" i="23"/>
  <c r="D88" i="23"/>
  <c r="D80" i="23"/>
  <c r="D72" i="23"/>
  <c r="D64" i="23"/>
  <c r="D55" i="23"/>
  <c r="D47" i="23"/>
  <c r="D38" i="23"/>
  <c r="D30" i="23"/>
  <c r="D22" i="23"/>
  <c r="D14" i="23"/>
  <c r="N44" i="19"/>
  <c r="O44" i="19"/>
  <c r="N45" i="19"/>
  <c r="O45" i="19"/>
  <c r="N46" i="19"/>
  <c r="O46" i="19"/>
  <c r="N47" i="19"/>
  <c r="O47" i="19"/>
  <c r="N48" i="19"/>
  <c r="O48" i="19"/>
  <c r="N656" i="19"/>
  <c r="O656" i="19"/>
  <c r="N648" i="19"/>
  <c r="O648" i="19"/>
  <c r="N640" i="19"/>
  <c r="O640" i="19"/>
  <c r="N585" i="19"/>
  <c r="O585" i="19"/>
  <c r="N234" i="19"/>
  <c r="O234" i="19"/>
  <c r="N226" i="19"/>
  <c r="O226" i="19"/>
  <c r="N218" i="19"/>
  <c r="O218" i="19"/>
  <c r="N141" i="19"/>
  <c r="O141" i="19"/>
  <c r="N57" i="19"/>
  <c r="O57" i="19"/>
  <c r="N49" i="19"/>
  <c r="O49" i="19"/>
  <c r="N123" i="35"/>
  <c r="N124" i="35"/>
  <c r="N125" i="35"/>
  <c r="N126" i="35"/>
  <c r="N127" i="35"/>
  <c r="N128" i="35"/>
  <c r="N129" i="35"/>
  <c r="N130" i="35"/>
  <c r="N131" i="35"/>
  <c r="N122" i="35"/>
  <c r="D327" i="35"/>
  <c r="D324" i="35"/>
  <c r="C274" i="35"/>
  <c r="D328" i="35"/>
  <c r="D330" i="35"/>
  <c r="D326" i="35"/>
  <c r="O321" i="35"/>
  <c r="N321" i="35"/>
  <c r="O320" i="35"/>
  <c r="N320" i="35"/>
  <c r="O319" i="35"/>
  <c r="N319" i="35"/>
  <c r="O318" i="35"/>
  <c r="N318" i="35"/>
  <c r="O317" i="35"/>
  <c r="N317" i="35"/>
  <c r="O316" i="35"/>
  <c r="N316" i="35"/>
  <c r="O315" i="35"/>
  <c r="N315" i="35"/>
  <c r="O314" i="35"/>
  <c r="N314" i="35"/>
  <c r="O313" i="35"/>
  <c r="N313" i="35"/>
  <c r="O312" i="35"/>
  <c r="N312" i="35"/>
  <c r="O311" i="35"/>
  <c r="N311" i="35"/>
  <c r="O310" i="35"/>
  <c r="N310" i="35"/>
  <c r="O309" i="35"/>
  <c r="N309" i="35"/>
  <c r="O308" i="35"/>
  <c r="N308" i="35"/>
  <c r="O307" i="35"/>
  <c r="N307" i="35"/>
  <c r="O306" i="35"/>
  <c r="N306" i="35"/>
  <c r="O305" i="35"/>
  <c r="N305" i="35"/>
  <c r="O304" i="35"/>
  <c r="N304" i="35"/>
  <c r="O303" i="35"/>
  <c r="N303" i="35"/>
  <c r="O302" i="35"/>
  <c r="N302" i="35"/>
  <c r="O301" i="35"/>
  <c r="N301" i="35"/>
  <c r="O300" i="35"/>
  <c r="N300" i="35"/>
  <c r="O299" i="35"/>
  <c r="N299" i="35"/>
  <c r="O298" i="35"/>
  <c r="N298" i="35"/>
  <c r="O297" i="35"/>
  <c r="N297" i="35"/>
  <c r="O296" i="35"/>
  <c r="N296" i="35"/>
  <c r="O295" i="35"/>
  <c r="N295" i="35"/>
  <c r="O294" i="35"/>
  <c r="N294" i="35"/>
  <c r="O293" i="35"/>
  <c r="N293" i="35"/>
  <c r="O292" i="35"/>
  <c r="N292" i="35"/>
  <c r="O291" i="35"/>
  <c r="N291" i="35"/>
  <c r="O290" i="35"/>
  <c r="N290" i="35"/>
  <c r="O289" i="35"/>
  <c r="N289" i="35"/>
  <c r="O288" i="35"/>
  <c r="N288" i="35"/>
  <c r="O287" i="35"/>
  <c r="N287" i="35"/>
  <c r="O286" i="35"/>
  <c r="N286" i="35"/>
  <c r="O285" i="35"/>
  <c r="N285" i="35"/>
  <c r="O284" i="35"/>
  <c r="N284" i="35"/>
  <c r="O283" i="35"/>
  <c r="N283" i="35"/>
  <c r="O282" i="35"/>
  <c r="N282" i="35"/>
  <c r="O281" i="35"/>
  <c r="N281" i="35"/>
  <c r="O280" i="35"/>
  <c r="N280" i="35"/>
  <c r="O279" i="35"/>
  <c r="N279" i="35"/>
  <c r="O278" i="35"/>
  <c r="N278" i="35"/>
  <c r="O277" i="35"/>
  <c r="N277" i="35"/>
  <c r="D332" i="35" l="1"/>
  <c r="E324" i="35" s="1"/>
  <c r="G331" i="35" s="1"/>
  <c r="P4" i="30"/>
  <c r="O4" i="30"/>
  <c r="E327" i="35" l="1"/>
  <c r="G327" i="35" s="1"/>
  <c r="E331" i="35"/>
  <c r="G324" i="35" s="1"/>
  <c r="E323" i="35"/>
  <c r="E325" i="35"/>
  <c r="G330" i="35" s="1"/>
  <c r="E329" i="35"/>
  <c r="G326" i="35" s="1"/>
  <c r="E326" i="35"/>
  <c r="G329" i="35" s="1"/>
  <c r="E330" i="35"/>
  <c r="G323" i="35" s="1"/>
  <c r="E328" i="35"/>
  <c r="G325" i="35" s="1"/>
  <c r="R4" i="30"/>
  <c r="R9" i="30"/>
  <c r="R5" i="30"/>
  <c r="R13" i="30"/>
  <c r="R21" i="30"/>
  <c r="R29" i="30"/>
  <c r="R37" i="30"/>
  <c r="R45" i="30"/>
  <c r="R53" i="30"/>
  <c r="R61" i="30"/>
  <c r="R69" i="30"/>
  <c r="R77" i="30"/>
  <c r="R78" i="30"/>
  <c r="R46" i="30"/>
  <c r="R7" i="30"/>
  <c r="R15" i="30"/>
  <c r="R23" i="30"/>
  <c r="R31" i="30"/>
  <c r="R39" i="30"/>
  <c r="R47" i="30"/>
  <c r="R55" i="30"/>
  <c r="R63" i="30"/>
  <c r="R71" i="30"/>
  <c r="R79" i="30"/>
  <c r="R14" i="30"/>
  <c r="R70" i="30"/>
  <c r="R8" i="30"/>
  <c r="R16" i="30"/>
  <c r="R24" i="30"/>
  <c r="R32" i="30"/>
  <c r="R40" i="30"/>
  <c r="R48" i="30"/>
  <c r="R56" i="30"/>
  <c r="R64" i="30"/>
  <c r="R72" i="30"/>
  <c r="R80" i="30"/>
  <c r="R22" i="30"/>
  <c r="R62" i="30"/>
  <c r="R132" i="30"/>
  <c r="R17" i="30"/>
  <c r="R25" i="30"/>
  <c r="R33" i="30"/>
  <c r="R41" i="30"/>
  <c r="R49" i="30"/>
  <c r="R57" i="30"/>
  <c r="R65" i="30"/>
  <c r="R73" i="30"/>
  <c r="R6" i="30"/>
  <c r="R30" i="30"/>
  <c r="R38" i="30"/>
  <c r="R54" i="30"/>
  <c r="R85" i="30"/>
  <c r="R11" i="30"/>
  <c r="R19" i="30"/>
  <c r="R27" i="30"/>
  <c r="R35" i="30"/>
  <c r="R43" i="30"/>
  <c r="R51" i="30"/>
  <c r="R59" i="30"/>
  <c r="R67" i="30"/>
  <c r="R75" i="30"/>
  <c r="R204" i="30"/>
  <c r="R156" i="30"/>
  <c r="R148" i="30"/>
  <c r="R124" i="30"/>
  <c r="R100" i="30"/>
  <c r="R92" i="30"/>
  <c r="R84" i="30"/>
  <c r="R76" i="30"/>
  <c r="R68" i="30"/>
  <c r="R60" i="30"/>
  <c r="R52" i="30"/>
  <c r="R44" i="30"/>
  <c r="R36" i="30"/>
  <c r="R28" i="30"/>
  <c r="R20" i="30"/>
  <c r="R12" i="30"/>
  <c r="R235" i="30"/>
  <c r="R227" i="30"/>
  <c r="R219" i="30"/>
  <c r="R211" i="30"/>
  <c r="R203" i="30"/>
  <c r="R195" i="30"/>
  <c r="R187" i="30"/>
  <c r="R179" i="30"/>
  <c r="R171" i="30"/>
  <c r="R163" i="30"/>
  <c r="R155" i="30"/>
  <c r="R147" i="30"/>
  <c r="R139" i="30"/>
  <c r="R131" i="30"/>
  <c r="R123" i="30"/>
  <c r="R115" i="30"/>
  <c r="R107" i="30"/>
  <c r="R99" i="30"/>
  <c r="R91" i="30"/>
  <c r="R83" i="30"/>
  <c r="R196" i="30"/>
  <c r="R172" i="30"/>
  <c r="R140" i="30"/>
  <c r="R234" i="30"/>
  <c r="R202" i="30"/>
  <c r="R170" i="30"/>
  <c r="R138" i="30"/>
  <c r="R106" i="30"/>
  <c r="R74" i="30"/>
  <c r="R42" i="30"/>
  <c r="R10" i="30"/>
  <c r="R209" i="30"/>
  <c r="R177" i="30"/>
  <c r="R145" i="30"/>
  <c r="R129" i="30"/>
  <c r="R97" i="30"/>
  <c r="R232" i="30"/>
  <c r="R224" i="30"/>
  <c r="R216" i="30"/>
  <c r="R208" i="30"/>
  <c r="R200" i="30"/>
  <c r="R192" i="30"/>
  <c r="R184" i="30"/>
  <c r="R176" i="30"/>
  <c r="R168" i="30"/>
  <c r="R160" i="30"/>
  <c r="R152" i="30"/>
  <c r="R144" i="30"/>
  <c r="R136" i="30"/>
  <c r="R128" i="30"/>
  <c r="R120" i="30"/>
  <c r="R112" i="30"/>
  <c r="R104" i="30"/>
  <c r="R96" i="30"/>
  <c r="R88" i="30"/>
  <c r="R220" i="30"/>
  <c r="R164" i="30"/>
  <c r="R108" i="30"/>
  <c r="R226" i="30"/>
  <c r="R194" i="30"/>
  <c r="R162" i="30"/>
  <c r="R122" i="30"/>
  <c r="R82" i="30"/>
  <c r="R58" i="30"/>
  <c r="R26" i="30"/>
  <c r="R225" i="30"/>
  <c r="R193" i="30"/>
  <c r="R153" i="30"/>
  <c r="R113" i="30"/>
  <c r="R89" i="30"/>
  <c r="R231" i="30"/>
  <c r="R223" i="30"/>
  <c r="R215" i="30"/>
  <c r="R207" i="30"/>
  <c r="R199" i="30"/>
  <c r="R191" i="30"/>
  <c r="R183" i="30"/>
  <c r="R175" i="30"/>
  <c r="R167" i="30"/>
  <c r="R159" i="30"/>
  <c r="R151" i="30"/>
  <c r="R143" i="30"/>
  <c r="R135" i="30"/>
  <c r="R127" i="30"/>
  <c r="R119" i="30"/>
  <c r="R111" i="30"/>
  <c r="R103" i="30"/>
  <c r="R95" i="30"/>
  <c r="R87" i="30"/>
  <c r="R228" i="30"/>
  <c r="R180" i="30"/>
  <c r="R116" i="30"/>
  <c r="R218" i="30"/>
  <c r="R186" i="30"/>
  <c r="R154" i="30"/>
  <c r="R114" i="30"/>
  <c r="R90" i="30"/>
  <c r="R50" i="30"/>
  <c r="R18" i="30"/>
  <c r="R233" i="30"/>
  <c r="R201" i="30"/>
  <c r="R161" i="30"/>
  <c r="R121" i="30"/>
  <c r="R81" i="30"/>
  <c r="R230" i="30"/>
  <c r="R222" i="30"/>
  <c r="R214" i="30"/>
  <c r="R206" i="30"/>
  <c r="R198" i="30"/>
  <c r="R190" i="30"/>
  <c r="R182" i="30"/>
  <c r="R174" i="30"/>
  <c r="R166" i="30"/>
  <c r="R158" i="30"/>
  <c r="R150" i="30"/>
  <c r="R142" i="30"/>
  <c r="R134" i="30"/>
  <c r="R126" i="30"/>
  <c r="R118" i="30"/>
  <c r="R110" i="30"/>
  <c r="R102" i="30"/>
  <c r="R94" i="30"/>
  <c r="R86" i="30"/>
  <c r="R212" i="30"/>
  <c r="R188" i="30"/>
  <c r="R210" i="30"/>
  <c r="R178" i="30"/>
  <c r="R146" i="30"/>
  <c r="R130" i="30"/>
  <c r="R98" i="30"/>
  <c r="R66" i="30"/>
  <c r="R34" i="30"/>
  <c r="R217" i="30"/>
  <c r="R185" i="30"/>
  <c r="R169" i="30"/>
  <c r="R137" i="30"/>
  <c r="R105" i="30"/>
  <c r="R229" i="30"/>
  <c r="R221" i="30"/>
  <c r="R213" i="30"/>
  <c r="R205" i="30"/>
  <c r="R197" i="30"/>
  <c r="R189" i="30"/>
  <c r="R181" i="30"/>
  <c r="R173" i="30"/>
  <c r="R165" i="30"/>
  <c r="R157" i="30"/>
  <c r="R149" i="30"/>
  <c r="R141" i="30"/>
  <c r="R133" i="30"/>
  <c r="R125" i="30"/>
  <c r="R117" i="30"/>
  <c r="R109" i="30"/>
  <c r="R101" i="30"/>
  <c r="R93" i="30"/>
  <c r="G332" i="35" l="1"/>
  <c r="G333" i="35" s="1"/>
  <c r="E333" i="35"/>
  <c r="P103" i="19"/>
  <c r="P105" i="19"/>
  <c r="P96" i="19"/>
  <c r="P97" i="19"/>
  <c r="P192" i="19"/>
  <c r="P98" i="19"/>
  <c r="P99" i="19"/>
  <c r="P193" i="19"/>
  <c r="P273" i="19"/>
  <c r="P122" i="19"/>
  <c r="P81" i="19"/>
  <c r="A59" i="19"/>
  <c r="B59" i="19"/>
  <c r="C59" i="19"/>
  <c r="D59" i="19"/>
  <c r="F59" i="19"/>
  <c r="G59" i="19"/>
  <c r="A60" i="19"/>
  <c r="B60" i="19"/>
  <c r="C60" i="19"/>
  <c r="D60" i="19"/>
  <c r="F60" i="19"/>
  <c r="G60" i="19"/>
  <c r="A61" i="19"/>
  <c r="B61" i="19"/>
  <c r="C61" i="19"/>
  <c r="D61" i="19"/>
  <c r="F61" i="19"/>
  <c r="G61" i="19"/>
  <c r="A62" i="19"/>
  <c r="B62" i="19"/>
  <c r="C62" i="19"/>
  <c r="D62" i="19"/>
  <c r="F62" i="19"/>
  <c r="G62" i="19"/>
  <c r="A63" i="19"/>
  <c r="B63" i="19"/>
  <c r="C63" i="19"/>
  <c r="D63" i="19"/>
  <c r="F63" i="19"/>
  <c r="G63" i="19"/>
  <c r="A64" i="19"/>
  <c r="B64" i="19"/>
  <c r="C64" i="19"/>
  <c r="D64" i="19"/>
  <c r="F64" i="19"/>
  <c r="G64" i="19"/>
  <c r="A65" i="19"/>
  <c r="B65" i="19"/>
  <c r="C65" i="19"/>
  <c r="D65" i="19"/>
  <c r="F65" i="19"/>
  <c r="G65" i="19"/>
  <c r="A66" i="19"/>
  <c r="B66" i="19"/>
  <c r="C66" i="19"/>
  <c r="D66" i="19"/>
  <c r="F66" i="19"/>
  <c r="G66" i="19"/>
  <c r="A67" i="19"/>
  <c r="B67" i="19"/>
  <c r="C67" i="19"/>
  <c r="D67" i="19"/>
  <c r="F67" i="19"/>
  <c r="G67" i="19"/>
  <c r="A32" i="19"/>
  <c r="B32" i="19"/>
  <c r="C32" i="19"/>
  <c r="D32" i="19"/>
  <c r="F32" i="19"/>
  <c r="G32" i="19"/>
  <c r="A33" i="19"/>
  <c r="B33" i="19"/>
  <c r="C33" i="19"/>
  <c r="D33" i="19"/>
  <c r="F33" i="19"/>
  <c r="G33" i="19"/>
  <c r="A34" i="19"/>
  <c r="B34" i="19"/>
  <c r="C34" i="19"/>
  <c r="D34" i="19"/>
  <c r="F34" i="19"/>
  <c r="G34" i="19"/>
  <c r="A35" i="19"/>
  <c r="B35" i="19"/>
  <c r="C35" i="19"/>
  <c r="D35" i="19"/>
  <c r="F35" i="19"/>
  <c r="G35" i="19"/>
  <c r="A36" i="19"/>
  <c r="B36" i="19"/>
  <c r="C36" i="19"/>
  <c r="D36" i="19"/>
  <c r="F36" i="19"/>
  <c r="G36" i="19"/>
  <c r="A37" i="19"/>
  <c r="B37" i="19"/>
  <c r="C37" i="19"/>
  <c r="D37" i="19"/>
  <c r="F37" i="19"/>
  <c r="G37" i="19"/>
  <c r="A38" i="19"/>
  <c r="B38" i="19"/>
  <c r="C38" i="19"/>
  <c r="D38" i="19"/>
  <c r="F38" i="19"/>
  <c r="G38" i="19"/>
  <c r="A39" i="19"/>
  <c r="B39" i="19"/>
  <c r="C39" i="19"/>
  <c r="D39" i="19"/>
  <c r="F39" i="19"/>
  <c r="G39" i="19"/>
  <c r="A40" i="19"/>
  <c r="B40" i="19"/>
  <c r="C40" i="19"/>
  <c r="D40" i="19"/>
  <c r="F40" i="19"/>
  <c r="G40" i="19"/>
  <c r="A41" i="19"/>
  <c r="B41" i="19"/>
  <c r="C41" i="19"/>
  <c r="D41" i="19"/>
  <c r="F41" i="19"/>
  <c r="G41" i="19"/>
  <c r="A12" i="19"/>
  <c r="B12" i="19"/>
  <c r="C12" i="19"/>
  <c r="D12" i="19"/>
  <c r="F12" i="19"/>
  <c r="G12" i="19"/>
  <c r="A13" i="19"/>
  <c r="B13" i="19"/>
  <c r="C13" i="19"/>
  <c r="D13" i="19"/>
  <c r="F13" i="19"/>
  <c r="G13" i="19"/>
  <c r="A14" i="19"/>
  <c r="B14" i="19"/>
  <c r="C14" i="19"/>
  <c r="D14" i="19"/>
  <c r="F14" i="19"/>
  <c r="G14" i="19"/>
  <c r="A15" i="19"/>
  <c r="B15" i="19"/>
  <c r="C15" i="19"/>
  <c r="D15" i="19"/>
  <c r="F15" i="19"/>
  <c r="G15" i="19"/>
  <c r="A16" i="19"/>
  <c r="B16" i="19"/>
  <c r="C16" i="19"/>
  <c r="D16" i="19"/>
  <c r="F16" i="19"/>
  <c r="G16" i="19"/>
  <c r="A17" i="19"/>
  <c r="B17" i="19"/>
  <c r="C17" i="19"/>
  <c r="D17" i="19"/>
  <c r="F17" i="19"/>
  <c r="G17" i="19"/>
  <c r="A18" i="19"/>
  <c r="B18" i="19"/>
  <c r="C18" i="19"/>
  <c r="D18" i="19"/>
  <c r="F18" i="19"/>
  <c r="G18" i="19"/>
  <c r="A19" i="19"/>
  <c r="B19" i="19"/>
  <c r="C19" i="19"/>
  <c r="D19" i="19"/>
  <c r="F19" i="19"/>
  <c r="G19" i="19"/>
  <c r="A20" i="19"/>
  <c r="B20" i="19"/>
  <c r="C20" i="19"/>
  <c r="D20" i="19"/>
  <c r="F20" i="19"/>
  <c r="G20" i="19"/>
  <c r="A21" i="19"/>
  <c r="B21" i="19"/>
  <c r="C21" i="19"/>
  <c r="D21" i="19"/>
  <c r="F21" i="19"/>
  <c r="G21" i="19"/>
  <c r="A68" i="19"/>
  <c r="B68" i="19"/>
  <c r="C68" i="19"/>
  <c r="D68" i="19"/>
  <c r="F68" i="19"/>
  <c r="G68" i="19"/>
  <c r="A69" i="19"/>
  <c r="B69" i="19"/>
  <c r="C69" i="19"/>
  <c r="D69" i="19"/>
  <c r="F69" i="19"/>
  <c r="G69" i="19"/>
  <c r="A70" i="19"/>
  <c r="B70" i="19"/>
  <c r="C70" i="19"/>
  <c r="D70" i="19"/>
  <c r="F70" i="19"/>
  <c r="G70" i="19"/>
  <c r="A71" i="19"/>
  <c r="B71" i="19"/>
  <c r="C71" i="19"/>
  <c r="D71" i="19"/>
  <c r="F71" i="19"/>
  <c r="G71" i="19"/>
  <c r="A72" i="19"/>
  <c r="B72" i="19"/>
  <c r="C72" i="19"/>
  <c r="D72" i="19"/>
  <c r="F72" i="19"/>
  <c r="G72" i="19"/>
  <c r="A73" i="19"/>
  <c r="B73" i="19"/>
  <c r="C73" i="19"/>
  <c r="D73" i="19"/>
  <c r="F73" i="19"/>
  <c r="G73" i="19"/>
  <c r="A74" i="19"/>
  <c r="B74" i="19"/>
  <c r="C74" i="19"/>
  <c r="D74" i="19"/>
  <c r="F74" i="19"/>
  <c r="G74" i="19"/>
  <c r="A75" i="19"/>
  <c r="B75" i="19"/>
  <c r="C75" i="19"/>
  <c r="D75" i="19"/>
  <c r="F75" i="19"/>
  <c r="G75" i="19"/>
  <c r="A76" i="19"/>
  <c r="B76" i="19"/>
  <c r="C76" i="19"/>
  <c r="D76" i="19"/>
  <c r="F76" i="19"/>
  <c r="G76" i="19"/>
  <c r="A77" i="19"/>
  <c r="B77" i="19"/>
  <c r="C77" i="19"/>
  <c r="D77" i="19"/>
  <c r="F77" i="19"/>
  <c r="G77" i="19"/>
  <c r="A2" i="19"/>
  <c r="B2" i="19"/>
  <c r="C2" i="19"/>
  <c r="D2" i="19"/>
  <c r="F2" i="19"/>
  <c r="G2" i="19"/>
  <c r="A3" i="19"/>
  <c r="B3" i="19"/>
  <c r="C3" i="19"/>
  <c r="D3" i="19"/>
  <c r="F3" i="19"/>
  <c r="G3" i="19"/>
  <c r="A4" i="19"/>
  <c r="B4" i="19"/>
  <c r="C4" i="19"/>
  <c r="D4" i="19"/>
  <c r="F4" i="19"/>
  <c r="G4" i="19"/>
  <c r="A5" i="19"/>
  <c r="B5" i="19"/>
  <c r="C5" i="19"/>
  <c r="D5" i="19"/>
  <c r="F5" i="19"/>
  <c r="G5" i="19"/>
  <c r="A6" i="19"/>
  <c r="B6" i="19"/>
  <c r="C6" i="19"/>
  <c r="D6" i="19"/>
  <c r="F6" i="19"/>
  <c r="G6" i="19"/>
  <c r="A7" i="19"/>
  <c r="B7" i="19"/>
  <c r="C7" i="19"/>
  <c r="D7" i="19"/>
  <c r="F7" i="19"/>
  <c r="G7" i="19"/>
  <c r="A8" i="19"/>
  <c r="B8" i="19"/>
  <c r="C8" i="19"/>
  <c r="D8" i="19"/>
  <c r="F8" i="19"/>
  <c r="G8" i="19"/>
  <c r="A9" i="19"/>
  <c r="B9" i="19"/>
  <c r="C9" i="19"/>
  <c r="D9" i="19"/>
  <c r="F9" i="19"/>
  <c r="G9" i="19"/>
  <c r="A10" i="19"/>
  <c r="B10" i="19"/>
  <c r="C10" i="19"/>
  <c r="D10" i="19"/>
  <c r="F10" i="19"/>
  <c r="G10" i="19"/>
  <c r="A11" i="19"/>
  <c r="B11" i="19"/>
  <c r="C11" i="19"/>
  <c r="D11" i="19"/>
  <c r="F11" i="19"/>
  <c r="G11" i="19"/>
  <c r="A22" i="19"/>
  <c r="B22" i="19"/>
  <c r="C22" i="19"/>
  <c r="D22" i="19"/>
  <c r="F22" i="19"/>
  <c r="G22" i="19"/>
  <c r="A23" i="19"/>
  <c r="B23" i="19"/>
  <c r="C23" i="19"/>
  <c r="D23" i="19"/>
  <c r="F23" i="19"/>
  <c r="G23" i="19"/>
  <c r="A24" i="19"/>
  <c r="B24" i="19"/>
  <c r="C24" i="19"/>
  <c r="D24" i="19"/>
  <c r="F24" i="19"/>
  <c r="G24" i="19"/>
  <c r="A25" i="19"/>
  <c r="B25" i="19"/>
  <c r="C25" i="19"/>
  <c r="D25" i="19"/>
  <c r="F25" i="19"/>
  <c r="G25" i="19"/>
  <c r="A26" i="19"/>
  <c r="B26" i="19"/>
  <c r="C26" i="19"/>
  <c r="D26" i="19"/>
  <c r="F26" i="19"/>
  <c r="G26" i="19"/>
  <c r="A27" i="19"/>
  <c r="B27" i="19"/>
  <c r="C27" i="19"/>
  <c r="D27" i="19"/>
  <c r="F27" i="19"/>
  <c r="G27" i="19"/>
  <c r="A28" i="19"/>
  <c r="B28" i="19"/>
  <c r="C28" i="19"/>
  <c r="D28" i="19"/>
  <c r="F28" i="19"/>
  <c r="G28" i="19"/>
  <c r="A29" i="19"/>
  <c r="B29" i="19"/>
  <c r="C29" i="19"/>
  <c r="D29" i="19"/>
  <c r="F29" i="19"/>
  <c r="G29" i="19"/>
  <c r="A30" i="19"/>
  <c r="B30" i="19"/>
  <c r="C30" i="19"/>
  <c r="D30" i="19"/>
  <c r="F30" i="19"/>
  <c r="G30" i="19"/>
  <c r="A31" i="19"/>
  <c r="B31" i="19"/>
  <c r="C31" i="19"/>
  <c r="D31" i="19"/>
  <c r="F31" i="19"/>
  <c r="G31" i="19"/>
  <c r="A129" i="19"/>
  <c r="G129" i="19"/>
  <c r="A112" i="19"/>
  <c r="E112" i="19"/>
  <c r="G112" i="19"/>
  <c r="A103" i="19"/>
  <c r="A92" i="19"/>
  <c r="A93" i="19"/>
  <c r="A190" i="19"/>
  <c r="G147" i="19"/>
  <c r="G113" i="19"/>
  <c r="A105" i="19"/>
  <c r="E105" i="19"/>
  <c r="F105" i="19"/>
  <c r="A96" i="19"/>
  <c r="F96" i="19"/>
  <c r="A97" i="19"/>
  <c r="F97" i="19"/>
  <c r="A192" i="19"/>
  <c r="F192" i="19"/>
  <c r="A106" i="19"/>
  <c r="E106" i="19"/>
  <c r="F106" i="19"/>
  <c r="A98" i="19"/>
  <c r="A99" i="19"/>
  <c r="A193" i="19"/>
  <c r="A273" i="19"/>
  <c r="F273" i="19"/>
  <c r="G273" i="19"/>
  <c r="A114" i="19"/>
  <c r="E114" i="19"/>
  <c r="F114" i="19"/>
  <c r="G114" i="19"/>
  <c r="A122" i="19"/>
  <c r="F122" i="19"/>
  <c r="G122" i="19"/>
  <c r="A115" i="19"/>
  <c r="E115" i="19"/>
  <c r="F115" i="19"/>
  <c r="G115" i="19"/>
  <c r="A84" i="19"/>
  <c r="B84" i="19"/>
  <c r="C84" i="19"/>
  <c r="D84" i="19"/>
  <c r="E84" i="19"/>
  <c r="F84" i="19"/>
  <c r="G84" i="19"/>
  <c r="A83" i="19"/>
  <c r="B83" i="19"/>
  <c r="C83" i="19"/>
  <c r="D83" i="19"/>
  <c r="E83" i="19"/>
  <c r="F83" i="19"/>
  <c r="G83" i="19"/>
  <c r="A82" i="19"/>
  <c r="B82" i="19"/>
  <c r="C82" i="19"/>
  <c r="D82" i="19"/>
  <c r="E82" i="19"/>
  <c r="F82" i="19"/>
  <c r="G82" i="19"/>
  <c r="A78" i="19"/>
  <c r="B78" i="19"/>
  <c r="C78" i="19"/>
  <c r="D78" i="19"/>
  <c r="E78" i="19"/>
  <c r="F78" i="19"/>
  <c r="G78" i="19"/>
  <c r="A79" i="19"/>
  <c r="B79" i="19"/>
  <c r="C79" i="19"/>
  <c r="D79" i="19"/>
  <c r="E79" i="19"/>
  <c r="F79" i="19"/>
  <c r="G79" i="19"/>
  <c r="A80" i="19"/>
  <c r="B80" i="19"/>
  <c r="C80" i="19"/>
  <c r="D80" i="19"/>
  <c r="E80" i="19"/>
  <c r="F80" i="19"/>
  <c r="G80" i="19"/>
  <c r="A81" i="19"/>
  <c r="B81" i="19"/>
  <c r="C81" i="19"/>
  <c r="D81" i="19"/>
  <c r="E81" i="19"/>
  <c r="F81" i="19"/>
  <c r="G81" i="19"/>
  <c r="G58" i="19"/>
  <c r="F58" i="19"/>
  <c r="D58" i="19"/>
  <c r="C58" i="19"/>
  <c r="B58" i="19"/>
  <c r="A58" i="19"/>
  <c r="O142" i="19" l="1"/>
  <c r="N142" i="19"/>
  <c r="O131" i="19"/>
  <c r="N131" i="19"/>
  <c r="O570" i="19"/>
  <c r="N570" i="19"/>
  <c r="O558" i="19"/>
  <c r="N558" i="19"/>
  <c r="O914" i="19"/>
  <c r="N914" i="19"/>
  <c r="O913" i="19"/>
  <c r="N913" i="19"/>
  <c r="O556" i="19"/>
  <c r="N556" i="19"/>
  <c r="O557" i="19"/>
  <c r="N557" i="19"/>
  <c r="O904" i="19"/>
  <c r="N904" i="19"/>
  <c r="O927" i="19"/>
  <c r="N927" i="19"/>
  <c r="O577" i="19"/>
  <c r="N577" i="19"/>
  <c r="O576" i="19"/>
  <c r="N576" i="19"/>
  <c r="O767" i="19"/>
  <c r="N767" i="19"/>
  <c r="O766" i="19"/>
  <c r="N766" i="19"/>
  <c r="O836" i="19"/>
  <c r="N836" i="19"/>
  <c r="O835" i="19"/>
  <c r="N835" i="19"/>
  <c r="O681" i="19"/>
  <c r="N681" i="19"/>
  <c r="O680" i="19"/>
  <c r="N680" i="19"/>
  <c r="O897" i="19"/>
  <c r="N897" i="19"/>
  <c r="O899" i="19"/>
  <c r="N899" i="19"/>
  <c r="O898" i="19"/>
  <c r="N898" i="19"/>
  <c r="O146" i="19"/>
  <c r="N146" i="19"/>
  <c r="O282" i="19"/>
  <c r="N282" i="19"/>
  <c r="O150" i="19"/>
  <c r="N150" i="19"/>
  <c r="O149" i="19"/>
  <c r="N149" i="19"/>
  <c r="O148" i="19"/>
  <c r="N148" i="19"/>
  <c r="O143" i="19"/>
  <c r="N143" i="19"/>
  <c r="O145" i="19"/>
  <c r="N145" i="19"/>
  <c r="O144" i="19"/>
  <c r="N144" i="19"/>
  <c r="O274" i="19"/>
  <c r="N274" i="19"/>
  <c r="O121" i="19"/>
  <c r="N121" i="19"/>
  <c r="O116" i="19"/>
  <c r="N116" i="19"/>
  <c r="O123" i="19"/>
  <c r="N123" i="19"/>
  <c r="O124" i="19"/>
  <c r="N124" i="19"/>
  <c r="O91" i="19"/>
  <c r="N91" i="19"/>
  <c r="O109" i="19"/>
  <c r="N109" i="19"/>
  <c r="O128" i="19"/>
  <c r="N128" i="19"/>
  <c r="O276" i="19"/>
  <c r="N276" i="19"/>
  <c r="O130" i="19"/>
  <c r="N130" i="19"/>
  <c r="O125" i="19"/>
  <c r="N125" i="19"/>
  <c r="O127" i="19"/>
  <c r="N127" i="19"/>
  <c r="O126" i="19"/>
  <c r="N126" i="19"/>
  <c r="O298" i="19"/>
  <c r="N298" i="19"/>
  <c r="O571" i="19"/>
  <c r="N571" i="19"/>
  <c r="O572" i="19"/>
  <c r="N572" i="19"/>
  <c r="O573" i="19"/>
  <c r="N573" i="19"/>
  <c r="O569" i="19"/>
  <c r="N569" i="19"/>
  <c r="O568" i="19"/>
  <c r="N568" i="19"/>
  <c r="O890" i="19"/>
  <c r="N890" i="19"/>
  <c r="O889" i="19"/>
  <c r="N889" i="19"/>
  <c r="O888" i="19"/>
  <c r="N888" i="19"/>
  <c r="O885" i="19"/>
  <c r="N885" i="19"/>
  <c r="O884" i="19"/>
  <c r="N884" i="19"/>
  <c r="O883" i="19"/>
  <c r="N883" i="19"/>
  <c r="O882" i="19"/>
  <c r="N882" i="19"/>
  <c r="O881" i="19"/>
  <c r="N881" i="19"/>
  <c r="O880" i="19"/>
  <c r="N880" i="19"/>
  <c r="O879" i="19"/>
  <c r="N879" i="19"/>
  <c r="O878" i="19"/>
  <c r="N878" i="19"/>
  <c r="O877" i="19"/>
  <c r="N877" i="19"/>
  <c r="O876" i="19"/>
  <c r="N876" i="19"/>
  <c r="O875" i="19"/>
  <c r="N875" i="19"/>
  <c r="O874" i="19"/>
  <c r="N874" i="19"/>
  <c r="O873" i="19"/>
  <c r="N873" i="19"/>
  <c r="O872" i="19"/>
  <c r="N872" i="19"/>
  <c r="O871" i="19"/>
  <c r="N871" i="19"/>
  <c r="O870" i="19"/>
  <c r="N870" i="19"/>
  <c r="O869" i="19"/>
  <c r="N869" i="19"/>
  <c r="O868" i="19"/>
  <c r="N868" i="19"/>
  <c r="O867" i="19"/>
  <c r="N867" i="19"/>
  <c r="O866" i="19"/>
  <c r="N866" i="19"/>
  <c r="O865" i="19"/>
  <c r="N865" i="19"/>
  <c r="O792" i="19"/>
  <c r="N792" i="19"/>
  <c r="O791" i="19"/>
  <c r="N791" i="19"/>
  <c r="O790" i="19"/>
  <c r="N790" i="19"/>
  <c r="O939" i="19"/>
  <c r="N939" i="19"/>
  <c r="O938" i="19"/>
  <c r="N938" i="19"/>
  <c r="O937" i="19"/>
  <c r="N937" i="19"/>
  <c r="O936" i="19"/>
  <c r="N936" i="19"/>
  <c r="O935" i="19"/>
  <c r="N935" i="19"/>
  <c r="O934" i="19"/>
  <c r="N934" i="19"/>
  <c r="O933" i="19"/>
  <c r="N933" i="19"/>
  <c r="O932" i="19"/>
  <c r="N932" i="19"/>
  <c r="O931" i="19"/>
  <c r="N931" i="19"/>
  <c r="O789" i="19"/>
  <c r="N789" i="19"/>
  <c r="O788" i="19"/>
  <c r="N788" i="19"/>
  <c r="O787" i="19"/>
  <c r="N787" i="19"/>
  <c r="O786" i="19"/>
  <c r="N786" i="19"/>
  <c r="O785" i="19"/>
  <c r="N785" i="19"/>
  <c r="O784" i="19"/>
  <c r="N784" i="19"/>
  <c r="O752" i="19"/>
  <c r="N752" i="19"/>
  <c r="O710" i="19"/>
  <c r="N710" i="19"/>
  <c r="O709" i="19"/>
  <c r="N709" i="19"/>
  <c r="O664" i="19"/>
  <c r="N664" i="19"/>
  <c r="O663" i="19"/>
  <c r="N663" i="19"/>
  <c r="O662" i="19"/>
  <c r="N662" i="19"/>
  <c r="O661" i="19"/>
  <c r="N661" i="19"/>
  <c r="O660" i="19"/>
  <c r="N660" i="19"/>
  <c r="O659" i="19"/>
  <c r="N659" i="19"/>
  <c r="O658" i="19"/>
  <c r="N658" i="19"/>
  <c r="O657" i="19"/>
  <c r="N657" i="19"/>
  <c r="O574" i="19"/>
  <c r="N574" i="19"/>
  <c r="O708" i="19"/>
  <c r="N708" i="19"/>
  <c r="O707" i="19"/>
  <c r="N707" i="19"/>
  <c r="O706" i="19"/>
  <c r="N706" i="19"/>
  <c r="O705" i="19"/>
  <c r="N705" i="19"/>
  <c r="O704" i="19"/>
  <c r="N704" i="19"/>
  <c r="O703" i="19"/>
  <c r="N703" i="19"/>
  <c r="O702" i="19"/>
  <c r="N702" i="19"/>
  <c r="O679" i="19"/>
  <c r="N679" i="19"/>
  <c r="O665" i="19"/>
  <c r="N665" i="19"/>
  <c r="O925" i="19"/>
  <c r="N925" i="19"/>
  <c r="O903" i="19"/>
  <c r="N903" i="19"/>
  <c r="O902" i="19"/>
  <c r="N902" i="19"/>
  <c r="O896" i="19"/>
  <c r="N896" i="19"/>
  <c r="O895" i="19"/>
  <c r="N895" i="19"/>
  <c r="O894" i="19"/>
  <c r="N894" i="19"/>
  <c r="O893" i="19"/>
  <c r="N893" i="19"/>
  <c r="O892" i="19"/>
  <c r="N892" i="19"/>
  <c r="O891" i="19"/>
  <c r="N891" i="19"/>
  <c r="O297" i="19"/>
  <c r="N297" i="19"/>
  <c r="O555" i="19"/>
  <c r="N555" i="19"/>
  <c r="O912" i="19"/>
  <c r="N912" i="19"/>
  <c r="O296" i="19"/>
  <c r="N296" i="19"/>
  <c r="O554" i="19"/>
  <c r="N554" i="19"/>
  <c r="O911" i="19"/>
  <c r="N911" i="19"/>
  <c r="O291" i="19"/>
  <c r="N291" i="19"/>
  <c r="O553" i="19"/>
  <c r="N553" i="19"/>
  <c r="O910" i="19"/>
  <c r="N910" i="19"/>
  <c r="O909" i="19"/>
  <c r="N909" i="19"/>
  <c r="O290" i="19"/>
  <c r="N290" i="19"/>
  <c r="O566" i="19"/>
  <c r="N566" i="19"/>
  <c r="O551" i="19"/>
  <c r="N551" i="19"/>
  <c r="O552" i="19"/>
  <c r="N552" i="19"/>
  <c r="O549" i="19"/>
  <c r="N549" i="19"/>
  <c r="O281" i="19"/>
  <c r="N281" i="19"/>
  <c r="O550" i="19"/>
  <c r="N550" i="19"/>
  <c r="O926" i="19"/>
  <c r="N926" i="19"/>
  <c r="O283" i="19"/>
  <c r="N283" i="19"/>
  <c r="O208" i="19"/>
  <c r="N208" i="19"/>
  <c r="O209" i="19"/>
  <c r="N209" i="19"/>
  <c r="O266" i="19"/>
  <c r="N266" i="19"/>
  <c r="O265" i="19"/>
  <c r="N265" i="19"/>
  <c r="O264" i="19"/>
  <c r="N264" i="19"/>
  <c r="O263" i="19"/>
  <c r="N263" i="19"/>
  <c r="O151" i="19"/>
  <c r="N151" i="19"/>
  <c r="O153" i="19"/>
  <c r="N153" i="19"/>
  <c r="O152" i="19"/>
  <c r="N152" i="19"/>
  <c r="O293" i="19"/>
  <c r="N293" i="19"/>
  <c r="O292" i="19"/>
  <c r="N292" i="19"/>
  <c r="O288" i="19"/>
  <c r="N288" i="19"/>
  <c r="O286" i="19"/>
  <c r="N286" i="19"/>
  <c r="O271" i="19"/>
  <c r="N271" i="19"/>
  <c r="O270" i="19"/>
  <c r="N270" i="19"/>
  <c r="O269" i="19"/>
  <c r="N269" i="19"/>
  <c r="O268" i="19"/>
  <c r="N268" i="19"/>
  <c r="O267" i="19"/>
  <c r="N267" i="19"/>
  <c r="O367" i="19"/>
  <c r="N367" i="19"/>
  <c r="O366" i="19"/>
  <c r="N366" i="19"/>
  <c r="O365" i="19"/>
  <c r="N365" i="19"/>
  <c r="O364" i="19"/>
  <c r="N364" i="19"/>
  <c r="O316" i="19"/>
  <c r="N316" i="19"/>
  <c r="O315" i="19"/>
  <c r="N315" i="19"/>
  <c r="O300" i="19"/>
  <c r="N300" i="19"/>
  <c r="O295" i="19"/>
  <c r="N295" i="19"/>
  <c r="O294" i="19"/>
  <c r="N294" i="19"/>
  <c r="O383" i="19"/>
  <c r="N383" i="19"/>
  <c r="O375" i="19"/>
  <c r="N375" i="19"/>
  <c r="O374" i="19"/>
  <c r="N374" i="19"/>
  <c r="O373" i="19"/>
  <c r="N373" i="19"/>
  <c r="O372" i="19"/>
  <c r="N372" i="19"/>
  <c r="O371" i="19"/>
  <c r="N371" i="19"/>
  <c r="O370" i="19"/>
  <c r="N370" i="19"/>
  <c r="O369" i="19"/>
  <c r="N369" i="19"/>
  <c r="O368" i="19"/>
  <c r="N368" i="19"/>
  <c r="O392" i="19"/>
  <c r="N392" i="19"/>
  <c r="O391" i="19"/>
  <c r="N391" i="19"/>
  <c r="O390" i="19"/>
  <c r="N390" i="19"/>
  <c r="O389" i="19"/>
  <c r="N389" i="19"/>
  <c r="O388" i="19"/>
  <c r="N388" i="19"/>
  <c r="O387" i="19"/>
  <c r="N387" i="19"/>
  <c r="O386" i="19"/>
  <c r="N386" i="19"/>
  <c r="O385" i="19"/>
  <c r="N385" i="19"/>
  <c r="O384" i="19"/>
  <c r="N384" i="19"/>
  <c r="O488" i="19"/>
  <c r="N488" i="19"/>
  <c r="O487" i="19"/>
  <c r="N487" i="19"/>
  <c r="O438" i="19"/>
  <c r="N438" i="19"/>
  <c r="O437" i="19"/>
  <c r="N437" i="19"/>
  <c r="O436" i="19"/>
  <c r="N436" i="19"/>
  <c r="O434" i="19"/>
  <c r="N434" i="19"/>
  <c r="O433" i="19"/>
  <c r="N433" i="19"/>
  <c r="O394" i="19"/>
  <c r="N394" i="19"/>
  <c r="O393" i="19"/>
  <c r="N393" i="19"/>
  <c r="O517" i="19"/>
  <c r="N517" i="19"/>
  <c r="O516" i="19"/>
  <c r="N516" i="19"/>
  <c r="O515" i="19"/>
  <c r="N515" i="19"/>
  <c r="O514" i="19"/>
  <c r="N514" i="19"/>
  <c r="O513" i="19"/>
  <c r="N513" i="19"/>
  <c r="O512" i="19"/>
  <c r="N512" i="19"/>
  <c r="O511" i="19"/>
  <c r="N511" i="19"/>
  <c r="O510" i="19"/>
  <c r="N510" i="19"/>
  <c r="O509" i="19"/>
  <c r="N509" i="19"/>
  <c r="O755" i="19"/>
  <c r="N755" i="19"/>
  <c r="O757" i="19"/>
  <c r="N757" i="19"/>
  <c r="O765" i="19"/>
  <c r="N765" i="19"/>
  <c r="O796" i="19"/>
  <c r="N796" i="19"/>
  <c r="O843" i="19"/>
  <c r="N843" i="19"/>
  <c r="O900" i="19"/>
  <c r="N900" i="19"/>
  <c r="O277" i="19"/>
  <c r="N277" i="19"/>
  <c r="O548" i="19"/>
  <c r="N548" i="19"/>
  <c r="O901" i="19"/>
  <c r="N901" i="19"/>
  <c r="O924" i="19"/>
  <c r="N924" i="19"/>
  <c r="O678" i="19"/>
  <c r="N678" i="19"/>
  <c r="O435" i="19"/>
  <c r="N435" i="19"/>
  <c r="O181" i="19"/>
  <c r="N181" i="19"/>
  <c r="O183" i="19"/>
  <c r="N183" i="19"/>
  <c r="O182" i="19"/>
  <c r="N182" i="19"/>
  <c r="O162" i="19"/>
  <c r="N162" i="19"/>
  <c r="O161" i="19"/>
  <c r="N161" i="19"/>
  <c r="O160" i="19"/>
  <c r="N160" i="19"/>
  <c r="O159" i="19"/>
  <c r="N159" i="19"/>
  <c r="O158" i="19"/>
  <c r="N158" i="19"/>
  <c r="O157" i="19"/>
  <c r="N157" i="19"/>
  <c r="O156" i="19"/>
  <c r="N156" i="19"/>
  <c r="O155" i="19"/>
  <c r="N155" i="19"/>
  <c r="O154" i="19"/>
  <c r="N154" i="19"/>
  <c r="O180" i="19"/>
  <c r="N180" i="19"/>
  <c r="O179" i="19"/>
  <c r="N179" i="19"/>
  <c r="O178" i="19"/>
  <c r="N178" i="19"/>
  <c r="O177" i="19"/>
  <c r="N177" i="19"/>
  <c r="O176" i="19"/>
  <c r="N176" i="19"/>
  <c r="O175" i="19"/>
  <c r="N175" i="19"/>
  <c r="O174" i="19"/>
  <c r="N174" i="19"/>
  <c r="O173" i="19"/>
  <c r="N173" i="19"/>
  <c r="O172" i="19"/>
  <c r="N172" i="19"/>
  <c r="O171" i="19"/>
  <c r="N171" i="19"/>
  <c r="O170" i="19"/>
  <c r="N170" i="19"/>
  <c r="O169" i="19"/>
  <c r="N169" i="19"/>
  <c r="O168" i="19"/>
  <c r="N168" i="19"/>
  <c r="O167" i="19"/>
  <c r="N167" i="19"/>
  <c r="O166" i="19"/>
  <c r="N166" i="19"/>
  <c r="O165" i="19"/>
  <c r="N165" i="19"/>
  <c r="O164" i="19"/>
  <c r="N164" i="19"/>
  <c r="O163" i="19"/>
  <c r="N163" i="19"/>
  <c r="O82" i="19"/>
  <c r="N82" i="19"/>
  <c r="O83" i="19"/>
  <c r="N83" i="19"/>
  <c r="O115" i="19"/>
  <c r="N115" i="19"/>
  <c r="O114" i="19"/>
  <c r="N114" i="19"/>
  <c r="O98" i="19"/>
  <c r="N98" i="19"/>
  <c r="O96" i="19"/>
  <c r="N96" i="19"/>
  <c r="O94" i="19"/>
  <c r="N94" i="19"/>
  <c r="O113" i="19"/>
  <c r="O92" i="19"/>
  <c r="N92" i="19"/>
  <c r="O112" i="19"/>
  <c r="N112" i="19"/>
  <c r="O922" i="19"/>
  <c r="N922" i="19"/>
  <c r="O863" i="19"/>
  <c r="N863" i="19"/>
  <c r="O862" i="19"/>
  <c r="N862" i="19"/>
  <c r="O861" i="19"/>
  <c r="N861" i="19"/>
  <c r="O921" i="19"/>
  <c r="N921" i="19"/>
  <c r="O908" i="19"/>
  <c r="N908" i="19"/>
  <c r="O834" i="19"/>
  <c r="N834" i="19"/>
  <c r="O860" i="19"/>
  <c r="N860" i="19"/>
  <c r="O780" i="19"/>
  <c r="N780" i="19"/>
  <c r="O776" i="19"/>
  <c r="N776" i="19"/>
  <c r="O783" i="19"/>
  <c r="N783" i="19"/>
  <c r="O782" i="19"/>
  <c r="N782" i="19"/>
  <c r="O773" i="19"/>
  <c r="N773" i="19"/>
  <c r="E773" i="19"/>
  <c r="O775" i="19"/>
  <c r="N775" i="19"/>
  <c r="E775" i="19"/>
  <c r="O774" i="19"/>
  <c r="N774" i="19"/>
  <c r="O772" i="19"/>
  <c r="N772" i="19"/>
  <c r="O771" i="19"/>
  <c r="N771" i="19"/>
  <c r="O770" i="19"/>
  <c r="N770" i="19"/>
  <c r="O768" i="19"/>
  <c r="N768" i="19"/>
  <c r="O769" i="19"/>
  <c r="N769" i="19"/>
  <c r="O673" i="19"/>
  <c r="N673" i="19"/>
  <c r="O677" i="19"/>
  <c r="N677" i="19"/>
  <c r="O676" i="19"/>
  <c r="N676" i="19"/>
  <c r="O671" i="19"/>
  <c r="N671" i="19"/>
  <c r="O672" i="19"/>
  <c r="N672" i="19"/>
  <c r="O670" i="19"/>
  <c r="N670" i="19"/>
  <c r="O429" i="19"/>
  <c r="N429" i="19"/>
  <c r="O379" i="19"/>
  <c r="N379" i="19"/>
  <c r="O378" i="19"/>
  <c r="N378" i="19"/>
  <c r="O377" i="19"/>
  <c r="N377" i="19"/>
  <c r="O376" i="19"/>
  <c r="N376" i="19"/>
  <c r="O382" i="19"/>
  <c r="N382" i="19"/>
  <c r="O381" i="19"/>
  <c r="N381" i="19"/>
  <c r="O781" i="19"/>
  <c r="N781" i="19"/>
  <c r="O779" i="19"/>
  <c r="N779" i="19"/>
  <c r="O778" i="19"/>
  <c r="N778" i="19"/>
  <c r="O431" i="19"/>
  <c r="N431" i="19"/>
  <c r="O475" i="19"/>
  <c r="N475" i="19"/>
  <c r="O479" i="19"/>
  <c r="N479" i="19"/>
  <c r="O477" i="19"/>
  <c r="N477" i="19"/>
  <c r="O202" i="19"/>
  <c r="N202" i="19"/>
  <c r="O201" i="19"/>
  <c r="N201" i="19"/>
  <c r="O200" i="19"/>
  <c r="N200" i="19"/>
  <c r="O427" i="19"/>
  <c r="N427" i="19"/>
  <c r="O746" i="19"/>
  <c r="N746" i="19"/>
  <c r="O199" i="19"/>
  <c r="N199" i="19"/>
  <c r="O198" i="19"/>
  <c r="N198" i="19"/>
  <c r="O197" i="19"/>
  <c r="N197" i="19"/>
  <c r="O426" i="19"/>
  <c r="N426" i="19"/>
  <c r="O745" i="19"/>
  <c r="N745" i="19"/>
  <c r="O601" i="19"/>
  <c r="N601" i="19"/>
  <c r="O842" i="19"/>
  <c r="N842" i="19"/>
  <c r="O841" i="19"/>
  <c r="N841" i="19"/>
  <c r="O840" i="19"/>
  <c r="N840" i="19"/>
  <c r="O839" i="19"/>
  <c r="N839" i="19"/>
  <c r="O838" i="19"/>
  <c r="N838" i="19"/>
  <c r="O930" i="19"/>
  <c r="N930" i="19"/>
  <c r="O600" i="19"/>
  <c r="N600" i="19"/>
  <c r="O929" i="19"/>
  <c r="N929" i="19"/>
  <c r="O425" i="19"/>
  <c r="N425" i="19"/>
  <c r="O424" i="19"/>
  <c r="N424" i="19"/>
  <c r="O423" i="19"/>
  <c r="N423" i="19"/>
  <c r="O422" i="19"/>
  <c r="N422" i="19"/>
  <c r="O421" i="19"/>
  <c r="N421" i="19"/>
  <c r="O420" i="19"/>
  <c r="N420" i="19"/>
  <c r="O859" i="19"/>
  <c r="N859" i="19"/>
  <c r="O419" i="19"/>
  <c r="N419" i="19"/>
  <c r="O851" i="19"/>
  <c r="N851" i="19"/>
  <c r="O327" i="19"/>
  <c r="N327" i="19"/>
  <c r="O326" i="19"/>
  <c r="N326" i="19"/>
  <c r="O328" i="19"/>
  <c r="N328" i="19"/>
  <c r="O324" i="19"/>
  <c r="N324" i="19"/>
  <c r="O323" i="19"/>
  <c r="N323" i="19"/>
  <c r="O325" i="19"/>
  <c r="N325" i="19"/>
  <c r="O418" i="19"/>
  <c r="N418" i="19"/>
  <c r="O417" i="19"/>
  <c r="N417" i="19"/>
  <c r="O108" i="19"/>
  <c r="N108" i="19"/>
  <c r="O120" i="19"/>
  <c r="N120" i="19"/>
  <c r="O832" i="19"/>
  <c r="N832" i="19"/>
  <c r="O831" i="19"/>
  <c r="N831" i="19"/>
  <c r="O830" i="19"/>
  <c r="N830" i="19"/>
  <c r="O829" i="19"/>
  <c r="N829" i="19"/>
  <c r="O828" i="19"/>
  <c r="N828" i="19"/>
  <c r="O856" i="19"/>
  <c r="N856" i="19"/>
  <c r="O887" i="19"/>
  <c r="N887" i="19"/>
  <c r="O815" i="19"/>
  <c r="N815" i="19"/>
  <c r="O848" i="19"/>
  <c r="N848" i="19"/>
  <c r="O886" i="19"/>
  <c r="N886" i="19"/>
  <c r="O798" i="19"/>
  <c r="N798" i="19"/>
  <c r="O827" i="19"/>
  <c r="N827" i="19"/>
  <c r="O826" i="19"/>
  <c r="N826" i="19"/>
  <c r="O825" i="19"/>
  <c r="N825" i="19"/>
  <c r="O824" i="19"/>
  <c r="N824" i="19"/>
  <c r="O823" i="19"/>
  <c r="N823" i="19"/>
  <c r="O822" i="19"/>
  <c r="N822" i="19"/>
  <c r="O855" i="19"/>
  <c r="N855" i="19"/>
  <c r="O797" i="19"/>
  <c r="N797" i="19"/>
  <c r="O814" i="19"/>
  <c r="N814" i="19"/>
  <c r="O847" i="19"/>
  <c r="N847" i="19"/>
  <c r="O107" i="19"/>
  <c r="N107" i="19"/>
  <c r="O119" i="19"/>
  <c r="N119" i="19"/>
  <c r="O322" i="19"/>
  <c r="N322" i="19"/>
  <c r="O565" i="19"/>
  <c r="N565" i="19"/>
  <c r="O923" i="19"/>
  <c r="N923" i="19"/>
  <c r="O414" i="19"/>
  <c r="N414" i="19"/>
  <c r="O413" i="19"/>
  <c r="N413" i="19"/>
  <c r="O412" i="19"/>
  <c r="N412" i="19"/>
  <c r="O411" i="19"/>
  <c r="N411" i="19"/>
  <c r="O410" i="19"/>
  <c r="N410" i="19"/>
  <c r="O409" i="19"/>
  <c r="N409" i="19"/>
  <c r="O408" i="19"/>
  <c r="N408" i="19"/>
  <c r="O485" i="19"/>
  <c r="N485" i="19"/>
  <c r="O478" i="19"/>
  <c r="N478" i="19"/>
  <c r="O444" i="19"/>
  <c r="N444" i="19"/>
  <c r="O443" i="19"/>
  <c r="N443" i="19"/>
  <c r="O441" i="19"/>
  <c r="N441" i="19"/>
  <c r="O440" i="19"/>
  <c r="N440" i="19"/>
  <c r="O430" i="19"/>
  <c r="N430" i="19"/>
  <c r="O761" i="19"/>
  <c r="N761" i="19"/>
  <c r="O760" i="19"/>
  <c r="N760" i="19"/>
  <c r="O763" i="19"/>
  <c r="N763" i="19"/>
  <c r="O794" i="19"/>
  <c r="N794" i="19"/>
  <c r="O764" i="19"/>
  <c r="N764" i="19"/>
  <c r="O795" i="19"/>
  <c r="N795" i="19"/>
  <c r="O307" i="19"/>
  <c r="N307" i="19"/>
  <c r="O306" i="19"/>
  <c r="N306" i="19"/>
  <c r="O305" i="19"/>
  <c r="N305" i="19"/>
  <c r="O304" i="19"/>
  <c r="N304" i="19"/>
  <c r="O303" i="19"/>
  <c r="N303" i="19"/>
  <c r="O302" i="19"/>
  <c r="N302" i="19"/>
  <c r="O301" i="19"/>
  <c r="N301" i="19"/>
  <c r="O407" i="19"/>
  <c r="N407" i="19"/>
  <c r="O406" i="19"/>
  <c r="N406" i="19"/>
  <c r="O405" i="19"/>
  <c r="N405" i="19"/>
  <c r="O404" i="19"/>
  <c r="N404" i="19"/>
  <c r="O403" i="19"/>
  <c r="N403" i="19"/>
  <c r="O402" i="19"/>
  <c r="N402" i="19"/>
  <c r="O401" i="19"/>
  <c r="N401" i="19"/>
  <c r="O701" i="19"/>
  <c r="N701" i="19"/>
  <c r="O750" i="19"/>
  <c r="N750" i="19"/>
  <c r="O43" i="19"/>
  <c r="N43" i="19"/>
  <c r="O42" i="19"/>
  <c r="N42" i="19"/>
  <c r="O56" i="19"/>
  <c r="N56" i="19"/>
  <c r="O55" i="19"/>
  <c r="N55" i="19"/>
  <c r="O54" i="19"/>
  <c r="N54" i="19"/>
  <c r="O53" i="19"/>
  <c r="N53" i="19"/>
  <c r="O52" i="19"/>
  <c r="N52" i="19"/>
  <c r="O51" i="19"/>
  <c r="N51" i="19"/>
  <c r="O50" i="19"/>
  <c r="N50" i="19"/>
  <c r="O140" i="19"/>
  <c r="N140" i="19"/>
  <c r="O139" i="19"/>
  <c r="N139" i="19"/>
  <c r="O138" i="19"/>
  <c r="N138" i="19"/>
  <c r="O137" i="19"/>
  <c r="N137" i="19"/>
  <c r="O136" i="19"/>
  <c r="N136" i="19"/>
  <c r="O135" i="19"/>
  <c r="N135" i="19"/>
  <c r="O134" i="19"/>
  <c r="N134" i="19"/>
  <c r="O217" i="19"/>
  <c r="N217" i="19"/>
  <c r="O216" i="19"/>
  <c r="N216" i="19"/>
  <c r="O215" i="19"/>
  <c r="N215" i="19"/>
  <c r="O214" i="19"/>
  <c r="N214" i="19"/>
  <c r="O213" i="19"/>
  <c r="N213" i="19"/>
  <c r="O212" i="19"/>
  <c r="N212" i="19"/>
  <c r="O211" i="19"/>
  <c r="N211" i="19"/>
  <c r="O225" i="19"/>
  <c r="N225" i="19"/>
  <c r="O224" i="19"/>
  <c r="N224" i="19"/>
  <c r="O223" i="19"/>
  <c r="N223" i="19"/>
  <c r="O222" i="19"/>
  <c r="N222" i="19"/>
  <c r="O221" i="19"/>
  <c r="N221" i="19"/>
  <c r="O220" i="19"/>
  <c r="N220" i="19"/>
  <c r="O219" i="19"/>
  <c r="N219" i="19"/>
  <c r="O233" i="19"/>
  <c r="N233" i="19"/>
  <c r="O232" i="19"/>
  <c r="N232" i="19"/>
  <c r="O231" i="19"/>
  <c r="N231" i="19"/>
  <c r="O230" i="19"/>
  <c r="N230" i="19"/>
  <c r="O229" i="19"/>
  <c r="N229" i="19"/>
  <c r="O228" i="19"/>
  <c r="N228" i="19"/>
  <c r="O227" i="19"/>
  <c r="N227" i="19"/>
  <c r="O584" i="19"/>
  <c r="N584" i="19"/>
  <c r="O583" i="19"/>
  <c r="N583" i="19"/>
  <c r="O582" i="19"/>
  <c r="N582" i="19"/>
  <c r="O581" i="19"/>
  <c r="N581" i="19"/>
  <c r="O580" i="19"/>
  <c r="N580" i="19"/>
  <c r="O579" i="19"/>
  <c r="N579" i="19"/>
  <c r="O578" i="19"/>
  <c r="N578" i="19"/>
  <c r="O639" i="19"/>
  <c r="N639" i="19"/>
  <c r="O638" i="19"/>
  <c r="N638" i="19"/>
  <c r="O637" i="19"/>
  <c r="N637" i="19"/>
  <c r="O636" i="19"/>
  <c r="N636" i="19"/>
  <c r="O635" i="19"/>
  <c r="N635" i="19"/>
  <c r="O634" i="19"/>
  <c r="N634" i="19"/>
  <c r="O633" i="19"/>
  <c r="N633" i="19"/>
  <c r="O647" i="19"/>
  <c r="N647" i="19"/>
  <c r="O646" i="19"/>
  <c r="N646" i="19"/>
  <c r="O645" i="19"/>
  <c r="N645" i="19"/>
  <c r="O644" i="19"/>
  <c r="N644" i="19"/>
  <c r="O643" i="19"/>
  <c r="N643" i="19"/>
  <c r="O642" i="19"/>
  <c r="N642" i="19"/>
  <c r="O641" i="19"/>
  <c r="N641" i="19"/>
  <c r="O655" i="19"/>
  <c r="N655" i="19"/>
  <c r="O654" i="19"/>
  <c r="N654" i="19"/>
  <c r="O653" i="19"/>
  <c r="N653" i="19"/>
  <c r="O652" i="19"/>
  <c r="N652" i="19"/>
  <c r="O651" i="19"/>
  <c r="N651" i="19"/>
  <c r="O650" i="19"/>
  <c r="N650" i="19"/>
  <c r="O649" i="19"/>
  <c r="N649" i="19"/>
  <c r="O289" i="19"/>
  <c r="N289" i="19"/>
  <c r="O499" i="19"/>
  <c r="N499" i="19"/>
  <c r="O498" i="19"/>
  <c r="N498" i="19"/>
  <c r="O547" i="19"/>
  <c r="N547" i="19"/>
  <c r="O700" i="19"/>
  <c r="N700" i="19"/>
  <c r="O699" i="19"/>
  <c r="N699" i="19"/>
  <c r="O698" i="19"/>
  <c r="N698" i="19"/>
  <c r="O697" i="19"/>
  <c r="N697" i="19"/>
  <c r="O696" i="19"/>
  <c r="N696" i="19"/>
  <c r="O695" i="19"/>
  <c r="N695" i="19"/>
  <c r="O694" i="19"/>
  <c r="N694" i="19"/>
  <c r="O287" i="19"/>
  <c r="N287" i="19"/>
  <c r="O497" i="19"/>
  <c r="N497" i="19"/>
  <c r="O496" i="19"/>
  <c r="N496" i="19"/>
  <c r="O546" i="19"/>
  <c r="N546" i="19"/>
  <c r="O693" i="19"/>
  <c r="N693" i="19"/>
  <c r="O189" i="19"/>
  <c r="N189" i="19"/>
  <c r="O285" i="19"/>
  <c r="N285" i="19"/>
  <c r="L545" i="19"/>
  <c r="K545" i="19"/>
  <c r="O629" i="19"/>
  <c r="N629" i="19"/>
  <c r="O628" i="19"/>
  <c r="N628" i="19"/>
  <c r="O627" i="19"/>
  <c r="N627" i="19"/>
  <c r="O626" i="19"/>
  <c r="N626" i="19"/>
  <c r="O625" i="19"/>
  <c r="N625" i="19"/>
  <c r="O624" i="19"/>
  <c r="N624" i="19"/>
  <c r="O623" i="19"/>
  <c r="N623" i="19"/>
  <c r="O692" i="19"/>
  <c r="N692" i="19"/>
  <c r="O508" i="19"/>
  <c r="N508" i="19"/>
  <c r="O507" i="19"/>
  <c r="N507" i="19"/>
  <c r="O544" i="19"/>
  <c r="N544" i="19"/>
  <c r="O495" i="19"/>
  <c r="N495" i="19"/>
  <c r="O494" i="19"/>
  <c r="N494" i="19"/>
  <c r="O543" i="19"/>
  <c r="N543" i="19"/>
  <c r="O490" i="19"/>
  <c r="N490" i="19"/>
  <c r="O542" i="19"/>
  <c r="N542" i="19"/>
  <c r="O630" i="19"/>
  <c r="N630" i="19"/>
  <c r="O631" i="19"/>
  <c r="N631" i="19"/>
  <c r="O632" i="19"/>
  <c r="N632" i="19"/>
  <c r="O821" i="19"/>
  <c r="N821" i="19"/>
  <c r="O820" i="19"/>
  <c r="N820" i="19"/>
  <c r="O819" i="19"/>
  <c r="N819" i="19"/>
  <c r="O818" i="19"/>
  <c r="N818" i="19"/>
  <c r="O817" i="19"/>
  <c r="N817" i="19"/>
  <c r="O816" i="19"/>
  <c r="N816" i="19"/>
  <c r="O837" i="19"/>
  <c r="N837" i="19"/>
  <c r="O813" i="19"/>
  <c r="N813" i="19"/>
  <c r="O864" i="19"/>
  <c r="N864" i="19"/>
  <c r="O284" i="19"/>
  <c r="N284" i="19"/>
  <c r="O493" i="19"/>
  <c r="N493" i="19"/>
  <c r="O492" i="19"/>
  <c r="N492" i="19"/>
  <c r="O541" i="19"/>
  <c r="N541" i="19"/>
  <c r="O691" i="19"/>
  <c r="N691" i="19"/>
  <c r="K483" i="19"/>
  <c r="O483" i="19" s="1"/>
  <c r="O503" i="19"/>
  <c r="N503" i="19"/>
  <c r="O504" i="19"/>
  <c r="N504" i="19"/>
  <c r="O564" i="19"/>
  <c r="N564" i="19"/>
  <c r="O920" i="19"/>
  <c r="N920" i="19"/>
  <c r="O845" i="19"/>
  <c r="N845" i="19"/>
  <c r="O833" i="19"/>
  <c r="N833" i="19"/>
  <c r="O846" i="19"/>
  <c r="N846" i="19"/>
  <c r="O540" i="19"/>
  <c r="N540" i="19"/>
  <c r="O575" i="19"/>
  <c r="N575" i="19"/>
  <c r="O749" i="19"/>
  <c r="N749" i="19"/>
  <c r="O777" i="19"/>
  <c r="N777" i="19"/>
  <c r="O532" i="19"/>
  <c r="N532" i="19"/>
  <c r="O538" i="19"/>
  <c r="N538" i="19"/>
  <c r="O539" i="19"/>
  <c r="N539" i="19"/>
  <c r="O563" i="19"/>
  <c r="N563" i="19"/>
  <c r="O919" i="19"/>
  <c r="N919" i="19"/>
  <c r="O248" i="19"/>
  <c r="N248" i="19"/>
  <c r="O247" i="19"/>
  <c r="N247" i="19"/>
  <c r="O246" i="19"/>
  <c r="N246" i="19"/>
  <c r="O245" i="19"/>
  <c r="N245" i="19"/>
  <c r="O244" i="19"/>
  <c r="N244" i="19"/>
  <c r="O243" i="19"/>
  <c r="N243" i="19"/>
  <c r="O242" i="19"/>
  <c r="N242" i="19"/>
  <c r="O241" i="19"/>
  <c r="N241" i="19"/>
  <c r="O240" i="19"/>
  <c r="N240" i="19"/>
  <c r="O239" i="19"/>
  <c r="N239" i="19"/>
  <c r="O238" i="19"/>
  <c r="N238" i="19"/>
  <c r="O237" i="19"/>
  <c r="N237" i="19"/>
  <c r="O236" i="19"/>
  <c r="N236" i="19"/>
  <c r="O235" i="19"/>
  <c r="N235" i="19"/>
  <c r="O262" i="19"/>
  <c r="N262" i="19"/>
  <c r="O261" i="19"/>
  <c r="N261" i="19"/>
  <c r="O260" i="19"/>
  <c r="N260" i="19"/>
  <c r="O259" i="19"/>
  <c r="N259" i="19"/>
  <c r="O258" i="19"/>
  <c r="N258" i="19"/>
  <c r="O257" i="19"/>
  <c r="N257" i="19"/>
  <c r="O256" i="19"/>
  <c r="N256" i="19"/>
  <c r="O255" i="19"/>
  <c r="N255" i="19"/>
  <c r="O254" i="19"/>
  <c r="N254" i="19"/>
  <c r="O253" i="19"/>
  <c r="N253" i="19"/>
  <c r="O252" i="19"/>
  <c r="N252" i="19"/>
  <c r="O251" i="19"/>
  <c r="N251" i="19"/>
  <c r="O250" i="19"/>
  <c r="N250" i="19"/>
  <c r="O249" i="19"/>
  <c r="N249" i="19"/>
  <c r="O349" i="19"/>
  <c r="N349" i="19"/>
  <c r="O348" i="19"/>
  <c r="N348" i="19"/>
  <c r="O347" i="19"/>
  <c r="N347" i="19"/>
  <c r="O346" i="19"/>
  <c r="N346" i="19"/>
  <c r="O345" i="19"/>
  <c r="N345" i="19"/>
  <c r="O344" i="19"/>
  <c r="N344" i="19"/>
  <c r="O343" i="19"/>
  <c r="N343" i="19"/>
  <c r="O342" i="19"/>
  <c r="N342" i="19"/>
  <c r="O341" i="19"/>
  <c r="N341" i="19"/>
  <c r="O340" i="19"/>
  <c r="N340" i="19"/>
  <c r="O339" i="19"/>
  <c r="N339" i="19"/>
  <c r="O338" i="19"/>
  <c r="N338" i="19"/>
  <c r="O337" i="19"/>
  <c r="N337" i="19"/>
  <c r="O336" i="19"/>
  <c r="N336" i="19"/>
  <c r="O363" i="19"/>
  <c r="N363" i="19"/>
  <c r="O362" i="19"/>
  <c r="N362" i="19"/>
  <c r="O361" i="19"/>
  <c r="N361" i="19"/>
  <c r="O360" i="19"/>
  <c r="N360" i="19"/>
  <c r="O359" i="19"/>
  <c r="N359" i="19"/>
  <c r="O358" i="19"/>
  <c r="N358" i="19"/>
  <c r="O357" i="19"/>
  <c r="N357" i="19"/>
  <c r="O356" i="19"/>
  <c r="N356" i="19"/>
  <c r="O355" i="19"/>
  <c r="N355" i="19"/>
  <c r="O354" i="19"/>
  <c r="N354" i="19"/>
  <c r="O353" i="19"/>
  <c r="N353" i="19"/>
  <c r="O352" i="19"/>
  <c r="N352" i="19"/>
  <c r="O351" i="19"/>
  <c r="N351" i="19"/>
  <c r="O350" i="19"/>
  <c r="N350" i="19"/>
  <c r="O458" i="19"/>
  <c r="N458" i="19"/>
  <c r="O457" i="19"/>
  <c r="N457" i="19"/>
  <c r="O456" i="19"/>
  <c r="N456" i="19"/>
  <c r="O455" i="19"/>
  <c r="N455" i="19"/>
  <c r="O454" i="19"/>
  <c r="N454" i="19"/>
  <c r="O453" i="19"/>
  <c r="N453" i="19"/>
  <c r="O452" i="19"/>
  <c r="N452" i="19"/>
  <c r="O451" i="19"/>
  <c r="N451" i="19"/>
  <c r="O450" i="19"/>
  <c r="N450" i="19"/>
  <c r="O449" i="19"/>
  <c r="N449" i="19"/>
  <c r="O448" i="19"/>
  <c r="N448" i="19"/>
  <c r="O447" i="19"/>
  <c r="N447" i="19"/>
  <c r="O446" i="19"/>
  <c r="N446" i="19"/>
  <c r="O445" i="19"/>
  <c r="N445" i="19"/>
  <c r="O474" i="19"/>
  <c r="N474" i="19"/>
  <c r="O473" i="19"/>
  <c r="N473" i="19"/>
  <c r="O472" i="19"/>
  <c r="N472" i="19"/>
  <c r="O471" i="19"/>
  <c r="N471" i="19"/>
  <c r="O470" i="19"/>
  <c r="N470" i="19"/>
  <c r="O469" i="19"/>
  <c r="N469" i="19"/>
  <c r="O468" i="19"/>
  <c r="N468" i="19"/>
  <c r="O467" i="19"/>
  <c r="N467" i="19"/>
  <c r="O466" i="19"/>
  <c r="N466" i="19"/>
  <c r="O465" i="19"/>
  <c r="N465" i="19"/>
  <c r="O464" i="19"/>
  <c r="N464" i="19"/>
  <c r="O463" i="19"/>
  <c r="N463" i="19"/>
  <c r="O462" i="19"/>
  <c r="N462" i="19"/>
  <c r="O461" i="19"/>
  <c r="N461" i="19"/>
  <c r="O531" i="19"/>
  <c r="N531" i="19"/>
  <c r="O530" i="19"/>
  <c r="N530" i="19"/>
  <c r="O529" i="19"/>
  <c r="N529" i="19"/>
  <c r="O528" i="19"/>
  <c r="N528" i="19"/>
  <c r="O527" i="19"/>
  <c r="N527" i="19"/>
  <c r="O526" i="19"/>
  <c r="N526" i="19"/>
  <c r="O525" i="19"/>
  <c r="N525" i="19"/>
  <c r="O524" i="19"/>
  <c r="N524" i="19"/>
  <c r="O523" i="19"/>
  <c r="N523" i="19"/>
  <c r="O522" i="19"/>
  <c r="N522" i="19"/>
  <c r="O521" i="19"/>
  <c r="N521" i="19"/>
  <c r="O520" i="19"/>
  <c r="N520" i="19"/>
  <c r="O519" i="19"/>
  <c r="N519" i="19"/>
  <c r="O518" i="19"/>
  <c r="N518" i="19"/>
  <c r="O599" i="19"/>
  <c r="N599" i="19"/>
  <c r="O598" i="19"/>
  <c r="N598" i="19"/>
  <c r="O597" i="19"/>
  <c r="N597" i="19"/>
  <c r="O596" i="19"/>
  <c r="N596" i="19"/>
  <c r="O595" i="19"/>
  <c r="N595" i="19"/>
  <c r="O594" i="19"/>
  <c r="N594" i="19"/>
  <c r="O593" i="19"/>
  <c r="N593" i="19"/>
  <c r="O592" i="19"/>
  <c r="N592" i="19"/>
  <c r="O591" i="19"/>
  <c r="N591" i="19"/>
  <c r="O590" i="19"/>
  <c r="N590" i="19"/>
  <c r="O589" i="19"/>
  <c r="N589" i="19"/>
  <c r="O588" i="19"/>
  <c r="N588" i="19"/>
  <c r="O587" i="19"/>
  <c r="N587" i="19"/>
  <c r="O586" i="19"/>
  <c r="N586" i="19"/>
  <c r="O724" i="19"/>
  <c r="N724" i="19"/>
  <c r="O723" i="19"/>
  <c r="N723" i="19"/>
  <c r="O722" i="19"/>
  <c r="N722" i="19"/>
  <c r="O721" i="19"/>
  <c r="N721" i="19"/>
  <c r="O720" i="19"/>
  <c r="N720" i="19"/>
  <c r="O719" i="19"/>
  <c r="N719" i="19"/>
  <c r="O718" i="19"/>
  <c r="N718" i="19"/>
  <c r="O717" i="19"/>
  <c r="N717" i="19"/>
  <c r="O716" i="19"/>
  <c r="N716" i="19"/>
  <c r="O715" i="19"/>
  <c r="N715" i="19"/>
  <c r="O714" i="19"/>
  <c r="N714" i="19"/>
  <c r="O713" i="19"/>
  <c r="N713" i="19"/>
  <c r="O712" i="19"/>
  <c r="N712" i="19"/>
  <c r="O711" i="19"/>
  <c r="N711" i="19"/>
  <c r="O743" i="19"/>
  <c r="N743" i="19"/>
  <c r="O742" i="19"/>
  <c r="N742" i="19"/>
  <c r="O741" i="19"/>
  <c r="N741" i="19"/>
  <c r="O740" i="19"/>
  <c r="N740" i="19"/>
  <c r="O739" i="19"/>
  <c r="N739" i="19"/>
  <c r="O738" i="19"/>
  <c r="N738" i="19"/>
  <c r="O737" i="19"/>
  <c r="N737" i="19"/>
  <c r="O736" i="19"/>
  <c r="N736" i="19"/>
  <c r="O735" i="19"/>
  <c r="N735" i="19"/>
  <c r="O734" i="19"/>
  <c r="N734" i="19"/>
  <c r="O733" i="19"/>
  <c r="N733" i="19"/>
  <c r="O732" i="19"/>
  <c r="N732" i="19"/>
  <c r="O731" i="19"/>
  <c r="N731" i="19"/>
  <c r="O730" i="19"/>
  <c r="N730" i="19"/>
  <c r="O812" i="19"/>
  <c r="N812" i="19"/>
  <c r="O811" i="19"/>
  <c r="N811" i="19"/>
  <c r="O810" i="19"/>
  <c r="N810" i="19"/>
  <c r="O809" i="19"/>
  <c r="N809" i="19"/>
  <c r="O808" i="19"/>
  <c r="N808" i="19"/>
  <c r="O807" i="19"/>
  <c r="N807" i="19"/>
  <c r="O806" i="19"/>
  <c r="N806" i="19"/>
  <c r="O805" i="19"/>
  <c r="N805" i="19"/>
  <c r="O804" i="19"/>
  <c r="N804" i="19"/>
  <c r="O803" i="19"/>
  <c r="N803" i="19"/>
  <c r="O802" i="19"/>
  <c r="N802" i="19"/>
  <c r="O801" i="19"/>
  <c r="N801" i="19"/>
  <c r="O800" i="19"/>
  <c r="N800" i="19"/>
  <c r="O799" i="19"/>
  <c r="N799" i="19"/>
  <c r="O319" i="19"/>
  <c r="N319" i="19"/>
  <c r="O320" i="19"/>
  <c r="N320" i="19"/>
  <c r="O321" i="19"/>
  <c r="N321" i="19"/>
  <c r="O537" i="19"/>
  <c r="N537" i="19"/>
  <c r="O916" i="19"/>
  <c r="N916" i="19"/>
  <c r="O439" i="19"/>
  <c r="N439" i="19"/>
  <c r="O669" i="19"/>
  <c r="N669" i="19"/>
  <c r="O668" i="19"/>
  <c r="N668" i="19"/>
  <c r="O667" i="19"/>
  <c r="N667" i="19"/>
  <c r="O666" i="19"/>
  <c r="N666" i="19"/>
  <c r="O299" i="19"/>
  <c r="N299" i="19"/>
  <c r="O318" i="19"/>
  <c r="N318" i="19"/>
  <c r="O562" i="19"/>
  <c r="N562" i="19"/>
  <c r="O918" i="19"/>
  <c r="N918" i="19"/>
  <c r="O102" i="19"/>
  <c r="N102" i="19"/>
  <c r="O118" i="19"/>
  <c r="N118" i="19"/>
  <c r="O489" i="19"/>
  <c r="N489" i="19"/>
  <c r="O491" i="19"/>
  <c r="N491" i="19"/>
  <c r="O502" i="19"/>
  <c r="N502" i="19"/>
  <c r="O317" i="19"/>
  <c r="N317" i="19"/>
  <c r="O559" i="19"/>
  <c r="N559" i="19"/>
  <c r="O915" i="19"/>
  <c r="N915" i="19"/>
  <c r="O101" i="19"/>
  <c r="N101" i="19"/>
  <c r="O117" i="19"/>
  <c r="N117" i="19"/>
  <c r="O188" i="19"/>
  <c r="N188" i="19"/>
  <c r="O280" i="19"/>
  <c r="N280" i="19"/>
  <c r="L536" i="19"/>
  <c r="K536" i="19"/>
  <c r="O622" i="19"/>
  <c r="N622" i="19"/>
  <c r="O621" i="19"/>
  <c r="N621" i="19"/>
  <c r="O620" i="19"/>
  <c r="N620" i="19"/>
  <c r="O619" i="19"/>
  <c r="N619" i="19"/>
  <c r="O618" i="19"/>
  <c r="N618" i="19"/>
  <c r="O617" i="19"/>
  <c r="N617" i="19"/>
  <c r="O616" i="19"/>
  <c r="N616" i="19"/>
  <c r="O690" i="19"/>
  <c r="N690" i="19"/>
  <c r="O187" i="19"/>
  <c r="N187" i="19"/>
  <c r="O279" i="19"/>
  <c r="N279" i="19"/>
  <c r="L535" i="19"/>
  <c r="K535" i="19"/>
  <c r="O615" i="19"/>
  <c r="N615" i="19"/>
  <c r="O614" i="19"/>
  <c r="N614" i="19"/>
  <c r="O613" i="19"/>
  <c r="N613" i="19"/>
  <c r="O612" i="19"/>
  <c r="N612" i="19"/>
  <c r="O611" i="19"/>
  <c r="N611" i="19"/>
  <c r="O610" i="19"/>
  <c r="N610" i="19"/>
  <c r="O609" i="19"/>
  <c r="N609" i="19"/>
  <c r="O689" i="19"/>
  <c r="N689" i="19"/>
  <c r="O688" i="19"/>
  <c r="N688" i="19"/>
  <c r="O687" i="19"/>
  <c r="N687" i="19"/>
  <c r="O686" i="19"/>
  <c r="N686" i="19"/>
  <c r="O685" i="19"/>
  <c r="N685" i="19"/>
  <c r="O684" i="19"/>
  <c r="N684" i="19"/>
  <c r="O683" i="19"/>
  <c r="N683" i="19"/>
  <c r="O186" i="19"/>
  <c r="N186" i="19"/>
  <c r="O278" i="19"/>
  <c r="N278" i="19"/>
  <c r="L534" i="19"/>
  <c r="K534" i="19"/>
  <c r="O608" i="19"/>
  <c r="N608" i="19"/>
  <c r="O607" i="19"/>
  <c r="N607" i="19"/>
  <c r="O606" i="19"/>
  <c r="N606" i="19"/>
  <c r="O605" i="19"/>
  <c r="N605" i="19"/>
  <c r="O604" i="19"/>
  <c r="N604" i="19"/>
  <c r="O603" i="19"/>
  <c r="N603" i="19"/>
  <c r="O602" i="19"/>
  <c r="N602" i="19"/>
  <c r="O682" i="19"/>
  <c r="N682" i="19"/>
  <c r="O100" i="19"/>
  <c r="N100" i="19"/>
  <c r="O756" i="19"/>
  <c r="N756" i="19"/>
  <c r="O90" i="19"/>
  <c r="N90" i="19"/>
  <c r="O747" i="19"/>
  <c r="N747" i="19"/>
  <c r="O204" i="19"/>
  <c r="N204" i="19"/>
  <c r="O203" i="19"/>
  <c r="N203" i="19"/>
  <c r="O206" i="19"/>
  <c r="N206" i="19"/>
  <c r="O205" i="19"/>
  <c r="N205" i="19"/>
  <c r="O207" i="19"/>
  <c r="N207" i="19"/>
  <c r="O397" i="19"/>
  <c r="N397" i="19"/>
  <c r="O196" i="19"/>
  <c r="N196" i="19"/>
  <c r="O195" i="19"/>
  <c r="N195" i="19"/>
  <c r="O852" i="19"/>
  <c r="N852" i="19"/>
  <c r="O396" i="19"/>
  <c r="N396" i="19"/>
  <c r="O395" i="19"/>
  <c r="N395" i="19"/>
  <c r="O185" i="19"/>
  <c r="N185" i="19"/>
  <c r="O89" i="19"/>
  <c r="N89" i="19"/>
  <c r="O88" i="19"/>
  <c r="N88" i="19"/>
  <c r="O111" i="19"/>
  <c r="N111" i="19"/>
  <c r="O272" i="19"/>
  <c r="N272" i="19"/>
  <c r="O184" i="19"/>
  <c r="N184" i="19"/>
  <c r="O87" i="19"/>
  <c r="N87" i="19"/>
  <c r="O86" i="19"/>
  <c r="N86" i="19"/>
  <c r="O110" i="19"/>
  <c r="N110" i="19"/>
  <c r="O194" i="19"/>
  <c r="N194" i="19"/>
  <c r="O72" i="19" l="1"/>
  <c r="O4" i="19"/>
  <c r="N30" i="19"/>
  <c r="O103" i="19"/>
  <c r="O93" i="19"/>
  <c r="O193" i="19"/>
  <c r="O80" i="19"/>
  <c r="O32" i="19"/>
  <c r="N40" i="19"/>
  <c r="N18" i="19"/>
  <c r="O78" i="19"/>
  <c r="O61" i="19"/>
  <c r="O19" i="19"/>
  <c r="O23" i="19"/>
  <c r="N80" i="19"/>
  <c r="O59" i="19"/>
  <c r="N67" i="19"/>
  <c r="N36" i="19"/>
  <c r="N14" i="19"/>
  <c r="N17" i="19"/>
  <c r="O71" i="19"/>
  <c r="O76" i="19"/>
  <c r="O8" i="19"/>
  <c r="N11" i="19"/>
  <c r="N29" i="19"/>
  <c r="O14" i="19"/>
  <c r="N106" i="19"/>
  <c r="N59" i="19"/>
  <c r="O67" i="19"/>
  <c r="O17" i="19"/>
  <c r="N71" i="19"/>
  <c r="N74" i="19"/>
  <c r="O11" i="19"/>
  <c r="O29" i="19"/>
  <c r="O95" i="19"/>
  <c r="O106" i="19"/>
  <c r="N192" i="19"/>
  <c r="N64" i="19"/>
  <c r="N37" i="19"/>
  <c r="O68" i="19"/>
  <c r="N76" i="19"/>
  <c r="N77" i="19"/>
  <c r="N8" i="19"/>
  <c r="O26" i="19"/>
  <c r="O192" i="19"/>
  <c r="N122" i="19"/>
  <c r="N190" i="19"/>
  <c r="O122" i="19"/>
  <c r="N81" i="19"/>
  <c r="N66" i="19"/>
  <c r="N35" i="19"/>
  <c r="N13" i="19"/>
  <c r="O75" i="19"/>
  <c r="O7" i="19"/>
  <c r="N10" i="19"/>
  <c r="O190" i="19"/>
  <c r="O81" i="19"/>
  <c r="N60" i="19"/>
  <c r="N32" i="19"/>
  <c r="O35" i="19"/>
  <c r="O13" i="19"/>
  <c r="O18" i="19"/>
  <c r="N72" i="19"/>
  <c r="N75" i="19"/>
  <c r="N7" i="19"/>
  <c r="N22" i="19"/>
  <c r="O30" i="19"/>
  <c r="N93" i="19"/>
  <c r="O535" i="19"/>
  <c r="O534" i="19"/>
  <c r="O536" i="19"/>
  <c r="N536" i="19"/>
  <c r="N545" i="19"/>
  <c r="O97" i="19"/>
  <c r="O105" i="19"/>
  <c r="O27" i="19"/>
  <c r="N103" i="19"/>
  <c r="N58" i="19"/>
  <c r="N16" i="19"/>
  <c r="N193" i="19"/>
  <c r="N273" i="19"/>
  <c r="N78" i="19"/>
  <c r="O28" i="19"/>
  <c r="N5" i="19"/>
  <c r="N129" i="19"/>
  <c r="O60" i="19"/>
  <c r="O33" i="19"/>
  <c r="O36" i="19"/>
  <c r="N15" i="19"/>
  <c r="O73" i="19"/>
  <c r="O9" i="19"/>
  <c r="O22" i="19"/>
  <c r="O31" i="19"/>
  <c r="N95" i="19"/>
  <c r="N191" i="19"/>
  <c r="N99" i="19"/>
  <c r="O273" i="19"/>
  <c r="O69" i="19"/>
  <c r="N104" i="19"/>
  <c r="O191" i="19"/>
  <c r="N79" i="19"/>
  <c r="N12" i="19"/>
  <c r="O41" i="19"/>
  <c r="N62" i="19"/>
  <c r="O63" i="19"/>
  <c r="N38" i="19"/>
  <c r="O39" i="19"/>
  <c r="N20" i="19"/>
  <c r="O21" i="19"/>
  <c r="N2" i="19"/>
  <c r="N3" i="19"/>
  <c r="N24" i="19"/>
  <c r="N25" i="19"/>
  <c r="N70" i="19"/>
  <c r="N6" i="19"/>
  <c r="O65" i="19"/>
  <c r="N84" i="19"/>
  <c r="N34" i="19"/>
  <c r="N63" i="19"/>
  <c r="O64" i="19"/>
  <c r="N39" i="19"/>
  <c r="O40" i="19"/>
  <c r="N21" i="19"/>
  <c r="N68" i="19"/>
  <c r="O3" i="19"/>
  <c r="N4" i="19"/>
  <c r="O25" i="19"/>
  <c r="N26" i="19"/>
  <c r="O147" i="19"/>
  <c r="N61" i="19"/>
  <c r="N41" i="19"/>
  <c r="N31" i="19"/>
  <c r="O545" i="19"/>
  <c r="O37" i="19"/>
  <c r="O15" i="19"/>
  <c r="O77" i="19"/>
  <c r="O5" i="19"/>
  <c r="O99" i="19"/>
  <c r="N147" i="19"/>
  <c r="N97" i="19"/>
  <c r="N28" i="19"/>
  <c r="O104" i="19"/>
  <c r="O79" i="19"/>
  <c r="N483" i="19"/>
  <c r="O58" i="19"/>
  <c r="O62" i="19"/>
  <c r="O66" i="19"/>
  <c r="O34" i="19"/>
  <c r="O38" i="19"/>
  <c r="O12" i="19"/>
  <c r="O16" i="19"/>
  <c r="O20" i="19"/>
  <c r="O70" i="19"/>
  <c r="O74" i="19"/>
  <c r="O2" i="19"/>
  <c r="O6" i="19"/>
  <c r="O10" i="19"/>
  <c r="O24" i="19"/>
  <c r="O129" i="19"/>
  <c r="N65" i="19"/>
  <c r="N19" i="19"/>
  <c r="N69" i="19"/>
  <c r="N33" i="19"/>
  <c r="N73" i="19"/>
  <c r="N534" i="19"/>
  <c r="N535" i="19"/>
  <c r="N9" i="19"/>
  <c r="N23" i="19"/>
  <c r="N27" i="19"/>
  <c r="O84" i="19"/>
  <c r="N105" i="19"/>
  <c r="F62" i="26" l="1"/>
  <c r="K231" i="30" l="1"/>
  <c r="K232" i="30"/>
  <c r="K233" i="30"/>
  <c r="K163" i="38"/>
  <c r="K168" i="38"/>
  <c r="K166" i="38"/>
  <c r="L190" i="38"/>
  <c r="L188" i="38"/>
  <c r="L184" i="38"/>
  <c r="C214" i="38"/>
  <c r="B157" i="38"/>
  <c r="B156" i="38"/>
  <c r="C224" i="38"/>
  <c r="M186" i="38" l="1"/>
  <c r="M184" i="38"/>
  <c r="N52" i="38" l="1"/>
  <c r="O52" i="38"/>
  <c r="N53" i="38"/>
  <c r="O53" i="38"/>
  <c r="N54" i="38"/>
  <c r="O54" i="38"/>
  <c r="N55" i="38"/>
  <c r="O55" i="38"/>
  <c r="N56" i="38"/>
  <c r="O56" i="38"/>
  <c r="N57" i="38"/>
  <c r="O57" i="38"/>
  <c r="N58" i="38"/>
  <c r="O58" i="38"/>
  <c r="N59" i="38"/>
  <c r="O59" i="38"/>
  <c r="N60" i="38"/>
  <c r="O60" i="38"/>
  <c r="N61" i="38"/>
  <c r="O61" i="38"/>
  <c r="N62" i="38"/>
  <c r="O62" i="38"/>
  <c r="N63" i="38"/>
  <c r="O63" i="38"/>
  <c r="N64" i="38"/>
  <c r="O64" i="38"/>
  <c r="N65" i="38"/>
  <c r="O65" i="38"/>
  <c r="N66" i="38"/>
  <c r="O66" i="38"/>
  <c r="N67" i="38"/>
  <c r="O67" i="38"/>
  <c r="N68" i="38"/>
  <c r="O68" i="38"/>
  <c r="N69" i="38"/>
  <c r="O69" i="38"/>
  <c r="N70" i="38"/>
  <c r="O70" i="38"/>
  <c r="N71" i="38"/>
  <c r="O71" i="38"/>
  <c r="N72" i="38"/>
  <c r="O72" i="38"/>
  <c r="N73" i="38"/>
  <c r="O73" i="38"/>
  <c r="N74" i="38"/>
  <c r="O74" i="38"/>
  <c r="N75" i="38"/>
  <c r="O75" i="38"/>
  <c r="N76" i="38"/>
  <c r="O76" i="38"/>
  <c r="N77" i="38"/>
  <c r="O77" i="38"/>
  <c r="N78" i="38"/>
  <c r="O78" i="38"/>
  <c r="N79" i="38"/>
  <c r="O79" i="38"/>
  <c r="N80" i="38"/>
  <c r="O80" i="38"/>
  <c r="N81" i="38"/>
  <c r="O81" i="38"/>
  <c r="N82" i="38"/>
  <c r="O82" i="38"/>
  <c r="C82" i="47" l="1"/>
  <c r="C81" i="47"/>
  <c r="C80" i="47"/>
  <c r="C79" i="47"/>
  <c r="C78" i="47"/>
  <c r="C77" i="47"/>
  <c r="C76" i="47"/>
  <c r="C75" i="47"/>
  <c r="C74" i="47"/>
  <c r="C73" i="47"/>
  <c r="C72" i="47"/>
  <c r="C71" i="47"/>
  <c r="C70" i="47"/>
  <c r="C69" i="47"/>
  <c r="C68" i="47"/>
  <c r="C67" i="47"/>
  <c r="C66" i="47"/>
  <c r="C65" i="47"/>
  <c r="C64" i="47"/>
  <c r="C63" i="47"/>
  <c r="C62" i="47"/>
  <c r="C61" i="47"/>
  <c r="C60" i="47"/>
  <c r="C59" i="47"/>
  <c r="C58" i="47"/>
  <c r="C57" i="47"/>
  <c r="C56" i="47"/>
  <c r="C55" i="47"/>
  <c r="C54" i="47"/>
  <c r="C53" i="47"/>
  <c r="C52" i="47"/>
  <c r="C51" i="47"/>
  <c r="C50" i="47"/>
  <c r="C49" i="47"/>
  <c r="C48" i="47"/>
  <c r="C47" i="47"/>
  <c r="C46" i="47"/>
  <c r="C45" i="47"/>
  <c r="C44" i="47"/>
  <c r="C43" i="47"/>
  <c r="C42" i="47"/>
  <c r="C39" i="47"/>
  <c r="C38" i="47"/>
  <c r="C37" i="47"/>
  <c r="C36" i="47"/>
  <c r="C35" i="47"/>
  <c r="C34" i="47"/>
  <c r="C33" i="47"/>
  <c r="C32" i="47"/>
  <c r="C31" i="47"/>
  <c r="C30" i="47"/>
  <c r="C29" i="47"/>
  <c r="C28" i="47"/>
  <c r="C27" i="47"/>
  <c r="C26" i="47"/>
  <c r="C25" i="47"/>
  <c r="C24" i="47"/>
  <c r="C23" i="47"/>
  <c r="C22" i="47"/>
  <c r="C21" i="47"/>
  <c r="C20" i="47"/>
  <c r="C19" i="47"/>
  <c r="C18" i="47"/>
  <c r="C17" i="47"/>
  <c r="C16" i="47"/>
  <c r="C15" i="47"/>
  <c r="C14" i="47"/>
  <c r="C13" i="47"/>
  <c r="C12" i="47"/>
  <c r="C11" i="47"/>
  <c r="C10" i="47"/>
  <c r="C9" i="47"/>
  <c r="C8" i="47"/>
  <c r="C7" i="47"/>
  <c r="C6" i="47"/>
  <c r="C5" i="47"/>
  <c r="C4" i="47"/>
  <c r="C3" i="47"/>
  <c r="C2" i="47"/>
  <c r="E249" i="38"/>
  <c r="E132" i="38" s="1"/>
  <c r="E273" i="19" s="1"/>
  <c r="N174" i="38"/>
  <c r="O174" i="38" s="1"/>
  <c r="N172" i="38"/>
  <c r="N170" i="38"/>
  <c r="O170" i="38" s="1"/>
  <c r="N168" i="38"/>
  <c r="N166" i="38"/>
  <c r="X166" i="38"/>
  <c r="U174" i="38"/>
  <c r="L176" i="38"/>
  <c r="Q176" i="38"/>
  <c r="S176" i="38"/>
  <c r="W176" i="38"/>
  <c r="O111" i="38"/>
  <c r="O112" i="38"/>
  <c r="O113" i="38"/>
  <c r="O114" i="38"/>
  <c r="O115" i="38"/>
  <c r="O116" i="38"/>
  <c r="O117" i="38"/>
  <c r="O118" i="38"/>
  <c r="O119" i="38"/>
  <c r="O120" i="38"/>
  <c r="O121" i="38"/>
  <c r="O122" i="38"/>
  <c r="O123" i="38"/>
  <c r="O124" i="38"/>
  <c r="O125" i="38"/>
  <c r="O126" i="38"/>
  <c r="O127" i="38"/>
  <c r="O128" i="38"/>
  <c r="O129" i="38"/>
  <c r="O130" i="38"/>
  <c r="O131" i="38"/>
  <c r="O132" i="38"/>
  <c r="O133" i="38"/>
  <c r="O134" i="38"/>
  <c r="O135" i="38"/>
  <c r="N112" i="38"/>
  <c r="N113" i="38"/>
  <c r="N114" i="38"/>
  <c r="N115" i="38"/>
  <c r="N116" i="38"/>
  <c r="N117" i="38"/>
  <c r="N118" i="38"/>
  <c r="N119" i="38"/>
  <c r="N120" i="38"/>
  <c r="N121" i="38"/>
  <c r="N122" i="38"/>
  <c r="N123" i="38"/>
  <c r="N124" i="38"/>
  <c r="N125" i="38"/>
  <c r="N126" i="38"/>
  <c r="N127" i="38"/>
  <c r="N128" i="38"/>
  <c r="N129" i="38"/>
  <c r="N130" i="38"/>
  <c r="N131" i="38"/>
  <c r="N132" i="38"/>
  <c r="N133" i="38"/>
  <c r="N134" i="38"/>
  <c r="N135" i="38"/>
  <c r="D135" i="38"/>
  <c r="D115" i="19" s="1"/>
  <c r="D134" i="38"/>
  <c r="D122" i="19" s="1"/>
  <c r="C135" i="38"/>
  <c r="C115" i="19" s="1"/>
  <c r="C134" i="38"/>
  <c r="C122" i="19" s="1"/>
  <c r="B135" i="38"/>
  <c r="B115" i="19" s="1"/>
  <c r="B134" i="38"/>
  <c r="B122" i="19" s="1"/>
  <c r="E237" i="38"/>
  <c r="D133" i="38"/>
  <c r="D114" i="19" s="1"/>
  <c r="D132" i="38"/>
  <c r="D273" i="19" s="1"/>
  <c r="C133" i="38"/>
  <c r="C114" i="19" s="1"/>
  <c r="C132" i="38"/>
  <c r="C273" i="19" s="1"/>
  <c r="B133" i="38"/>
  <c r="B114" i="19" s="1"/>
  <c r="B132" i="38"/>
  <c r="B273" i="19" s="1"/>
  <c r="G125" i="38"/>
  <c r="G96" i="19" s="1"/>
  <c r="G126" i="38"/>
  <c r="G97" i="19" s="1"/>
  <c r="G127" i="38"/>
  <c r="G192" i="19" s="1"/>
  <c r="G124" i="38"/>
  <c r="G105" i="19" s="1"/>
  <c r="G129" i="38"/>
  <c r="G98" i="19" s="1"/>
  <c r="G130" i="38"/>
  <c r="G99" i="19" s="1"/>
  <c r="G131" i="38"/>
  <c r="G193" i="19" s="1"/>
  <c r="G128" i="38"/>
  <c r="G106" i="19" s="1"/>
  <c r="F129" i="38"/>
  <c r="F98" i="19" s="1"/>
  <c r="F130" i="38"/>
  <c r="F99" i="19" s="1"/>
  <c r="F131" i="38"/>
  <c r="F193" i="19" s="1"/>
  <c r="E131" i="38"/>
  <c r="E193" i="19" s="1"/>
  <c r="E130" i="38"/>
  <c r="E99" i="19" s="1"/>
  <c r="E129" i="38"/>
  <c r="E98" i="19" s="1"/>
  <c r="E127" i="38"/>
  <c r="E192" i="19" s="1"/>
  <c r="E126" i="38"/>
  <c r="E97" i="19" s="1"/>
  <c r="E125" i="38"/>
  <c r="E96" i="19" s="1"/>
  <c r="D129" i="38"/>
  <c r="D98" i="19" s="1"/>
  <c r="D130" i="38"/>
  <c r="D99" i="19" s="1"/>
  <c r="D131" i="38"/>
  <c r="D193" i="19" s="1"/>
  <c r="D128" i="38"/>
  <c r="D106" i="19" s="1"/>
  <c r="C129" i="38"/>
  <c r="C98" i="19" s="1"/>
  <c r="C130" i="38"/>
  <c r="C99" i="19" s="1"/>
  <c r="C131" i="38"/>
  <c r="C193" i="19" s="1"/>
  <c r="C128" i="38"/>
  <c r="C106" i="19" s="1"/>
  <c r="B129" i="38"/>
  <c r="B98" i="19" s="1"/>
  <c r="B130" i="38"/>
  <c r="B99" i="19" s="1"/>
  <c r="B131" i="38"/>
  <c r="B193" i="19" s="1"/>
  <c r="B128" i="38"/>
  <c r="B106" i="19" s="1"/>
  <c r="D125" i="38"/>
  <c r="D96" i="19" s="1"/>
  <c r="D126" i="38"/>
  <c r="D97" i="19" s="1"/>
  <c r="D127" i="38"/>
  <c r="D192" i="19" s="1"/>
  <c r="D124" i="38"/>
  <c r="D105" i="19" s="1"/>
  <c r="C125" i="38"/>
  <c r="C96" i="19" s="1"/>
  <c r="C126" i="38"/>
  <c r="C97" i="19" s="1"/>
  <c r="C127" i="38"/>
  <c r="C192" i="19" s="1"/>
  <c r="C124" i="38"/>
  <c r="C105" i="19" s="1"/>
  <c r="B125" i="38"/>
  <c r="B96" i="19" s="1"/>
  <c r="B126" i="38"/>
  <c r="B97" i="19" s="1"/>
  <c r="B127" i="38"/>
  <c r="B192" i="19" s="1"/>
  <c r="B124" i="38"/>
  <c r="B105" i="19" s="1"/>
  <c r="G120" i="38"/>
  <c r="G104" i="19" s="1"/>
  <c r="G121" i="38"/>
  <c r="G94" i="19" s="1"/>
  <c r="G122" i="38"/>
  <c r="G95" i="19" s="1"/>
  <c r="G123" i="38"/>
  <c r="G191" i="19" s="1"/>
  <c r="F119" i="38"/>
  <c r="F113" i="19" s="1"/>
  <c r="F120" i="38"/>
  <c r="F104" i="19" s="1"/>
  <c r="F121" i="38"/>
  <c r="F94" i="19" s="1"/>
  <c r="F122" i="38"/>
  <c r="F95" i="19" s="1"/>
  <c r="F123" i="38"/>
  <c r="F191" i="19" s="1"/>
  <c r="F118" i="38"/>
  <c r="F147" i="19" s="1"/>
  <c r="E119" i="38"/>
  <c r="E113" i="19" s="1"/>
  <c r="E120" i="38"/>
  <c r="E104" i="19" s="1"/>
  <c r="E121" i="38"/>
  <c r="E94" i="19" s="1"/>
  <c r="E122" i="38"/>
  <c r="E95" i="19" s="1"/>
  <c r="E123" i="38"/>
  <c r="E191" i="19" s="1"/>
  <c r="E118" i="38"/>
  <c r="E147" i="19" s="1"/>
  <c r="D119" i="38"/>
  <c r="D113" i="19" s="1"/>
  <c r="D120" i="38"/>
  <c r="D104" i="19" s="1"/>
  <c r="D121" i="38"/>
  <c r="D94" i="19" s="1"/>
  <c r="D122" i="38"/>
  <c r="D95" i="19" s="1"/>
  <c r="D123" i="38"/>
  <c r="D191" i="19" s="1"/>
  <c r="D118" i="38"/>
  <c r="D147" i="19" s="1"/>
  <c r="C119" i="38"/>
  <c r="C113" i="19" s="1"/>
  <c r="C120" i="38"/>
  <c r="C104" i="19" s="1"/>
  <c r="C121" i="38"/>
  <c r="C94" i="19" s="1"/>
  <c r="C122" i="38"/>
  <c r="C95" i="19" s="1"/>
  <c r="C123" i="38"/>
  <c r="C191" i="19" s="1"/>
  <c r="C118" i="38"/>
  <c r="C147" i="19" s="1"/>
  <c r="B119" i="38"/>
  <c r="B113" i="19" s="1"/>
  <c r="B120" i="38"/>
  <c r="B104" i="19" s="1"/>
  <c r="B121" i="38"/>
  <c r="B94" i="19" s="1"/>
  <c r="B122" i="38"/>
  <c r="B95" i="19" s="1"/>
  <c r="B123" i="38"/>
  <c r="B191" i="19" s="1"/>
  <c r="B118" i="38"/>
  <c r="B147" i="19" s="1"/>
  <c r="A119" i="38"/>
  <c r="A113" i="19" s="1"/>
  <c r="A120" i="38"/>
  <c r="A104" i="19" s="1"/>
  <c r="A121" i="38"/>
  <c r="A94" i="19" s="1"/>
  <c r="A122" i="38"/>
  <c r="A95" i="19" s="1"/>
  <c r="A123" i="38"/>
  <c r="A191" i="19" s="1"/>
  <c r="A118" i="38"/>
  <c r="A147" i="19" s="1"/>
  <c r="G114" i="38"/>
  <c r="G103" i="19" s="1"/>
  <c r="G115" i="38"/>
  <c r="G92" i="19" s="1"/>
  <c r="G116" i="38"/>
  <c r="G93" i="19" s="1"/>
  <c r="G117" i="38"/>
  <c r="G190" i="19" s="1"/>
  <c r="F113" i="38"/>
  <c r="F112" i="19" s="1"/>
  <c r="F114" i="38"/>
  <c r="F103" i="19" s="1"/>
  <c r="F115" i="38"/>
  <c r="F92" i="19" s="1"/>
  <c r="F116" i="38"/>
  <c r="F93" i="19" s="1"/>
  <c r="F117" i="38"/>
  <c r="F190" i="19" s="1"/>
  <c r="F112" i="38"/>
  <c r="F129" i="19" s="1"/>
  <c r="E114" i="38"/>
  <c r="E103" i="19" s="1"/>
  <c r="E115" i="38"/>
  <c r="E92" i="19" s="1"/>
  <c r="E116" i="38"/>
  <c r="E93" i="19" s="1"/>
  <c r="E117" i="38"/>
  <c r="E190" i="19" s="1"/>
  <c r="E112" i="38"/>
  <c r="E129" i="19" s="1"/>
  <c r="D113" i="38"/>
  <c r="D112" i="19" s="1"/>
  <c r="D114" i="38"/>
  <c r="D103" i="19" s="1"/>
  <c r="D115" i="38"/>
  <c r="D92" i="19" s="1"/>
  <c r="D116" i="38"/>
  <c r="D93" i="19" s="1"/>
  <c r="D117" i="38"/>
  <c r="D190" i="19" s="1"/>
  <c r="D112" i="38"/>
  <c r="D129" i="19" s="1"/>
  <c r="C113" i="38"/>
  <c r="C112" i="19" s="1"/>
  <c r="C114" i="38"/>
  <c r="C103" i="19" s="1"/>
  <c r="C115" i="38"/>
  <c r="C92" i="19" s="1"/>
  <c r="C116" i="38"/>
  <c r="C93" i="19" s="1"/>
  <c r="C117" i="38"/>
  <c r="C190" i="19" s="1"/>
  <c r="C112" i="38"/>
  <c r="C129" i="19" s="1"/>
  <c r="B117" i="38"/>
  <c r="B190" i="19" s="1"/>
  <c r="B116" i="38"/>
  <c r="B93" i="19" s="1"/>
  <c r="B113" i="38"/>
  <c r="B112" i="19" s="1"/>
  <c r="B114" i="38"/>
  <c r="B103" i="19" s="1"/>
  <c r="B115" i="38"/>
  <c r="B92" i="19" s="1"/>
  <c r="B112" i="38"/>
  <c r="B129" i="19" s="1"/>
  <c r="C3" i="30" l="1" a="1"/>
  <c r="C3" i="30" s="1"/>
  <c r="L3" i="30" a="1"/>
  <c r="H2" i="33" a="1"/>
  <c r="H2" i="33" s="1"/>
  <c r="J3" i="30" a="1"/>
  <c r="G2" i="33" a="1"/>
  <c r="G2" i="33" s="1"/>
  <c r="O168" i="38"/>
  <c r="X167" i="38"/>
  <c r="X172" i="38" s="1"/>
  <c r="T167" i="38"/>
  <c r="T170" i="38" s="1"/>
  <c r="O172" i="38"/>
  <c r="T166" i="38" s="1"/>
  <c r="R167" i="38"/>
  <c r="R170" i="38" s="1"/>
  <c r="O166" i="38"/>
  <c r="R166" i="38" s="1"/>
  <c r="T171" i="38"/>
  <c r="U171" i="38"/>
  <c r="E134" i="38"/>
  <c r="E122" i="19" s="1"/>
  <c r="N111" i="38"/>
  <c r="O110" i="38"/>
  <c r="N110" i="38"/>
  <c r="O109" i="38"/>
  <c r="N109" i="38"/>
  <c r="O108" i="38"/>
  <c r="N108" i="38"/>
  <c r="O107" i="38"/>
  <c r="N107" i="38"/>
  <c r="O106" i="38"/>
  <c r="N106" i="38"/>
  <c r="O105" i="38"/>
  <c r="N105" i="38"/>
  <c r="O104" i="38"/>
  <c r="N104" i="38"/>
  <c r="O103" i="38"/>
  <c r="N103" i="38"/>
  <c r="O102" i="38"/>
  <c r="N102" i="38"/>
  <c r="O101" i="38"/>
  <c r="N101" i="38"/>
  <c r="O100" i="38"/>
  <c r="N100" i="38"/>
  <c r="O99" i="38"/>
  <c r="N99" i="38"/>
  <c r="O98" i="38"/>
  <c r="N98" i="38"/>
  <c r="O97" i="38"/>
  <c r="N97" i="38"/>
  <c r="O96" i="38"/>
  <c r="N96" i="38"/>
  <c r="O95" i="38"/>
  <c r="N95" i="38"/>
  <c r="O94" i="38"/>
  <c r="N94" i="38"/>
  <c r="O93" i="38"/>
  <c r="N93" i="38"/>
  <c r="O92" i="38"/>
  <c r="N92" i="38"/>
  <c r="O91" i="38"/>
  <c r="N91" i="38"/>
  <c r="O90" i="38"/>
  <c r="N90" i="38"/>
  <c r="O89" i="38"/>
  <c r="N89" i="38"/>
  <c r="O88" i="38"/>
  <c r="N88" i="38"/>
  <c r="O87" i="38"/>
  <c r="N87" i="38"/>
  <c r="O86" i="38"/>
  <c r="N86" i="38"/>
  <c r="O85" i="38"/>
  <c r="N85" i="38"/>
  <c r="O84" i="38"/>
  <c r="N84" i="38"/>
  <c r="O83" i="38"/>
  <c r="N83" i="38"/>
  <c r="W194" i="38"/>
  <c r="K578" i="18"/>
  <c r="K8" i="18"/>
  <c r="K2" i="18"/>
  <c r="K3" i="18"/>
  <c r="K10" i="18"/>
  <c r="K6" i="18"/>
  <c r="K9" i="18"/>
  <c r="K4" i="18"/>
  <c r="K5" i="18"/>
  <c r="K11" i="18"/>
  <c r="K7" i="18"/>
  <c r="E2" i="18"/>
  <c r="E3" i="18"/>
  <c r="E10" i="18"/>
  <c r="E6" i="18"/>
  <c r="E9" i="18"/>
  <c r="E4" i="18"/>
  <c r="E5" i="18"/>
  <c r="E11" i="18"/>
  <c r="E7" i="18"/>
  <c r="E8" i="18"/>
  <c r="C2" i="18"/>
  <c r="C3" i="18"/>
  <c r="C10" i="18"/>
  <c r="C6" i="18"/>
  <c r="C9" i="18"/>
  <c r="C4" i="18"/>
  <c r="C5" i="18"/>
  <c r="C11" i="18"/>
  <c r="C7" i="18"/>
  <c r="C8" i="18"/>
  <c r="B2" i="18"/>
  <c r="B3" i="18"/>
  <c r="B10" i="18"/>
  <c r="B6" i="18"/>
  <c r="B9" i="18"/>
  <c r="B4" i="18"/>
  <c r="B5" i="18"/>
  <c r="B11" i="18"/>
  <c r="B7" i="18"/>
  <c r="B8" i="18"/>
  <c r="A2" i="18"/>
  <c r="A3" i="18"/>
  <c r="A10" i="18"/>
  <c r="A6" i="18"/>
  <c r="A9" i="18"/>
  <c r="A4" i="18"/>
  <c r="A5" i="18"/>
  <c r="A11" i="18"/>
  <c r="A7" i="18"/>
  <c r="A8" i="18"/>
  <c r="L20" i="20"/>
  <c r="L21" i="20"/>
  <c r="L5" i="20"/>
  <c r="L13" i="20"/>
  <c r="L7" i="20"/>
  <c r="L16" i="20"/>
  <c r="L17" i="20"/>
  <c r="L3" i="20"/>
  <c r="L11" i="20"/>
  <c r="L8" i="20"/>
  <c r="L18" i="20"/>
  <c r="L19" i="20"/>
  <c r="L4" i="20"/>
  <c r="L12" i="20"/>
  <c r="L6" i="20"/>
  <c r="L14" i="20"/>
  <c r="L15" i="20"/>
  <c r="L2" i="20"/>
  <c r="L10" i="20"/>
  <c r="L9" i="20"/>
  <c r="K9" i="20"/>
  <c r="K20" i="20"/>
  <c r="K21" i="20"/>
  <c r="K5" i="20"/>
  <c r="K13" i="20"/>
  <c r="K7" i="20"/>
  <c r="K16" i="20"/>
  <c r="K17" i="20"/>
  <c r="K3" i="20"/>
  <c r="K11" i="20"/>
  <c r="K8" i="20"/>
  <c r="K18" i="20"/>
  <c r="K19" i="20"/>
  <c r="K4" i="20"/>
  <c r="K12" i="20"/>
  <c r="K6" i="20"/>
  <c r="K14" i="20"/>
  <c r="K15" i="20"/>
  <c r="K2" i="20"/>
  <c r="K10" i="20"/>
  <c r="E20" i="20"/>
  <c r="E21" i="20"/>
  <c r="E5" i="20"/>
  <c r="E13" i="20"/>
  <c r="E7" i="20"/>
  <c r="E16" i="20"/>
  <c r="E17" i="20"/>
  <c r="E3" i="20"/>
  <c r="E11" i="20"/>
  <c r="E8" i="20"/>
  <c r="E18" i="20"/>
  <c r="E19" i="20"/>
  <c r="E4" i="20"/>
  <c r="E12" i="20"/>
  <c r="E6" i="20"/>
  <c r="E14" i="20"/>
  <c r="E15" i="20"/>
  <c r="E2" i="20"/>
  <c r="E10" i="20"/>
  <c r="E9" i="20"/>
  <c r="A20" i="20"/>
  <c r="A21" i="20"/>
  <c r="A5" i="20"/>
  <c r="A13" i="20"/>
  <c r="A7" i="20"/>
  <c r="A16" i="20"/>
  <c r="A17" i="20"/>
  <c r="A3" i="20"/>
  <c r="A11" i="20"/>
  <c r="A8" i="20"/>
  <c r="A18" i="20"/>
  <c r="A19" i="20"/>
  <c r="A4" i="20"/>
  <c r="A12" i="20"/>
  <c r="A6" i="20"/>
  <c r="A14" i="20"/>
  <c r="A15" i="20"/>
  <c r="A2" i="20"/>
  <c r="A10" i="20"/>
  <c r="A9" i="20"/>
  <c r="B20" i="20"/>
  <c r="B21" i="20"/>
  <c r="B5" i="20"/>
  <c r="B13" i="20"/>
  <c r="B7" i="20"/>
  <c r="B16" i="20"/>
  <c r="B17" i="20"/>
  <c r="B3" i="20"/>
  <c r="B11" i="20"/>
  <c r="B8" i="20"/>
  <c r="B18" i="20"/>
  <c r="B19" i="20"/>
  <c r="B4" i="20"/>
  <c r="B12" i="20"/>
  <c r="B6" i="20"/>
  <c r="B14" i="20"/>
  <c r="B15" i="20"/>
  <c r="B2" i="20"/>
  <c r="B10" i="20"/>
  <c r="B9" i="20"/>
  <c r="C6" i="20"/>
  <c r="C14" i="20"/>
  <c r="C15" i="20"/>
  <c r="C2" i="20"/>
  <c r="C10" i="20"/>
  <c r="C8" i="20"/>
  <c r="C18" i="20"/>
  <c r="C19" i="20"/>
  <c r="C4" i="20"/>
  <c r="C12" i="20"/>
  <c r="C7" i="20"/>
  <c r="C16" i="20"/>
  <c r="C17" i="20"/>
  <c r="C3" i="20"/>
  <c r="C11" i="20"/>
  <c r="C20" i="20"/>
  <c r="C21" i="20"/>
  <c r="C5" i="20"/>
  <c r="C13" i="20"/>
  <c r="C9" i="20"/>
  <c r="E40" i="22"/>
  <c r="L44" i="38"/>
  <c r="L45" i="38"/>
  <c r="L46" i="38"/>
  <c r="L47" i="38"/>
  <c r="L48" i="38"/>
  <c r="L34" i="38"/>
  <c r="L35" i="38"/>
  <c r="L36" i="38"/>
  <c r="L37" i="38"/>
  <c r="L38" i="38"/>
  <c r="L29" i="38"/>
  <c r="L30" i="38"/>
  <c r="L31" i="38"/>
  <c r="L32" i="38"/>
  <c r="L33" i="38"/>
  <c r="L39" i="38"/>
  <c r="L40" i="38"/>
  <c r="L41" i="38"/>
  <c r="L42" i="38"/>
  <c r="L43" i="38"/>
  <c r="B229" i="38"/>
  <c r="B230" i="38"/>
  <c r="B231" i="38"/>
  <c r="B228" i="38"/>
  <c r="A229" i="38"/>
  <c r="A230" i="38"/>
  <c r="A231" i="38"/>
  <c r="A228" i="38"/>
  <c r="L14" i="38"/>
  <c r="L15" i="38"/>
  <c r="L16" i="38"/>
  <c r="L17" i="38"/>
  <c r="L18" i="38"/>
  <c r="L13" i="38"/>
  <c r="L12" i="38"/>
  <c r="L11" i="38"/>
  <c r="L10" i="38"/>
  <c r="L9" i="38"/>
  <c r="C222" i="38"/>
  <c r="C223" i="38"/>
  <c r="C221" i="38"/>
  <c r="R173" i="38" l="1"/>
  <c r="T172" i="38"/>
  <c r="X174" i="38"/>
  <c r="X173" i="38"/>
  <c r="X171" i="38"/>
  <c r="X176" i="38" s="1"/>
  <c r="X170" i="38"/>
  <c r="J3" i="30"/>
  <c r="M140" i="30" s="1"/>
  <c r="L3" i="30"/>
  <c r="K230" i="30" s="1"/>
  <c r="M202" i="30"/>
  <c r="R172" i="38"/>
  <c r="R176" i="38" s="1"/>
  <c r="R174" i="38"/>
  <c r="T173" i="38"/>
  <c r="T176" i="38" s="1"/>
  <c r="K182" i="38"/>
  <c r="N190" i="38" s="1"/>
  <c r="O190" i="38" s="1"/>
  <c r="T184" i="38" s="1"/>
  <c r="T174" i="38"/>
  <c r="R171" i="38"/>
  <c r="N186" i="38"/>
  <c r="O186" i="38" s="1"/>
  <c r="X184" i="38" s="1"/>
  <c r="X185" i="38" s="1"/>
  <c r="X192" i="38" s="1"/>
  <c r="U172" i="38"/>
  <c r="B232" i="38"/>
  <c r="A567" i="18"/>
  <c r="B567" i="18"/>
  <c r="C567" i="18"/>
  <c r="A572" i="18"/>
  <c r="B572" i="18"/>
  <c r="C572" i="18"/>
  <c r="A557" i="18"/>
  <c r="B557" i="18"/>
  <c r="C557" i="18"/>
  <c r="A542" i="18"/>
  <c r="B542" i="18"/>
  <c r="C542" i="18"/>
  <c r="A547" i="18"/>
  <c r="B547" i="18"/>
  <c r="C547" i="18"/>
  <c r="A566" i="18"/>
  <c r="B566" i="18"/>
  <c r="C566" i="18"/>
  <c r="A552" i="18"/>
  <c r="B552" i="18"/>
  <c r="C552" i="18"/>
  <c r="A576" i="18"/>
  <c r="B576" i="18"/>
  <c r="C576" i="18"/>
  <c r="A565" i="18"/>
  <c r="B565" i="18"/>
  <c r="C565" i="18"/>
  <c r="A571" i="18"/>
  <c r="B571" i="18"/>
  <c r="C571" i="18"/>
  <c r="A556" i="18"/>
  <c r="B556" i="18"/>
  <c r="C556" i="18"/>
  <c r="A541" i="18"/>
  <c r="B541" i="18"/>
  <c r="C541" i="18"/>
  <c r="A546" i="18"/>
  <c r="B546" i="18"/>
  <c r="C546" i="18"/>
  <c r="A564" i="18"/>
  <c r="B564" i="18"/>
  <c r="C564" i="18"/>
  <c r="A551" i="18"/>
  <c r="B551" i="18"/>
  <c r="C551" i="18"/>
  <c r="A575" i="18"/>
  <c r="B575" i="18"/>
  <c r="C575" i="18"/>
  <c r="A563" i="18"/>
  <c r="B563" i="18"/>
  <c r="C563" i="18"/>
  <c r="A570" i="18"/>
  <c r="B570" i="18"/>
  <c r="C570" i="18"/>
  <c r="A555" i="18"/>
  <c r="B555" i="18"/>
  <c r="C555" i="18"/>
  <c r="A540" i="18"/>
  <c r="B540" i="18"/>
  <c r="C540" i="18"/>
  <c r="A545" i="18"/>
  <c r="B545" i="18"/>
  <c r="C545" i="18"/>
  <c r="A562" i="18"/>
  <c r="B562" i="18"/>
  <c r="C562" i="18"/>
  <c r="A550" i="18"/>
  <c r="B550" i="18"/>
  <c r="C550" i="18"/>
  <c r="A574" i="18"/>
  <c r="B574" i="18"/>
  <c r="C574" i="18"/>
  <c r="A561" i="18"/>
  <c r="B561" i="18"/>
  <c r="C561" i="18"/>
  <c r="A569" i="18"/>
  <c r="B569" i="18"/>
  <c r="C569" i="18"/>
  <c r="A554" i="18"/>
  <c r="B554" i="18"/>
  <c r="C554" i="18"/>
  <c r="A539" i="18"/>
  <c r="B539" i="18"/>
  <c r="C539" i="18"/>
  <c r="A544" i="18"/>
  <c r="B544" i="18"/>
  <c r="C544" i="18"/>
  <c r="A560" i="18"/>
  <c r="B560" i="18"/>
  <c r="C560" i="18"/>
  <c r="A549" i="18"/>
  <c r="B549" i="18"/>
  <c r="C549" i="18"/>
  <c r="A573" i="18"/>
  <c r="B573" i="18"/>
  <c r="C573" i="18"/>
  <c r="A559" i="18"/>
  <c r="B559" i="18"/>
  <c r="C559" i="18"/>
  <c r="A568" i="18"/>
  <c r="B568" i="18"/>
  <c r="C568" i="18"/>
  <c r="A553" i="18"/>
  <c r="B553" i="18"/>
  <c r="C553" i="18"/>
  <c r="A538" i="18"/>
  <c r="B538" i="18"/>
  <c r="C538" i="18"/>
  <c r="A543" i="18"/>
  <c r="B543" i="18"/>
  <c r="C543" i="18"/>
  <c r="A558" i="18"/>
  <c r="B558" i="18"/>
  <c r="C558" i="18"/>
  <c r="A548" i="18"/>
  <c r="B548" i="18"/>
  <c r="C548" i="18"/>
  <c r="C577" i="18"/>
  <c r="B577" i="18"/>
  <c r="A577" i="18"/>
  <c r="K548" i="18"/>
  <c r="K558" i="18"/>
  <c r="K543" i="18"/>
  <c r="K538" i="18"/>
  <c r="K553" i="18"/>
  <c r="K568" i="18"/>
  <c r="K559" i="18"/>
  <c r="K573" i="18"/>
  <c r="K549" i="18"/>
  <c r="K560" i="18"/>
  <c r="K544" i="18"/>
  <c r="K539" i="18"/>
  <c r="K554" i="18"/>
  <c r="K569" i="18"/>
  <c r="K561" i="18"/>
  <c r="K574" i="18"/>
  <c r="K550" i="18"/>
  <c r="K562" i="18"/>
  <c r="K545" i="18"/>
  <c r="K540" i="18"/>
  <c r="K555" i="18"/>
  <c r="K570" i="18"/>
  <c r="K563" i="18"/>
  <c r="K575" i="18"/>
  <c r="K551" i="18"/>
  <c r="K564" i="18"/>
  <c r="K546" i="18"/>
  <c r="K541" i="18"/>
  <c r="K556" i="18"/>
  <c r="K571" i="18"/>
  <c r="K565" i="18"/>
  <c r="K576" i="18"/>
  <c r="K552" i="18"/>
  <c r="K566" i="18"/>
  <c r="K547" i="18"/>
  <c r="K542" i="18"/>
  <c r="K557" i="18"/>
  <c r="K572" i="18"/>
  <c r="K567" i="18"/>
  <c r="K577" i="18"/>
  <c r="C759" i="20"/>
  <c r="C753" i="20"/>
  <c r="C768" i="20"/>
  <c r="C783" i="20"/>
  <c r="C778" i="20"/>
  <c r="C760" i="20"/>
  <c r="C773" i="20"/>
  <c r="C749" i="20"/>
  <c r="C761" i="20"/>
  <c r="C754" i="20"/>
  <c r="C769" i="20"/>
  <c r="C784" i="20"/>
  <c r="C779" i="20"/>
  <c r="C763" i="20"/>
  <c r="C774" i="20"/>
  <c r="C750" i="20"/>
  <c r="C762" i="20"/>
  <c r="C755" i="20"/>
  <c r="C770" i="20"/>
  <c r="C785" i="20"/>
  <c r="C780" i="20"/>
  <c r="C764" i="20"/>
  <c r="C775" i="20"/>
  <c r="C751" i="20"/>
  <c r="C765" i="20"/>
  <c r="C756" i="20"/>
  <c r="C771" i="20"/>
  <c r="C786" i="20"/>
  <c r="C781" i="20"/>
  <c r="C766" i="20"/>
  <c r="C776" i="20"/>
  <c r="C748" i="20"/>
  <c r="B759" i="20"/>
  <c r="B753" i="20"/>
  <c r="B768" i="20"/>
  <c r="B783" i="20"/>
  <c r="B778" i="20"/>
  <c r="B760" i="20"/>
  <c r="B773" i="20"/>
  <c r="B749" i="20"/>
  <c r="B761" i="20"/>
  <c r="B754" i="20"/>
  <c r="B769" i="20"/>
  <c r="B784" i="20"/>
  <c r="B779" i="20"/>
  <c r="B763" i="20"/>
  <c r="B774" i="20"/>
  <c r="B750" i="20"/>
  <c r="B762" i="20"/>
  <c r="B755" i="20"/>
  <c r="B770" i="20"/>
  <c r="B785" i="20"/>
  <c r="B780" i="20"/>
  <c r="B764" i="20"/>
  <c r="B775" i="20"/>
  <c r="B751" i="20"/>
  <c r="B765" i="20"/>
  <c r="B756" i="20"/>
  <c r="B771" i="20"/>
  <c r="B786" i="20"/>
  <c r="B781" i="20"/>
  <c r="B766" i="20"/>
  <c r="B776" i="20"/>
  <c r="A759" i="20"/>
  <c r="A753" i="20"/>
  <c r="A768" i="20"/>
  <c r="A783" i="20"/>
  <c r="A778" i="20"/>
  <c r="A760" i="20"/>
  <c r="A773" i="20"/>
  <c r="A749" i="20"/>
  <c r="A761" i="20"/>
  <c r="A754" i="20"/>
  <c r="A769" i="20"/>
  <c r="A784" i="20"/>
  <c r="A779" i="20"/>
  <c r="A763" i="20"/>
  <c r="A774" i="20"/>
  <c r="A750" i="20"/>
  <c r="A762" i="20"/>
  <c r="A755" i="20"/>
  <c r="A770" i="20"/>
  <c r="A785" i="20"/>
  <c r="A780" i="20"/>
  <c r="A764" i="20"/>
  <c r="A775" i="20"/>
  <c r="A751" i="20"/>
  <c r="A765" i="20"/>
  <c r="A756" i="20"/>
  <c r="A771" i="20"/>
  <c r="A786" i="20"/>
  <c r="A781" i="20"/>
  <c r="A766" i="20"/>
  <c r="A776" i="20"/>
  <c r="A748" i="20"/>
  <c r="B748" i="20"/>
  <c r="K776" i="20"/>
  <c r="K766" i="20"/>
  <c r="K781" i="20"/>
  <c r="K786" i="20"/>
  <c r="K771" i="20"/>
  <c r="K756" i="20"/>
  <c r="K765" i="20"/>
  <c r="K751" i="20"/>
  <c r="K775" i="20"/>
  <c r="K764" i="20"/>
  <c r="K780" i="20"/>
  <c r="K785" i="20"/>
  <c r="K770" i="20"/>
  <c r="K755" i="20"/>
  <c r="K762" i="20"/>
  <c r="K750" i="20"/>
  <c r="K774" i="20"/>
  <c r="K763" i="20"/>
  <c r="K779" i="20"/>
  <c r="K784" i="20"/>
  <c r="K769" i="20"/>
  <c r="K754" i="20"/>
  <c r="K761" i="20"/>
  <c r="K749" i="20"/>
  <c r="K773" i="20"/>
  <c r="K760" i="20"/>
  <c r="K778" i="20"/>
  <c r="K783" i="20"/>
  <c r="K768" i="20"/>
  <c r="K753" i="20"/>
  <c r="K759" i="20"/>
  <c r="K748" i="20"/>
  <c r="AJ20" i="35"/>
  <c r="AJ19" i="35"/>
  <c r="AJ18" i="35"/>
  <c r="AJ17" i="35"/>
  <c r="Y17" i="35"/>
  <c r="AJ16" i="35"/>
  <c r="Y16" i="35"/>
  <c r="O95" i="44"/>
  <c r="O69" i="44"/>
  <c r="O70" i="44"/>
  <c r="O71" i="44"/>
  <c r="O67" i="44"/>
  <c r="O68" i="44"/>
  <c r="O66" i="44"/>
  <c r="H4" i="45"/>
  <c r="H5" i="45"/>
  <c r="H6" i="45"/>
  <c r="H7" i="45"/>
  <c r="H8" i="45"/>
  <c r="H9" i="45"/>
  <c r="H10" i="45"/>
  <c r="H11" i="45"/>
  <c r="H12" i="45"/>
  <c r="H3" i="45"/>
  <c r="G11" i="45"/>
  <c r="G12" i="45"/>
  <c r="G3" i="45"/>
  <c r="G4" i="45"/>
  <c r="G5" i="45"/>
  <c r="G6" i="45"/>
  <c r="G7" i="45"/>
  <c r="G8" i="45"/>
  <c r="G9" i="45"/>
  <c r="G10" i="45"/>
  <c r="L38" i="44"/>
  <c r="L39" i="44"/>
  <c r="L40" i="44"/>
  <c r="L41" i="44"/>
  <c r="L42" i="44"/>
  <c r="L43" i="44"/>
  <c r="L44" i="44"/>
  <c r="L37" i="44"/>
  <c r="L7" i="44"/>
  <c r="L8" i="44"/>
  <c r="L9" i="44"/>
  <c r="L10" i="44"/>
  <c r="L11" i="44"/>
  <c r="L12" i="44"/>
  <c r="L13" i="44"/>
  <c r="L6" i="44"/>
  <c r="O111" i="44"/>
  <c r="O110" i="44"/>
  <c r="O109" i="44"/>
  <c r="O108" i="44"/>
  <c r="F110" i="44"/>
  <c r="F111" i="44"/>
  <c r="O96" i="44"/>
  <c r="O97" i="44"/>
  <c r="O102" i="44"/>
  <c r="O103" i="44"/>
  <c r="O104" i="44"/>
  <c r="O74" i="44"/>
  <c r="O76" i="44"/>
  <c r="O77" i="44"/>
  <c r="O78" i="44"/>
  <c r="O80" i="44"/>
  <c r="O81" i="44"/>
  <c r="O83" i="44"/>
  <c r="O84" i="44"/>
  <c r="O85" i="44"/>
  <c r="O88" i="44"/>
  <c r="O89" i="44"/>
  <c r="O90" i="44"/>
  <c r="O91" i="44"/>
  <c r="O92" i="44"/>
  <c r="O93" i="44"/>
  <c r="O98" i="44"/>
  <c r="O99" i="44"/>
  <c r="O100" i="44"/>
  <c r="O105" i="44"/>
  <c r="O106" i="44"/>
  <c r="O107" i="44"/>
  <c r="K228" i="30" l="1"/>
  <c r="K229" i="30"/>
  <c r="K129" i="30"/>
  <c r="K227" i="30"/>
  <c r="K226" i="30"/>
  <c r="E57" i="44"/>
  <c r="D599" i="18" s="1"/>
  <c r="E48" i="44"/>
  <c r="D591" i="18" s="1"/>
  <c r="E53" i="44"/>
  <c r="D590" i="18" s="1"/>
  <c r="E62" i="44"/>
  <c r="D598" i="18" s="1"/>
  <c r="E56" i="44"/>
  <c r="D597" i="18" s="1"/>
  <c r="E47" i="44"/>
  <c r="D589" i="18" s="1"/>
  <c r="E51" i="44"/>
  <c r="D593" i="18" s="1"/>
  <c r="E60" i="44"/>
  <c r="D601" i="18" s="1"/>
  <c r="E58" i="44"/>
  <c r="D600" i="18" s="1"/>
  <c r="E49" i="44"/>
  <c r="D592" i="18" s="1"/>
  <c r="E46" i="44"/>
  <c r="D588" i="18" s="1"/>
  <c r="E55" i="44"/>
  <c r="D596" i="18" s="1"/>
  <c r="E61" i="44"/>
  <c r="D603" i="18" s="1"/>
  <c r="E52" i="44"/>
  <c r="D595" i="18" s="1"/>
  <c r="N184" i="38"/>
  <c r="E59" i="44"/>
  <c r="D602" i="18" s="1"/>
  <c r="E50" i="44"/>
  <c r="D594" i="18" s="1"/>
  <c r="M166" i="30"/>
  <c r="M226" i="30"/>
  <c r="M121" i="30"/>
  <c r="M185" i="30"/>
  <c r="M16" i="30"/>
  <c r="M235" i="30"/>
  <c r="M90" i="30"/>
  <c r="M178" i="30"/>
  <c r="M120" i="30"/>
  <c r="M116" i="30"/>
  <c r="M46" i="30"/>
  <c r="M88" i="30"/>
  <c r="M61" i="30"/>
  <c r="M8" i="30"/>
  <c r="M106" i="30"/>
  <c r="M31" i="30"/>
  <c r="M91" i="30"/>
  <c r="M153" i="30"/>
  <c r="M40" i="30"/>
  <c r="M149" i="30"/>
  <c r="M41" i="30"/>
  <c r="M157" i="30"/>
  <c r="M9" i="30"/>
  <c r="M168" i="30"/>
  <c r="M122" i="30"/>
  <c r="M42" i="30"/>
  <c r="M161" i="30"/>
  <c r="M82" i="30"/>
  <c r="M181" i="30"/>
  <c r="M130" i="30"/>
  <c r="M208" i="30"/>
  <c r="M233" i="30"/>
  <c r="M129" i="30"/>
  <c r="M99" i="30"/>
  <c r="M85" i="30"/>
  <c r="M198" i="30"/>
  <c r="M117" i="30"/>
  <c r="M217" i="30"/>
  <c r="M65" i="30"/>
  <c r="M26" i="30"/>
  <c r="M112" i="30"/>
  <c r="M79" i="30"/>
  <c r="M45" i="30"/>
  <c r="M101" i="30"/>
  <c r="M163" i="30"/>
  <c r="M89" i="30"/>
  <c r="M12" i="30"/>
  <c r="M37" i="30"/>
  <c r="M132" i="30"/>
  <c r="M175" i="30"/>
  <c r="M111" i="30"/>
  <c r="M214" i="30"/>
  <c r="M152" i="30"/>
  <c r="M60" i="30"/>
  <c r="M147" i="30"/>
  <c r="M123" i="30"/>
  <c r="M39" i="30"/>
  <c r="M200" i="30"/>
  <c r="M228" i="30"/>
  <c r="M213" i="30"/>
  <c r="M215" i="30"/>
  <c r="M20" i="30"/>
  <c r="M209" i="30"/>
  <c r="M173" i="30"/>
  <c r="M18" i="30"/>
  <c r="M171" i="30"/>
  <c r="M6" i="30"/>
  <c r="M4" i="30"/>
  <c r="M84" i="30"/>
  <c r="M162" i="30"/>
  <c r="M225" i="30"/>
  <c r="M57" i="30"/>
  <c r="M73" i="30"/>
  <c r="M76" i="30"/>
  <c r="M34" i="30"/>
  <c r="M24" i="30"/>
  <c r="M10" i="30"/>
  <c r="M108" i="30"/>
  <c r="M87" i="30"/>
  <c r="M138" i="30"/>
  <c r="M22" i="30"/>
  <c r="M29" i="30"/>
  <c r="M145" i="30"/>
  <c r="M151" i="30"/>
  <c r="M227" i="30"/>
  <c r="M7" i="30"/>
  <c r="M104" i="30"/>
  <c r="M92" i="30"/>
  <c r="M30" i="30"/>
  <c r="M11" i="30"/>
  <c r="M44" i="30"/>
  <c r="M144" i="30"/>
  <c r="M103" i="30"/>
  <c r="M68" i="30"/>
  <c r="M86" i="30"/>
  <c r="M183" i="30"/>
  <c r="M75" i="30"/>
  <c r="M51" i="30"/>
  <c r="M93" i="30"/>
  <c r="M124" i="30"/>
  <c r="M136" i="30"/>
  <c r="M135" i="30"/>
  <c r="M176" i="30"/>
  <c r="M80" i="30"/>
  <c r="M223" i="30"/>
  <c r="M137" i="30"/>
  <c r="M191" i="30"/>
  <c r="M210" i="30"/>
  <c r="M38" i="30"/>
  <c r="M143" i="30"/>
  <c r="M192" i="30"/>
  <c r="M62" i="30"/>
  <c r="M27" i="30"/>
  <c r="M219" i="30"/>
  <c r="M54" i="30"/>
  <c r="M201" i="30"/>
  <c r="M231" i="30"/>
  <c r="M234" i="30"/>
  <c r="M77" i="30"/>
  <c r="M155" i="30"/>
  <c r="M184" i="30"/>
  <c r="M211" i="30"/>
  <c r="M66" i="30"/>
  <c r="M159" i="30"/>
  <c r="M148" i="30"/>
  <c r="M193" i="30"/>
  <c r="M232" i="30"/>
  <c r="M107" i="30"/>
  <c r="M50" i="30"/>
  <c r="M182" i="30"/>
  <c r="M141" i="30"/>
  <c r="M205" i="30"/>
  <c r="M196" i="30"/>
  <c r="M212" i="30"/>
  <c r="M133" i="30"/>
  <c r="M216" i="30"/>
  <c r="M48" i="30"/>
  <c r="M67" i="30"/>
  <c r="M154" i="30"/>
  <c r="M71" i="30"/>
  <c r="M72" i="30"/>
  <c r="M113" i="30"/>
  <c r="M100" i="30"/>
  <c r="M33" i="30"/>
  <c r="M218" i="30"/>
  <c r="M180" i="30"/>
  <c r="M190" i="30"/>
  <c r="M146" i="30"/>
  <c r="M179" i="30"/>
  <c r="M69" i="30"/>
  <c r="M127" i="30"/>
  <c r="M172" i="30"/>
  <c r="M110" i="30"/>
  <c r="M139" i="30"/>
  <c r="M197" i="30"/>
  <c r="M58" i="30"/>
  <c r="M142" i="30"/>
  <c r="M189" i="30"/>
  <c r="M204" i="30"/>
  <c r="M221" i="30"/>
  <c r="M160" i="30"/>
  <c r="M63" i="30"/>
  <c r="M35" i="30"/>
  <c r="M36" i="30"/>
  <c r="M195" i="30"/>
  <c r="M95" i="30"/>
  <c r="M17" i="30"/>
  <c r="M222" i="30"/>
  <c r="M28" i="30"/>
  <c r="M47" i="30"/>
  <c r="M114" i="30"/>
  <c r="M134" i="30"/>
  <c r="M53" i="30"/>
  <c r="M128" i="30"/>
  <c r="M55" i="30"/>
  <c r="M59" i="30"/>
  <c r="M115" i="30"/>
  <c r="M199" i="30"/>
  <c r="M165" i="30"/>
  <c r="M118" i="30"/>
  <c r="M203" i="30"/>
  <c r="M150" i="30"/>
  <c r="M187" i="30"/>
  <c r="M102" i="30"/>
  <c r="M126" i="30"/>
  <c r="M186" i="30"/>
  <c r="M177" i="30"/>
  <c r="M19" i="30"/>
  <c r="M83" i="30"/>
  <c r="M5" i="30"/>
  <c r="M43" i="30"/>
  <c r="M25" i="30"/>
  <c r="M156" i="30"/>
  <c r="M32" i="30"/>
  <c r="M23" i="30"/>
  <c r="M230" i="30"/>
  <c r="M64" i="30"/>
  <c r="M164" i="30"/>
  <c r="M52" i="30"/>
  <c r="M169" i="30"/>
  <c r="M13" i="30"/>
  <c r="M49" i="30"/>
  <c r="M174" i="30"/>
  <c r="M14" i="30"/>
  <c r="M158" i="30"/>
  <c r="M105" i="30"/>
  <c r="M170" i="30"/>
  <c r="M78" i="30"/>
  <c r="M119" i="30"/>
  <c r="M109" i="30"/>
  <c r="M167" i="30"/>
  <c r="M74" i="30"/>
  <c r="M229" i="30"/>
  <c r="M56" i="30"/>
  <c r="M194" i="30"/>
  <c r="M15" i="30"/>
  <c r="M207" i="30"/>
  <c r="M131" i="30"/>
  <c r="M206" i="30"/>
  <c r="M94" i="30"/>
  <c r="M96" i="30"/>
  <c r="M21" i="30"/>
  <c r="M70" i="30"/>
  <c r="M98" i="30"/>
  <c r="M224" i="30"/>
  <c r="M220" i="30"/>
  <c r="M125" i="30"/>
  <c r="M188" i="30"/>
  <c r="M81" i="30"/>
  <c r="M97" i="30"/>
  <c r="K6" i="30"/>
  <c r="K111" i="30"/>
  <c r="K120" i="30"/>
  <c r="K72" i="30"/>
  <c r="K159" i="30"/>
  <c r="K95" i="30"/>
  <c r="K172" i="30"/>
  <c r="K85" i="30"/>
  <c r="K166" i="30"/>
  <c r="K18" i="30"/>
  <c r="K155" i="30"/>
  <c r="K168" i="30"/>
  <c r="K180" i="30"/>
  <c r="K34" i="30"/>
  <c r="K99" i="30"/>
  <c r="K11" i="30"/>
  <c r="K96" i="30"/>
  <c r="K219" i="30"/>
  <c r="K65" i="30"/>
  <c r="K82" i="30"/>
  <c r="K59" i="30"/>
  <c r="K220" i="30"/>
  <c r="K108" i="30"/>
  <c r="K216" i="30"/>
  <c r="K138" i="30"/>
  <c r="K97" i="30"/>
  <c r="K154" i="30"/>
  <c r="K206" i="30"/>
  <c r="K105" i="30"/>
  <c r="K93" i="30"/>
  <c r="K128" i="30"/>
  <c r="K150" i="30"/>
  <c r="K32" i="30"/>
  <c r="K202" i="30"/>
  <c r="K52" i="30"/>
  <c r="K181" i="30"/>
  <c r="K41" i="30"/>
  <c r="K76" i="30"/>
  <c r="K187" i="30"/>
  <c r="K130" i="30"/>
  <c r="K94" i="30"/>
  <c r="K70" i="30"/>
  <c r="K158" i="30"/>
  <c r="K142" i="30"/>
  <c r="K114" i="30"/>
  <c r="K135" i="30"/>
  <c r="K7" i="30"/>
  <c r="K127" i="30"/>
  <c r="K21" i="30"/>
  <c r="K148" i="30"/>
  <c r="K71" i="30"/>
  <c r="K42" i="30"/>
  <c r="K123" i="30"/>
  <c r="K146" i="30"/>
  <c r="K25" i="30"/>
  <c r="K201" i="30"/>
  <c r="K174" i="30"/>
  <c r="K190" i="30"/>
  <c r="K100" i="30"/>
  <c r="K165" i="30"/>
  <c r="K81" i="30"/>
  <c r="K209" i="30"/>
  <c r="K137" i="30"/>
  <c r="K222" i="30"/>
  <c r="K195" i="30"/>
  <c r="K152" i="30"/>
  <c r="K121" i="30"/>
  <c r="K109" i="30"/>
  <c r="K125" i="30"/>
  <c r="K156" i="30"/>
  <c r="K56" i="30"/>
  <c r="K200" i="30"/>
  <c r="K113" i="30"/>
  <c r="K102" i="30"/>
  <c r="K79" i="30"/>
  <c r="K43" i="30"/>
  <c r="K69" i="30"/>
  <c r="K119" i="30"/>
  <c r="K13" i="30"/>
  <c r="K89" i="30"/>
  <c r="K78" i="30"/>
  <c r="K215" i="30"/>
  <c r="K134" i="30"/>
  <c r="K74" i="30"/>
  <c r="K117" i="30"/>
  <c r="K162" i="30"/>
  <c r="K61" i="30"/>
  <c r="K175" i="30"/>
  <c r="K161" i="30"/>
  <c r="K35" i="30"/>
  <c r="K87" i="30"/>
  <c r="K151" i="30"/>
  <c r="K12" i="30"/>
  <c r="K30" i="30"/>
  <c r="K136" i="30"/>
  <c r="K218" i="30"/>
  <c r="K115" i="30"/>
  <c r="K44" i="30"/>
  <c r="K77" i="30"/>
  <c r="K204" i="30"/>
  <c r="K144" i="30"/>
  <c r="K66" i="30"/>
  <c r="K14" i="30"/>
  <c r="K15" i="30"/>
  <c r="K208" i="30"/>
  <c r="K28" i="30"/>
  <c r="K217" i="30"/>
  <c r="K147" i="30"/>
  <c r="K221" i="30"/>
  <c r="K103" i="30"/>
  <c r="K16" i="30"/>
  <c r="K86" i="30"/>
  <c r="K223" i="30"/>
  <c r="K179" i="30"/>
  <c r="K170" i="30"/>
  <c r="K55" i="30"/>
  <c r="K211" i="30"/>
  <c r="K225" i="30"/>
  <c r="K189" i="30"/>
  <c r="K199" i="30"/>
  <c r="K98" i="30"/>
  <c r="K169" i="30"/>
  <c r="K133" i="30"/>
  <c r="K92" i="30"/>
  <c r="K8" i="30"/>
  <c r="K90" i="30"/>
  <c r="K9" i="30"/>
  <c r="K139" i="30"/>
  <c r="K140" i="30"/>
  <c r="K122" i="30"/>
  <c r="K58" i="30"/>
  <c r="K17" i="30"/>
  <c r="K126" i="30"/>
  <c r="K20" i="30"/>
  <c r="K224" i="30"/>
  <c r="K57" i="30"/>
  <c r="K40" i="30"/>
  <c r="K173" i="30"/>
  <c r="K10" i="30"/>
  <c r="K149" i="30"/>
  <c r="K91" i="30"/>
  <c r="K185" i="30"/>
  <c r="K112" i="30"/>
  <c r="K214" i="30"/>
  <c r="K88" i="30"/>
  <c r="K107" i="30"/>
  <c r="K60" i="30"/>
  <c r="K178" i="30"/>
  <c r="K210" i="30"/>
  <c r="K101" i="30"/>
  <c r="K198" i="30"/>
  <c r="K167" i="30"/>
  <c r="K62" i="30"/>
  <c r="K48" i="30"/>
  <c r="K54" i="30"/>
  <c r="K160" i="30"/>
  <c r="K38" i="30"/>
  <c r="K143" i="30"/>
  <c r="K80" i="30"/>
  <c r="K145" i="30"/>
  <c r="K141" i="30"/>
  <c r="K171" i="30"/>
  <c r="M257" i="30"/>
  <c r="M242" i="30"/>
  <c r="M248" i="30"/>
  <c r="M254" i="30"/>
  <c r="M236" i="30"/>
  <c r="M250" i="30"/>
  <c r="M262" i="30"/>
  <c r="M260" i="30"/>
  <c r="M244" i="30"/>
  <c r="M249" i="30"/>
  <c r="M256" i="30"/>
  <c r="M265" i="30"/>
  <c r="M261" i="30"/>
  <c r="M241" i="30"/>
  <c r="M271" i="30"/>
  <c r="M253" i="30"/>
  <c r="M239" i="30"/>
  <c r="M270" i="30"/>
  <c r="M268" i="30"/>
  <c r="M266" i="30"/>
  <c r="M255" i="30"/>
  <c r="M247" i="30"/>
  <c r="M238" i="30"/>
  <c r="M264" i="30"/>
  <c r="M269" i="30"/>
  <c r="M258" i="30"/>
  <c r="M252" i="30"/>
  <c r="M251" i="30"/>
  <c r="M267" i="30"/>
  <c r="M237" i="30"/>
  <c r="M245" i="30"/>
  <c r="M263" i="30"/>
  <c r="M243" i="30"/>
  <c r="M240" i="30"/>
  <c r="M259" i="30"/>
  <c r="M246" i="30"/>
  <c r="O184" i="38"/>
  <c r="R184" i="38" s="1"/>
  <c r="X191" i="38"/>
  <c r="X189" i="38"/>
  <c r="E5" i="38"/>
  <c r="N176" i="38"/>
  <c r="X190" i="38"/>
  <c r="X188" i="38"/>
  <c r="E4" i="38"/>
  <c r="U176" i="38"/>
  <c r="E39" i="44"/>
  <c r="E43" i="44"/>
  <c r="E44" i="44"/>
  <c r="E42" i="44"/>
  <c r="E41" i="44"/>
  <c r="E40" i="44"/>
  <c r="E38" i="44"/>
  <c r="E37" i="44"/>
  <c r="X194" i="38" l="1"/>
  <c r="V167" i="38"/>
  <c r="V170" i="38" s="1"/>
  <c r="O176" i="38"/>
  <c r="V166" i="38" s="1"/>
  <c r="N177" i="38"/>
  <c r="D27" i="47"/>
  <c r="D12" i="47"/>
  <c r="D40" i="47"/>
  <c r="D7" i="47"/>
  <c r="D5" i="47"/>
  <c r="D2" i="47"/>
  <c r="D4" i="47"/>
  <c r="D19" i="47"/>
  <c r="D9" i="47"/>
  <c r="D6" i="47"/>
  <c r="D22" i="47"/>
  <c r="D24" i="47"/>
  <c r="D14" i="47"/>
  <c r="D11" i="47"/>
  <c r="D33" i="47"/>
  <c r="D17" i="47"/>
  <c r="D28" i="47"/>
  <c r="D29" i="47"/>
  <c r="D39" i="47"/>
  <c r="D34" i="47"/>
  <c r="D35" i="47"/>
  <c r="D30" i="47"/>
  <c r="D32" i="47"/>
  <c r="D36" i="47"/>
  <c r="D10" i="47"/>
  <c r="D38" i="47"/>
  <c r="D15" i="47"/>
  <c r="D13" i="47"/>
  <c r="D3" i="47"/>
  <c r="D20" i="47"/>
  <c r="D16" i="47"/>
  <c r="D18" i="47"/>
  <c r="D8" i="47"/>
  <c r="D25" i="47"/>
  <c r="D21" i="47"/>
  <c r="D23" i="47"/>
  <c r="D31" i="47"/>
  <c r="D26" i="47"/>
  <c r="D37" i="47"/>
  <c r="D82" i="47"/>
  <c r="D76" i="47"/>
  <c r="D78" i="47"/>
  <c r="D55" i="47"/>
  <c r="D44" i="47"/>
  <c r="D75" i="47"/>
  <c r="D41" i="47"/>
  <c r="D61" i="47"/>
  <c r="D50" i="47"/>
  <c r="D81" i="47"/>
  <c r="D47" i="47"/>
  <c r="D67" i="47"/>
  <c r="D56" i="47"/>
  <c r="D53" i="47"/>
  <c r="D73" i="47"/>
  <c r="D62" i="47"/>
  <c r="D59" i="47"/>
  <c r="D79" i="47"/>
  <c r="D68" i="47"/>
  <c r="D65" i="47"/>
  <c r="D74" i="47"/>
  <c r="D71" i="47"/>
  <c r="D42" i="47"/>
  <c r="D80" i="47"/>
  <c r="D46" i="47"/>
  <c r="D77" i="47"/>
  <c r="D48" i="47"/>
  <c r="D45" i="47"/>
  <c r="D52" i="47"/>
  <c r="D54" i="47"/>
  <c r="D51" i="47"/>
  <c r="D58" i="47"/>
  <c r="D60" i="47"/>
  <c r="D57" i="47"/>
  <c r="D64" i="47"/>
  <c r="D66" i="47"/>
  <c r="D43" i="47"/>
  <c r="D63" i="47"/>
  <c r="D70" i="47"/>
  <c r="D72" i="47"/>
  <c r="D49" i="47"/>
  <c r="D69" i="47"/>
  <c r="Q3" i="22"/>
  <c r="E3" i="22"/>
  <c r="V174" i="38" l="1"/>
  <c r="B169" i="38" s="1"/>
  <c r="V173" i="38"/>
  <c r="B168" i="38" s="1"/>
  <c r="E168" i="38" s="1"/>
  <c r="V172" i="38"/>
  <c r="B167" i="38" s="1"/>
  <c r="V171" i="38"/>
  <c r="B166" i="38" s="1"/>
  <c r="C166" i="38" s="1"/>
  <c r="B165" i="38"/>
  <c r="G168" i="38" l="1"/>
  <c r="F168" i="38"/>
  <c r="E70" i="38" s="1"/>
  <c r="D168" i="38"/>
  <c r="E110" i="38" s="1"/>
  <c r="E30" i="19" s="1"/>
  <c r="D166" i="38"/>
  <c r="E108" i="38" s="1"/>
  <c r="E28" i="19" s="1"/>
  <c r="G166" i="38"/>
  <c r="E98" i="38" s="1"/>
  <c r="V176" i="38"/>
  <c r="B171" i="38" s="1"/>
  <c r="H167" i="38" s="1"/>
  <c r="E166" i="38"/>
  <c r="E58" i="38" s="1"/>
  <c r="F166" i="38"/>
  <c r="E68" i="38" s="1"/>
  <c r="E38" i="19" s="1"/>
  <c r="C168" i="38"/>
  <c r="E40" i="19"/>
  <c r="E100" i="38"/>
  <c r="E80" i="38"/>
  <c r="F167" i="38"/>
  <c r="E69" i="38" s="1"/>
  <c r="E60" i="38"/>
  <c r="E90" i="38"/>
  <c r="F169" i="38"/>
  <c r="E71" i="38" s="1"/>
  <c r="D167" i="38"/>
  <c r="E109" i="38" s="1"/>
  <c r="G167" i="38"/>
  <c r="E167" i="38"/>
  <c r="C167" i="38"/>
  <c r="D169" i="38"/>
  <c r="E111" i="38" s="1"/>
  <c r="E31" i="19" s="1"/>
  <c r="G169" i="38"/>
  <c r="C169" i="38"/>
  <c r="E169" i="38"/>
  <c r="F165" i="38"/>
  <c r="E67" i="38" s="1"/>
  <c r="D165" i="38"/>
  <c r="E107" i="38" s="1"/>
  <c r="G165" i="38"/>
  <c r="E165" i="38"/>
  <c r="C165" i="38"/>
  <c r="Y176" i="38"/>
  <c r="E17" i="43"/>
  <c r="E18" i="43"/>
  <c r="E19" i="43"/>
  <c r="E20" i="43"/>
  <c r="E21" i="43"/>
  <c r="E22" i="43"/>
  <c r="E23" i="43"/>
  <c r="E24" i="43"/>
  <c r="E25" i="43"/>
  <c r="E26" i="43"/>
  <c r="E27" i="43" l="1"/>
  <c r="E78" i="38"/>
  <c r="I168" i="38"/>
  <c r="I166" i="38"/>
  <c r="E88" i="38"/>
  <c r="E74" i="19" s="1"/>
  <c r="E76" i="19"/>
  <c r="E64" i="19"/>
  <c r="E20" i="19"/>
  <c r="E10" i="19"/>
  <c r="E39" i="19"/>
  <c r="E18" i="19"/>
  <c r="E41" i="19"/>
  <c r="E27" i="19"/>
  <c r="E37" i="19"/>
  <c r="E29" i="19"/>
  <c r="E8" i="19"/>
  <c r="E66" i="19"/>
  <c r="H168" i="38"/>
  <c r="H166" i="38"/>
  <c r="E59" i="38"/>
  <c r="E89" i="38"/>
  <c r="E99" i="38"/>
  <c r="E79" i="38"/>
  <c r="E61" i="38"/>
  <c r="E91" i="38"/>
  <c r="E101" i="38"/>
  <c r="E81" i="38"/>
  <c r="E57" i="38"/>
  <c r="E87" i="38"/>
  <c r="E97" i="38"/>
  <c r="E77" i="38"/>
  <c r="H165" i="38"/>
  <c r="E16" i="38"/>
  <c r="E11" i="38"/>
  <c r="H169" i="38"/>
  <c r="I165" i="38"/>
  <c r="I169" i="38"/>
  <c r="I167" i="38"/>
  <c r="E33" i="43"/>
  <c r="E32" i="43"/>
  <c r="E39" i="43"/>
  <c r="E38" i="43"/>
  <c r="E37" i="43"/>
  <c r="E36" i="43"/>
  <c r="E35" i="43"/>
  <c r="E31" i="43"/>
  <c r="E34" i="43"/>
  <c r="E40" i="43"/>
  <c r="E9" i="19" l="1"/>
  <c r="E7" i="19"/>
  <c r="E19" i="19"/>
  <c r="E75" i="19"/>
  <c r="E65" i="19"/>
  <c r="E73" i="19"/>
  <c r="E63" i="19"/>
  <c r="E21" i="19"/>
  <c r="E17" i="19"/>
  <c r="E11" i="19"/>
  <c r="E77" i="19"/>
  <c r="E67" i="19"/>
  <c r="H170" i="38"/>
  <c r="E14" i="38"/>
  <c r="E9" i="38"/>
  <c r="E15" i="38"/>
  <c r="E10" i="38"/>
  <c r="E18" i="38"/>
  <c r="E13" i="38"/>
  <c r="E17" i="38"/>
  <c r="E12" i="38"/>
  <c r="F26" i="43"/>
  <c r="F25" i="43"/>
  <c r="F24" i="43"/>
  <c r="F23" i="43"/>
  <c r="F22" i="43"/>
  <c r="F21" i="43"/>
  <c r="F20" i="43"/>
  <c r="F19" i="43"/>
  <c r="F18" i="43"/>
  <c r="F17" i="43"/>
  <c r="D5" i="43"/>
  <c r="E13" i="43" s="1"/>
  <c r="F45" i="43" s="1"/>
  <c r="F58" i="43" l="1"/>
  <c r="F48" i="43"/>
  <c r="F61" i="43" s="1"/>
  <c r="F44" i="43"/>
  <c r="F46" i="43"/>
  <c r="F59" i="43" s="1"/>
  <c r="F53" i="43"/>
  <c r="F66" i="43" s="1"/>
  <c r="F50" i="43"/>
  <c r="F63" i="43" s="1"/>
  <c r="F57" i="43"/>
  <c r="F52" i="43"/>
  <c r="F65" i="43" s="1"/>
  <c r="F47" i="43"/>
  <c r="F60" i="43" s="1"/>
  <c r="F49" i="43"/>
  <c r="F62" i="43" s="1"/>
  <c r="F51" i="43"/>
  <c r="F64" i="43" s="1"/>
  <c r="F27" i="43"/>
  <c r="K25" i="20"/>
  <c r="K26" i="20"/>
  <c r="K22" i="20"/>
  <c r="K23" i="20"/>
  <c r="K24" i="20"/>
  <c r="K379" i="20"/>
  <c r="K381" i="20"/>
  <c r="K378" i="20"/>
  <c r="K380" i="20"/>
  <c r="K382" i="20"/>
  <c r="K800" i="20"/>
  <c r="K796" i="20"/>
  <c r="K799" i="20"/>
  <c r="K797" i="20"/>
  <c r="K795" i="20"/>
  <c r="K798" i="20"/>
  <c r="K12" i="18"/>
  <c r="K16" i="18"/>
  <c r="K17" i="18"/>
  <c r="K13" i="18"/>
  <c r="K14" i="18"/>
  <c r="K15" i="18"/>
  <c r="K20" i="18"/>
  <c r="K19" i="18"/>
  <c r="K18" i="18"/>
  <c r="K268" i="18"/>
  <c r="K275" i="18"/>
  <c r="K273" i="18"/>
  <c r="K269" i="18"/>
  <c r="K270" i="18"/>
  <c r="K271" i="18"/>
  <c r="K276" i="18"/>
  <c r="K274" i="18"/>
  <c r="K272" i="18"/>
  <c r="K579" i="18"/>
  <c r="K582" i="18"/>
  <c r="K586" i="18"/>
  <c r="K580" i="18"/>
  <c r="K581" i="18"/>
  <c r="K583" i="18"/>
  <c r="K585" i="18"/>
  <c r="K587" i="18"/>
  <c r="K584" i="18"/>
  <c r="K793" i="20"/>
  <c r="K791" i="20"/>
  <c r="N15" i="39"/>
  <c r="N16" i="39"/>
  <c r="N33" i="39" s="1"/>
  <c r="N48" i="39" s="1"/>
  <c r="N17" i="39"/>
  <c r="N18" i="39"/>
  <c r="N19" i="39"/>
  <c r="N14" i="39"/>
  <c r="M15" i="39"/>
  <c r="M16" i="39"/>
  <c r="M33" i="39" s="1"/>
  <c r="M48" i="39" s="1"/>
  <c r="M17" i="39"/>
  <c r="M18" i="39"/>
  <c r="M19" i="39"/>
  <c r="M14" i="39"/>
  <c r="L15" i="39"/>
  <c r="L16" i="39"/>
  <c r="L33" i="39" s="1"/>
  <c r="L48" i="39" s="1"/>
  <c r="L17" i="39"/>
  <c r="L18" i="39"/>
  <c r="L19" i="39"/>
  <c r="L14" i="39"/>
  <c r="K15" i="39"/>
  <c r="K16" i="39"/>
  <c r="K33" i="39" s="1"/>
  <c r="K48" i="39" s="1"/>
  <c r="K17" i="39"/>
  <c r="K18" i="39"/>
  <c r="K19" i="39"/>
  <c r="K14" i="39"/>
  <c r="J15" i="39"/>
  <c r="J16" i="39"/>
  <c r="J34" i="39" s="1"/>
  <c r="J49" i="39" s="1"/>
  <c r="J17" i="39"/>
  <c r="J18" i="39"/>
  <c r="J19" i="39"/>
  <c r="J14" i="39"/>
  <c r="I15" i="39"/>
  <c r="I16" i="39"/>
  <c r="I34" i="39" s="1"/>
  <c r="I49" i="39" s="1"/>
  <c r="I17" i="39"/>
  <c r="I18" i="39"/>
  <c r="I19" i="39"/>
  <c r="I14" i="39"/>
  <c r="H15" i="39"/>
  <c r="H16" i="39"/>
  <c r="H34" i="39" s="1"/>
  <c r="H49" i="39" s="1"/>
  <c r="H17" i="39"/>
  <c r="H18" i="39"/>
  <c r="H19" i="39"/>
  <c r="H14" i="39"/>
  <c r="G15" i="39"/>
  <c r="G16" i="39"/>
  <c r="G34" i="39" s="1"/>
  <c r="G49" i="39" s="1"/>
  <c r="G17" i="39"/>
  <c r="G18" i="39"/>
  <c r="G19" i="39"/>
  <c r="G14" i="39"/>
  <c r="K792" i="20"/>
  <c r="K789" i="20"/>
  <c r="K787" i="20"/>
  <c r="G33" i="39" l="1"/>
  <c r="G48" i="39" s="1"/>
  <c r="H33" i="39"/>
  <c r="H48" i="39" s="1"/>
  <c r="I33" i="39"/>
  <c r="I48" i="39" s="1"/>
  <c r="J33" i="39"/>
  <c r="J48" i="39" s="1"/>
  <c r="K34" i="39"/>
  <c r="K49" i="39" s="1"/>
  <c r="M34" i="39"/>
  <c r="M49" i="39" s="1"/>
  <c r="L34" i="39"/>
  <c r="L49" i="39" s="1"/>
  <c r="N34" i="39"/>
  <c r="N49" i="39" s="1"/>
  <c r="G137" i="35"/>
  <c r="N137" i="35"/>
  <c r="G138" i="35"/>
  <c r="N138" i="35"/>
  <c r="G139" i="35"/>
  <c r="N139" i="35"/>
  <c r="K794" i="20" l="1"/>
  <c r="K790" i="20"/>
  <c r="K788" i="20"/>
  <c r="C29" i="39"/>
  <c r="C30" i="39"/>
  <c r="C31" i="39"/>
  <c r="C32" i="39"/>
  <c r="C28" i="39"/>
  <c r="C27" i="39"/>
  <c r="C26" i="39"/>
  <c r="C25" i="39"/>
  <c r="C24" i="39"/>
  <c r="C23" i="39"/>
  <c r="C22" i="39"/>
  <c r="C21" i="39"/>
  <c r="N22" i="39" l="1"/>
  <c r="N37" i="39" s="1"/>
  <c r="L22" i="39"/>
  <c r="L37" i="39" s="1"/>
  <c r="J22" i="39"/>
  <c r="J37" i="39" s="1"/>
  <c r="I22" i="39"/>
  <c r="I37" i="39" s="1"/>
  <c r="M22" i="39"/>
  <c r="M37" i="39" s="1"/>
  <c r="K22" i="39"/>
  <c r="K37" i="39" s="1"/>
  <c r="H22" i="39"/>
  <c r="H37" i="39" s="1"/>
  <c r="G22" i="39"/>
  <c r="G37" i="39" s="1"/>
  <c r="M24" i="39"/>
  <c r="M39" i="39" s="1"/>
  <c r="K24" i="39"/>
  <c r="K39" i="39" s="1"/>
  <c r="J24" i="39"/>
  <c r="J39" i="39" s="1"/>
  <c r="I24" i="39"/>
  <c r="I39" i="39" s="1"/>
  <c r="N24" i="39"/>
  <c r="N39" i="39" s="1"/>
  <c r="L24" i="39"/>
  <c r="L39" i="39" s="1"/>
  <c r="H24" i="39"/>
  <c r="H39" i="39" s="1"/>
  <c r="G24" i="39"/>
  <c r="G39" i="39" s="1"/>
  <c r="N26" i="39"/>
  <c r="N41" i="39" s="1"/>
  <c r="L26" i="39"/>
  <c r="L41" i="39" s="1"/>
  <c r="J26" i="39"/>
  <c r="J41" i="39" s="1"/>
  <c r="I26" i="39"/>
  <c r="I41" i="39" s="1"/>
  <c r="M26" i="39"/>
  <c r="M41" i="39" s="1"/>
  <c r="K26" i="39"/>
  <c r="K41" i="39" s="1"/>
  <c r="H26" i="39"/>
  <c r="H41" i="39" s="1"/>
  <c r="G26" i="39"/>
  <c r="G41" i="39" s="1"/>
  <c r="M28" i="39"/>
  <c r="M43" i="39" s="1"/>
  <c r="K28" i="39"/>
  <c r="K43" i="39" s="1"/>
  <c r="J28" i="39"/>
  <c r="J43" i="39" s="1"/>
  <c r="I28" i="39"/>
  <c r="I43" i="39" s="1"/>
  <c r="H28" i="39"/>
  <c r="H43" i="39" s="1"/>
  <c r="G28" i="39"/>
  <c r="G43" i="39" s="1"/>
  <c r="N28" i="39"/>
  <c r="N43" i="39" s="1"/>
  <c r="L28" i="39"/>
  <c r="L43" i="39" s="1"/>
  <c r="N31" i="39"/>
  <c r="N46" i="39" s="1"/>
  <c r="M31" i="39"/>
  <c r="M46" i="39" s="1"/>
  <c r="L31" i="39"/>
  <c r="L46" i="39" s="1"/>
  <c r="K31" i="39"/>
  <c r="K46" i="39" s="1"/>
  <c r="H31" i="39"/>
  <c r="H46" i="39" s="1"/>
  <c r="G31" i="39"/>
  <c r="G46" i="39" s="1"/>
  <c r="J31" i="39"/>
  <c r="J46" i="39" s="1"/>
  <c r="I31" i="39"/>
  <c r="I46" i="39" s="1"/>
  <c r="N29" i="39"/>
  <c r="N44" i="39" s="1"/>
  <c r="M29" i="39"/>
  <c r="M44" i="39" s="1"/>
  <c r="L29" i="39"/>
  <c r="L44" i="39" s="1"/>
  <c r="K29" i="39"/>
  <c r="K44" i="39" s="1"/>
  <c r="H29" i="39"/>
  <c r="H44" i="39" s="1"/>
  <c r="G29" i="39"/>
  <c r="G44" i="39" s="1"/>
  <c r="J29" i="39"/>
  <c r="J44" i="39" s="1"/>
  <c r="I29" i="39"/>
  <c r="I44" i="39" s="1"/>
  <c r="N21" i="39"/>
  <c r="N36" i="39" s="1"/>
  <c r="M21" i="39"/>
  <c r="M36" i="39" s="1"/>
  <c r="L21" i="39"/>
  <c r="L36" i="39" s="1"/>
  <c r="K21" i="39"/>
  <c r="K36" i="39" s="1"/>
  <c r="J21" i="39"/>
  <c r="J36" i="39" s="1"/>
  <c r="I21" i="39"/>
  <c r="I36" i="39" s="1"/>
  <c r="H21" i="39"/>
  <c r="H36" i="39" s="1"/>
  <c r="G21" i="39"/>
  <c r="G36" i="39" s="1"/>
  <c r="N23" i="39"/>
  <c r="N38" i="39" s="1"/>
  <c r="M23" i="39"/>
  <c r="M38" i="39" s="1"/>
  <c r="L23" i="39"/>
  <c r="L38" i="39" s="1"/>
  <c r="K23" i="39"/>
  <c r="K38" i="39" s="1"/>
  <c r="H23" i="39"/>
  <c r="H38" i="39" s="1"/>
  <c r="G23" i="39"/>
  <c r="G38" i="39" s="1"/>
  <c r="J23" i="39"/>
  <c r="J38" i="39" s="1"/>
  <c r="I23" i="39"/>
  <c r="I38" i="39" s="1"/>
  <c r="N25" i="39"/>
  <c r="N40" i="39" s="1"/>
  <c r="M25" i="39"/>
  <c r="M40" i="39" s="1"/>
  <c r="L25" i="39"/>
  <c r="L40" i="39" s="1"/>
  <c r="K25" i="39"/>
  <c r="K40" i="39" s="1"/>
  <c r="H25" i="39"/>
  <c r="H40" i="39" s="1"/>
  <c r="G25" i="39"/>
  <c r="G40" i="39" s="1"/>
  <c r="J25" i="39"/>
  <c r="J40" i="39" s="1"/>
  <c r="I25" i="39"/>
  <c r="I40" i="39" s="1"/>
  <c r="N27" i="39"/>
  <c r="N42" i="39" s="1"/>
  <c r="M27" i="39"/>
  <c r="M42" i="39" s="1"/>
  <c r="L27" i="39"/>
  <c r="L42" i="39" s="1"/>
  <c r="K27" i="39"/>
  <c r="K42" i="39" s="1"/>
  <c r="H27" i="39"/>
  <c r="H42" i="39" s="1"/>
  <c r="G27" i="39"/>
  <c r="G42" i="39" s="1"/>
  <c r="J27" i="39"/>
  <c r="J42" i="39" s="1"/>
  <c r="I27" i="39"/>
  <c r="I42" i="39" s="1"/>
  <c r="M32" i="39"/>
  <c r="M47" i="39" s="1"/>
  <c r="K32" i="39"/>
  <c r="K47" i="39" s="1"/>
  <c r="J32" i="39"/>
  <c r="J47" i="39" s="1"/>
  <c r="I32" i="39"/>
  <c r="I47" i="39" s="1"/>
  <c r="N32" i="39"/>
  <c r="N47" i="39" s="1"/>
  <c r="L32" i="39"/>
  <c r="L47" i="39" s="1"/>
  <c r="H32" i="39"/>
  <c r="H47" i="39" s="1"/>
  <c r="G32" i="39"/>
  <c r="G47" i="39" s="1"/>
  <c r="N30" i="39"/>
  <c r="N45" i="39" s="1"/>
  <c r="L30" i="39"/>
  <c r="L45" i="39" s="1"/>
  <c r="J30" i="39"/>
  <c r="J45" i="39" s="1"/>
  <c r="I30" i="39"/>
  <c r="I45" i="39" s="1"/>
  <c r="M30" i="39"/>
  <c r="M45" i="39" s="1"/>
  <c r="K30" i="39"/>
  <c r="K45" i="39" s="1"/>
  <c r="H30" i="39"/>
  <c r="H45" i="39" s="1"/>
  <c r="G30" i="39"/>
  <c r="G45" i="39" s="1"/>
  <c r="E70" i="39" l="1"/>
  <c r="E72" i="39"/>
  <c r="D53" i="39"/>
  <c r="E61" i="39"/>
  <c r="E74" i="39"/>
  <c r="E73" i="39"/>
  <c r="E66" i="39"/>
  <c r="E62" i="39"/>
  <c r="E64" i="39"/>
  <c r="E65" i="39"/>
  <c r="E63" i="39"/>
  <c r="E69" i="39"/>
  <c r="E71" i="39"/>
  <c r="E68" i="39"/>
  <c r="E67" i="39"/>
  <c r="U192" i="38"/>
  <c r="T185" i="38"/>
  <c r="T192" i="38" s="1"/>
  <c r="S194" i="38"/>
  <c r="Q194" i="38"/>
  <c r="D10" i="18" l="1"/>
  <c r="D11" i="18"/>
  <c r="D9" i="18"/>
  <c r="D6" i="18"/>
  <c r="D7" i="18"/>
  <c r="T189" i="38"/>
  <c r="T191" i="38"/>
  <c r="U189" i="38"/>
  <c r="T188" i="38"/>
  <c r="T190" i="38"/>
  <c r="D88" i="26"/>
  <c r="D8" i="18" l="1"/>
  <c r="D2" i="18"/>
  <c r="D4" i="18"/>
  <c r="T194" i="38"/>
  <c r="U190" i="38"/>
  <c r="E29" i="26"/>
  <c r="D5" i="18" l="1"/>
  <c r="U194" i="38"/>
  <c r="E39" i="26"/>
  <c r="D45" i="26" s="1"/>
  <c r="E22" i="26"/>
  <c r="E23" i="26"/>
  <c r="E24" i="26"/>
  <c r="E25" i="26"/>
  <c r="E26" i="26"/>
  <c r="E27" i="26"/>
  <c r="E28" i="26"/>
  <c r="E30" i="26"/>
  <c r="E31" i="26"/>
  <c r="E32" i="26"/>
  <c r="E33" i="26"/>
  <c r="E35" i="26"/>
  <c r="E21" i="26"/>
  <c r="D34" i="26"/>
  <c r="E34" i="26" s="1"/>
  <c r="K530" i="18"/>
  <c r="K529" i="18"/>
  <c r="K524" i="18"/>
  <c r="K525" i="18"/>
  <c r="K531" i="18"/>
  <c r="K528" i="18"/>
  <c r="K537" i="18"/>
  <c r="K536" i="18"/>
  <c r="K526" i="18"/>
  <c r="K533" i="18"/>
  <c r="K527" i="18"/>
  <c r="D3" i="18" l="1"/>
  <c r="L4" i="22"/>
  <c r="E12" i="35"/>
  <c r="F12" i="35"/>
  <c r="F142" i="35"/>
  <c r="E142" i="35"/>
  <c r="D186" i="35"/>
  <c r="D185" i="35"/>
  <c r="D184" i="35"/>
  <c r="G140" i="35"/>
  <c r="G141" i="35"/>
  <c r="G142" i="35" l="1"/>
  <c r="D183" i="35" s="1"/>
  <c r="D187" i="35" s="1"/>
  <c r="G185" i="35" l="1"/>
  <c r="G186" i="35"/>
  <c r="G184" i="35"/>
  <c r="G183" i="35"/>
  <c r="E57" i="26" l="1"/>
  <c r="K16" i="26"/>
  <c r="J16" i="26"/>
  <c r="F16" i="26"/>
  <c r="E8" i="26"/>
  <c r="E60" i="26" s="1"/>
  <c r="L68" i="26"/>
  <c r="F2" i="33" a="1"/>
  <c r="E55" i="26"/>
  <c r="F109" i="26" s="1"/>
  <c r="B128" i="26" s="1"/>
  <c r="D55" i="26"/>
  <c r="E56" i="26"/>
  <c r="D56" i="26"/>
  <c r="D57" i="26"/>
  <c r="E58" i="26"/>
  <c r="D58" i="26"/>
  <c r="E59" i="26"/>
  <c r="D59" i="26"/>
  <c r="D60" i="26"/>
  <c r="E61" i="26"/>
  <c r="D61" i="26"/>
  <c r="E62" i="26"/>
  <c r="D62" i="26"/>
  <c r="E63" i="26"/>
  <c r="D63" i="26"/>
  <c r="E64" i="26"/>
  <c r="D64" i="26"/>
  <c r="E65" i="26"/>
  <c r="D65" i="26"/>
  <c r="E66" i="26"/>
  <c r="D66" i="26"/>
  <c r="E67" i="26"/>
  <c r="D67" i="26"/>
  <c r="E69" i="26"/>
  <c r="D69" i="26"/>
  <c r="D39" i="26"/>
  <c r="E109" i="26" s="1"/>
  <c r="B127" i="26" s="1"/>
  <c r="D40" i="26"/>
  <c r="F39" i="26"/>
  <c r="F56" i="26"/>
  <c r="G56" i="26"/>
  <c r="H56" i="26"/>
  <c r="I56" i="26"/>
  <c r="J56" i="26"/>
  <c r="K56" i="26"/>
  <c r="L56" i="26"/>
  <c r="F57" i="26"/>
  <c r="G57" i="26"/>
  <c r="H57" i="26"/>
  <c r="I57" i="26"/>
  <c r="J57" i="26"/>
  <c r="K57" i="26"/>
  <c r="L57" i="26"/>
  <c r="F58" i="26"/>
  <c r="G58" i="26"/>
  <c r="H58" i="26"/>
  <c r="I58" i="26"/>
  <c r="J58" i="26"/>
  <c r="K58" i="26"/>
  <c r="L58" i="26"/>
  <c r="F59" i="26"/>
  <c r="G59" i="26"/>
  <c r="H59" i="26"/>
  <c r="I59" i="26"/>
  <c r="J59" i="26"/>
  <c r="K59" i="26"/>
  <c r="L59" i="26"/>
  <c r="G60" i="26"/>
  <c r="H60" i="26"/>
  <c r="I60" i="26"/>
  <c r="K60" i="26"/>
  <c r="L60" i="26"/>
  <c r="F61" i="26"/>
  <c r="G61" i="26"/>
  <c r="H61" i="26"/>
  <c r="I61" i="26"/>
  <c r="J61" i="26"/>
  <c r="K61" i="26"/>
  <c r="L61" i="26"/>
  <c r="G62" i="26"/>
  <c r="H62" i="26"/>
  <c r="I62" i="26"/>
  <c r="J62" i="26"/>
  <c r="K62" i="26"/>
  <c r="L62" i="26"/>
  <c r="F63" i="26"/>
  <c r="G63" i="26"/>
  <c r="H63" i="26"/>
  <c r="I63" i="26"/>
  <c r="J63" i="26"/>
  <c r="K63" i="26"/>
  <c r="L63" i="26"/>
  <c r="G64" i="26"/>
  <c r="H64" i="26"/>
  <c r="I64" i="26"/>
  <c r="L64" i="26"/>
  <c r="G65" i="26"/>
  <c r="H65" i="26"/>
  <c r="I65" i="26"/>
  <c r="L65" i="26"/>
  <c r="F66" i="26"/>
  <c r="G66" i="26"/>
  <c r="H66" i="26"/>
  <c r="I66" i="26"/>
  <c r="J66" i="26"/>
  <c r="K66" i="26"/>
  <c r="L66" i="26"/>
  <c r="G67" i="26"/>
  <c r="H67" i="26"/>
  <c r="I67" i="26"/>
  <c r="L67" i="26"/>
  <c r="F69" i="26"/>
  <c r="G69" i="26"/>
  <c r="H69" i="26"/>
  <c r="I69" i="26"/>
  <c r="J69" i="26"/>
  <c r="K69" i="26"/>
  <c r="L69" i="26"/>
  <c r="G55" i="26"/>
  <c r="H55" i="26"/>
  <c r="I55" i="26"/>
  <c r="J55" i="26"/>
  <c r="K55" i="26"/>
  <c r="L55" i="26"/>
  <c r="F55" i="26"/>
  <c r="G40" i="26"/>
  <c r="H40" i="26"/>
  <c r="I40" i="26"/>
  <c r="K40" i="26"/>
  <c r="L40" i="26"/>
  <c r="L39" i="26"/>
  <c r="K39" i="26"/>
  <c r="J39" i="26"/>
  <c r="I39" i="26"/>
  <c r="J109" i="26" s="1"/>
  <c r="B132" i="26" s="1"/>
  <c r="H39" i="26"/>
  <c r="I109" i="26" s="1"/>
  <c r="B131" i="26" s="1"/>
  <c r="G39" i="26"/>
  <c r="H109" i="26" s="1"/>
  <c r="B130" i="26" s="1"/>
  <c r="D73" i="26"/>
  <c r="E91" i="26" s="1"/>
  <c r="F15" i="26"/>
  <c r="F67" i="26" s="1"/>
  <c r="J15" i="26"/>
  <c r="J67" i="26" s="1"/>
  <c r="K15" i="26"/>
  <c r="K67" i="26" s="1"/>
  <c r="K13" i="26"/>
  <c r="K65" i="26" s="1"/>
  <c r="J13" i="26"/>
  <c r="J65" i="26" s="1"/>
  <c r="F13" i="26"/>
  <c r="F65" i="26" s="1"/>
  <c r="F12" i="26"/>
  <c r="F41" i="26" s="1"/>
  <c r="K12" i="26"/>
  <c r="J12" i="26"/>
  <c r="J8" i="26"/>
  <c r="F8" i="26"/>
  <c r="G120" i="26" l="1"/>
  <c r="X129" i="26" s="1"/>
  <c r="G116" i="26"/>
  <c r="P129" i="26" s="1"/>
  <c r="F2" i="33"/>
  <c r="J3" i="33" a="1"/>
  <c r="J3" i="33" s="1"/>
  <c r="I3" i="33" s="1" a="1"/>
  <c r="I3" i="33" s="1"/>
  <c r="A2" i="33" s="1" a="1"/>
  <c r="L109" i="26"/>
  <c r="B134" i="26" s="1"/>
  <c r="K109" i="26"/>
  <c r="B133" i="26" s="1"/>
  <c r="E112" i="26"/>
  <c r="H127" i="26" s="1"/>
  <c r="E113" i="26"/>
  <c r="J127" i="26" s="1"/>
  <c r="E114" i="26"/>
  <c r="L127" i="26" s="1"/>
  <c r="E115" i="26"/>
  <c r="N127" i="26" s="1"/>
  <c r="E111" i="26"/>
  <c r="F127" i="26" s="1"/>
  <c r="E110" i="26"/>
  <c r="D127" i="26" s="1"/>
  <c r="M109" i="26"/>
  <c r="B135" i="26" s="1"/>
  <c r="M115" i="26"/>
  <c r="N135" i="26" s="1"/>
  <c r="M114" i="26"/>
  <c r="M113" i="26"/>
  <c r="M112" i="26"/>
  <c r="H135" i="26" s="1"/>
  <c r="M111" i="26"/>
  <c r="M110" i="26"/>
  <c r="D135" i="26" s="1"/>
  <c r="L114" i="26"/>
  <c r="L113" i="26"/>
  <c r="L112" i="26"/>
  <c r="L115" i="26"/>
  <c r="N134" i="26" s="1"/>
  <c r="L111" i="26"/>
  <c r="F134" i="26" s="1"/>
  <c r="L110" i="26"/>
  <c r="D134" i="26" s="1"/>
  <c r="J112" i="26"/>
  <c r="J111" i="26"/>
  <c r="J110" i="26"/>
  <c r="J115" i="26"/>
  <c r="N132" i="26" s="1"/>
  <c r="J114" i="26"/>
  <c r="J113" i="26"/>
  <c r="I111" i="26"/>
  <c r="I112" i="26"/>
  <c r="I110" i="26"/>
  <c r="I115" i="26"/>
  <c r="N131" i="26" s="1"/>
  <c r="I114" i="26"/>
  <c r="I113" i="26"/>
  <c r="H110" i="26"/>
  <c r="H115" i="26"/>
  <c r="N130" i="26" s="1"/>
  <c r="H111" i="26"/>
  <c r="H114" i="26"/>
  <c r="H113" i="26"/>
  <c r="H112" i="26"/>
  <c r="G109" i="26"/>
  <c r="B129" i="26" s="1"/>
  <c r="D47" i="26"/>
  <c r="G49" i="26"/>
  <c r="D48" i="26"/>
  <c r="G48" i="26"/>
  <c r="D49" i="26"/>
  <c r="G47" i="26"/>
  <c r="D50" i="26"/>
  <c r="D46" i="26"/>
  <c r="F91" i="26"/>
  <c r="D98" i="26" s="1"/>
  <c r="D91" i="26"/>
  <c r="D96" i="26" s="1"/>
  <c r="D97" i="26"/>
  <c r="D51" i="26"/>
  <c r="G44" i="26"/>
  <c r="D52" i="26"/>
  <c r="D44" i="26"/>
  <c r="G51" i="26"/>
  <c r="G52" i="26"/>
  <c r="D87" i="26"/>
  <c r="D76" i="26"/>
  <c r="D85" i="26"/>
  <c r="D78" i="26"/>
  <c r="D81" i="26"/>
  <c r="D79" i="26"/>
  <c r="D77" i="26"/>
  <c r="D83" i="26"/>
  <c r="D82" i="26"/>
  <c r="D74" i="26"/>
  <c r="D80" i="26"/>
  <c r="D75" i="26"/>
  <c r="E40" i="26"/>
  <c r="E68" i="26"/>
  <c r="D41" i="26"/>
  <c r="E41" i="26"/>
  <c r="I68" i="26"/>
  <c r="D68" i="26"/>
  <c r="K68" i="26"/>
  <c r="G41" i="26"/>
  <c r="J68" i="26"/>
  <c r="H68" i="26"/>
  <c r="G68" i="26"/>
  <c r="L41" i="26"/>
  <c r="F68" i="26"/>
  <c r="I41" i="26"/>
  <c r="H41" i="26"/>
  <c r="F60" i="26"/>
  <c r="F40" i="26"/>
  <c r="J60" i="26"/>
  <c r="J40" i="26"/>
  <c r="K111" i="26" s="1"/>
  <c r="J64" i="26"/>
  <c r="J41" i="26"/>
  <c r="K116" i="26" s="1"/>
  <c r="P133" i="26" s="1"/>
  <c r="K64" i="26"/>
  <c r="K41" i="26"/>
  <c r="F64" i="26"/>
  <c r="D250" i="33" l="1"/>
  <c r="C250" i="33"/>
  <c r="B250" i="33"/>
  <c r="D249" i="33"/>
  <c r="B249" i="33"/>
  <c r="C249" i="33"/>
  <c r="D248" i="33"/>
  <c r="B248" i="33"/>
  <c r="C248" i="33"/>
  <c r="D247" i="33"/>
  <c r="B247" i="33"/>
  <c r="C247" i="33"/>
  <c r="D246" i="33"/>
  <c r="C246" i="33"/>
  <c r="B246" i="33"/>
  <c r="D245" i="33"/>
  <c r="C245" i="33"/>
  <c r="B245" i="33"/>
  <c r="D244" i="33"/>
  <c r="C244" i="33"/>
  <c r="B244" i="33"/>
  <c r="D243" i="33"/>
  <c r="C243" i="33"/>
  <c r="B243" i="33"/>
  <c r="D242" i="33"/>
  <c r="C242" i="33"/>
  <c r="B242" i="33"/>
  <c r="D5" i="33"/>
  <c r="D13" i="33"/>
  <c r="D21" i="33"/>
  <c r="D29" i="33"/>
  <c r="D37" i="33"/>
  <c r="D45" i="33"/>
  <c r="D53" i="33"/>
  <c r="D61" i="33"/>
  <c r="D69" i="33"/>
  <c r="D77" i="33"/>
  <c r="D85" i="33"/>
  <c r="D93" i="33"/>
  <c r="D101" i="33"/>
  <c r="D109" i="33"/>
  <c r="D117" i="33"/>
  <c r="D125" i="33"/>
  <c r="D133" i="33"/>
  <c r="D141" i="33"/>
  <c r="D149" i="33"/>
  <c r="D157" i="33"/>
  <c r="D165" i="33"/>
  <c r="D173" i="33"/>
  <c r="D181" i="33"/>
  <c r="D189" i="33"/>
  <c r="D197" i="33"/>
  <c r="D205" i="33"/>
  <c r="D213" i="33"/>
  <c r="D221" i="33"/>
  <c r="D229" i="33"/>
  <c r="D237" i="33"/>
  <c r="D3" i="33"/>
  <c r="B207" i="33"/>
  <c r="D8" i="33"/>
  <c r="D32" i="33"/>
  <c r="D56" i="33"/>
  <c r="D80" i="33"/>
  <c r="D104" i="33"/>
  <c r="D120" i="33"/>
  <c r="D144" i="33"/>
  <c r="D184" i="33"/>
  <c r="D208" i="33"/>
  <c r="D232" i="33"/>
  <c r="D6" i="33"/>
  <c r="D14" i="33"/>
  <c r="D22" i="33"/>
  <c r="D30" i="33"/>
  <c r="D38" i="33"/>
  <c r="D46" i="33"/>
  <c r="D54" i="33"/>
  <c r="D62" i="33"/>
  <c r="D70" i="33"/>
  <c r="D78" i="33"/>
  <c r="D86" i="33"/>
  <c r="D94" i="33"/>
  <c r="D102" i="33"/>
  <c r="D110" i="33"/>
  <c r="D118" i="33"/>
  <c r="D126" i="33"/>
  <c r="D134" i="33"/>
  <c r="D142" i="33"/>
  <c r="D150" i="33"/>
  <c r="D158" i="33"/>
  <c r="D166" i="33"/>
  <c r="D174" i="33"/>
  <c r="D182" i="33"/>
  <c r="D190" i="33"/>
  <c r="D198" i="33"/>
  <c r="D206" i="33"/>
  <c r="D214" i="33"/>
  <c r="D222" i="33"/>
  <c r="D230" i="33"/>
  <c r="D238" i="33"/>
  <c r="D4" i="33"/>
  <c r="B208" i="33"/>
  <c r="D16" i="33"/>
  <c r="D40" i="33"/>
  <c r="D64" i="33"/>
  <c r="D88" i="33"/>
  <c r="D128" i="33"/>
  <c r="D152" i="33"/>
  <c r="D176" i="33"/>
  <c r="D200" i="33"/>
  <c r="D224" i="33"/>
  <c r="D7" i="33"/>
  <c r="D15" i="33"/>
  <c r="D23" i="33"/>
  <c r="D31" i="33"/>
  <c r="D39" i="33"/>
  <c r="D47" i="33"/>
  <c r="D55" i="33"/>
  <c r="D63" i="33"/>
  <c r="D71" i="33"/>
  <c r="D79" i="33"/>
  <c r="D87" i="33"/>
  <c r="D95" i="33"/>
  <c r="D103" i="33"/>
  <c r="D111" i="33"/>
  <c r="D119" i="33"/>
  <c r="D127" i="33"/>
  <c r="D135" i="33"/>
  <c r="D143" i="33"/>
  <c r="D151" i="33"/>
  <c r="D159" i="33"/>
  <c r="D167" i="33"/>
  <c r="D175" i="33"/>
  <c r="D183" i="33"/>
  <c r="D191" i="33"/>
  <c r="D199" i="33"/>
  <c r="D207" i="33"/>
  <c r="D215" i="33"/>
  <c r="D223" i="33"/>
  <c r="D231" i="33"/>
  <c r="D239" i="33"/>
  <c r="B209" i="33"/>
  <c r="D24" i="33"/>
  <c r="D48" i="33"/>
  <c r="D72" i="33"/>
  <c r="D96" i="33"/>
  <c r="D112" i="33"/>
  <c r="D136" i="33"/>
  <c r="D160" i="33"/>
  <c r="D168" i="33"/>
  <c r="D192" i="33"/>
  <c r="D216" i="33"/>
  <c r="D240" i="33"/>
  <c r="D9" i="33"/>
  <c r="D17" i="33"/>
  <c r="D25" i="33"/>
  <c r="D33" i="33"/>
  <c r="D41" i="33"/>
  <c r="D49" i="33"/>
  <c r="D57" i="33"/>
  <c r="D65" i="33"/>
  <c r="D73" i="33"/>
  <c r="D81" i="33"/>
  <c r="D89" i="33"/>
  <c r="D97" i="33"/>
  <c r="D105" i="33"/>
  <c r="D113" i="33"/>
  <c r="D121" i="33"/>
  <c r="D129" i="33"/>
  <c r="D137" i="33"/>
  <c r="D145" i="33"/>
  <c r="D153" i="33"/>
  <c r="D161" i="33"/>
  <c r="D169" i="33"/>
  <c r="D177" i="33"/>
  <c r="D185" i="33"/>
  <c r="D193" i="33"/>
  <c r="D201" i="33"/>
  <c r="D209" i="33"/>
  <c r="D217" i="33"/>
  <c r="D225" i="33"/>
  <c r="D233" i="33"/>
  <c r="D241" i="33"/>
  <c r="D226" i="33"/>
  <c r="D132" i="33"/>
  <c r="D212" i="33"/>
  <c r="D10" i="33"/>
  <c r="D18" i="33"/>
  <c r="D26" i="33"/>
  <c r="D34" i="33"/>
  <c r="D42" i="33"/>
  <c r="D50" i="33"/>
  <c r="D58" i="33"/>
  <c r="D66" i="33"/>
  <c r="D74" i="33"/>
  <c r="D82" i="33"/>
  <c r="D90" i="33"/>
  <c r="D98" i="33"/>
  <c r="D106" i="33"/>
  <c r="D114" i="33"/>
  <c r="D122" i="33"/>
  <c r="D130" i="33"/>
  <c r="D138" i="33"/>
  <c r="D146" i="33"/>
  <c r="D154" i="33"/>
  <c r="D162" i="33"/>
  <c r="D170" i="33"/>
  <c r="D178" i="33"/>
  <c r="D186" i="33"/>
  <c r="D194" i="33"/>
  <c r="D202" i="33"/>
  <c r="D210" i="33"/>
  <c r="D218" i="33"/>
  <c r="D234" i="33"/>
  <c r="D140" i="33"/>
  <c r="D204" i="33"/>
  <c r="D236" i="33"/>
  <c r="D11" i="33"/>
  <c r="D19" i="33"/>
  <c r="D27" i="33"/>
  <c r="D35" i="33"/>
  <c r="D43" i="33"/>
  <c r="D51" i="33"/>
  <c r="D59" i="33"/>
  <c r="D67" i="33"/>
  <c r="D75" i="33"/>
  <c r="D83" i="33"/>
  <c r="D91" i="33"/>
  <c r="D99" i="33"/>
  <c r="D107" i="33"/>
  <c r="D115" i="33"/>
  <c r="D123" i="33"/>
  <c r="D131" i="33"/>
  <c r="D139" i="33"/>
  <c r="D147" i="33"/>
  <c r="D155" i="33"/>
  <c r="D163" i="33"/>
  <c r="D171" i="33"/>
  <c r="D179" i="33"/>
  <c r="D187" i="33"/>
  <c r="D195" i="33"/>
  <c r="D203" i="33"/>
  <c r="D211" i="33"/>
  <c r="D219" i="33"/>
  <c r="D227" i="33"/>
  <c r="D235" i="33"/>
  <c r="B223" i="33"/>
  <c r="D156" i="33"/>
  <c r="D228" i="33"/>
  <c r="B224" i="33"/>
  <c r="D12" i="33"/>
  <c r="D20" i="33"/>
  <c r="D28" i="33"/>
  <c r="D36" i="33"/>
  <c r="D44" i="33"/>
  <c r="D52" i="33"/>
  <c r="D60" i="33"/>
  <c r="D68" i="33"/>
  <c r="D76" i="33"/>
  <c r="D84" i="33"/>
  <c r="D92" i="33"/>
  <c r="D100" i="33"/>
  <c r="D108" i="33"/>
  <c r="D116" i="33"/>
  <c r="D124" i="33"/>
  <c r="D148" i="33"/>
  <c r="D164" i="33"/>
  <c r="D172" i="33"/>
  <c r="D180" i="33"/>
  <c r="D188" i="33"/>
  <c r="D196" i="33"/>
  <c r="D220" i="33"/>
  <c r="A2" i="33"/>
  <c r="D2" i="33" s="1"/>
  <c r="B81" i="33"/>
  <c r="C182" i="33"/>
  <c r="C118" i="33"/>
  <c r="C54" i="33"/>
  <c r="B237" i="33"/>
  <c r="B169" i="33"/>
  <c r="B105" i="33"/>
  <c r="C204" i="33"/>
  <c r="C140" i="33"/>
  <c r="C76" i="33"/>
  <c r="C12" i="33"/>
  <c r="B191" i="33"/>
  <c r="B127" i="33"/>
  <c r="B63" i="33"/>
  <c r="C203" i="33"/>
  <c r="C119" i="33"/>
  <c r="C33" i="33"/>
  <c r="C202" i="33"/>
  <c r="C117" i="33"/>
  <c r="C32" i="33"/>
  <c r="C201" i="33"/>
  <c r="C115" i="33"/>
  <c r="C31" i="33"/>
  <c r="B188" i="33"/>
  <c r="B102" i="33"/>
  <c r="B30" i="33"/>
  <c r="C145" i="33"/>
  <c r="C168" i="33"/>
  <c r="C82" i="33"/>
  <c r="B155" i="33"/>
  <c r="B70" i="33"/>
  <c r="B5" i="33"/>
  <c r="C81" i="33"/>
  <c r="C185" i="33"/>
  <c r="B216" i="33"/>
  <c r="B98" i="33"/>
  <c r="B4" i="33"/>
  <c r="C37" i="33"/>
  <c r="B139" i="33"/>
  <c r="B35" i="33"/>
  <c r="C3" i="33"/>
  <c r="B11" i="33"/>
  <c r="C66" i="33"/>
  <c r="B150" i="33"/>
  <c r="B44" i="33"/>
  <c r="B226" i="33"/>
  <c r="B23" i="33"/>
  <c r="B239" i="33"/>
  <c r="B17" i="33"/>
  <c r="B106" i="33"/>
  <c r="C219" i="33"/>
  <c r="B184" i="33"/>
  <c r="C131" i="33"/>
  <c r="B172" i="33"/>
  <c r="B221" i="33"/>
  <c r="B219" i="33"/>
  <c r="B157" i="33"/>
  <c r="B118" i="33"/>
  <c r="B41" i="33"/>
  <c r="B177" i="33"/>
  <c r="B199" i="33"/>
  <c r="C215" i="33"/>
  <c r="C213" i="33"/>
  <c r="C127" i="33"/>
  <c r="B114" i="33"/>
  <c r="C167" i="33"/>
  <c r="B80" i="33"/>
  <c r="B231" i="33"/>
  <c r="B47" i="33"/>
  <c r="B56" i="33"/>
  <c r="B31" i="33"/>
  <c r="C25" i="33"/>
  <c r="C238" i="33"/>
  <c r="C174" i="33"/>
  <c r="C110" i="33"/>
  <c r="C46" i="33"/>
  <c r="B229" i="33"/>
  <c r="B161" i="33"/>
  <c r="B97" i="33"/>
  <c r="C196" i="33"/>
  <c r="C132" i="33"/>
  <c r="C68" i="33"/>
  <c r="C4" i="33"/>
  <c r="B183" i="33"/>
  <c r="B119" i="33"/>
  <c r="C241" i="33"/>
  <c r="C193" i="33"/>
  <c r="C107" i="33"/>
  <c r="C23" i="33"/>
  <c r="C192" i="33"/>
  <c r="C106" i="33"/>
  <c r="C21" i="33"/>
  <c r="C191" i="33"/>
  <c r="C105" i="33"/>
  <c r="C19" i="33"/>
  <c r="B178" i="33"/>
  <c r="B92" i="33"/>
  <c r="B22" i="33"/>
  <c r="C123" i="33"/>
  <c r="C157" i="33"/>
  <c r="C72" i="33"/>
  <c r="B233" i="33"/>
  <c r="B144" i="33"/>
  <c r="B61" i="33"/>
  <c r="C59" i="33"/>
  <c r="C154" i="33"/>
  <c r="B196" i="33"/>
  <c r="B84" i="33"/>
  <c r="C13" i="33"/>
  <c r="B125" i="33"/>
  <c r="B25" i="33"/>
  <c r="B205" i="33"/>
  <c r="C197" i="33"/>
  <c r="C35" i="33"/>
  <c r="B138" i="33"/>
  <c r="B34" i="33"/>
  <c r="B192" i="33"/>
  <c r="C231" i="33"/>
  <c r="B200" i="33"/>
  <c r="C163" i="33"/>
  <c r="B76" i="33"/>
  <c r="C24" i="33"/>
  <c r="B128" i="33"/>
  <c r="B241" i="33"/>
  <c r="B116" i="33"/>
  <c r="B189" i="33"/>
  <c r="B158" i="33"/>
  <c r="B99" i="33"/>
  <c r="B65" i="33"/>
  <c r="C186" i="33"/>
  <c r="C212" i="33"/>
  <c r="C43" i="33"/>
  <c r="B198" i="33"/>
  <c r="C17" i="33"/>
  <c r="B13" i="33"/>
  <c r="B110" i="33"/>
  <c r="C58" i="33"/>
  <c r="C34" i="33"/>
  <c r="C77" i="33"/>
  <c r="B217" i="33"/>
  <c r="C230" i="33"/>
  <c r="C166" i="33"/>
  <c r="C102" i="33"/>
  <c r="C38" i="33"/>
  <c r="B220" i="33"/>
  <c r="B153" i="33"/>
  <c r="B89" i="33"/>
  <c r="C188" i="33"/>
  <c r="C124" i="33"/>
  <c r="C60" i="33"/>
  <c r="B175" i="33"/>
  <c r="B111" i="33"/>
  <c r="C233" i="33"/>
  <c r="C183" i="33"/>
  <c r="C97" i="33"/>
  <c r="C11" i="33"/>
  <c r="C181" i="33"/>
  <c r="C96" i="33"/>
  <c r="C10" i="33"/>
  <c r="C179" i="33"/>
  <c r="C95" i="33"/>
  <c r="C9" i="33"/>
  <c r="B166" i="33"/>
  <c r="B82" i="33"/>
  <c r="B14" i="33"/>
  <c r="C103" i="33"/>
  <c r="C235" i="33"/>
  <c r="C146" i="33"/>
  <c r="C61" i="33"/>
  <c r="B222" i="33"/>
  <c r="B133" i="33"/>
  <c r="B53" i="33"/>
  <c r="C221" i="33"/>
  <c r="C27" i="33"/>
  <c r="C130" i="33"/>
  <c r="B182" i="33"/>
  <c r="B69" i="33"/>
  <c r="C208" i="33"/>
  <c r="B230" i="33"/>
  <c r="B109" i="33"/>
  <c r="B15" i="33"/>
  <c r="B179" i="33"/>
  <c r="C5" i="33"/>
  <c r="B122" i="33"/>
  <c r="B12" i="33"/>
  <c r="B163" i="33"/>
  <c r="C173" i="33"/>
  <c r="B171" i="33"/>
  <c r="C101" i="33"/>
  <c r="B52" i="33"/>
  <c r="B186" i="33"/>
  <c r="B73" i="33"/>
  <c r="B173" i="33"/>
  <c r="B60" i="33"/>
  <c r="B160" i="33"/>
  <c r="B100" i="33"/>
  <c r="B49" i="33"/>
  <c r="B20" i="33"/>
  <c r="C48" i="33"/>
  <c r="B113" i="33"/>
  <c r="C84" i="33"/>
  <c r="C20" i="33"/>
  <c r="B135" i="33"/>
  <c r="B71" i="33"/>
  <c r="C129" i="33"/>
  <c r="C128" i="33"/>
  <c r="C41" i="33"/>
  <c r="B38" i="33"/>
  <c r="B165" i="33"/>
  <c r="C216" i="33"/>
  <c r="B152" i="33"/>
  <c r="B164" i="33"/>
  <c r="B39" i="33"/>
  <c r="B42" i="33"/>
  <c r="B174" i="33"/>
  <c r="C222" i="33"/>
  <c r="C158" i="33"/>
  <c r="C94" i="33"/>
  <c r="C30" i="33"/>
  <c r="B212" i="33"/>
  <c r="B145" i="33"/>
  <c r="C180" i="33"/>
  <c r="C116" i="33"/>
  <c r="C52" i="33"/>
  <c r="B235" i="33"/>
  <c r="B167" i="33"/>
  <c r="B103" i="33"/>
  <c r="C225" i="33"/>
  <c r="C171" i="33"/>
  <c r="C87" i="33"/>
  <c r="C170" i="33"/>
  <c r="C85" i="33"/>
  <c r="C169" i="33"/>
  <c r="C83" i="33"/>
  <c r="B156" i="33"/>
  <c r="B72" i="33"/>
  <c r="B6" i="33"/>
  <c r="C91" i="33"/>
  <c r="C223" i="33"/>
  <c r="C136" i="33"/>
  <c r="C50" i="33"/>
  <c r="B211" i="33"/>
  <c r="B123" i="33"/>
  <c r="B45" i="33"/>
  <c r="C199" i="33"/>
  <c r="C7" i="33"/>
  <c r="C99" i="33"/>
  <c r="B170" i="33"/>
  <c r="B58" i="33"/>
  <c r="C184" i="33"/>
  <c r="B215" i="33"/>
  <c r="B96" i="33"/>
  <c r="B3" i="33"/>
  <c r="B149" i="33"/>
  <c r="C207" i="33"/>
  <c r="B228" i="33"/>
  <c r="B108" i="33"/>
  <c r="C232" i="33"/>
  <c r="B136" i="33"/>
  <c r="C112" i="33"/>
  <c r="B141" i="33"/>
  <c r="C26" i="33"/>
  <c r="B32" i="33"/>
  <c r="B130" i="33"/>
  <c r="B27" i="33"/>
  <c r="B117" i="33"/>
  <c r="B18" i="33"/>
  <c r="B104" i="33"/>
  <c r="B50" i="33"/>
  <c r="B7" i="33"/>
  <c r="C194" i="33"/>
  <c r="B202" i="33"/>
  <c r="C62" i="33"/>
  <c r="C42" i="33"/>
  <c r="C8" i="33"/>
  <c r="B16" i="33"/>
  <c r="B33" i="33"/>
  <c r="C79" i="33"/>
  <c r="C214" i="33"/>
  <c r="C150" i="33"/>
  <c r="C86" i="33"/>
  <c r="C22" i="33"/>
  <c r="B201" i="33"/>
  <c r="B137" i="33"/>
  <c r="C236" i="33"/>
  <c r="C172" i="33"/>
  <c r="C108" i="33"/>
  <c r="C44" i="33"/>
  <c r="B227" i="33"/>
  <c r="B159" i="33"/>
  <c r="B95" i="33"/>
  <c r="C217" i="33"/>
  <c r="C161" i="33"/>
  <c r="C75" i="33"/>
  <c r="B238" i="33"/>
  <c r="C160" i="33"/>
  <c r="C74" i="33"/>
  <c r="B236" i="33"/>
  <c r="C159" i="33"/>
  <c r="C73" i="33"/>
  <c r="B234" i="33"/>
  <c r="B146" i="33"/>
  <c r="B62" i="33"/>
  <c r="C234" i="33"/>
  <c r="C71" i="33"/>
  <c r="C210" i="33"/>
  <c r="C125" i="33"/>
  <c r="C40" i="33"/>
  <c r="B197" i="33"/>
  <c r="B112" i="33"/>
  <c r="B37" i="33"/>
  <c r="C177" i="33"/>
  <c r="B232" i="33"/>
  <c r="C69" i="33"/>
  <c r="B154" i="33"/>
  <c r="B48" i="33"/>
  <c r="C153" i="33"/>
  <c r="B195" i="33"/>
  <c r="B83" i="33"/>
  <c r="B24" i="33"/>
  <c r="B120" i="33"/>
  <c r="C176" i="33"/>
  <c r="B214" i="33"/>
  <c r="B94" i="33"/>
  <c r="C205" i="33"/>
  <c r="B107" i="33"/>
  <c r="C88" i="33"/>
  <c r="B115" i="33"/>
  <c r="B225" i="33"/>
  <c r="B10" i="33"/>
  <c r="B74" i="33"/>
  <c r="C195" i="33"/>
  <c r="B64" i="33"/>
  <c r="C229" i="33"/>
  <c r="B51" i="33"/>
  <c r="B8" i="33"/>
  <c r="C133" i="33"/>
  <c r="C56" i="33"/>
  <c r="B142" i="33"/>
  <c r="C126" i="33"/>
  <c r="C211" i="33"/>
  <c r="C93" i="33"/>
  <c r="C113" i="33"/>
  <c r="C67" i="33"/>
  <c r="C90" i="33"/>
  <c r="B132" i="33"/>
  <c r="B240" i="33"/>
  <c r="B88" i="33"/>
  <c r="C206" i="33"/>
  <c r="C142" i="33"/>
  <c r="C78" i="33"/>
  <c r="C14" i="33"/>
  <c r="B193" i="33"/>
  <c r="B129" i="33"/>
  <c r="C228" i="33"/>
  <c r="C164" i="33"/>
  <c r="C100" i="33"/>
  <c r="C36" i="33"/>
  <c r="B218" i="33"/>
  <c r="B151" i="33"/>
  <c r="B87" i="33"/>
  <c r="C240" i="33"/>
  <c r="C151" i="33"/>
  <c r="C65" i="33"/>
  <c r="C239" i="33"/>
  <c r="C149" i="33"/>
  <c r="C64" i="33"/>
  <c r="C237" i="33"/>
  <c r="C147" i="33"/>
  <c r="C63" i="33"/>
  <c r="B134" i="33"/>
  <c r="B54" i="33"/>
  <c r="C209" i="33"/>
  <c r="C49" i="33"/>
  <c r="C200" i="33"/>
  <c r="C114" i="33"/>
  <c r="C29" i="33"/>
  <c r="B187" i="33"/>
  <c r="B101" i="33"/>
  <c r="B29" i="33"/>
  <c r="C155" i="33"/>
  <c r="B206" i="33"/>
  <c r="C45" i="33"/>
  <c r="B140" i="33"/>
  <c r="B36" i="33"/>
  <c r="C122" i="33"/>
  <c r="B181" i="33"/>
  <c r="B68" i="33"/>
  <c r="C175" i="33"/>
  <c r="B93" i="33"/>
  <c r="C152" i="33"/>
  <c r="B194" i="33"/>
  <c r="B78" i="33"/>
  <c r="C144" i="33"/>
  <c r="B77" i="33"/>
  <c r="C165" i="33"/>
  <c r="B85" i="33"/>
  <c r="B190" i="33"/>
  <c r="B131" i="33"/>
  <c r="B28" i="33"/>
  <c r="B148" i="33"/>
  <c r="B19" i="33"/>
  <c r="C162" i="33"/>
  <c r="B9" i="33"/>
  <c r="C141" i="33"/>
  <c r="C57" i="33"/>
  <c r="B203" i="33"/>
  <c r="B86" i="33"/>
  <c r="C148" i="33"/>
  <c r="B43" i="33"/>
  <c r="C198" i="33"/>
  <c r="C134" i="33"/>
  <c r="C70" i="33"/>
  <c r="C6" i="33"/>
  <c r="B185" i="33"/>
  <c r="B121" i="33"/>
  <c r="C220" i="33"/>
  <c r="C156" i="33"/>
  <c r="C92" i="33"/>
  <c r="C28" i="33"/>
  <c r="B210" i="33"/>
  <c r="B143" i="33"/>
  <c r="B79" i="33"/>
  <c r="C227" i="33"/>
  <c r="C139" i="33"/>
  <c r="C55" i="33"/>
  <c r="C226" i="33"/>
  <c r="C138" i="33"/>
  <c r="C53" i="33"/>
  <c r="C224" i="33"/>
  <c r="C137" i="33"/>
  <c r="C51" i="33"/>
  <c r="B213" i="33"/>
  <c r="B124" i="33"/>
  <c r="B46" i="33"/>
  <c r="C187" i="33"/>
  <c r="C39" i="33"/>
  <c r="C189" i="33"/>
  <c r="C104" i="33"/>
  <c r="C18" i="33"/>
  <c r="B176" i="33"/>
  <c r="B91" i="33"/>
  <c r="B21" i="33"/>
  <c r="C135" i="33"/>
  <c r="C15" i="33"/>
  <c r="B126" i="33"/>
  <c r="B26" i="33"/>
  <c r="C98" i="33"/>
  <c r="B168" i="33"/>
  <c r="B57" i="33"/>
  <c r="C89" i="33"/>
  <c r="B66" i="33"/>
  <c r="C121" i="33"/>
  <c r="B180" i="33"/>
  <c r="B67" i="33"/>
  <c r="C120" i="33"/>
  <c r="B55" i="33"/>
  <c r="C109" i="33"/>
  <c r="B59" i="33"/>
  <c r="B162" i="33"/>
  <c r="B75" i="33"/>
  <c r="C218" i="33"/>
  <c r="B90" i="33"/>
  <c r="C111" i="33"/>
  <c r="C80" i="33"/>
  <c r="C143" i="33"/>
  <c r="C16" i="33"/>
  <c r="B204" i="33"/>
  <c r="B147" i="33"/>
  <c r="B40" i="33"/>
  <c r="C190" i="33"/>
  <c r="C178" i="33"/>
  <c r="C47" i="33"/>
  <c r="D86" i="26"/>
  <c r="K93" i="26" s="1"/>
  <c r="J103" i="26" s="1"/>
  <c r="J132" i="26"/>
  <c r="D130" i="26"/>
  <c r="L131" i="26"/>
  <c r="H130" i="26"/>
  <c r="F132" i="26"/>
  <c r="L132" i="26"/>
  <c r="J131" i="26"/>
  <c r="J134" i="26"/>
  <c r="D132" i="26"/>
  <c r="L134" i="26"/>
  <c r="J130" i="26"/>
  <c r="D131" i="26"/>
  <c r="H132" i="26"/>
  <c r="F135" i="26"/>
  <c r="H134" i="26"/>
  <c r="L130" i="26"/>
  <c r="H131" i="26"/>
  <c r="F130" i="26"/>
  <c r="F131" i="26"/>
  <c r="J135" i="26"/>
  <c r="L135" i="26"/>
  <c r="G46" i="26"/>
  <c r="G115" i="26"/>
  <c r="N129" i="26" s="1"/>
  <c r="G114" i="26"/>
  <c r="G113" i="26"/>
  <c r="J129" i="26" s="1"/>
  <c r="G112" i="26"/>
  <c r="G110" i="26"/>
  <c r="D129" i="26" s="1"/>
  <c r="G111" i="26"/>
  <c r="G50" i="26"/>
  <c r="K113" i="26"/>
  <c r="K112" i="26"/>
  <c r="K114" i="26"/>
  <c r="L133" i="26" s="1"/>
  <c r="K110" i="26"/>
  <c r="D133" i="26" s="1"/>
  <c r="K115" i="26"/>
  <c r="N133" i="26" s="1"/>
  <c r="G117" i="26"/>
  <c r="R129" i="26" s="1"/>
  <c r="G118" i="26"/>
  <c r="G119" i="26"/>
  <c r="G123" i="26"/>
  <c r="AD129" i="26" s="1"/>
  <c r="G121" i="26"/>
  <c r="G122" i="26"/>
  <c r="J116" i="26"/>
  <c r="J118" i="26"/>
  <c r="J120" i="26"/>
  <c r="J122" i="26"/>
  <c r="J117" i="26"/>
  <c r="J119" i="26"/>
  <c r="J121" i="26"/>
  <c r="J123" i="26"/>
  <c r="J51" i="26"/>
  <c r="L116" i="26"/>
  <c r="L120" i="26"/>
  <c r="L117" i="26"/>
  <c r="L121" i="26"/>
  <c r="Z134" i="26" s="1"/>
  <c r="L118" i="26"/>
  <c r="L122" i="26"/>
  <c r="L119" i="26"/>
  <c r="V134" i="26" s="1"/>
  <c r="L123" i="26"/>
  <c r="J52" i="26"/>
  <c r="M116" i="26"/>
  <c r="M120" i="26"/>
  <c r="M117" i="26"/>
  <c r="R135" i="26" s="1"/>
  <c r="M121" i="26"/>
  <c r="M119" i="26"/>
  <c r="M118" i="26"/>
  <c r="M122" i="26"/>
  <c r="M123" i="26"/>
  <c r="F110" i="26"/>
  <c r="F111" i="26"/>
  <c r="F112" i="26"/>
  <c r="F115" i="26"/>
  <c r="N128" i="26" s="1"/>
  <c r="F113" i="26"/>
  <c r="F114" i="26"/>
  <c r="J50" i="26"/>
  <c r="K118" i="26"/>
  <c r="K120" i="26"/>
  <c r="K122" i="26"/>
  <c r="AB133" i="26" s="1"/>
  <c r="K117" i="26"/>
  <c r="K121" i="26"/>
  <c r="Z133" i="26" s="1"/>
  <c r="K123" i="26"/>
  <c r="AD133" i="26" s="1"/>
  <c r="K119" i="26"/>
  <c r="F117" i="26"/>
  <c r="F118" i="26"/>
  <c r="F119" i="26"/>
  <c r="F120" i="26"/>
  <c r="F121" i="26"/>
  <c r="F116" i="26"/>
  <c r="F122" i="26"/>
  <c r="F123" i="26"/>
  <c r="J48" i="26"/>
  <c r="I116" i="26"/>
  <c r="I118" i="26"/>
  <c r="I120" i="26"/>
  <c r="I122" i="26"/>
  <c r="I117" i="26"/>
  <c r="I119" i="26"/>
  <c r="I121" i="26"/>
  <c r="I123" i="26"/>
  <c r="J47" i="26"/>
  <c r="H116" i="26"/>
  <c r="H118" i="26"/>
  <c r="H120" i="26"/>
  <c r="H122" i="26"/>
  <c r="H117" i="26"/>
  <c r="H119" i="26"/>
  <c r="H121" i="26"/>
  <c r="H123" i="26"/>
  <c r="E116" i="26"/>
  <c r="P127" i="26" s="1"/>
  <c r="E117" i="26"/>
  <c r="R127" i="26" s="1"/>
  <c r="E118" i="26"/>
  <c r="T127" i="26" s="1"/>
  <c r="E119" i="26"/>
  <c r="V127" i="26" s="1"/>
  <c r="E120" i="26"/>
  <c r="X127" i="26" s="1"/>
  <c r="E121" i="26"/>
  <c r="Z127" i="26" s="1"/>
  <c r="E122" i="26"/>
  <c r="AB127" i="26" s="1"/>
  <c r="E123" i="26"/>
  <c r="AD127" i="26" s="1"/>
  <c r="G45" i="26"/>
  <c r="J46" i="26"/>
  <c r="J49" i="26"/>
  <c r="J45" i="26"/>
  <c r="J44" i="26"/>
  <c r="E36" i="26"/>
  <c r="G5" i="35"/>
  <c r="G6" i="35"/>
  <c r="G7" i="35"/>
  <c r="G8" i="35"/>
  <c r="G9" i="35"/>
  <c r="G10" i="35"/>
  <c r="G11" i="35"/>
  <c r="G4" i="35"/>
  <c r="D188" i="35"/>
  <c r="D189" i="35"/>
  <c r="N140" i="35"/>
  <c r="N141" i="35"/>
  <c r="K535" i="18"/>
  <c r="K532" i="18"/>
  <c r="K534" i="18"/>
  <c r="B2" i="33" l="1"/>
  <c r="C2" i="33"/>
  <c r="AD128" i="26"/>
  <c r="AD134" i="26"/>
  <c r="R130" i="26"/>
  <c r="T135" i="26"/>
  <c r="AD132" i="26"/>
  <c r="R131" i="26"/>
  <c r="V135" i="26"/>
  <c r="Z132" i="26"/>
  <c r="X130" i="26"/>
  <c r="AB131" i="26"/>
  <c r="Z128" i="26"/>
  <c r="R133" i="26"/>
  <c r="Z135" i="26"/>
  <c r="T134" i="26"/>
  <c r="V132" i="26"/>
  <c r="F133" i="26"/>
  <c r="H129" i="26"/>
  <c r="V133" i="26"/>
  <c r="AB128" i="26"/>
  <c r="L128" i="26"/>
  <c r="AB129" i="26"/>
  <c r="F129" i="26"/>
  <c r="AB130" i="26"/>
  <c r="P128" i="26"/>
  <c r="J128" i="26"/>
  <c r="AB134" i="26"/>
  <c r="Z129" i="26"/>
  <c r="T130" i="26"/>
  <c r="X131" i="26"/>
  <c r="X128" i="26"/>
  <c r="H128" i="26"/>
  <c r="R132" i="26"/>
  <c r="Z131" i="26"/>
  <c r="AB135" i="26"/>
  <c r="V131" i="26"/>
  <c r="P130" i="26"/>
  <c r="T131" i="26"/>
  <c r="V128" i="26"/>
  <c r="X133" i="26"/>
  <c r="F128" i="26"/>
  <c r="X135" i="26"/>
  <c r="R134" i="26"/>
  <c r="AB132" i="26"/>
  <c r="V129" i="26"/>
  <c r="H133" i="26"/>
  <c r="L129" i="26"/>
  <c r="AD130" i="26"/>
  <c r="P131" i="26"/>
  <c r="T128" i="26"/>
  <c r="T133" i="26"/>
  <c r="D128" i="26"/>
  <c r="P135" i="26"/>
  <c r="X134" i="26"/>
  <c r="X132" i="26"/>
  <c r="T129" i="26"/>
  <c r="J133" i="26"/>
  <c r="Z130" i="26"/>
  <c r="AD131" i="26"/>
  <c r="R128" i="26"/>
  <c r="AD135" i="26"/>
  <c r="P134" i="26"/>
  <c r="T132" i="26"/>
  <c r="P132" i="26"/>
  <c r="V130" i="26"/>
  <c r="G12" i="35"/>
  <c r="H5" i="35" s="1"/>
  <c r="D190" i="35"/>
  <c r="G189" i="35" s="1"/>
  <c r="G3" i="30" a="1"/>
  <c r="E3" i="30" a="1"/>
  <c r="B3" i="30" a="1"/>
  <c r="B3" i="30" s="1"/>
  <c r="A3" i="30" a="1"/>
  <c r="A3" i="30" s="1"/>
  <c r="K104" i="30" l="1"/>
  <c r="K116" i="30"/>
  <c r="K131" i="30"/>
  <c r="K132" i="30"/>
  <c r="K64" i="30"/>
  <c r="K118" i="30"/>
  <c r="K63" i="30"/>
  <c r="K49" i="30"/>
  <c r="K106" i="30"/>
  <c r="K45" i="30"/>
  <c r="K153" i="30"/>
  <c r="K191" i="30"/>
  <c r="K163" i="30"/>
  <c r="K164" i="30"/>
  <c r="K196" i="30"/>
  <c r="K213" i="30"/>
  <c r="K157" i="30"/>
  <c r="K33" i="30"/>
  <c r="K51" i="30"/>
  <c r="K193" i="30"/>
  <c r="K53" i="30"/>
  <c r="K182" i="30"/>
  <c r="K5" i="30"/>
  <c r="K183" i="30"/>
  <c r="K47" i="30"/>
  <c r="K24" i="30"/>
  <c r="K39" i="30"/>
  <c r="K46" i="30"/>
  <c r="K212" i="30"/>
  <c r="K68" i="30"/>
  <c r="K4" i="30"/>
  <c r="E2" i="25" a="1"/>
  <c r="G87" i="25" s="1"/>
  <c r="F2" i="25" a="1"/>
  <c r="F2" i="25" s="1"/>
  <c r="K37" i="30"/>
  <c r="K27" i="30"/>
  <c r="K124" i="30"/>
  <c r="K207" i="30"/>
  <c r="K36" i="30"/>
  <c r="K110" i="30"/>
  <c r="K67" i="30"/>
  <c r="K184" i="30"/>
  <c r="K197" i="30"/>
  <c r="K26" i="30"/>
  <c r="K176" i="30"/>
  <c r="K83" i="30"/>
  <c r="K188" i="30"/>
  <c r="K22" i="30"/>
  <c r="K29" i="30"/>
  <c r="K73" i="30"/>
  <c r="K205" i="30"/>
  <c r="K194" i="30"/>
  <c r="K23" i="30"/>
  <c r="K31" i="30"/>
  <c r="K75" i="30"/>
  <c r="K203" i="30"/>
  <c r="K192" i="30"/>
  <c r="K19" i="30"/>
  <c r="K84" i="30"/>
  <c r="K177" i="30"/>
  <c r="K50" i="30"/>
  <c r="K186" i="30"/>
  <c r="E34" i="35"/>
  <c r="Y32" i="35"/>
  <c r="Y56" i="35"/>
  <c r="D765" i="20" s="1"/>
  <c r="AJ40" i="35"/>
  <c r="D563" i="18" s="1"/>
  <c r="Y40" i="35"/>
  <c r="D761" i="20" s="1"/>
  <c r="Y48" i="35"/>
  <c r="D762" i="20" s="1"/>
  <c r="AJ32" i="35"/>
  <c r="D565" i="18" s="1"/>
  <c r="AJ56" i="35"/>
  <c r="D559" i="18" s="1"/>
  <c r="AJ48" i="35"/>
  <c r="D561" i="18" s="1"/>
  <c r="Y24" i="35"/>
  <c r="D759" i="20" s="1"/>
  <c r="AJ24" i="35"/>
  <c r="D567" i="18" s="1"/>
  <c r="E20" i="35"/>
  <c r="H6" i="35"/>
  <c r="H4" i="35"/>
  <c r="H11" i="35"/>
  <c r="H9" i="35"/>
  <c r="H7" i="35"/>
  <c r="H8" i="35"/>
  <c r="H10" i="35"/>
  <c r="G188" i="35"/>
  <c r="G3" i="30"/>
  <c r="F9" i="30" s="1"/>
  <c r="E3" i="30"/>
  <c r="E2" i="25" l="1"/>
  <c r="G2" i="25" s="1"/>
  <c r="G5" i="25"/>
  <c r="G17" i="25"/>
  <c r="G29" i="25"/>
  <c r="G41" i="25"/>
  <c r="G53" i="25"/>
  <c r="G65" i="25"/>
  <c r="G77" i="25"/>
  <c r="G64" i="25"/>
  <c r="G6" i="25"/>
  <c r="G18" i="25"/>
  <c r="G30" i="25"/>
  <c r="G42" i="25"/>
  <c r="G54" i="25"/>
  <c r="G66" i="25"/>
  <c r="G78" i="25"/>
  <c r="G7" i="25"/>
  <c r="G19" i="25"/>
  <c r="G31" i="25"/>
  <c r="G43" i="25"/>
  <c r="G55" i="25"/>
  <c r="G67" i="25"/>
  <c r="G79" i="25"/>
  <c r="G8" i="25"/>
  <c r="G20" i="25"/>
  <c r="G32" i="25"/>
  <c r="G44" i="25"/>
  <c r="G56" i="25"/>
  <c r="G68" i="25"/>
  <c r="G80" i="25"/>
  <c r="G37" i="25"/>
  <c r="G49" i="25"/>
  <c r="G61" i="25"/>
  <c r="G85" i="25"/>
  <c r="G76" i="25"/>
  <c r="G9" i="25"/>
  <c r="G21" i="25"/>
  <c r="G33" i="25"/>
  <c r="G45" i="25"/>
  <c r="G57" i="25"/>
  <c r="G69" i="25"/>
  <c r="G81" i="25"/>
  <c r="G13" i="25"/>
  <c r="G73" i="25"/>
  <c r="G10" i="25"/>
  <c r="G22" i="25"/>
  <c r="G34" i="25"/>
  <c r="G46" i="25"/>
  <c r="G58" i="25"/>
  <c r="G70" i="25"/>
  <c r="G82" i="25"/>
  <c r="G52" i="25"/>
  <c r="G11" i="25"/>
  <c r="G23" i="25"/>
  <c r="G35" i="25"/>
  <c r="G47" i="25"/>
  <c r="G59" i="25"/>
  <c r="G71" i="25"/>
  <c r="G83" i="25"/>
  <c r="G25" i="25"/>
  <c r="G12" i="25"/>
  <c r="G24" i="25"/>
  <c r="G36" i="25"/>
  <c r="G48" i="25"/>
  <c r="G60" i="25"/>
  <c r="G72" i="25"/>
  <c r="G84" i="25"/>
  <c r="G14" i="25"/>
  <c r="G26" i="25"/>
  <c r="G38" i="25"/>
  <c r="G50" i="25"/>
  <c r="G62" i="25"/>
  <c r="G74" i="25"/>
  <c r="G86" i="25"/>
  <c r="G3" i="25"/>
  <c r="G15" i="25"/>
  <c r="G27" i="25"/>
  <c r="G39" i="25"/>
  <c r="G51" i="25"/>
  <c r="G63" i="25"/>
  <c r="G75" i="25"/>
  <c r="G4" i="25"/>
  <c r="G16" i="25"/>
  <c r="G28" i="25"/>
  <c r="G40" i="25"/>
  <c r="E38" i="35"/>
  <c r="Y44" i="35"/>
  <c r="D779" i="20" s="1"/>
  <c r="Y52" i="35"/>
  <c r="D780" i="20" s="1"/>
  <c r="Y60" i="35"/>
  <c r="D781" i="20" s="1"/>
  <c r="AJ44" i="35"/>
  <c r="D545" i="18" s="1"/>
  <c r="Y36" i="35"/>
  <c r="AJ28" i="35"/>
  <c r="D547" i="18" s="1"/>
  <c r="Y28" i="35"/>
  <c r="D778" i="20" s="1"/>
  <c r="AJ52" i="35"/>
  <c r="D544" i="18" s="1"/>
  <c r="AJ36" i="35"/>
  <c r="D546" i="18" s="1"/>
  <c r="AJ60" i="35"/>
  <c r="D543" i="18" s="1"/>
  <c r="E35" i="35"/>
  <c r="Y57" i="35"/>
  <c r="D756" i="20" s="1"/>
  <c r="Y41" i="35"/>
  <c r="D754" i="20" s="1"/>
  <c r="AJ25" i="35"/>
  <c r="D572" i="18" s="1"/>
  <c r="Y25" i="35"/>
  <c r="D753" i="20" s="1"/>
  <c r="Y49" i="35"/>
  <c r="D755" i="20" s="1"/>
  <c r="AJ33" i="35"/>
  <c r="D571" i="18" s="1"/>
  <c r="AJ49" i="35"/>
  <c r="D569" i="18" s="1"/>
  <c r="AJ57" i="35"/>
  <c r="D568" i="18" s="1"/>
  <c r="AJ41" i="35"/>
  <c r="D570" i="18" s="1"/>
  <c r="Y33" i="35"/>
  <c r="E33" i="35"/>
  <c r="AJ31" i="35"/>
  <c r="D576" i="18" s="1"/>
  <c r="Y31" i="35"/>
  <c r="Y55" i="35"/>
  <c r="D751" i="20" s="1"/>
  <c r="Y47" i="35"/>
  <c r="D750" i="20" s="1"/>
  <c r="Y39" i="35"/>
  <c r="D749" i="20" s="1"/>
  <c r="AJ23" i="35"/>
  <c r="D577" i="18" s="1"/>
  <c r="Y23" i="35"/>
  <c r="D748" i="20" s="1"/>
  <c r="AJ39" i="35"/>
  <c r="D575" i="18" s="1"/>
  <c r="AJ47" i="35"/>
  <c r="D574" i="18" s="1"/>
  <c r="AJ55" i="35"/>
  <c r="D573" i="18" s="1"/>
  <c r="E39" i="35"/>
  <c r="AJ37" i="35"/>
  <c r="D564" i="18" s="1"/>
  <c r="Y53" i="35"/>
  <c r="D764" i="20" s="1"/>
  <c r="Y45" i="35"/>
  <c r="D763" i="20" s="1"/>
  <c r="Y61" i="35"/>
  <c r="D766" i="20" s="1"/>
  <c r="AJ45" i="35"/>
  <c r="D562" i="18" s="1"/>
  <c r="AJ53" i="35"/>
  <c r="D560" i="18" s="1"/>
  <c r="AJ29" i="35"/>
  <c r="D566" i="18" s="1"/>
  <c r="Y37" i="35"/>
  <c r="AJ61" i="35"/>
  <c r="D558" i="18" s="1"/>
  <c r="Y29" i="35"/>
  <c r="D760" i="20" s="1"/>
  <c r="E37" i="35"/>
  <c r="Y43" i="35"/>
  <c r="D784" i="20" s="1"/>
  <c r="Y59" i="35"/>
  <c r="D786" i="20" s="1"/>
  <c r="Y51" i="35"/>
  <c r="D785" i="20" s="1"/>
  <c r="AJ51" i="35"/>
  <c r="D539" i="18" s="1"/>
  <c r="AJ59" i="35"/>
  <c r="D538" i="18" s="1"/>
  <c r="AJ35" i="35"/>
  <c r="D541" i="18" s="1"/>
  <c r="AJ43" i="35"/>
  <c r="D540" i="18" s="1"/>
  <c r="AJ27" i="35"/>
  <c r="D542" i="18" s="1"/>
  <c r="Y35" i="35"/>
  <c r="Y27" i="35"/>
  <c r="D783" i="20" s="1"/>
  <c r="E40" i="35"/>
  <c r="Y54" i="35"/>
  <c r="D775" i="20" s="1"/>
  <c r="Y62" i="35"/>
  <c r="D776" i="20" s="1"/>
  <c r="Y38" i="35"/>
  <c r="AJ46" i="35"/>
  <c r="D550" i="18" s="1"/>
  <c r="AJ38" i="35"/>
  <c r="D551" i="18" s="1"/>
  <c r="Y46" i="35"/>
  <c r="D774" i="20" s="1"/>
  <c r="AJ30" i="35"/>
  <c r="D552" i="18" s="1"/>
  <c r="AJ62" i="35"/>
  <c r="D548" i="18" s="1"/>
  <c r="Y30" i="35"/>
  <c r="D773" i="20" s="1"/>
  <c r="AJ54" i="35"/>
  <c r="D549" i="18" s="1"/>
  <c r="E36" i="35"/>
  <c r="Y58" i="35"/>
  <c r="D771" i="20" s="1"/>
  <c r="AJ34" i="35"/>
  <c r="D556" i="18" s="1"/>
  <c r="Y42" i="35"/>
  <c r="D769" i="20" s="1"/>
  <c r="Y50" i="35"/>
  <c r="D770" i="20" s="1"/>
  <c r="Y26" i="35"/>
  <c r="D768" i="20" s="1"/>
  <c r="Y34" i="35"/>
  <c r="AJ42" i="35"/>
  <c r="D555" i="18" s="1"/>
  <c r="AJ26" i="35"/>
  <c r="D557" i="18" s="1"/>
  <c r="AJ50" i="35"/>
  <c r="D554" i="18" s="1"/>
  <c r="AJ58" i="35"/>
  <c r="D553" i="18" s="1"/>
  <c r="D757" i="20"/>
  <c r="F17" i="30"/>
  <c r="F6" i="30"/>
  <c r="F18" i="30"/>
  <c r="F16" i="30"/>
  <c r="H17" i="30"/>
  <c r="H18" i="30"/>
  <c r="H16" i="30"/>
  <c r="F12" i="30"/>
  <c r="E23" i="35"/>
  <c r="E22" i="35"/>
  <c r="E26" i="35"/>
  <c r="E19" i="35"/>
  <c r="E21" i="35"/>
  <c r="E24" i="35"/>
  <c r="E25" i="35"/>
  <c r="H12" i="35"/>
  <c r="E93" i="26"/>
  <c r="D93" i="26"/>
  <c r="E92" i="26"/>
  <c r="G97" i="26" s="1"/>
  <c r="D92" i="26"/>
  <c r="G96" i="26" s="1"/>
  <c r="H6" i="30"/>
  <c r="H8" i="30"/>
  <c r="H13" i="30"/>
  <c r="H15" i="30"/>
  <c r="F8" i="30"/>
  <c r="H5" i="30"/>
  <c r="H7" i="30"/>
  <c r="F11" i="30"/>
  <c r="H10" i="30"/>
  <c r="F7" i="30"/>
  <c r="H4" i="30"/>
  <c r="F5" i="30"/>
  <c r="F13" i="30"/>
  <c r="H9" i="30"/>
  <c r="F4" i="30"/>
  <c r="F15" i="30"/>
  <c r="H12" i="30"/>
  <c r="H11" i="30"/>
  <c r="F14" i="30"/>
  <c r="F10" i="30"/>
  <c r="H14" i="30"/>
  <c r="L92" i="26"/>
  <c r="F92" i="26"/>
  <c r="G92" i="26"/>
  <c r="H92" i="26"/>
  <c r="I92" i="26"/>
  <c r="J92" i="26"/>
  <c r="K92" i="26"/>
  <c r="L93" i="26"/>
  <c r="F93" i="26"/>
  <c r="G93" i="26"/>
  <c r="H93" i="26"/>
  <c r="I93" i="26"/>
  <c r="J93" i="26"/>
  <c r="L91" i="26"/>
  <c r="D104" i="26" s="1"/>
  <c r="G91" i="26"/>
  <c r="D99" i="26" s="1"/>
  <c r="H91" i="26"/>
  <c r="D100" i="26" s="1"/>
  <c r="I91" i="26"/>
  <c r="D101" i="26" s="1"/>
  <c r="J91" i="26"/>
  <c r="D102" i="26" s="1"/>
  <c r="K91" i="26"/>
  <c r="D103" i="26" s="1"/>
  <c r="D747" i="20" l="1"/>
  <c r="D752" i="20"/>
  <c r="D772" i="20"/>
  <c r="D767" i="20"/>
  <c r="D782" i="20"/>
  <c r="D777" i="20"/>
  <c r="D758" i="20"/>
  <c r="G102" i="26"/>
  <c r="J102" i="26"/>
  <c r="G101" i="26"/>
  <c r="J97" i="26"/>
  <c r="J101" i="26"/>
  <c r="G100" i="26"/>
  <c r="G103" i="26"/>
  <c r="J100" i="26"/>
  <c r="G99" i="26"/>
  <c r="J99" i="26"/>
  <c r="G98" i="26"/>
  <c r="J98" i="26"/>
  <c r="G104" i="26"/>
  <c r="J104" i="26"/>
  <c r="J96" i="26"/>
  <c r="K746" i="20" l="1"/>
  <c r="K735" i="20"/>
  <c r="K738" i="20"/>
  <c r="K741" i="20"/>
  <c r="K742" i="20"/>
  <c r="K739" i="20"/>
  <c r="K744" i="20"/>
  <c r="K745" i="20"/>
  <c r="K740" i="20"/>
  <c r="K743" i="20"/>
  <c r="D18" i="22"/>
  <c r="D46" i="22" s="1"/>
  <c r="E18" i="22"/>
  <c r="E46" i="22" s="1"/>
  <c r="F18" i="22"/>
  <c r="F46" i="22" s="1"/>
  <c r="G18" i="22"/>
  <c r="G46" i="22" s="1"/>
  <c r="H18" i="22"/>
  <c r="H46" i="22" s="1"/>
  <c r="I18" i="22"/>
  <c r="I46" i="22" s="1"/>
  <c r="J18" i="22"/>
  <c r="J46" i="22" s="1"/>
  <c r="K18" i="22"/>
  <c r="K46" i="22" s="1"/>
  <c r="L18" i="22"/>
  <c r="L46" i="22" s="1"/>
  <c r="M18" i="22"/>
  <c r="M46" i="22" s="1"/>
  <c r="N18" i="22"/>
  <c r="N46" i="22" s="1"/>
  <c r="O18" i="22"/>
  <c r="O46" i="22" s="1"/>
  <c r="P18" i="22"/>
  <c r="P46" i="22" s="1"/>
  <c r="Q18" i="22"/>
  <c r="Q46" i="22" s="1"/>
  <c r="D19" i="22"/>
  <c r="D47" i="22" s="1"/>
  <c r="E19" i="22"/>
  <c r="E47" i="22" s="1"/>
  <c r="F19" i="22"/>
  <c r="F47" i="22" s="1"/>
  <c r="G19" i="22"/>
  <c r="G47" i="22" s="1"/>
  <c r="H19" i="22"/>
  <c r="H47" i="22" s="1"/>
  <c r="I19" i="22"/>
  <c r="I47" i="22" s="1"/>
  <c r="J19" i="22"/>
  <c r="J47" i="22" s="1"/>
  <c r="K19" i="22"/>
  <c r="K47" i="22" s="1"/>
  <c r="L19" i="22"/>
  <c r="L47" i="22" s="1"/>
  <c r="M19" i="22"/>
  <c r="M47" i="22" s="1"/>
  <c r="N19" i="22"/>
  <c r="N47" i="22" s="1"/>
  <c r="O19" i="22"/>
  <c r="O47" i="22" s="1"/>
  <c r="P19" i="22"/>
  <c r="P47" i="22" s="1"/>
  <c r="Q19" i="22"/>
  <c r="Q47" i="22" s="1"/>
  <c r="D20" i="22"/>
  <c r="D48" i="22" s="1"/>
  <c r="E20" i="22"/>
  <c r="E48" i="22" s="1"/>
  <c r="F20" i="22"/>
  <c r="F48" i="22" s="1"/>
  <c r="G20" i="22"/>
  <c r="G48" i="22" s="1"/>
  <c r="H20" i="22"/>
  <c r="H48" i="22" s="1"/>
  <c r="I20" i="22"/>
  <c r="I48" i="22" s="1"/>
  <c r="J20" i="22"/>
  <c r="J48" i="22" s="1"/>
  <c r="K20" i="22"/>
  <c r="K48" i="22" s="1"/>
  <c r="L20" i="22"/>
  <c r="L48" i="22" s="1"/>
  <c r="M20" i="22"/>
  <c r="M48" i="22" s="1"/>
  <c r="N20" i="22"/>
  <c r="N48" i="22" s="1"/>
  <c r="O20" i="22"/>
  <c r="O48" i="22" s="1"/>
  <c r="P20" i="22"/>
  <c r="P48" i="22" s="1"/>
  <c r="Q20" i="22"/>
  <c r="Q48" i="22" s="1"/>
  <c r="D21" i="22"/>
  <c r="D49" i="22" s="1"/>
  <c r="E21" i="22"/>
  <c r="E49" i="22" s="1"/>
  <c r="F21" i="22"/>
  <c r="F49" i="22" s="1"/>
  <c r="G21" i="22"/>
  <c r="G49" i="22" s="1"/>
  <c r="H21" i="22"/>
  <c r="H49" i="22" s="1"/>
  <c r="I21" i="22"/>
  <c r="I49" i="22" s="1"/>
  <c r="J21" i="22"/>
  <c r="J49" i="22" s="1"/>
  <c r="K21" i="22"/>
  <c r="K49" i="22" s="1"/>
  <c r="L21" i="22"/>
  <c r="L49" i="22" s="1"/>
  <c r="M21" i="22"/>
  <c r="M49" i="22" s="1"/>
  <c r="N21" i="22"/>
  <c r="N49" i="22" s="1"/>
  <c r="O21" i="22"/>
  <c r="O49" i="22" s="1"/>
  <c r="P21" i="22"/>
  <c r="P49" i="22" s="1"/>
  <c r="Q21" i="22"/>
  <c r="Q49" i="22" s="1"/>
  <c r="D22" i="22"/>
  <c r="E22" i="22"/>
  <c r="F22" i="22"/>
  <c r="G22" i="22"/>
  <c r="H22" i="22"/>
  <c r="I22" i="22"/>
  <c r="J22" i="22"/>
  <c r="K22" i="22"/>
  <c r="L22" i="22"/>
  <c r="M22" i="22"/>
  <c r="N22" i="22"/>
  <c r="O22" i="22"/>
  <c r="P22" i="22"/>
  <c r="Q22" i="22"/>
  <c r="D23" i="22"/>
  <c r="E23" i="22"/>
  <c r="F23" i="22"/>
  <c r="G23" i="22"/>
  <c r="H23" i="22"/>
  <c r="I23" i="22"/>
  <c r="J23" i="22"/>
  <c r="K23" i="22"/>
  <c r="L23" i="22"/>
  <c r="M23" i="22"/>
  <c r="N23" i="22"/>
  <c r="O23" i="22"/>
  <c r="P23" i="22"/>
  <c r="Q23" i="22"/>
  <c r="D24" i="22"/>
  <c r="E24" i="22"/>
  <c r="F24" i="22"/>
  <c r="G24" i="22"/>
  <c r="H24" i="22"/>
  <c r="I24" i="22"/>
  <c r="J24" i="22"/>
  <c r="K24" i="22"/>
  <c r="L24" i="22"/>
  <c r="M24" i="22"/>
  <c r="N24" i="22"/>
  <c r="O24" i="22"/>
  <c r="P24" i="22"/>
  <c r="Q24" i="22"/>
  <c r="D25" i="22"/>
  <c r="D53" i="22" s="1"/>
  <c r="E25" i="22"/>
  <c r="E53" i="22" s="1"/>
  <c r="F25" i="22"/>
  <c r="F53" i="22" s="1"/>
  <c r="G25" i="22"/>
  <c r="G53" i="22" s="1"/>
  <c r="H25" i="22"/>
  <c r="H53" i="22" s="1"/>
  <c r="I25" i="22"/>
  <c r="I53" i="22" s="1"/>
  <c r="J25" i="22"/>
  <c r="J53" i="22" s="1"/>
  <c r="K25" i="22"/>
  <c r="K53" i="22" s="1"/>
  <c r="L25" i="22"/>
  <c r="L53" i="22" s="1"/>
  <c r="M25" i="22"/>
  <c r="M53" i="22" s="1"/>
  <c r="N25" i="22"/>
  <c r="N53" i="22" s="1"/>
  <c r="O25" i="22"/>
  <c r="O53" i="22" s="1"/>
  <c r="P25" i="22"/>
  <c r="P53" i="22" s="1"/>
  <c r="Q25" i="22"/>
  <c r="Q53" i="22" s="1"/>
  <c r="D26" i="22"/>
  <c r="D54" i="22" s="1"/>
  <c r="E26" i="22"/>
  <c r="E54" i="22" s="1"/>
  <c r="F26" i="22"/>
  <c r="F103" i="22" s="1"/>
  <c r="G26" i="22"/>
  <c r="G103" i="22" s="1"/>
  <c r="H26" i="22"/>
  <c r="H103" i="22" s="1"/>
  <c r="I26" i="22"/>
  <c r="I103" i="22" s="1"/>
  <c r="J26" i="22"/>
  <c r="J103" i="22" s="1"/>
  <c r="K26" i="22"/>
  <c r="K103" i="22" s="1"/>
  <c r="L26" i="22"/>
  <c r="L54" i="22" s="1"/>
  <c r="M26" i="22"/>
  <c r="M54" i="22" s="1"/>
  <c r="N26" i="22"/>
  <c r="N103" i="22" s="1"/>
  <c r="O26" i="22"/>
  <c r="O103" i="22" s="1"/>
  <c r="P26" i="22"/>
  <c r="P103" i="22" s="1"/>
  <c r="Q26" i="22"/>
  <c r="Q103" i="22" s="1"/>
  <c r="J65" i="22"/>
  <c r="E79" i="22" s="1"/>
  <c r="J63" i="22"/>
  <c r="E73" i="22" s="1"/>
  <c r="J61" i="22"/>
  <c r="E96" i="22" l="1"/>
  <c r="C229" i="38"/>
  <c r="D71" i="22"/>
  <c r="D70" i="22"/>
  <c r="E74" i="22"/>
  <c r="D72" i="22"/>
  <c r="D102" i="22"/>
  <c r="J54" i="22"/>
  <c r="L103" i="22"/>
  <c r="D103" i="22"/>
  <c r="J102" i="22"/>
  <c r="K54" i="22"/>
  <c r="M103" i="22"/>
  <c r="E103" i="22"/>
  <c r="K102" i="22"/>
  <c r="Q54" i="22"/>
  <c r="I54" i="22"/>
  <c r="Q102" i="22"/>
  <c r="I102" i="22"/>
  <c r="P54" i="22"/>
  <c r="H54" i="22"/>
  <c r="P102" i="22"/>
  <c r="H102" i="22"/>
  <c r="O54" i="22"/>
  <c r="G54" i="22"/>
  <c r="O102" i="22"/>
  <c r="G102" i="22"/>
  <c r="N54" i="22"/>
  <c r="F54" i="22"/>
  <c r="N102" i="22"/>
  <c r="F102" i="22"/>
  <c r="M102" i="22"/>
  <c r="E102" i="22"/>
  <c r="L102" i="22"/>
  <c r="E71" i="22"/>
  <c r="E72" i="22"/>
  <c r="C228" i="38" s="1"/>
  <c r="D74" i="22"/>
  <c r="F77" i="22"/>
  <c r="F72" i="22"/>
  <c r="F73" i="22"/>
  <c r="F70" i="22"/>
  <c r="F75" i="22"/>
  <c r="D73" i="22"/>
  <c r="E70" i="22"/>
  <c r="E75" i="22"/>
  <c r="C231" i="38" s="1"/>
  <c r="D77" i="22"/>
  <c r="F71" i="22"/>
  <c r="D75" i="22"/>
  <c r="F74" i="22"/>
  <c r="Q97" i="22" l="1"/>
  <c r="C230" i="38"/>
  <c r="C232" i="38" s="1"/>
  <c r="E97" i="22"/>
  <c r="P97" i="22"/>
  <c r="G97" i="22"/>
  <c r="O97" i="22"/>
  <c r="F97" i="22"/>
  <c r="K97" i="22"/>
  <c r="N97" i="22"/>
  <c r="J97" i="22"/>
  <c r="M97" i="22"/>
  <c r="D97" i="22"/>
  <c r="I97" i="22"/>
  <c r="H97" i="22"/>
  <c r="L97" i="22"/>
  <c r="D98" i="22"/>
  <c r="L98" i="22"/>
  <c r="E98" i="22"/>
  <c r="M98" i="22"/>
  <c r="F98" i="22"/>
  <c r="N98" i="22"/>
  <c r="G98" i="22"/>
  <c r="O98" i="22"/>
  <c r="H98" i="22"/>
  <c r="P98" i="22"/>
  <c r="I98" i="22"/>
  <c r="Q98" i="22"/>
  <c r="K98" i="22"/>
  <c r="J98" i="22"/>
  <c r="H96" i="22"/>
  <c r="P96" i="22"/>
  <c r="I96" i="22"/>
  <c r="Q96" i="22"/>
  <c r="J96" i="22"/>
  <c r="F96" i="22"/>
  <c r="K96" i="22"/>
  <c r="N96" i="22"/>
  <c r="D96" i="22"/>
  <c r="L96" i="22"/>
  <c r="M96" i="22"/>
  <c r="G96" i="22"/>
  <c r="O96" i="22"/>
  <c r="F95" i="22"/>
  <c r="N95" i="22"/>
  <c r="G95" i="22"/>
  <c r="O95" i="22"/>
  <c r="H95" i="22"/>
  <c r="P95" i="22"/>
  <c r="I95" i="22"/>
  <c r="Q95" i="22"/>
  <c r="J95" i="22"/>
  <c r="L95" i="22"/>
  <c r="K95" i="22"/>
  <c r="D95" i="22"/>
  <c r="E95" i="22"/>
  <c r="M95" i="22"/>
  <c r="E24" i="38" l="1"/>
  <c r="E22" i="38"/>
  <c r="E25" i="38"/>
  <c r="N188" i="38"/>
  <c r="E23" i="38"/>
  <c r="P4" i="22"/>
  <c r="N4" i="22"/>
  <c r="J4" i="22"/>
  <c r="F13" i="47" l="1"/>
  <c r="F36" i="47"/>
  <c r="F9" i="47"/>
  <c r="F35" i="47"/>
  <c r="F24" i="47"/>
  <c r="F16" i="47"/>
  <c r="F20" i="47"/>
  <c r="F7" i="47"/>
  <c r="F18" i="47"/>
  <c r="F17" i="47"/>
  <c r="F39" i="47"/>
  <c r="F11" i="47"/>
  <c r="F3" i="47"/>
  <c r="F10" i="47"/>
  <c r="F2" i="47"/>
  <c r="F25" i="47"/>
  <c r="F30" i="47"/>
  <c r="F4" i="47"/>
  <c r="F29" i="47"/>
  <c r="F38" i="47"/>
  <c r="F26" i="47"/>
  <c r="F34" i="47"/>
  <c r="F14" i="47"/>
  <c r="F23" i="47"/>
  <c r="F12" i="47"/>
  <c r="F21" i="47"/>
  <c r="F37" i="47"/>
  <c r="F33" i="47"/>
  <c r="F6" i="47"/>
  <c r="F19" i="47"/>
  <c r="F28" i="47"/>
  <c r="F5" i="47"/>
  <c r="F8" i="47"/>
  <c r="F22" i="47"/>
  <c r="F40" i="47"/>
  <c r="F32" i="47"/>
  <c r="F31" i="47"/>
  <c r="F27" i="47"/>
  <c r="F15" i="47"/>
  <c r="O188" i="38"/>
  <c r="V184" i="38" s="1"/>
  <c r="N191" i="38"/>
  <c r="F56" i="47"/>
  <c r="F60" i="47"/>
  <c r="F75" i="47"/>
  <c r="F45" i="47"/>
  <c r="F59" i="47"/>
  <c r="F41" i="47"/>
  <c r="F72" i="47"/>
  <c r="F46" i="47"/>
  <c r="F73" i="47"/>
  <c r="F52" i="47"/>
  <c r="F44" i="47"/>
  <c r="F48" i="47"/>
  <c r="F74" i="47"/>
  <c r="F66" i="47"/>
  <c r="F43" i="47"/>
  <c r="F62" i="47"/>
  <c r="F54" i="47"/>
  <c r="F51" i="47"/>
  <c r="F61" i="47"/>
  <c r="F82" i="47"/>
  <c r="F70" i="47"/>
  <c r="F50" i="47"/>
  <c r="F78" i="47"/>
  <c r="F64" i="47"/>
  <c r="F76" i="47"/>
  <c r="F47" i="47"/>
  <c r="F67" i="47"/>
  <c r="F57" i="47"/>
  <c r="F71" i="47"/>
  <c r="F53" i="47"/>
  <c r="F69" i="47"/>
  <c r="F63" i="47"/>
  <c r="F79" i="47"/>
  <c r="F81" i="47"/>
  <c r="F42" i="47"/>
  <c r="F77" i="47"/>
  <c r="F49" i="47"/>
  <c r="F68" i="47"/>
  <c r="F55" i="47"/>
  <c r="F80" i="47"/>
  <c r="F65" i="47"/>
  <c r="F58" i="47"/>
  <c r="E11" i="47"/>
  <c r="E3" i="47"/>
  <c r="E29" i="47"/>
  <c r="E2" i="47"/>
  <c r="E27" i="47"/>
  <c r="E12" i="47"/>
  <c r="E13" i="47"/>
  <c r="E7" i="47"/>
  <c r="E9" i="47"/>
  <c r="E30" i="47"/>
  <c r="E39" i="47"/>
  <c r="E38" i="47"/>
  <c r="E33" i="47"/>
  <c r="E23" i="47"/>
  <c r="E25" i="47"/>
  <c r="E40" i="47"/>
  <c r="E14" i="47"/>
  <c r="E19" i="47"/>
  <c r="E4" i="47"/>
  <c r="E21" i="47"/>
  <c r="E32" i="47"/>
  <c r="E31" i="47"/>
  <c r="E20" i="47"/>
  <c r="E22" i="47"/>
  <c r="E16" i="47"/>
  <c r="E5" i="47"/>
  <c r="E15" i="47"/>
  <c r="E34" i="47"/>
  <c r="E10" i="47"/>
  <c r="E17" i="47"/>
  <c r="E6" i="47"/>
  <c r="E35" i="47"/>
  <c r="E24" i="47"/>
  <c r="E36" i="47"/>
  <c r="E18" i="47"/>
  <c r="E28" i="47"/>
  <c r="E37" i="47"/>
  <c r="E26" i="47"/>
  <c r="E8" i="47"/>
  <c r="E82" i="47"/>
  <c r="E81" i="47"/>
  <c r="E59" i="47"/>
  <c r="E61" i="47"/>
  <c r="E42" i="47"/>
  <c r="E43" i="47"/>
  <c r="E67" i="47"/>
  <c r="E56" i="47"/>
  <c r="E66" i="47"/>
  <c r="E77" i="47"/>
  <c r="E63" i="47"/>
  <c r="E45" i="47"/>
  <c r="E72" i="47"/>
  <c r="E44" i="47"/>
  <c r="E74" i="47"/>
  <c r="E73" i="47"/>
  <c r="E64" i="47"/>
  <c r="E79" i="47"/>
  <c r="E60" i="47"/>
  <c r="E54" i="47"/>
  <c r="E51" i="47"/>
  <c r="E50" i="47"/>
  <c r="E75" i="47"/>
  <c r="E68" i="47"/>
  <c r="E76" i="47"/>
  <c r="E69" i="47"/>
  <c r="E65" i="47"/>
  <c r="E58" i="47"/>
  <c r="E80" i="47"/>
  <c r="E47" i="47"/>
  <c r="E41" i="47"/>
  <c r="E78" i="47"/>
  <c r="E70" i="47"/>
  <c r="E57" i="47"/>
  <c r="E53" i="47"/>
  <c r="E62" i="47"/>
  <c r="E49" i="47"/>
  <c r="E48" i="47"/>
  <c r="E52" i="47"/>
  <c r="E55" i="47"/>
  <c r="E46" i="47"/>
  <c r="E71" i="47"/>
  <c r="E16" i="22"/>
  <c r="N17" i="22"/>
  <c r="N45" i="22" s="1"/>
  <c r="M16" i="22"/>
  <c r="F16" i="22"/>
  <c r="G16" i="22"/>
  <c r="O16" i="22"/>
  <c r="H16" i="22"/>
  <c r="I16" i="22"/>
  <c r="J16" i="22"/>
  <c r="D16" i="22"/>
  <c r="L16" i="22"/>
  <c r="K16" i="22"/>
  <c r="P17" i="22"/>
  <c r="L17" i="22"/>
  <c r="H17" i="22"/>
  <c r="I17" i="22"/>
  <c r="Q17" i="22"/>
  <c r="J17" i="22"/>
  <c r="K17" i="22"/>
  <c r="D17" i="22"/>
  <c r="F17" i="22"/>
  <c r="E17" i="22"/>
  <c r="M17" i="22"/>
  <c r="G17" i="22"/>
  <c r="O17" i="22"/>
  <c r="N16" i="22"/>
  <c r="Q16" i="22"/>
  <c r="P16" i="22"/>
  <c r="D39" i="22"/>
  <c r="D79" i="22" s="1"/>
  <c r="F39" i="22"/>
  <c r="F79" i="22" s="1"/>
  <c r="F38" i="22"/>
  <c r="F78" i="22" s="1"/>
  <c r="D38" i="22"/>
  <c r="D78" i="22" s="1"/>
  <c r="E37" i="22"/>
  <c r="E36" i="22"/>
  <c r="N94" i="22" l="1"/>
  <c r="D45" i="22"/>
  <c r="D94" i="22"/>
  <c r="K44" i="22"/>
  <c r="K93" i="22"/>
  <c r="Q44" i="22"/>
  <c r="Q93" i="22"/>
  <c r="M44" i="22"/>
  <c r="M93" i="22"/>
  <c r="G45" i="22"/>
  <c r="G94" i="22"/>
  <c r="I45" i="22"/>
  <c r="I94" i="22"/>
  <c r="I44" i="22"/>
  <c r="I93" i="22"/>
  <c r="K45" i="22"/>
  <c r="K94" i="22"/>
  <c r="L44" i="22"/>
  <c r="L93" i="22"/>
  <c r="N44" i="22"/>
  <c r="N93" i="22"/>
  <c r="D44" i="22"/>
  <c r="D93" i="22"/>
  <c r="O45" i="22"/>
  <c r="O94" i="22"/>
  <c r="J44" i="22"/>
  <c r="J93" i="22"/>
  <c r="M45" i="22"/>
  <c r="M94" i="22"/>
  <c r="H44" i="22"/>
  <c r="H93" i="22"/>
  <c r="E45" i="22"/>
  <c r="E94" i="22"/>
  <c r="O44" i="22"/>
  <c r="O93" i="22"/>
  <c r="F44" i="22"/>
  <c r="F93" i="22"/>
  <c r="J45" i="22"/>
  <c r="J94" i="22"/>
  <c r="E44" i="22"/>
  <c r="E93" i="22"/>
  <c r="Q45" i="22"/>
  <c r="Q94" i="22"/>
  <c r="H45" i="22"/>
  <c r="H94" i="22"/>
  <c r="E76" i="22"/>
  <c r="D50" i="22"/>
  <c r="L50" i="22"/>
  <c r="E50" i="22"/>
  <c r="M50" i="22"/>
  <c r="J50" i="22"/>
  <c r="F50" i="22"/>
  <c r="N50" i="22"/>
  <c r="G50" i="22"/>
  <c r="O50" i="22"/>
  <c r="H50" i="22"/>
  <c r="P50" i="22"/>
  <c r="I50" i="22"/>
  <c r="Q50" i="22"/>
  <c r="K50" i="22"/>
  <c r="P44" i="22"/>
  <c r="P93" i="22"/>
  <c r="L45" i="22"/>
  <c r="L94" i="22"/>
  <c r="E77" i="22"/>
  <c r="F51" i="22"/>
  <c r="N51" i="22"/>
  <c r="G51" i="22"/>
  <c r="O51" i="22"/>
  <c r="H51" i="22"/>
  <c r="P51" i="22"/>
  <c r="L51" i="22"/>
  <c r="I51" i="22"/>
  <c r="Q51" i="22"/>
  <c r="D51" i="22"/>
  <c r="J51" i="22"/>
  <c r="K51" i="22"/>
  <c r="E51" i="22"/>
  <c r="M51" i="22"/>
  <c r="F45" i="22"/>
  <c r="F94" i="22"/>
  <c r="P45" i="22"/>
  <c r="P94" i="22"/>
  <c r="G44" i="22"/>
  <c r="G93" i="22"/>
  <c r="F36" i="22"/>
  <c r="F76" i="22" s="1"/>
  <c r="F81" i="22" s="1"/>
  <c r="D36" i="22"/>
  <c r="D76" i="22" s="1"/>
  <c r="D81" i="22" s="1"/>
  <c r="E38" i="22"/>
  <c r="H100" i="22" l="1"/>
  <c r="P100" i="22"/>
  <c r="I100" i="22"/>
  <c r="Q100" i="22"/>
  <c r="J100" i="22"/>
  <c r="N100" i="22"/>
  <c r="K100" i="22"/>
  <c r="F100" i="22"/>
  <c r="D100" i="22"/>
  <c r="L100" i="22"/>
  <c r="E100" i="22"/>
  <c r="M100" i="22"/>
  <c r="G100" i="22"/>
  <c r="O100" i="22"/>
  <c r="E78" i="22"/>
  <c r="E81" i="22" s="1"/>
  <c r="H52" i="22"/>
  <c r="H55" i="22" s="1"/>
  <c r="H57" i="22" s="1"/>
  <c r="D525" i="18" s="1"/>
  <c r="P52" i="22"/>
  <c r="P55" i="22" s="1"/>
  <c r="P57" i="22" s="1"/>
  <c r="D532" i="18" s="1"/>
  <c r="I52" i="22"/>
  <c r="I55" i="22" s="1"/>
  <c r="I57" i="22" s="1"/>
  <c r="D531" i="18" s="1"/>
  <c r="Q52" i="22"/>
  <c r="Q55" i="22" s="1"/>
  <c r="Q57" i="22" s="1"/>
  <c r="D535" i="18" s="1"/>
  <c r="N52" i="22"/>
  <c r="N55" i="22" s="1"/>
  <c r="N57" i="22" s="1"/>
  <c r="D533" i="18" s="1"/>
  <c r="J52" i="22"/>
  <c r="J55" i="22" s="1"/>
  <c r="J57" i="22" s="1"/>
  <c r="D528" i="18" s="1"/>
  <c r="K52" i="22"/>
  <c r="K55" i="22" s="1"/>
  <c r="K57" i="22" s="1"/>
  <c r="D537" i="18" s="1"/>
  <c r="D52" i="22"/>
  <c r="D55" i="22" s="1"/>
  <c r="D57" i="22" s="1"/>
  <c r="D530" i="18" s="1"/>
  <c r="L52" i="22"/>
  <c r="L55" i="22" s="1"/>
  <c r="L57" i="22" s="1"/>
  <c r="D536" i="18" s="1"/>
  <c r="E52" i="22"/>
  <c r="E55" i="22" s="1"/>
  <c r="E57" i="22" s="1"/>
  <c r="D534" i="18" s="1"/>
  <c r="M52" i="22"/>
  <c r="M55" i="22" s="1"/>
  <c r="M57" i="22" s="1"/>
  <c r="D526" i="18" s="1"/>
  <c r="G52" i="22"/>
  <c r="G55" i="22" s="1"/>
  <c r="G57" i="22" s="1"/>
  <c r="D524" i="18" s="1"/>
  <c r="O52" i="22"/>
  <c r="O55" i="22" s="1"/>
  <c r="O57" i="22" s="1"/>
  <c r="D527" i="18" s="1"/>
  <c r="F52" i="22"/>
  <c r="F55" i="22" s="1"/>
  <c r="F57" i="22" s="1"/>
  <c r="D529" i="18" s="1"/>
  <c r="F99" i="22"/>
  <c r="N99" i="22"/>
  <c r="G99" i="22"/>
  <c r="O99" i="22"/>
  <c r="D99" i="22"/>
  <c r="H99" i="22"/>
  <c r="P99" i="22"/>
  <c r="I99" i="22"/>
  <c r="Q99" i="22"/>
  <c r="J99" i="22"/>
  <c r="K99" i="22"/>
  <c r="L99" i="22"/>
  <c r="E99" i="22"/>
  <c r="M99" i="22"/>
  <c r="F41" i="22"/>
  <c r="D41" i="22"/>
  <c r="E41" i="22"/>
  <c r="J101" i="22" l="1"/>
  <c r="J104" i="22" s="1"/>
  <c r="J106" i="22" s="1"/>
  <c r="D746" i="20" s="1"/>
  <c r="K101" i="22"/>
  <c r="K104" i="22" s="1"/>
  <c r="K106" i="22" s="1"/>
  <c r="D735" i="20" s="1"/>
  <c r="D101" i="22"/>
  <c r="L101" i="22"/>
  <c r="L104" i="22" s="1"/>
  <c r="L106" i="22" s="1"/>
  <c r="D738" i="20" s="1"/>
  <c r="E101" i="22"/>
  <c r="E104" i="22" s="1"/>
  <c r="E106" i="22" s="1"/>
  <c r="D740" i="20" s="1"/>
  <c r="M101" i="22"/>
  <c r="M104" i="22" s="1"/>
  <c r="M106" i="22" s="1"/>
  <c r="F101" i="22"/>
  <c r="F104" i="22" s="1"/>
  <c r="F106" i="22" s="1"/>
  <c r="D745" i="20" s="1"/>
  <c r="N101" i="22"/>
  <c r="N104" i="22" s="1"/>
  <c r="N106" i="22" s="1"/>
  <c r="D741" i="20" s="1"/>
  <c r="P101" i="22"/>
  <c r="P104" i="22" s="1"/>
  <c r="P106" i="22" s="1"/>
  <c r="D742" i="20" s="1"/>
  <c r="G101" i="22"/>
  <c r="G104" i="22" s="1"/>
  <c r="G106" i="22" s="1"/>
  <c r="O101" i="22"/>
  <c r="O104" i="22" s="1"/>
  <c r="O106" i="22" s="1"/>
  <c r="I101" i="22"/>
  <c r="I104" i="22" s="1"/>
  <c r="I106" i="22" s="1"/>
  <c r="D744" i="20" s="1"/>
  <c r="Q101" i="22"/>
  <c r="Q104" i="22" s="1"/>
  <c r="Q106" i="22" s="1"/>
  <c r="D739" i="20" s="1"/>
  <c r="H101" i="22"/>
  <c r="H104" i="22" s="1"/>
  <c r="H106" i="22" s="1"/>
  <c r="O120" i="22" l="1"/>
  <c r="O116" i="22"/>
  <c r="O118" i="22"/>
  <c r="O114" i="22"/>
  <c r="O123" i="22"/>
  <c r="O119" i="22"/>
  <c r="O115" i="22"/>
  <c r="O122" i="22"/>
  <c r="O113" i="22"/>
  <c r="O121" i="22"/>
  <c r="R137" i="22" s="1"/>
  <c r="E360" i="19" s="1"/>
  <c r="O117" i="22"/>
  <c r="G117" i="22"/>
  <c r="G116" i="22"/>
  <c r="G118" i="22"/>
  <c r="G119" i="22"/>
  <c r="G120" i="22"/>
  <c r="G122" i="22"/>
  <c r="G113" i="22"/>
  <c r="G121" i="22"/>
  <c r="G114" i="22"/>
  <c r="G115" i="22"/>
  <c r="G123" i="22"/>
  <c r="N121" i="22"/>
  <c r="N117" i="22"/>
  <c r="N113" i="22"/>
  <c r="N120" i="22"/>
  <c r="N116" i="22"/>
  <c r="N123" i="22"/>
  <c r="N119" i="22"/>
  <c r="N115" i="22"/>
  <c r="N122" i="22"/>
  <c r="N118" i="22"/>
  <c r="N114" i="22"/>
  <c r="I123" i="22"/>
  <c r="I119" i="22"/>
  <c r="I115" i="22"/>
  <c r="I121" i="22"/>
  <c r="R131" i="22" s="1"/>
  <c r="E354" i="19" s="1"/>
  <c r="I113" i="22"/>
  <c r="I122" i="22"/>
  <c r="I118" i="22"/>
  <c r="I114" i="22"/>
  <c r="I117" i="22"/>
  <c r="I116" i="22"/>
  <c r="I120" i="22"/>
  <c r="F120" i="22"/>
  <c r="F113" i="22"/>
  <c r="F121" i="22"/>
  <c r="F117" i="22"/>
  <c r="F114" i="22"/>
  <c r="F122" i="22"/>
  <c r="F119" i="22"/>
  <c r="F115" i="22"/>
  <c r="F123" i="22"/>
  <c r="F116" i="22"/>
  <c r="F118" i="22"/>
  <c r="R123" i="22"/>
  <c r="R119" i="22"/>
  <c r="R115" i="22"/>
  <c r="R122" i="22"/>
  <c r="R118" i="22"/>
  <c r="R114" i="22"/>
  <c r="R121" i="22"/>
  <c r="R117" i="22"/>
  <c r="R113" i="22"/>
  <c r="R120" i="22"/>
  <c r="R116" i="22"/>
  <c r="J123" i="22"/>
  <c r="J119" i="22"/>
  <c r="J115" i="22"/>
  <c r="J122" i="22"/>
  <c r="J118" i="22"/>
  <c r="J114" i="22"/>
  <c r="J121" i="22"/>
  <c r="J117" i="22"/>
  <c r="J113" i="22"/>
  <c r="J120" i="22"/>
  <c r="J116" i="22"/>
  <c r="M119" i="22"/>
  <c r="M121" i="22"/>
  <c r="M117" i="22"/>
  <c r="M113" i="22"/>
  <c r="M115" i="22"/>
  <c r="M118" i="22"/>
  <c r="M120" i="22"/>
  <c r="M116" i="22"/>
  <c r="M123" i="22"/>
  <c r="M122" i="22"/>
  <c r="M114" i="22"/>
  <c r="P120" i="22"/>
  <c r="P116" i="22"/>
  <c r="P123" i="22"/>
  <c r="P119" i="22"/>
  <c r="P115" i="22"/>
  <c r="P122" i="22"/>
  <c r="P118" i="22"/>
  <c r="P114" i="22"/>
  <c r="P121" i="22"/>
  <c r="R138" i="22" s="1"/>
  <c r="E361" i="19" s="1"/>
  <c r="P117" i="22"/>
  <c r="P113" i="22"/>
  <c r="H115" i="22"/>
  <c r="F130" i="22" s="1"/>
  <c r="E238" i="19" s="1"/>
  <c r="H123" i="22"/>
  <c r="H116" i="22"/>
  <c r="H113" i="22"/>
  <c r="H117" i="22"/>
  <c r="H120" i="22"/>
  <c r="H118" i="22"/>
  <c r="H122" i="22"/>
  <c r="H119" i="22"/>
  <c r="H121" i="22"/>
  <c r="R130" i="22" s="1"/>
  <c r="E353" i="19" s="1"/>
  <c r="H114" i="22"/>
  <c r="L122" i="22"/>
  <c r="L118" i="22"/>
  <c r="L114" i="22"/>
  <c r="L121" i="22"/>
  <c r="L117" i="22"/>
  <c r="L113" i="22"/>
  <c r="L120" i="22"/>
  <c r="L116" i="22"/>
  <c r="L123" i="22"/>
  <c r="L119" i="22"/>
  <c r="L115" i="22"/>
  <c r="Q117" i="22"/>
  <c r="Q113" i="22"/>
  <c r="Q123" i="22"/>
  <c r="Q119" i="22"/>
  <c r="Q115" i="22"/>
  <c r="Q121" i="22"/>
  <c r="R139" i="22" s="1"/>
  <c r="E362" i="19" s="1"/>
  <c r="Q122" i="22"/>
  <c r="Q118" i="22"/>
  <c r="Q114" i="22"/>
  <c r="Q116" i="22"/>
  <c r="Q120" i="22"/>
  <c r="K120" i="22"/>
  <c r="K119" i="22"/>
  <c r="K122" i="22"/>
  <c r="K118" i="22"/>
  <c r="K114" i="22"/>
  <c r="K115" i="22"/>
  <c r="K121" i="22"/>
  <c r="K117" i="22"/>
  <c r="K113" i="22"/>
  <c r="K116" i="22"/>
  <c r="K123" i="22"/>
  <c r="D104" i="22"/>
  <c r="D106" i="22" s="1"/>
  <c r="D743" i="20" s="1"/>
  <c r="E115" i="22" l="1"/>
  <c r="F127" i="22" s="1"/>
  <c r="E235" i="19" s="1"/>
  <c r="E123" i="22"/>
  <c r="V127" i="22" s="1"/>
  <c r="E445" i="19" s="1"/>
  <c r="E120" i="22"/>
  <c r="P127" i="22" s="1"/>
  <c r="E518" i="19" s="1"/>
  <c r="E116" i="22"/>
  <c r="H127" i="22" s="1"/>
  <c r="E336" i="19" s="1"/>
  <c r="E122" i="22"/>
  <c r="T127" i="22" s="1"/>
  <c r="E586" i="19" s="1"/>
  <c r="E117" i="22"/>
  <c r="J127" i="22" s="1"/>
  <c r="E730" i="19" s="1"/>
  <c r="E118" i="22"/>
  <c r="L127" i="22" s="1"/>
  <c r="E799" i="19" s="1"/>
  <c r="E114" i="22"/>
  <c r="D127" i="22" s="1"/>
  <c r="E249" i="19" s="1"/>
  <c r="E119" i="22"/>
  <c r="N127" i="22" s="1"/>
  <c r="E461" i="19" s="1"/>
  <c r="E113" i="22"/>
  <c r="B127" i="22" s="1"/>
  <c r="E711" i="19" s="1"/>
  <c r="E121" i="22"/>
  <c r="R127" i="22" s="1"/>
  <c r="E350" i="19" s="1"/>
  <c r="R128" i="22"/>
  <c r="E351" i="19" s="1"/>
  <c r="R129" i="22"/>
  <c r="E352" i="19" s="1"/>
  <c r="H131" i="22"/>
  <c r="E340" i="19" s="1"/>
  <c r="P131" i="22"/>
  <c r="E522" i="19" s="1"/>
  <c r="F131" i="22"/>
  <c r="E239" i="19" s="1"/>
  <c r="N131" i="22"/>
  <c r="E465" i="19" s="1"/>
  <c r="V131" i="22"/>
  <c r="E449" i="19" s="1"/>
  <c r="D131" i="22"/>
  <c r="E253" i="19" s="1"/>
  <c r="L131" i="22"/>
  <c r="E803" i="19" s="1"/>
  <c r="T131" i="22"/>
  <c r="E590" i="19" s="1"/>
  <c r="J131" i="22"/>
  <c r="E734" i="19" s="1"/>
  <c r="B131" i="22"/>
  <c r="E715" i="19" s="1"/>
  <c r="F129" i="22"/>
  <c r="E237" i="19" s="1"/>
  <c r="N129" i="22"/>
  <c r="E463" i="19" s="1"/>
  <c r="V129" i="22"/>
  <c r="E447" i="19" s="1"/>
  <c r="D129" i="22"/>
  <c r="E251" i="19" s="1"/>
  <c r="L129" i="22"/>
  <c r="E801" i="19" s="1"/>
  <c r="T129" i="22"/>
  <c r="E588" i="19" s="1"/>
  <c r="J129" i="22"/>
  <c r="E732" i="19" s="1"/>
  <c r="B129" i="22"/>
  <c r="E713" i="19" s="1"/>
  <c r="H129" i="22"/>
  <c r="E338" i="19" s="1"/>
  <c r="P129" i="22"/>
  <c r="E520" i="19" s="1"/>
  <c r="B132" i="22"/>
  <c r="E716" i="19" s="1"/>
  <c r="H132" i="22"/>
  <c r="E341" i="19" s="1"/>
  <c r="P132" i="22"/>
  <c r="E523" i="19" s="1"/>
  <c r="F132" i="22"/>
  <c r="E240" i="19" s="1"/>
  <c r="N132" i="22"/>
  <c r="E466" i="19" s="1"/>
  <c r="V132" i="22"/>
  <c r="E450" i="19" s="1"/>
  <c r="D132" i="22"/>
  <c r="E254" i="19" s="1"/>
  <c r="L132" i="22"/>
  <c r="E804" i="19" s="1"/>
  <c r="T132" i="22"/>
  <c r="E591" i="19" s="1"/>
  <c r="J132" i="22"/>
  <c r="E735" i="19" s="1"/>
  <c r="F137" i="22"/>
  <c r="E245" i="19" s="1"/>
  <c r="N137" i="22"/>
  <c r="E471" i="19" s="1"/>
  <c r="V137" i="22"/>
  <c r="E455" i="19" s="1"/>
  <c r="D137" i="22"/>
  <c r="E259" i="19" s="1"/>
  <c r="L137" i="22"/>
  <c r="E809" i="19" s="1"/>
  <c r="T137" i="22"/>
  <c r="E596" i="19" s="1"/>
  <c r="J137" i="22"/>
  <c r="E740" i="19" s="1"/>
  <c r="B137" i="22"/>
  <c r="E721" i="19" s="1"/>
  <c r="H137" i="22"/>
  <c r="E346" i="19" s="1"/>
  <c r="P137" i="22"/>
  <c r="E528" i="19" s="1"/>
  <c r="R132" i="22"/>
  <c r="E355" i="19" s="1"/>
  <c r="F138" i="22"/>
  <c r="E246" i="19" s="1"/>
  <c r="N138" i="22"/>
  <c r="E472" i="19" s="1"/>
  <c r="V138" i="22"/>
  <c r="E456" i="19" s="1"/>
  <c r="D138" i="22"/>
  <c r="E260" i="19" s="1"/>
  <c r="L138" i="22"/>
  <c r="E810" i="19" s="1"/>
  <c r="T138" i="22"/>
  <c r="E597" i="19" s="1"/>
  <c r="J138" i="22"/>
  <c r="E741" i="19" s="1"/>
  <c r="B138" i="22"/>
  <c r="E722" i="19" s="1"/>
  <c r="H138" i="22"/>
  <c r="E347" i="19" s="1"/>
  <c r="P138" i="22"/>
  <c r="E529" i="19" s="1"/>
  <c r="D135" i="22"/>
  <c r="E257" i="19" s="1"/>
  <c r="L135" i="22"/>
  <c r="E807" i="19" s="1"/>
  <c r="T135" i="22"/>
  <c r="E594" i="19" s="1"/>
  <c r="J135" i="22"/>
  <c r="E738" i="19" s="1"/>
  <c r="B135" i="22"/>
  <c r="E719" i="19" s="1"/>
  <c r="H135" i="22"/>
  <c r="E344" i="19" s="1"/>
  <c r="P135" i="22"/>
  <c r="E526" i="19" s="1"/>
  <c r="F135" i="22"/>
  <c r="E243" i="19" s="1"/>
  <c r="N135" i="22"/>
  <c r="E469" i="19" s="1"/>
  <c r="V135" i="22"/>
  <c r="E453" i="19" s="1"/>
  <c r="J134" i="22"/>
  <c r="E737" i="19" s="1"/>
  <c r="B134" i="22"/>
  <c r="E718" i="19" s="1"/>
  <c r="H134" i="22"/>
  <c r="E343" i="19" s="1"/>
  <c r="P134" i="22"/>
  <c r="E525" i="19" s="1"/>
  <c r="F134" i="22"/>
  <c r="E242" i="19" s="1"/>
  <c r="N134" i="22"/>
  <c r="E468" i="19" s="1"/>
  <c r="V134" i="22"/>
  <c r="E452" i="19" s="1"/>
  <c r="D134" i="22"/>
  <c r="E256" i="19" s="1"/>
  <c r="L134" i="22"/>
  <c r="E806" i="19" s="1"/>
  <c r="T134" i="22"/>
  <c r="E593" i="19" s="1"/>
  <c r="R135" i="22"/>
  <c r="E358" i="19" s="1"/>
  <c r="B140" i="22"/>
  <c r="E724" i="19" s="1"/>
  <c r="H140" i="22"/>
  <c r="E349" i="19" s="1"/>
  <c r="P140" i="22"/>
  <c r="E531" i="19" s="1"/>
  <c r="F140" i="22"/>
  <c r="E248" i="19" s="1"/>
  <c r="N140" i="22"/>
  <c r="E474" i="19" s="1"/>
  <c r="V140" i="22"/>
  <c r="E458" i="19" s="1"/>
  <c r="D140" i="22"/>
  <c r="E262" i="19" s="1"/>
  <c r="L140" i="22"/>
  <c r="E812" i="19" s="1"/>
  <c r="T140" i="22"/>
  <c r="E599" i="19" s="1"/>
  <c r="J140" i="22"/>
  <c r="E743" i="19" s="1"/>
  <c r="D136" i="22"/>
  <c r="E258" i="19" s="1"/>
  <c r="L136" i="22"/>
  <c r="E808" i="19" s="1"/>
  <c r="T136" i="22"/>
  <c r="E595" i="19" s="1"/>
  <c r="J136" i="22"/>
  <c r="E739" i="19" s="1"/>
  <c r="B136" i="22"/>
  <c r="E720" i="19" s="1"/>
  <c r="H136" i="22"/>
  <c r="E345" i="19" s="1"/>
  <c r="P136" i="22"/>
  <c r="E527" i="19" s="1"/>
  <c r="F136" i="22"/>
  <c r="E244" i="19" s="1"/>
  <c r="N136" i="22"/>
  <c r="E470" i="19" s="1"/>
  <c r="V136" i="22"/>
  <c r="E454" i="19" s="1"/>
  <c r="H139" i="22"/>
  <c r="E348" i="19" s="1"/>
  <c r="P139" i="22"/>
  <c r="E530" i="19" s="1"/>
  <c r="F139" i="22"/>
  <c r="E247" i="19" s="1"/>
  <c r="N139" i="22"/>
  <c r="E473" i="19" s="1"/>
  <c r="V139" i="22"/>
  <c r="E457" i="19" s="1"/>
  <c r="D139" i="22"/>
  <c r="E261" i="19" s="1"/>
  <c r="L139" i="22"/>
  <c r="E811" i="19" s="1"/>
  <c r="T139" i="22"/>
  <c r="E598" i="19" s="1"/>
  <c r="J139" i="22"/>
  <c r="E742" i="19" s="1"/>
  <c r="B139" i="22"/>
  <c r="E723" i="19" s="1"/>
  <c r="D128" i="22"/>
  <c r="E250" i="19" s="1"/>
  <c r="L128" i="22"/>
  <c r="E800" i="19" s="1"/>
  <c r="T128" i="22"/>
  <c r="E587" i="19" s="1"/>
  <c r="J128" i="22"/>
  <c r="E731" i="19" s="1"/>
  <c r="B128" i="22"/>
  <c r="E712" i="19" s="1"/>
  <c r="H128" i="22"/>
  <c r="E337" i="19" s="1"/>
  <c r="P128" i="22"/>
  <c r="E519" i="19" s="1"/>
  <c r="F128" i="22"/>
  <c r="E236" i="19" s="1"/>
  <c r="N128" i="22"/>
  <c r="E462" i="19" s="1"/>
  <c r="V128" i="22"/>
  <c r="E446" i="19" s="1"/>
  <c r="R134" i="22"/>
  <c r="E357" i="19" s="1"/>
  <c r="J133" i="22"/>
  <c r="E736" i="19" s="1"/>
  <c r="B133" i="22"/>
  <c r="E717" i="19" s="1"/>
  <c r="H133" i="22"/>
  <c r="E342" i="19" s="1"/>
  <c r="P133" i="22"/>
  <c r="E524" i="19" s="1"/>
  <c r="F133" i="22"/>
  <c r="E241" i="19" s="1"/>
  <c r="N133" i="22"/>
  <c r="E467" i="19" s="1"/>
  <c r="V133" i="22"/>
  <c r="E451" i="19" s="1"/>
  <c r="D133" i="22"/>
  <c r="E255" i="19" s="1"/>
  <c r="L133" i="22"/>
  <c r="E805" i="19" s="1"/>
  <c r="T133" i="22"/>
  <c r="E592" i="19" s="1"/>
  <c r="R133" i="22"/>
  <c r="E356" i="19" s="1"/>
  <c r="R140" i="22"/>
  <c r="E363" i="19" s="1"/>
  <c r="N130" i="22"/>
  <c r="E464" i="19" s="1"/>
  <c r="V130" i="22"/>
  <c r="E448" i="19" s="1"/>
  <c r="D130" i="22"/>
  <c r="E252" i="19" s="1"/>
  <c r="L130" i="22"/>
  <c r="E802" i="19" s="1"/>
  <c r="T130" i="22"/>
  <c r="E589" i="19" s="1"/>
  <c r="J130" i="22"/>
  <c r="E733" i="19" s="1"/>
  <c r="B130" i="22"/>
  <c r="E714" i="19" s="1"/>
  <c r="H130" i="22"/>
  <c r="E339" i="19" s="1"/>
  <c r="P130" i="22"/>
  <c r="E521" i="19" s="1"/>
  <c r="R136" i="22"/>
  <c r="E359" i="19" s="1"/>
  <c r="K772" i="20" l="1"/>
  <c r="K758" i="20"/>
  <c r="K777" i="20"/>
  <c r="K782" i="20"/>
  <c r="K767" i="20"/>
  <c r="K752" i="20"/>
  <c r="K757" i="20"/>
  <c r="K747" i="20"/>
  <c r="R185" i="38"/>
  <c r="R189" i="38" l="1"/>
  <c r="R192" i="38"/>
  <c r="R190" i="38"/>
  <c r="V185" i="38"/>
  <c r="R191" i="38"/>
  <c r="R188" i="38"/>
  <c r="V188" i="38" l="1"/>
  <c r="B183" i="38" s="1"/>
  <c r="V191" i="38"/>
  <c r="B186" i="38" s="1"/>
  <c r="V190" i="38"/>
  <c r="V192" i="38"/>
  <c r="V189" i="38"/>
  <c r="B184" i="38" s="1"/>
  <c r="R194" i="38"/>
  <c r="G186" i="38" l="1"/>
  <c r="G184" i="38"/>
  <c r="G183" i="38"/>
  <c r="D183" i="38"/>
  <c r="E102" i="38" s="1"/>
  <c r="E22" i="19" s="1"/>
  <c r="B187" i="38"/>
  <c r="B185" i="38"/>
  <c r="E183" i="38"/>
  <c r="C183" i="38"/>
  <c r="F186" i="38"/>
  <c r="E65" i="38" s="1"/>
  <c r="E35" i="19" s="1"/>
  <c r="V194" i="38"/>
  <c r="Y194" i="38" s="1"/>
  <c r="F183" i="38"/>
  <c r="E62" i="38" s="1"/>
  <c r="E32" i="19" s="1"/>
  <c r="E186" i="38"/>
  <c r="C186" i="38"/>
  <c r="D186" i="38"/>
  <c r="G187" i="38" l="1"/>
  <c r="E92" i="38"/>
  <c r="E72" i="38"/>
  <c r="E85" i="38"/>
  <c r="E55" i="38"/>
  <c r="B189" i="38"/>
  <c r="E93" i="38"/>
  <c r="E73" i="38"/>
  <c r="E82" i="38"/>
  <c r="E68" i="19" s="1"/>
  <c r="E52" i="38"/>
  <c r="E95" i="38"/>
  <c r="E75" i="38"/>
  <c r="G185" i="38"/>
  <c r="E185" i="38"/>
  <c r="C185" i="38"/>
  <c r="C187" i="38"/>
  <c r="E187" i="38"/>
  <c r="I186" i="38"/>
  <c r="E105" i="38"/>
  <c r="E25" i="19" s="1"/>
  <c r="I183" i="38"/>
  <c r="F185" i="38"/>
  <c r="E64" i="38" s="1"/>
  <c r="E34" i="19" s="1"/>
  <c r="F187" i="38"/>
  <c r="E66" i="38" s="1"/>
  <c r="E36" i="19" s="1"/>
  <c r="D187" i="38"/>
  <c r="D185" i="38"/>
  <c r="C184" i="38"/>
  <c r="E184" i="38"/>
  <c r="D184" i="38"/>
  <c r="E103" i="38" s="1"/>
  <c r="E23" i="19" s="1"/>
  <c r="F184" i="38"/>
  <c r="E63" i="38" s="1"/>
  <c r="E33" i="19" s="1"/>
  <c r="E61" i="19" l="1"/>
  <c r="E71" i="19"/>
  <c r="E15" i="19"/>
  <c r="E12" i="19"/>
  <c r="E3" i="19"/>
  <c r="E5" i="19"/>
  <c r="E58" i="19"/>
  <c r="E2" i="19"/>
  <c r="E13" i="19"/>
  <c r="H184" i="38"/>
  <c r="H183" i="38"/>
  <c r="H186" i="38"/>
  <c r="E54" i="38"/>
  <c r="E84" i="38"/>
  <c r="E53" i="38"/>
  <c r="E83" i="38"/>
  <c r="E69" i="19" s="1"/>
  <c r="H185" i="38"/>
  <c r="E86" i="38"/>
  <c r="E56" i="38"/>
  <c r="E94" i="38"/>
  <c r="E74" i="38"/>
  <c r="H187" i="38"/>
  <c r="E96" i="38"/>
  <c r="E76" i="38"/>
  <c r="I185" i="38"/>
  <c r="E104" i="38"/>
  <c r="E24" i="19" s="1"/>
  <c r="I187" i="38"/>
  <c r="E106" i="38"/>
  <c r="E26" i="19" s="1"/>
  <c r="I184" i="38"/>
  <c r="E70" i="19" l="1"/>
  <c r="E60" i="19"/>
  <c r="E6" i="19"/>
  <c r="E62" i="19"/>
  <c r="E14" i="19"/>
  <c r="E59" i="19"/>
  <c r="E4" i="19"/>
  <c r="E72" i="19"/>
  <c r="E16" i="19"/>
  <c r="E31" i="38"/>
  <c r="D21" i="20" s="1"/>
  <c r="E41" i="38"/>
  <c r="D19" i="20" s="1"/>
  <c r="E46" i="38"/>
  <c r="D15" i="20" s="1"/>
  <c r="E36" i="38"/>
  <c r="D17" i="20" s="1"/>
  <c r="E32" i="38"/>
  <c r="D5" i="20" s="1"/>
  <c r="E42" i="38"/>
  <c r="D4" i="20" s="1"/>
  <c r="E47" i="38"/>
  <c r="D2" i="20" s="1"/>
  <c r="E37" i="38"/>
  <c r="D3" i="20" s="1"/>
  <c r="E33" i="38"/>
  <c r="D13" i="20" s="1"/>
  <c r="E43" i="38"/>
  <c r="D12" i="20" s="1"/>
  <c r="E38" i="38"/>
  <c r="D11" i="20" s="1"/>
  <c r="E48" i="38"/>
  <c r="D10" i="20" s="1"/>
  <c r="H188" i="38"/>
  <c r="E29" i="38"/>
  <c r="D9" i="20" s="1"/>
  <c r="E39" i="38"/>
  <c r="D8" i="20" s="1"/>
  <c r="E34" i="38"/>
  <c r="D7" i="20" s="1"/>
  <c r="E44" i="38"/>
  <c r="D6" i="20" s="1"/>
  <c r="E40" i="38"/>
  <c r="D18" i="20" s="1"/>
  <c r="E35" i="38"/>
  <c r="D16" i="20" s="1"/>
  <c r="E45" i="38"/>
  <c r="D14" i="20" s="1"/>
  <c r="E30" i="38"/>
  <c r="D20" i="20"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<sst xmlns="http://schemas.openxmlformats.org/spreadsheetml/2006/main" count="23222" uniqueCount="2069">
  <si>
    <t>Explanation of the sheets in this document</t>
  </si>
  <si>
    <t>Sheet name</t>
  </si>
  <si>
    <t>Description</t>
  </si>
  <si>
    <t>More detailed info</t>
  </si>
  <si>
    <t>Data Quality Indicators</t>
  </si>
  <si>
    <t>Descriptions of the scores of the data quality indicators</t>
  </si>
  <si>
    <t>Input values and transfer coefficient values are assigned a 'data quality indicator' for five categories. The indicator scores range from 1 (very good) to 4 (very poor). The table is adopted from Kawecki et al. (2019) can be used to assign the correct data quality indicator score to each input and transfer coefficient value.</t>
  </si>
  <si>
    <t>Materials</t>
  </si>
  <si>
    <t>All polymers that are considered in this study</t>
  </si>
  <si>
    <t>Input_EU</t>
  </si>
  <si>
    <t>Input data in kton per year at EU scale for the input compartments</t>
  </si>
  <si>
    <t>The 13 input compartments are: Packaging, Building and Construction, Automotive (product sector), EEE (product sector), Agriculture, Clothing (product sector), Household textiles (product sector), Technical textiles, Other plastic products (product sector), Paint, Intentionally produced microparticles, Domestic primary plastic production, Import of primary plastics</t>
  </si>
  <si>
    <t>Input_NL</t>
  </si>
  <si>
    <t>Input data in kton per year at NL scale for the input compartments</t>
  </si>
  <si>
    <r>
      <rPr>
        <u/>
        <sz val="11"/>
        <color theme="1"/>
        <rFont val="Calibri"/>
        <family val="2"/>
        <scheme val="minor"/>
      </rPr>
      <t>The 13 input compartments are:</t>
    </r>
    <r>
      <rPr>
        <sz val="11"/>
        <color theme="1"/>
        <rFont val="Calibri"/>
        <family val="2"/>
        <scheme val="minor"/>
      </rPr>
      <t xml:space="preserve"> Packaging, Building and Construction, Automotive (product sector), EEE (product sector), Agriculture, Clothing (product sector), Household textiles (product sector), Technical textiles, Other plastic products (product sector), Paint, Intentionally produced microparticles, Domestic primary plastic production, Import of primary plastics</t>
    </r>
  </si>
  <si>
    <t>Transfer coefficients</t>
  </si>
  <si>
    <t>Transfer coefficients (0 - 1) that describe the distribution of microplastics from one to another compartment between compartments</t>
  </si>
  <si>
    <t>Plastics are transferred from one compartment to the other. How the plastics are distributed amongst the next compartments is defined by the transfer coefficients. The sum of the transfer coefficients for each compartment must equal 1 (mass balance: no plastics are lost)</t>
  </si>
  <si>
    <t>Lifetimes_pairs</t>
  </si>
  <si>
    <t>The lifetime categories that are assgined to each stock compartment</t>
  </si>
  <si>
    <t>Plastic producs have a lifetime, which refers to the length of time for which it is estimated that the product will be used by the consumer. This table links each stock compartment to a lifetime category.</t>
  </si>
  <si>
    <t>Lifetimes</t>
  </si>
  <si>
    <t>The lifetime (or discarding) funtion for each lifetime category (for the first 200 years)</t>
  </si>
  <si>
    <t xml:space="preserve">The fraction of the plastic product that flows to the next compartment(s) in the first 200 years after the product is consumed. </t>
  </si>
  <si>
    <t>Compartments</t>
  </si>
  <si>
    <t>List of all compartments included in this study</t>
  </si>
  <si>
    <t>x</t>
  </si>
  <si>
    <t>Compartments_Kawecki&amp;Nowack19</t>
  </si>
  <si>
    <t>List of all compartments included in the study from Kawecki and Nowack (2019)</t>
  </si>
  <si>
    <t>Compartments_Added_by_RIVM_TNO</t>
  </si>
  <si>
    <t>List of all compartments that were not inlcuded in the study from Kawecki and Nowack (2019) and that have been added by the RIVM/TNO team in 2023</t>
  </si>
  <si>
    <t>Check_Compartments</t>
  </si>
  <si>
    <t>Check sheet</t>
  </si>
  <si>
    <t>Checks all input compartments. Checks if input compartments only have an outgoing flow (from). Checks if flow compartments have and in- and outgoing flow (from &amp; to). Checks if sink compartments only have an ingoing flow (to).</t>
  </si>
  <si>
    <t>Textiles</t>
  </si>
  <si>
    <t>Calculation of the input and transfer coefficients of textile related compartments</t>
  </si>
  <si>
    <t>The cells that are highlighted in green contain the values that are used in the 'Input_EU', 'Input_NL', or 'Transfer coefficient' sheet.</t>
  </si>
  <si>
    <t>Intentionally produced microparticles</t>
  </si>
  <si>
    <t>Calculation of the input and transfer coefficients of intentionally produced microparticle related compartments</t>
  </si>
  <si>
    <t>Packaging</t>
  </si>
  <si>
    <t>Calculation of the input and transfer coefficients of packaging related compartments</t>
  </si>
  <si>
    <t>Sources used in this document</t>
  </si>
  <si>
    <t>Full citation</t>
  </si>
  <si>
    <t>Kawecki &amp; Nowack (2019)</t>
  </si>
  <si>
    <t>Kawecki, D., &amp; Nowack, B. (2019). Polymer-specific modeling of the environmental emissions of seven commodity plastics as macro-and microplastics. Environmental science &amp; technology, 53(16), 9664-9676.</t>
  </si>
  <si>
    <t>Kawecki et al. (2021)</t>
  </si>
  <si>
    <r>
      <t>Kawecki, D., Wu, Q., Gonçalves, J. S., &amp; Nowack, B. (2021). Polymer-specific dynamic probabilistic material flow analysis of seven polymers in Europe from 1950 to 2016. </t>
    </r>
    <r>
      <rPr>
        <sz val="11"/>
        <color rgb="FF222222"/>
        <rFont val="Calibri"/>
        <family val="2"/>
        <scheme val="minor"/>
      </rPr>
      <t>Resources, Conservation and Recycling, 173, 105733.</t>
    </r>
  </si>
  <si>
    <t>Date</t>
  </si>
  <si>
    <t xml:space="preserve">Adjustment </t>
  </si>
  <si>
    <t>28-1-2025</t>
  </si>
  <si>
    <t>Added Clothing_update tab</t>
  </si>
  <si>
    <t>Category</t>
  </si>
  <si>
    <t xml:space="preserve">Abbreviation </t>
  </si>
  <si>
    <t>Very Good</t>
  </si>
  <si>
    <t>Good</t>
  </si>
  <si>
    <t>Poor</t>
  </si>
  <si>
    <t>Very Poor</t>
  </si>
  <si>
    <t>Score</t>
  </si>
  <si>
    <t>DQIS = 1</t>
  </si>
  <si>
    <t>DQIS = 2</t>
  </si>
  <si>
    <t>DQIS = 3</t>
  </si>
  <si>
    <t>DQIS = 4</t>
  </si>
  <si>
    <t>Geographical representativeness</t>
  </si>
  <si>
    <t>Geo (NL or EU)</t>
  </si>
  <si>
    <t>Same region (for EU: EU28 and EU28+2 qualify, for NL: CBS data qualifies)</t>
  </si>
  <si>
    <t>Socioeconomically similar region (i.e. Europe vs. Switzerland)</t>
  </si>
  <si>
    <t>Socioeconomically different region (i.e. USA vs. Europe)</t>
  </si>
  <si>
    <t>Socioeconomically very different region (i.e. World vs. Europe)</t>
  </si>
  <si>
    <t>Temporal representativeness</t>
  </si>
  <si>
    <t>Temp</t>
  </si>
  <si>
    <t xml:space="preserve">Same year (2019 reference year) </t>
  </si>
  <si>
    <t>1-3 year difference (2016-2018, 2020-2022)</t>
  </si>
  <si>
    <t>4-10 year difference (2009-2015)</t>
  </si>
  <si>
    <t>More than 10 year difference (prior to 2009)</t>
  </si>
  <si>
    <t>Material representativeness</t>
  </si>
  <si>
    <t>Mat</t>
  </si>
  <si>
    <t>Same polymer</t>
  </si>
  <si>
    <t>Same polymer datum corrected with data for all polymers</t>
  </si>
  <si>
    <t>Data for a different polymer, or for plastic as a whole, or including similar materials</t>
  </si>
  <si>
    <t>Including non-similar materials</t>
  </si>
  <si>
    <t>(Technical) Completeness</t>
  </si>
  <si>
    <t>Tech</t>
  </si>
  <si>
    <t>Includes all relevant processes/flows</t>
  </si>
  <si>
    <t>Includes main processes/flows</t>
  </si>
  <si>
    <t>Partially including main processes/flows</t>
  </si>
  <si>
    <t>Important processes/flows are missing</t>
  </si>
  <si>
    <t>Source reliability</t>
  </si>
  <si>
    <t>Rel</t>
  </si>
  <si>
    <t>Official report /peer reviewed documentation</t>
  </si>
  <si>
    <t>Martket reports and other reports / Public databases</t>
  </si>
  <si>
    <t>Qualified estimate</t>
  </si>
  <si>
    <t>Non-qualified estimate</t>
  </si>
  <si>
    <t>Name</t>
  </si>
  <si>
    <t>LDPE</t>
  </si>
  <si>
    <t>HDPE</t>
  </si>
  <si>
    <t>PP</t>
  </si>
  <si>
    <t>PS</t>
  </si>
  <si>
    <t>EPS</t>
  </si>
  <si>
    <t>PVC</t>
  </si>
  <si>
    <t>PET</t>
  </si>
  <si>
    <t>RUBBER</t>
  </si>
  <si>
    <t>PUR</t>
  </si>
  <si>
    <t>ABS</t>
  </si>
  <si>
    <t>PA</t>
  </si>
  <si>
    <t>PC</t>
  </si>
  <si>
    <t>PMMA</t>
  </si>
  <si>
    <t>OTHER</t>
  </si>
  <si>
    <t>Acryl</t>
  </si>
  <si>
    <t>Compartment</t>
  </si>
  <si>
    <t>Year</t>
  </si>
  <si>
    <t>Material</t>
  </si>
  <si>
    <t>Data (kt)</t>
  </si>
  <si>
    <t>Source</t>
  </si>
  <si>
    <t>Geo</t>
  </si>
  <si>
    <t>Spread</t>
  </si>
  <si>
    <t>Codes and comments</t>
  </si>
  <si>
    <t>Clothing (product sector)</t>
  </si>
  <si>
    <t>Information combined from: CBS (2019) and Synthetic Fibers (polymerdatabase.com)</t>
  </si>
  <si>
    <t>Domestic primary plastic production</t>
  </si>
  <si>
    <t>Statistics | Eurostat [WWW Document], n.d. URL https://ec.europa.eu/eurostat/databrowser/view/DS-056120__custom_5851448/default/table (accessed 2.15.24).</t>
  </si>
  <si>
    <t>See 'Pellets_trade' document and pellet_input.py in the Microsoft Teams folder 'Pellet'</t>
  </si>
  <si>
    <t>Household textiles (product sector)</t>
  </si>
  <si>
    <t>Information combined from: CBS (2019), Synthetic Fibers (polymerdatabase.com), and Kawecki &amp; Nowack (2019)</t>
  </si>
  <si>
    <t>Import of primary plastics</t>
  </si>
  <si>
    <t>Recybem</t>
  </si>
  <si>
    <t>Information combined from: Scudo et al. (2017), Microplastics Annex XV Report (2020), and Statistics | Eurostat</t>
  </si>
  <si>
    <t>Data based on EUROSTAT, polymer distribution based on Cimpan et al. (2021)</t>
  </si>
  <si>
    <t>Paint</t>
  </si>
  <si>
    <t>Calculated from domestic paint sales reported in the 'VVVF Jaaroverzicht'</t>
  </si>
  <si>
    <t>Total mass of microplastics in the paint applications that we model</t>
  </si>
  <si>
    <t>Technical textiles</t>
  </si>
  <si>
    <t>Information combined from: CBS (2019), Carpet Fibers (polymerdatabase.com), Kawecki et al. (2019), Wu et al. (2020), and Thadepalli (2022)</t>
  </si>
  <si>
    <t>Comments</t>
  </si>
  <si>
    <t>Textiles in Europe's circular economy — European Environment Agency (europa.eu)</t>
  </si>
  <si>
    <t>Calculated based on the total EU textile consumption (8351.04 kt) and the fractions for the different compartments at NL scale (see table above).</t>
  </si>
  <si>
    <t>Statistics | Eurostat [WWW Document], n.d. URL https://ec.europa.eu/eurostat/databrowser/view/DS-056120__custom_6262207/default/table (accessed 2.15.24).</t>
  </si>
  <si>
    <t>Annex to 'Proposal for a regulation of the European Parliament and of the council on preventing plastic pellet losses to reduce microplastic pollution (European Commission)</t>
  </si>
  <si>
    <t>From</t>
  </si>
  <si>
    <t>To</t>
  </si>
  <si>
    <t>Scale</t>
  </si>
  <si>
    <t>Data</t>
  </si>
  <si>
    <t>Priority</t>
  </si>
  <si>
    <t>Geo NL</t>
  </si>
  <si>
    <t>Geo EU</t>
  </si>
  <si>
    <t>Spread NL</t>
  </si>
  <si>
    <t>Spread EU</t>
  </si>
  <si>
    <t>Agricultural packaging bottles</t>
  </si>
  <si>
    <t>any</t>
  </si>
  <si>
    <t>WRAP, Report: Plastic Packaging Composition 2011, 2013</t>
  </si>
  <si>
    <t>Based on EU flows in Liu etal. 2022 using WRAP and others</t>
  </si>
  <si>
    <t>Agricultural packaging films</t>
  </si>
  <si>
    <t>Agricultural waste collection (micro)</t>
  </si>
  <si>
    <t>Agricultural plastic recycling</t>
  </si>
  <si>
    <t>Schelker, Raymond, and Patrik Geisselhardt, Welche Fraktionen - Hauptkunststoffe, 2011</t>
  </si>
  <si>
    <t>Agricultural soil (macro)</t>
  </si>
  <si>
    <t>Best case scenario</t>
  </si>
  <si>
    <t>Based on Agreste. Chiffres-Clés : 61 Hectares En Moyenne Par Exploitation; 2017</t>
  </si>
  <si>
    <t>Compost (macro)</t>
  </si>
  <si>
    <t>rest</t>
  </si>
  <si>
    <t>97% is used in horticulture and agriculture</t>
  </si>
  <si>
    <t>Agrotextiles</t>
  </si>
  <si>
    <t>Agrotextiles (discarded)</t>
  </si>
  <si>
    <t>Compost (micro)</t>
  </si>
  <si>
    <t>Agricultural soil (micro)</t>
  </si>
  <si>
    <t>Controlled release fertilizer</t>
  </si>
  <si>
    <t>Assumption</t>
  </si>
  <si>
    <t>Assumed that application is to aggriculatural soil and small part is discarded in waste</t>
  </si>
  <si>
    <t>Fertilizer additives</t>
  </si>
  <si>
    <t>Plant protection products</t>
  </si>
  <si>
    <t>Seed coating</t>
  </si>
  <si>
    <t>Agrotextiles (in use)</t>
  </si>
  <si>
    <t>Kawecki and Nowack (2019)</t>
  </si>
  <si>
    <t>Derived from Kawecki and Nowack (2019). (=0.0130 + 0.085)</t>
  </si>
  <si>
    <t>Agricultural waste collection</t>
  </si>
  <si>
    <t>Assumption (based also on PCCP)</t>
  </si>
  <si>
    <t>Collected organic waste</t>
  </si>
  <si>
    <t>WUR &amp; RIVM</t>
  </si>
  <si>
    <t>See SI for further details.</t>
  </si>
  <si>
    <t>Building textiles</t>
  </si>
  <si>
    <t>Building textiles (discarded)</t>
  </si>
  <si>
    <t>Building textiles (in use)</t>
  </si>
  <si>
    <t>Based on private communication with Canton of Geneva on 4/8/2019. Lower limit.</t>
  </si>
  <si>
    <t>Based on private communication with Canton of Geneva on 4/8/2020. Upper limit.</t>
  </si>
  <si>
    <t>Construction and demolition incinerable waste collection</t>
  </si>
  <si>
    <t>Residential soil (macro)</t>
  </si>
  <si>
    <t>Based on private communication with Canton of Geneva on 4/8/2019</t>
  </si>
  <si>
    <t>ELV textiles collection</t>
  </si>
  <si>
    <t>Incineration</t>
  </si>
  <si>
    <t>NL</t>
  </si>
  <si>
    <t>Restrepo, Eliette, Amund N. Løvik, Patrick Wäger, Rolf Widmer, Radek Lonka, and Daniel B. Müller, ‘Stocks, Flows, and Distribution of Critical Metals in Embedded Electronics in Passenger Vehicles’, Environmental Science &amp; Technology, 51 (2017), 1129–39 &lt;http://dx.doi.org/10.1021/acs.est.6b05743&gt;</t>
  </si>
  <si>
    <t>EU</t>
  </si>
  <si>
    <t>Building packaging films</t>
  </si>
  <si>
    <t>Landfill</t>
  </si>
  <si>
    <t>Geotextiles</t>
  </si>
  <si>
    <t>Geotextiles (discarded)</t>
  </si>
  <si>
    <t>Geotextiles (in use)</t>
  </si>
  <si>
    <t>Sub-surface soil (micro)</t>
  </si>
  <si>
    <t>Home textiles</t>
  </si>
  <si>
    <t>Home textiles (discarded)</t>
  </si>
  <si>
    <t>Home textiles (in use)</t>
  </si>
  <si>
    <t>Derived from Kawecki and Nowack (2019). See SI for further details. Lower limit (= 0.0086 + 0 + 0.01757))</t>
  </si>
  <si>
    <t>Derived from Kawecki and Nowack (2019). See SI for further details. Upper limit (= 0.0130 + 0 + 0.01757))</t>
  </si>
  <si>
    <t>Clothing (discarded)</t>
  </si>
  <si>
    <t>Kawecki and Nowack (2019) &amp; WUR&amp;TNO</t>
  </si>
  <si>
    <t>Derived from Kawecki and Nowack (2019). See SI for further details</t>
  </si>
  <si>
    <t>Clothing (in use)</t>
  </si>
  <si>
    <t>Derived from Kawecki and Nowack (2019). See SI for further details. Lower limit (= 0,01757 + 0,00040)</t>
  </si>
  <si>
    <t>Derived from Kawecki and Nowack (2019). See SI for further details. Upper limit (= 0,01757 + 0,00060 + 0,00800)</t>
  </si>
  <si>
    <t>Clothing (in use) wash &amp; dry</t>
  </si>
  <si>
    <t>Clothing (in use) wear &amp; tear</t>
  </si>
  <si>
    <t>Derived from Kawecki and Nowack (2019). See SI for further details. Lower limit (= 0.0004 / (0.0004 + 0.01757))</t>
  </si>
  <si>
    <t>Derived from Kawecki and Nowack (2019). See SI for further details. Upper limit (= 0.0086 / (0.0086 + 0.01757))</t>
  </si>
  <si>
    <t>See calculation in Compost sheet</t>
  </si>
  <si>
    <t>Consumer bags</t>
  </si>
  <si>
    <t>Consumer bottles</t>
  </si>
  <si>
    <t>Consumer films</t>
  </si>
  <si>
    <t>Other consumer packaging</t>
  </si>
  <si>
    <t>Dumping</t>
  </si>
  <si>
    <t>See description in SI</t>
  </si>
  <si>
    <t>Collected organic waste (larger than 1 mm)</t>
  </si>
  <si>
    <t>Collected organic waste (smaller than 1 mm)</t>
  </si>
  <si>
    <t>Faure, F.; De Alencastro, L. F. Recherche de fragments de plastique dans les composts et digestats industriels; 2016.</t>
  </si>
  <si>
    <t>Wastewater treatment plant (macro)</t>
  </si>
  <si>
    <t>Combined sewer overflow (macro)</t>
  </si>
  <si>
    <t>Hoeke 2024 and Liefting E and de Man 2014</t>
  </si>
  <si>
    <t>Combined sewer overflow</t>
  </si>
  <si>
    <t>Sun, T. Y.; Gottschalk, F.; Hungerbühler, K.; Nowack, B. Comprehensive Probabilistic Modelling of Environmental Emissions of Engineered Nanomaterials. Environ. Pollut. 2014, 185, 69–76.</t>
  </si>
  <si>
    <t>Mutzner, L.; Staufer, P.; Ort, C. Model-Based Screening for Critical Wet-Weather Discharges Related to Micropollutants from Urban Areas. Water Res. 2016, 104, 547–557.</t>
  </si>
  <si>
    <t>Wastewater treatment plant (micro)</t>
  </si>
  <si>
    <t>Combined sewer overflow (micro)</t>
  </si>
  <si>
    <t>Calculated based on the duration the CSOs are active per municipality, and the waste water treated annually per year (data obtained from L. Mutzner by private communication on 09.05.2018)</t>
  </si>
  <si>
    <t>Compost size separation (fictional process)</t>
  </si>
  <si>
    <t>Of all the plastic larger than 1 mm, fraction larger than 5 mm</t>
  </si>
  <si>
    <t>No sorting of microplastics</t>
  </si>
  <si>
    <t>Goldberg, L. Plastic in Organic Waste in Switzerland : Material Flows and Consequences, University of Zurich, 2018.</t>
  </si>
  <si>
    <t>99% efficiency in sorting</t>
  </si>
  <si>
    <t>Mixed waste collection</t>
  </si>
  <si>
    <t>Massabalans textiel, 2018</t>
  </si>
  <si>
    <t>Textile waste collection</t>
  </si>
  <si>
    <t>Changed priority to 2</t>
  </si>
  <si>
    <t>Detergents and maintenance products</t>
  </si>
  <si>
    <t>Indoor air (micro)</t>
  </si>
  <si>
    <t>Lower limit. Normalized TC (= 0.0086 / (0.0086 + 0 + 0.01757))</t>
  </si>
  <si>
    <t>Upper limit. Normalized TC (= 0.0130 / (0.0130 + 0 + 0.01757))</t>
  </si>
  <si>
    <t>Outdoor air (micro)</t>
  </si>
  <si>
    <t>Wastewater (micro)</t>
  </si>
  <si>
    <t>The value 0.01575 comes from WUR &amp; RIVM literature research. This value is used in the calculations of the other TCs.</t>
  </si>
  <si>
    <t>Disposable cleaning cloths</t>
  </si>
  <si>
    <t>Non-consumer bags</t>
  </si>
  <si>
    <t>Other non-consumer films</t>
  </si>
  <si>
    <t>Other non-consumer packaging</t>
  </si>
  <si>
    <t>Other technical textiles</t>
  </si>
  <si>
    <t>Panty liners</t>
  </si>
  <si>
    <t>Sanitary pads</t>
  </si>
  <si>
    <t>Tampons</t>
  </si>
  <si>
    <t>Technical home textiles (discarded)</t>
  </si>
  <si>
    <t>Elimination</t>
  </si>
  <si>
    <t>Packaging collection</t>
  </si>
  <si>
    <t>Export</t>
  </si>
  <si>
    <t>Haupt, Melanie, Carl Vadenbo, and Stefanie Hellweg, ‘Do We Have the Right Performance Indicators for the Circular Economy? – Insight into the Swiss Waste Management System’, Journal of Industrial Ecology, 2016, 1–13 &lt;http://dx.doi.org/10.1111/jiec.12506&gt;</t>
  </si>
  <si>
    <t>Based on Haupt, Melanie, Carl Vadenbo, and Stefanie Hellweg, ‘Do We Have the Right Performance Indicators for the Circular Economy? – Insight into the Swiss Waste Management System’, Journal of Industrial Ecology, 2016, 1–13 &lt;http://dx.doi.org/10.1111/jiec.12506&gt;</t>
  </si>
  <si>
    <t>Secondary material reuse</t>
  </si>
  <si>
    <t/>
  </si>
  <si>
    <t>Value for inhomogeneous or contaminated streams</t>
  </si>
  <si>
    <t>Residential soil (micro)</t>
  </si>
  <si>
    <t>EC, 2023. Preliminary analysis of the main sources of microplastic emissions, ANNEX 1-14 of the IMPACT ASSESSMENT REPORT on Combatting microplastics pollution in the Eurpean Union.</t>
  </si>
  <si>
    <t>Kawecki et al. (2019)</t>
  </si>
  <si>
    <t>Industrial stormwater (micro)</t>
  </si>
  <si>
    <t>Astrup et al., ‘Recycling of Plastic : Accounting of Greenhouse Gases and Global Warming Contributions’, Waste Management &amp; Research, 2009</t>
  </si>
  <si>
    <t>Transport of primary plastics</t>
  </si>
  <si>
    <t>Kawecki, D., Nowack, B., 2019. Supporting Information for: Polymer-specific modelling of the environmental emissions of seven commodity plastics as macro- and microplastics.</t>
  </si>
  <si>
    <t>Surface water (micro)</t>
  </si>
  <si>
    <t>Pellet conversion</t>
  </si>
  <si>
    <t>Plastic products</t>
  </si>
  <si>
    <t>Stormwater (macro)</t>
  </si>
  <si>
    <t>Surface water (macro)</t>
  </si>
  <si>
    <t>Stormwater (micro)</t>
  </si>
  <si>
    <t>Export of primary plastics</t>
  </si>
  <si>
    <t>Food additives</t>
  </si>
  <si>
    <t>Highway</t>
  </si>
  <si>
    <t>Highway DAB</t>
  </si>
  <si>
    <t>Highway ZOAB</t>
  </si>
  <si>
    <t>RWS report on fraction ZOAB</t>
  </si>
  <si>
    <t>Estimate</t>
  </si>
  <si>
    <t>Expert judgement</t>
  </si>
  <si>
    <t>Highway DAB non cleaned</t>
  </si>
  <si>
    <t>RWS, 2022. Bandenslijtage wegverkeer (No. Versie juli 2022), Emissieschattingen Diffuse bronnen Emissieregistratie.</t>
  </si>
  <si>
    <t>Hoeke, S., Van Wijnen, J., Krikke, H., Löhr, A., Ragas, A.M.J., 2024. Mapping the tire supply chain and its microplastics emissions using a multi-stakeholder approach. Resources, Conservation and Recycling 203, 107389. https://doi.org/10.1016/j.resconrec.2023.107389</t>
  </si>
  <si>
    <t>Müller Andreas, 2016</t>
  </si>
  <si>
    <t>Schelker, Raymond, and Patrik Geisselhardt, Projekt „ Kunststoff-Verwertung Schweiz “: Bericht Module 1 Und 2, 2011</t>
  </si>
  <si>
    <t>Value for films</t>
  </si>
  <si>
    <t>Private communication PET Recycling Schweiz</t>
  </si>
  <si>
    <t>Based on Private communication PET Recycling Schweiz</t>
  </si>
  <si>
    <t>Packaging recycling</t>
  </si>
  <si>
    <t>Sludge (macro)</t>
  </si>
  <si>
    <t>Laube, André, and Armin Vonplon, ‘Élimination Des Boues D’épuration En Suisse - Recensement Des Quantités’, Documents Environnement Office Fédéral de L’environnement, Des Forêts et Du Paysage, 181 (2004), 47</t>
  </si>
  <si>
    <t>Sludge (micro)</t>
  </si>
  <si>
    <t>Tertiary water treatment (macro)</t>
  </si>
  <si>
    <t>Tertiary treatment retention rate</t>
  </si>
  <si>
    <t>Tertiary water treatment (micro)</t>
  </si>
  <si>
    <t>Talvitie, J.; Heinonen, M.; Pääkkönen, J.-P.; Vahtera, E.; Mikola, A.; Setälä, O.; Vahala, R. Do Wastewater Treatment Plants Act as a Potential Point Source of Microplastics? Preliminary Study in the Coastal Gulf of Finland , Baltic Sea. Water Sci. Techno</t>
  </si>
  <si>
    <t>Tertiary treatment retention rate, particle and fibre numbers combined</t>
  </si>
  <si>
    <t>Mintenig, S. M.; Int-Veen, I.; Löder, M. G. J.; Primpke, S.; Gerdts, G. Identification of Microplastic in Effluents of Wastewater treatment plants Using Focal Plane Array-Based Micro-Fourier-Transform Infrared Imaging. Water Res. 2017, 108, 365–372.</t>
  </si>
  <si>
    <t>Measured at WWTP of Oldenburg before and after post-filtration</t>
  </si>
  <si>
    <t>Talvitie, J.; Mikola, A.; Setälä, O.; Heinonen, M.; Koistinen, A. How Well Is Microlitter Purified from Wastewater? A Detailed Study on the Stepwise Removal of Microlitter in a Tertiary Level Wastewater Treatment Plant. Water Res. 2017, 109, 164–172.</t>
  </si>
  <si>
    <t>Cabernard, L.; Durisch-Kaiser, E.; Vogel, J.-C.; Rensch, D.; Niederhauser, P.; AWEL Gewässerschutz. Mikroplastik in Abwasser Und Gewässern. Aqua Gas 2016, 7 (8), 78–85.</t>
  </si>
  <si>
    <t>Ziajahromi, S.; Neale, P. A.; Rintoul, L.; Leusch, F. D. L. Wastewater Treatment Plants as a Pathway for Microplastics: Development of a New Approach to Sample Wastewater-Based Microplastics. Water Res. 2017, 112, 93–99.</t>
  </si>
  <si>
    <t>Based on number concentration in tertiary treatment and reverse osmosis</t>
  </si>
  <si>
    <t>Carr, S. A.; Liu, J.; Tesoro, A. G. Transport and Fate of Microplastic Particles in Wastewater Treatment Plants. Water Res. 2016, 91, 174–182.</t>
  </si>
  <si>
    <t>Fraction collected on screens</t>
  </si>
  <si>
    <t>Fraction collected on screens with remaining waste (set to zero, because included in later stage)</t>
  </si>
  <si>
    <t>Road cleaning</t>
  </si>
  <si>
    <t>Sieber</t>
  </si>
  <si>
    <t>Astrup et al., ‘Recycling of Plastic : Accounting of Greenhouse Gases and Global Warming Contributions’, Waste Management &amp; Research, 2003</t>
  </si>
  <si>
    <t>Indoor floors (micro)</t>
  </si>
  <si>
    <t>Astrup et al., ‘Recycling of Plastic : Accounting of Greenhouse Gases and Global Warming Contributions’, Waste Management &amp; Research, 2004</t>
  </si>
  <si>
    <t>Astrup et al., ‘Recycling of Plastic : Accounting of Greenhouse Gases and Global Warming Contributions’, Waste Management &amp; Research, 2005</t>
  </si>
  <si>
    <t>Astrup et al., ‘Recycling of Plastic : Accounting of Greenhouse Gases and Global Warming Contributions’, Waste Management &amp; Research, 2006</t>
  </si>
  <si>
    <t>Astrup et al., ‘Recycling of Plastic : Accounting of Greenhouse Gases and Global Warming Contributions’, Waste Management &amp; Research, 2007</t>
  </si>
  <si>
    <t>Infill material sports fields</t>
  </si>
  <si>
    <t>Recybem avv-monitor atuobanden 2017</t>
  </si>
  <si>
    <t>Infill material sports fields (discarded)</t>
  </si>
  <si>
    <t>Infill material sports fields (in use)</t>
  </si>
  <si>
    <t>Hoeke etal. 2024 and Sieber et al. Loss per year multiplied by 10 year lifespan</t>
  </si>
  <si>
    <t>Invitro diagnostic devices</t>
  </si>
  <si>
    <t>Litter on road sides</t>
  </si>
  <si>
    <t>Astrup et al., ‘Recycling of Plastic : Accounting of Greenhouse Gases and Global Warming Contributions’, Waste Management &amp; Research, 2008</t>
  </si>
  <si>
    <t>Based on private communication with Canton of Geneva on 4/8/2020</t>
  </si>
  <si>
    <t>Based on private communication with Canton of Geneva on 4/8/2019 (Kawecki and Nowack, 2021)</t>
  </si>
  <si>
    <t>Based on private communication with Canton of Geneva on 4/8/2020 (Kawecki and Nowack, 2021)</t>
  </si>
  <si>
    <t>Extreme EU scenario of 0 mixed waste going to landfill (rest goes to incineration)</t>
  </si>
  <si>
    <t>Extreme EU scenario of all other mixed waste going to landfill (rest goes to incineration)</t>
  </si>
  <si>
    <t>Litter in natural environments</t>
  </si>
  <si>
    <t>Department for Environment Food &amp; Rural Affairs. Fly-Tipping Statistics for England, 2016/17; 2017.</t>
  </si>
  <si>
    <t>On-the-go consumption (nature)</t>
  </si>
  <si>
    <t>Schultz, P. W.; Bator, R. J.; Large, L. B.; Bruni, C. M.; Tabanico, J. J. Littering in Context. Environ. Behav. 2013, 45 (1), 35–59.</t>
  </si>
  <si>
    <t>Litter in residential environments</t>
  </si>
  <si>
    <t>On-the-go consumption (residential)</t>
  </si>
  <si>
    <t>Private communication City of Geneva</t>
  </si>
  <si>
    <t>Bern</t>
  </si>
  <si>
    <t>Private communication City of Bern</t>
  </si>
  <si>
    <t>Geneva</t>
  </si>
  <si>
    <t>Assume no landfilling in NL</t>
  </si>
  <si>
    <t>Assumed by Kawecki et al. (2019)</t>
  </si>
  <si>
    <t>Mixed waste collection (micro)</t>
  </si>
  <si>
    <t>On-the-go consumption (transport)</t>
  </si>
  <si>
    <t>Proportionality factor from: Schultz, P. W.; Bator, R. J.; Large, L. B.; Bruni, C. M.; Tabanico, J. J. Littering in Context. Environ. Behav. 2013, 45 (1), 35–59.</t>
  </si>
  <si>
    <t>Wet wipes</t>
  </si>
  <si>
    <t>Medicine diffusion limitation (slow release)</t>
  </si>
  <si>
    <t>Assume between 10 and 90% of the rest - 0.1</t>
  </si>
  <si>
    <t>Defined in code</t>
  </si>
  <si>
    <t>Assume between 10 and 90% of the rest - 0.9</t>
  </si>
  <si>
    <t>Natural soil (macro)</t>
  </si>
  <si>
    <t>Rest of 10% to 90% going to mixed waste</t>
  </si>
  <si>
    <t>P. Wesley Schultz; Brown Large, L.; Tabanico, J.; Bruni, C.; Bator, R. Littering Behavior in America: Results of a National Study; 2009</t>
  </si>
  <si>
    <t>Statistic on waterways in Table 7 of the report</t>
  </si>
  <si>
    <t>Medical textiles</t>
  </si>
  <si>
    <t>TNO assumption</t>
  </si>
  <si>
    <t>Mobility textiles</t>
  </si>
  <si>
    <t>Foundation Auto Recycling Switzerland (SARS), Annual Report 2014, 2015</t>
  </si>
  <si>
    <t>Textile coating (discarded)</t>
  </si>
  <si>
    <t>Wang, Y.; Kalinina, A.; Sun, T.; Nowack, B. Probabilistic Modeling of the Flows and Environmental Risks of Nano-Silica. Sci. Total Environ. 2016, 545–546, 67–76.</t>
  </si>
  <si>
    <t>Is based on an assumption in the original paper</t>
  </si>
  <si>
    <t>Hoeke et al.</t>
  </si>
  <si>
    <t>PCCP</t>
  </si>
  <si>
    <t>Technical home textiles</t>
  </si>
  <si>
    <t>Technical home textiles (in use)</t>
  </si>
  <si>
    <t>Lower limit.</t>
  </si>
  <si>
    <t>Upper limit.</t>
  </si>
  <si>
    <t>Statistic on "wedging" in Table 8 of the report</t>
  </si>
  <si>
    <t>Textile coating (in use)</t>
  </si>
  <si>
    <t>Natural soil (micro)</t>
  </si>
  <si>
    <t>Offshore oil &amp; gas applications</t>
  </si>
  <si>
    <t>Wastewater (macro)</t>
  </si>
  <si>
    <t>On-site sewage facility (macro)</t>
  </si>
  <si>
    <t>Dominguez, D.; Diggelmann, V.; Binggeli, S. Élimination Des Composés Traces Organiques Dans Les Stations D’Épuration; 2016; https://www.bafu.admin.ch/dam/bafu/fr/dokumente/wasser/uv-umwelt-vollzug/elimination_von_organischenspurenstoffenbeiabwasseranlagen.pdf.download.pdf/elimination_des_composestracesorganiquesdanslesstationsdepuratio.pdf.</t>
  </si>
  <si>
    <t>Fraction not connected to WWTP, based on the number of inhabitants</t>
  </si>
  <si>
    <t>On-site sewage facility (micro)</t>
  </si>
  <si>
    <t>On-the-go consumption</t>
  </si>
  <si>
    <t>WRAP. Report: Plastic packaging Composition 2011. (2013).</t>
  </si>
  <si>
    <t>Bundesamt für Statistik BFS. Das Kultur- Und Freizeitverhalten in Der Schweiz: Erste Ergebnisse Der Erhebung 2014; 2016.</t>
  </si>
  <si>
    <t>Based on McDonald’s Suisse, Corporate Responsibility Report 2015 McDonald’s Suisse, 2015</t>
  </si>
  <si>
    <t>Based on the proportions of restaurants equipped with a drive-through</t>
  </si>
  <si>
    <t>Schneider, T. Dust and fibers as a cause of indoor environment problems. Scand. J. Work. Environ. Health 10–17 (2008)</t>
  </si>
  <si>
    <t>Including resuspension by activities, home, not standard size, PM10</t>
  </si>
  <si>
    <t>No resuspension, office building, salts &gt;2.5um</t>
  </si>
  <si>
    <t>No resuspension, occupied house, house dust</t>
  </si>
  <si>
    <t>No resuspension, furnished experimental house, 4um aerosol</t>
  </si>
  <si>
    <t>Road side soil (micro)</t>
  </si>
  <si>
    <t>Verschoor 2016</t>
  </si>
  <si>
    <t>Highway ZOAB non cleaned</t>
  </si>
  <si>
    <t>Hoeke, S., Van Wijnen, J., Krikke, H., Löhr, A., Ragas, A.M.J., 2024. Mapping the tire supply chain and its microplastics emissions using a multi-stakeholder approach. Resources, Conservation and Recycling 203, 107389. https://doi.org/10.1016/j.resconrec.</t>
  </si>
  <si>
    <t>Calculated from the given recycling rates, taking into account the assumed sorting losses as given below</t>
  </si>
  <si>
    <t>Bundesamt für Umwelt, ‘Abfallmengen Und Recycling 2014 Im Überblick’, 2015</t>
  </si>
  <si>
    <t>Gouin, T., J. Avalos, I. Brunning, K. Brzuska, J. De Graaf, J. Kaumanns, and others, ‘Use of Micro-Plastic Beads in Cosmetic Products in Europe and Their Estimated Emissions to the North Sea Environment’, SOFW Journal, 141 (2015), 40–46</t>
  </si>
  <si>
    <t>Primary water treatment (macro)</t>
  </si>
  <si>
    <t>Primary water treatment (micro)</t>
  </si>
  <si>
    <t>To Primary Treatment</t>
  </si>
  <si>
    <t>3% is used by hobby gardeners</t>
  </si>
  <si>
    <t>Assumption of worst case scenario, based on private communication with Entsorgung + Recycling Stadt Bern 10.08.2018</t>
  </si>
  <si>
    <t>Assume no landfilling in NL, possible check needed (e.g. landfilling of E0L Rubber granules?</t>
  </si>
  <si>
    <t>New compartment based on micro fraction ending up in mixed waste and not being attributed to micro residential soil</t>
  </si>
  <si>
    <t>Sherrington, D.C., Darrah, D.C., Hann, S., Cole, G., Corbin, M., n.d. Study to support the development of measures to combat a range of marine litter sources.</t>
  </si>
  <si>
    <t>Verschoor 2017</t>
  </si>
  <si>
    <t>Assumption that part of the cleaning is water based or rinsed out</t>
  </si>
  <si>
    <t>Road runoff</t>
  </si>
  <si>
    <t>Rural roads</t>
  </si>
  <si>
    <t>Tyre wear</t>
  </si>
  <si>
    <t>Own calculation based on RWS, 2022. Bandenslijtage wegverkeer (No. Versie juli 2022), Emissieschattingen Diffuse bronnen Emissieregistratie.</t>
  </si>
  <si>
    <t>Urban roads</t>
  </si>
  <si>
    <t>assumption based on similar losses estimated for other waste collection systems</t>
  </si>
  <si>
    <t>Secondary water treatment (macro)</t>
  </si>
  <si>
    <t>Fraction going to secondary treatment (0% only treated in primary)</t>
  </si>
  <si>
    <t>Secondary water treatment (micro)</t>
  </si>
  <si>
    <t>Fraction going to secondary treatment</t>
  </si>
  <si>
    <t>Based on private communication with ARA St Gallen</t>
  </si>
  <si>
    <t>Primary treatment retention rate (90% retained after primary and screens)</t>
  </si>
  <si>
    <t>Assume all the large macroplastic is retained in the sludge</t>
  </si>
  <si>
    <t>Murphy, F.; Ewins, C.; Carbonnier, F.; Quinn, B. Wastewater Treatment Works (WwTW) as a Source of Microplastics in the Aquatic Environment. Environ. Sci. Technol. 2016, acs.est.5b05416.</t>
  </si>
  <si>
    <t>Talvitie, J.; Heinonen, M. Preliminary Study on Synthetic Microfibers and Particles at a Municipal Wastewater treatment plant; 2014.</t>
  </si>
  <si>
    <t>Primary treatment retention rate, particle and fibre numbers combined (includes fraction retained by the screens)</t>
  </si>
  <si>
    <t>Based on number concentration before and after "mechanical purification"</t>
  </si>
  <si>
    <t>Based on the number concentration in primary treatment and secondary treatment</t>
  </si>
  <si>
    <t>Secondary treatment retention rate, particle and fibre numbers combined</t>
  </si>
  <si>
    <t>Based on number concentration in secondary treatment and tertiary treatment</t>
  </si>
  <si>
    <t>Worst case scenario</t>
  </si>
  <si>
    <t>Rutsch, Mandy, J. Rieckermann, and P. Krebs, ‘Quantification of Sewer Leakage: A Review’, Water Science and Technology, 54 (2006), 135–44 &lt;http://dx.doi.org/10.2166/wst.2006.616&gt;</t>
  </si>
  <si>
    <t>Fraction of the waste water leaking from pipes during dry weather flow</t>
  </si>
  <si>
    <t>Textile recycling</t>
  </si>
  <si>
    <t>Road side soil (macro)</t>
  </si>
  <si>
    <t>Private communication with Frederic Guhl from FOEN</t>
  </si>
  <si>
    <t>Fraction of the rest goes to surface water (3.22%) --- Needs to be defined in the code by taking into account the complex TC distribution WWTP2 -&gt; sludge</t>
  </si>
  <si>
    <t>Fraction of the rest is going to tertiary treatment (3.22% only treated in secondary treatment)</t>
  </si>
  <si>
    <t>Textile coating</t>
  </si>
  <si>
    <t>Derived from Kawecki and Nowack (2019). See SI for further details. Lower limit (= 0.0004 + (4*0.0025))</t>
  </si>
  <si>
    <t>Derived from Kawecki and Nowack (2019). See SI for further details. Upper limit (= 0.0086 + (4*0.0025))</t>
  </si>
  <si>
    <t>Textile reuse</t>
  </si>
  <si>
    <t>Based on Dettli, Reto, Raphael Fasko, Urban Frei, and Fabienne Habermacher, Transformation Der Abfallverwertung in Der Schweiz Für Eine Hohe Und Zeitlich Optimierte Energieausnutzung, 2015</t>
  </si>
  <si>
    <t xml:space="preserve">Flushing probability </t>
  </si>
  <si>
    <t>Flushing probability</t>
  </si>
  <si>
    <t>Based on Moran, R. E.; Bennett, D. H.; Tancredi, D. J.; Wu, X. M.; Ritz, B.; Hertz-Picciotto, I. Frequency and longitudinal trends of household care product use. Atmos. Environ. 2012, 55, 417–424.</t>
  </si>
  <si>
    <t>Comparing frequency of [dry-mop+sweep+vacuum] and [wet-mop] all populations combined (parents with young children, older adults, women and men)</t>
  </si>
  <si>
    <t>Pellet losses transport land</t>
  </si>
  <si>
    <t>EUNOMIA</t>
  </si>
  <si>
    <t>Sea water (micro)</t>
  </si>
  <si>
    <t>Lassen, C., Foss Hansen, S., Magnusson, K., Norén, F., Bloch Hartmann, N.I., Rehne Jensen, P., Gissel Nielsen, T., Brinch, A., 2015. Microplastics - Occurrence, effects and sources of releases to the environment in Denmark. The Danish Environmental Protection Agency.</t>
  </si>
  <si>
    <t>Cole, G., Sherrington, D.C., 2016. Study to Quantify Pellet Emissions in the UK.</t>
  </si>
  <si>
    <t>From Kawecki 2019</t>
  </si>
  <si>
    <t>Pellet losses industrial plants</t>
  </si>
  <si>
    <t>Pellet losses at production</t>
  </si>
  <si>
    <t>Concrete paint (prof)</t>
  </si>
  <si>
    <t>Verschoor et al. (2016)</t>
  </si>
  <si>
    <t>Lacquer (prof)</t>
  </si>
  <si>
    <t>Wood stain (prof)</t>
  </si>
  <si>
    <t>Wall paint (prof)</t>
  </si>
  <si>
    <t>Plaster (prof)</t>
  </si>
  <si>
    <t>Other paint uses (prof)</t>
  </si>
  <si>
    <t>Paints used in pre-made wooden products</t>
  </si>
  <si>
    <t>Lacquer (DIY)</t>
  </si>
  <si>
    <t>Wood stain (DIY)</t>
  </si>
  <si>
    <t>Wall paint (DIY)</t>
  </si>
  <si>
    <t>Plaster (DIY)</t>
  </si>
  <si>
    <t>Other paint uses (DIY)</t>
  </si>
  <si>
    <t>Ship paint (prof)</t>
  </si>
  <si>
    <t>Ship paint (recr)</t>
  </si>
  <si>
    <t>Ship paint (prof) (in use)</t>
  </si>
  <si>
    <t>1% wear of professional ship paint (Ef_wear in Table 13)</t>
  </si>
  <si>
    <t>Ship paint (prof) (discarded)</t>
  </si>
  <si>
    <t>Assume 100% of the microplastic emissions due to wear go to surface water</t>
  </si>
  <si>
    <t>Ship paint (recr) (in use)</t>
  </si>
  <si>
    <t>1% wear of recreational ship paint (Ef_wear in Table 13)</t>
  </si>
  <si>
    <t>Ship paint (recr) (discarded)</t>
  </si>
  <si>
    <t>1% of microplastic emissions during removal/maintainace professional ship paint (Overall EF in Table 12)</t>
  </si>
  <si>
    <t>5% of microplastic emissions during removal/maintainace recreational ship paint (Overall EF in Table 12)</t>
  </si>
  <si>
    <t>Concrete paint (prof) outdoor</t>
  </si>
  <si>
    <t>97% of the paint is used, of which 50% outdoor (f_used * f_exterior in Table 8)</t>
  </si>
  <si>
    <t>Concrete paint (prof) indoor</t>
  </si>
  <si>
    <t>97% of the paint is used, of which 50% indoor (f_used * (1 - f_exterior) in Table 8)</t>
  </si>
  <si>
    <t>3% of the paint is not used and remains in the paint can ((1 - f _used) in Table 8)</t>
  </si>
  <si>
    <t>Concrete paint (prof) outdoor (in use)</t>
  </si>
  <si>
    <t>3% wear loss (EF_wear in Table 8)</t>
  </si>
  <si>
    <t>Concrete paint (prof) outdoor (discarded)</t>
  </si>
  <si>
    <t>Assume that 5% of the microplastic emissions goes to outdoor air. This is the same fraction as tyre wear particles that go to outdoor air.</t>
  </si>
  <si>
    <t>The "overall value" for the microplastic emission to sewerage reported in Table 10 from Verschoor et al. (2016) = 39.4%</t>
  </si>
  <si>
    <t>The "overall value" for the microplastic emission to soil reported in Table 10 from Verschoor et al. (2016) = 57%. However, the emission factors in Table 10 do not sum up to 100%. Therefore, we adjust the 57% to 57.2%. Then we assume 5% goes to air. Thus 57.2 - 5 = 52.2%.</t>
  </si>
  <si>
    <t>The "overall value" for the microplastic emission to surface water reported in Table 10 from Verschoor et al. (2016) = 3.4%.</t>
  </si>
  <si>
    <t>Concrete paint (prof) indoor (in use)</t>
  </si>
  <si>
    <t>Assume that wear of indoor paint is 10x lower than of outdoor paint (0.1*0.03)</t>
  </si>
  <si>
    <t>Concrete paint (prof) indoor (discarded)</t>
  </si>
  <si>
    <t>The "overall value" for the discardedplastiemission on sewerage reported prof) Table 10 from Verschoor et al. (2016)</t>
  </si>
  <si>
    <t>Assume 100% of the microplastic emissions due to wear go to indoor air</t>
  </si>
  <si>
    <t>0% of microplastic emissions during removal/maintainance of outdoor concrete paint (prof) (EF_removal = 0% in Table 8).</t>
  </si>
  <si>
    <t>0% of microplastic emissions during removal/maintainance of indoor paint, of which we assume 100% to indoor air (EF_removal in Table 8)</t>
  </si>
  <si>
    <t>The "overall value" for the microplastic emission ix sewerage reported discTable 10 from Verschoor et al. (2016)</t>
  </si>
  <si>
    <t>Lacquer (prof) outdoor</t>
  </si>
  <si>
    <t>97% of the paint is used, of which 40% outdoor (f_used * f_exterior in Table 8)</t>
  </si>
  <si>
    <t>Lacquer (prof) indoor</t>
  </si>
  <si>
    <t>97% of the paint is used, of which 60% indoor (f_used * (1 - f_exterior) in Table 8)</t>
  </si>
  <si>
    <t>Lacquer (prof) outdoor (in use)</t>
  </si>
  <si>
    <t>Lacquer (prof) outdoor (discarded)</t>
  </si>
  <si>
    <t>The "overall value" for the discardedplastiemission ac sewerage reported prof) Table 10 from Verschoor er al. (2016)</t>
  </si>
  <si>
    <t>Lacquer (prof) indoor (in use)</t>
  </si>
  <si>
    <t>Lacquer (prof) indoor (discarded)</t>
  </si>
  <si>
    <t>Verschoor et al. (2016) + assumption</t>
  </si>
  <si>
    <t>3.2% of microplastic emissions during removal/maintainance of outdoor lacquer (prof) (EF_removal = 3.2% in Table 8). Assume that the fraction going to air is 5%. Thus 0.032 * 0.05 = 0,0016.</t>
  </si>
  <si>
    <t>3.2% of microplastic emissions during removal/maintainance of outdoor lacquer (prof) (EF_removal = 3.2% in Table 8). The fraction going to wastewater equals 39.4% according to Table 10 in Verschoor et al. (2016). Thus 0.032 * 0.394 = 0,0126.</t>
  </si>
  <si>
    <t>3.2% of microplastic emissions during removal/maintainance of outdoor lacquer (prof) (EF_removal = 3.2% in Table 8). The fraction going to soil equals 57.2% (adjusted from Table 10 in Verschoor et al., 2016). We assume -5% that goes to air. Thus 52.2% to soil. Thus 0.032 * 0.522 = 0,0167.</t>
  </si>
  <si>
    <t>3.2% of microplastic emissions during removal/maintainance of outdoor lacquer (prof) (EF_removal = 3.2% in Table 8). The fraction going to surfacewater equals 3.4% according to Table 10 in Verschoor et al. (2016). Thus 0.032 * 0.034 = 0,0126.</t>
  </si>
  <si>
    <t>3.2% of microplastic emissions during removal/maintainance of indoor paint, of which we assume 100% to indoor air (EF_removal in Table 8)</t>
  </si>
  <si>
    <t>The "overall value" for the microplastil indoor (emission ix sewerage reported discarTable 10 from Verschoor er al. (2016)</t>
  </si>
  <si>
    <t>Wood stain (prof) outdoor</t>
  </si>
  <si>
    <t>97% of the paint is used, of which 25% outdoor (f_used * f_exterior in Table 8)</t>
  </si>
  <si>
    <t>Wood stain (prof) indoor</t>
  </si>
  <si>
    <t>97% of the paint is used, of which 75% indoor (f_used * (1 - f_exterior) in Table 8)</t>
  </si>
  <si>
    <t>Wood stain (prof) outdoor (in use)</t>
  </si>
  <si>
    <t>Wood stain (prof) outdoor (discarded)</t>
  </si>
  <si>
    <t>The "overall value" for the discardedplastiemission oo sewerage reported prof) Table 10 from Verschoor st al. (2016)</t>
  </si>
  <si>
    <t>Wood stain (prof) indoor (in use)</t>
  </si>
  <si>
    <t>Wood stain (prof) indoor (discarded)</t>
  </si>
  <si>
    <t>3.2% of microplastic emissions during removal/maintainance of outdoor wood stain (prof) (EF_removal = 3.2% in Table 8). Assume that the fraction going to air is 5%. Thus 0.032 * 0.05 = 0,0016.</t>
  </si>
  <si>
    <t>3.2% of microplastic emissions during removal/maintainance of outdoor wood stain (prof) (EF_removal = 3.2% in Table 8). The fraction going to wastewater equals 39.4% according to Table 10 in Verschoor et al. (2016). Thus 0.032 * 0.394 = 0,0126.</t>
  </si>
  <si>
    <t>3.2% of microplastic emissions during removal/maintainance of outdoor wood stain (prof) (EF_removal = 3.2% in Table 8). The fraction going to soil equals 57.2% (adjusted from Table 10 in Verschoor et al., 2016). We assume -5% that goes to air. Thus 52.2% to soil. Thus 0.032 * 0.522 = 0,0167.</t>
  </si>
  <si>
    <t>3.2% of microplastic emissions during removal/maintainance of outdoor wood stain (prof) (EF_removal = 3.2% in Table 8). The fraction going to surfacewater equals 3.4% according to Table 10 in Verschoor et al. (2016). Thus 0.032 * 0.034 = 0,0126.</t>
  </si>
  <si>
    <t>The "overall value" for the microplastiw emission ix sewerage reported discardeTable 10 from Verschoor st al. (2016)</t>
  </si>
  <si>
    <t>Wall paint (prof) outdoor</t>
  </si>
  <si>
    <t>97% of the paint is used, of which 7% outdoor (f_used * f_exterior in Table 8)</t>
  </si>
  <si>
    <t>Wall paint (prof) indoor</t>
  </si>
  <si>
    <t>97% of the paint is used, of which 94% indoor (f_used * (1 - f_exterior) in Table 8)</t>
  </si>
  <si>
    <t>Wall paint (prof) outdoor (in use)</t>
  </si>
  <si>
    <t>Wall paint (prof) outdoor (discarded)</t>
  </si>
  <si>
    <t>The "overall value" for the discardedplastiemission al sewerage reported prof) Table 10 from Verschoor pa al. (2016)</t>
  </si>
  <si>
    <t>Wall paint (prof) indoor (in use)</t>
  </si>
  <si>
    <t>Wall paint (prof) indoor (discarded)</t>
  </si>
  <si>
    <t>0% of microplastic emissions during removal/maintainance of outdoor wall paint (prof) (EF_removal = 0% in Table 8).</t>
  </si>
  <si>
    <t>The "overall value" for the microplastiw emission ix sewerage reported discardeTable 10 from Verschoor pa al. (2016)</t>
  </si>
  <si>
    <t>Plaster (prof) outdoor</t>
  </si>
  <si>
    <t>97% of the paint is used, of which 3% outdoor (f_used * f_exterior in Table 8)</t>
  </si>
  <si>
    <t>Plaster (prof) indoor</t>
  </si>
  <si>
    <t>97% of the paint is used, of which 97% indoor (f_used * (1 - f_exterior) in Table 8)</t>
  </si>
  <si>
    <t>Plaster (prof) outdoor (in use)</t>
  </si>
  <si>
    <t>Plaster (prof) outdoor (discarded)</t>
  </si>
  <si>
    <t>The "overall value" for the discardedplastiemission la sewerage reported prof) Table 10 from Verschoor er al. (2016)</t>
  </si>
  <si>
    <t>Plaster (prof) indoor (in use)</t>
  </si>
  <si>
    <t>Plaster (prof) indoor (discarded)</t>
  </si>
  <si>
    <t>0% of microplastic emissions during removal/maintainance of outdoor plaster (prof) (EF_removal = 0% in Table 8).</t>
  </si>
  <si>
    <t>The "overall value" for the microplastip indoor (emission ix sewerage reported discarTable 10 from Verschoor er al. (2016)</t>
  </si>
  <si>
    <t>Other paint uses (prof) outdoor</t>
  </si>
  <si>
    <t>97% of the paint is used, of which 10% outdoor (f_used * f_exterior in Table 8)</t>
  </si>
  <si>
    <t>Other paint uses (prof) indoor</t>
  </si>
  <si>
    <t>97% of the paint is used, of which 90% indoor (f_used * (1 - f_exterior) in Table 8)</t>
  </si>
  <si>
    <t>Other paint uses (prof) outdoor (in use)</t>
  </si>
  <si>
    <t>Other paint uses (prof) outdoor (discarded)</t>
  </si>
  <si>
    <t>The "overall value" for the discardedplastiemission th sewerage reported prof) Table 10 from Verschoor  p al. (2016)</t>
  </si>
  <si>
    <t>Other paint uses (prof) indoor (in use)</t>
  </si>
  <si>
    <t>Other paint uses (prof) indoor (discarded)</t>
  </si>
  <si>
    <t>0% of microplastic emissions during removal/maintainance of outdoor other paint uses (prof) (EF_removal = 0% in Table 8).</t>
  </si>
  <si>
    <t>The "overall value" for the microplastioemission ix sewerage reported diTable 10 from Verschoor  p al. (2016)</t>
  </si>
  <si>
    <t>Paints used in pre-made wooden products outdoor</t>
  </si>
  <si>
    <t>Paints used in pre-made wooden products indoor</t>
  </si>
  <si>
    <t>Paints used in pre-made wooden products outdoor (in use)</t>
  </si>
  <si>
    <t>Paints used in pre-made wooden products outdoor (discarded)</t>
  </si>
  <si>
    <t>The "overall value" for the discardedplastiemission ai sewerage reported products Table 10 from Verschoor et  al. (2016)</t>
  </si>
  <si>
    <t>Paints used in pre-made wooden products indoor (in use)</t>
  </si>
  <si>
    <t>Paints used in pre-made wooden products indoor (discarded)</t>
  </si>
  <si>
    <t>3.2% of microplastic emissions during removal/maintainance of outdoor paints used in pre-made wooden products (EF_removal = 3.2% in Table 8). Assume that the fraction going to air is 5%. Thus 0.032 * 0.05 = 0,0016.</t>
  </si>
  <si>
    <t>3.2% of microplastic emissions during removal/maintainance of outdoor paints used in pre-made wooden products (EF_removal = 3.2% in Table 8). The fraction going to wastewater equals 39.4% according to Table 10 in Verschoor et al. (2016). Thus 0.032 * 0.394 = 0,0126.</t>
  </si>
  <si>
    <t>3.2% of microplastic emissions during removal/maintainance of outdoor paints used in pre-made wooden products (EF_removal = 3.2% in Table 8). The fraction going to soil equals 57.2% (adjusted from Table 10 in Verschoor et al., 2016). We assume -5% that goes to air. Thus 52.2% to soil. Thus 0.032 * 0.522 = 0,0167.</t>
  </si>
  <si>
    <t>3.2% of microplastic emissions during removal/maintainance of outdoor paints used in pre-made wooden products (EF_removal = 3.2% in Table 8). The fraction going to surfacewater equals 3.4% according to Table 10 in Verschoor et al. (2016). Thus 0.032 * 0.034 = 0,0126.</t>
  </si>
  <si>
    <t>The "overall value" for the microplastiemission ix sewerage reported indoor Table 10 from Verschoor et  al. (2016)</t>
  </si>
  <si>
    <t>Lacquer (DIY) outdoor</t>
  </si>
  <si>
    <t>85% of the paint is used, of which 40% outdoor (f_used * f_exterior in Table 8)</t>
  </si>
  <si>
    <t>Lacquer (DIY) indoor</t>
  </si>
  <si>
    <t>85% of the paint is used, of which 60% indoor (f_used * (1 - f_exterior) in Table 8)</t>
  </si>
  <si>
    <t>15% of the paint is not used and remains in the paint can ((1 - f _used) in Table 8)</t>
  </si>
  <si>
    <t>Lacquer (DIY) outdoor (in use)</t>
  </si>
  <si>
    <t>Lacquer (DIY) outdoor (discarded)</t>
  </si>
  <si>
    <t>The "overall value" for the discardedplastiemission )  sewerage reported DIY) Table 10 from Verschoor er al. (2016)</t>
  </si>
  <si>
    <t>Lacquer (DIY) indoor (in use)</t>
  </si>
  <si>
    <t>Lacquer (DIY) indoor (discarded)</t>
  </si>
  <si>
    <t>6.4% of microplastic emissions during removal/maintainance of outdoor laqcuer (DIY) (EF_removal = 6.4% in Table 8). Assume that the fraction going to air is 5%. Thus 0.064 * 0.05 = 0,0032.</t>
  </si>
  <si>
    <t>6.4% of microplastic emissions during removal/maintainance of outdoor laqcuer (DIY) (EF_removal = 6.4% in Table 8). The fraction going to wastewater equals 39.4% according to Table 10 in Verschoor et al. (2016). Thus 0.064 * 0.394 = 0,02522.</t>
  </si>
  <si>
    <t>6.4% of microplastic emissions during removal/maintainance of outdoor laqcuer (DIY) (EF_removal = 6.4% in Table 8). The fraction going to soil equals 57.2% (adjusted from Table 10 in Verschoor et al., 2016). We assume -5% that goes to air. Thus 52.2% to soil. Thus 0.064 * 0.522 = 0,03341.</t>
  </si>
  <si>
    <t>6.4% of microplastic emissions during removal/maintainance of outdoor lacquer (DIY) (EF_removal = 6.4% in Table 8). The fraction going to surfacewater equals 3.4% according to Table 10 in Verschoor et al. (2016). Thus 0.064 * 0.034 = 0,00218.</t>
  </si>
  <si>
    <t>6.4% of microplastic emissions during removal/maintainance of indoor paint, of which we assume 100% to indoor air (EF_removal in Table 8)</t>
  </si>
  <si>
    <t>The "overall value" for the microplastilemission ix sewerage reported discarTable 10 from Verschoor er al. (2016)</t>
  </si>
  <si>
    <t>Wood stain (DIY) outdoor</t>
  </si>
  <si>
    <t>85% of the paint is used, of which 60% outdoor (f_used * f_exterior in Table 8)</t>
  </si>
  <si>
    <t>Wood stain (DIY) indoor</t>
  </si>
  <si>
    <t>85% of the paint is used, of which 40% indoor (f_used * (1 - f_exterior) in Table 8)</t>
  </si>
  <si>
    <t>Wood stain (DIY) outdoor (in use)</t>
  </si>
  <si>
    <t>15% wear loss (EF_wear in Table 8)</t>
  </si>
  <si>
    <t>Wood stain (DIY) outdoor (discarded)</t>
  </si>
  <si>
    <t>The "overall value" for the discardedplastiemission )  sewerage reported DIY) Table 10 from Verschoor st al. (2016)</t>
  </si>
  <si>
    <t>Wood stain (DIY) indoor (in use)</t>
  </si>
  <si>
    <t>Wood stain (DIY) indoor (discarded)</t>
  </si>
  <si>
    <t>0% of microplastic emissions during removal/maintainance of outdoor wood stain (DIY) (EF_removal = 0% in Table 8).</t>
  </si>
  <si>
    <t>The "overall value" for the microplastiw indoor (emission ix sewerage reported discardedTable 10 from Verschoor st al. (2016)</t>
  </si>
  <si>
    <t>Wall paint (DIY) outdoor</t>
  </si>
  <si>
    <t>85% of the paint is used, of which 0% outdoor (f_used * f_exterior in Table 8)</t>
  </si>
  <si>
    <t>Wall paint (DIY) indoor</t>
  </si>
  <si>
    <t>85% of the paint is used, of which 100% indoor (f_used * (1 - f_exterior) in Table 8)</t>
  </si>
  <si>
    <t>Wall paint (DIY) outdoor (in use)</t>
  </si>
  <si>
    <t>Wall paint (DIY) outdoor (discarded)</t>
  </si>
  <si>
    <t>The "overall value" for the discardedplastiemission )  sewerage reported DIY) Table 10 from Verschoor pa al. (2016)</t>
  </si>
  <si>
    <t>Wall paint (DIY) indoor applied</t>
  </si>
  <si>
    <t>The "overall value" for the DIYplastiemission )  sewerage reported DIY) Table 10 from Verschoor pa al. (2016)</t>
  </si>
  <si>
    <t>Wall paint (DIY) indoor on brush</t>
  </si>
  <si>
    <t xml:space="preserve">1.6% of the paint is left on the brush (EF_rinsing in Table 9). Microplastic content in liquid paint is 9.1% (see SI for detailed calculation). TC = 0.016*0.091. </t>
  </si>
  <si>
    <t>Wall paint (DIY) indoor applied (in use)</t>
  </si>
  <si>
    <t>Wall paint (DIY) indoor applied (discarded)</t>
  </si>
  <si>
    <t>The "overall value" for the discardedplastiemission )  sewerage reported DIY) indoor Table 10 from Verschoor pa al. (2016)</t>
  </si>
  <si>
    <t>0% of microplastic emissions during removal/maintainance of outdoor wall paint (DIY) (EF_removal = 0% in Table 8).</t>
  </si>
  <si>
    <t>The "overall value" for the microplastiw indoor emission ix sewerage reported dTable 10 from Verschoor pa al. (2016)</t>
  </si>
  <si>
    <t>Plaster (DIY) outdoor</t>
  </si>
  <si>
    <t>Plaster (DIY) indoor</t>
  </si>
  <si>
    <t>Plaster (DIY) outdoor (in use)</t>
  </si>
  <si>
    <t>Plaster (DIY) outdoor (discarded)</t>
  </si>
  <si>
    <t>Plaster (DIY) indoor (in use)</t>
  </si>
  <si>
    <t>Plaster (DIY) indoor (discarded)</t>
  </si>
  <si>
    <t>0% of microplastic emissions during removal/maintainance of outdoor plaster (DIY) (EF_removal = 0% in Table 8).</t>
  </si>
  <si>
    <t>The "overall value" for the microplastipemission ix sewerage reported discarTable 10 from Verschoor er al. (2016)</t>
  </si>
  <si>
    <t>Other paint uses (DIY) outdoor</t>
  </si>
  <si>
    <t>Other paint uses (DIY) indoor</t>
  </si>
  <si>
    <t>Other paint uses (DIY) outdoor (in use)</t>
  </si>
  <si>
    <t>Other paint uses (DIY) outdoor (discarded)</t>
  </si>
  <si>
    <t>The "overall value" for the discardedplastiemission )  sewerage reported DIY) Table 10 from Verschoor  p al. (2016)</t>
  </si>
  <si>
    <t>Other paint uses (DIY) indoor (in use)</t>
  </si>
  <si>
    <t>Other paint uses (DIY) indoor (discarded)</t>
  </si>
  <si>
    <t>6.4% of microplastic emissions during removal/maintainance of outdoor other paint uses (DIY) (EF_removal = 6.4% in Table 8). Assume that the fraction going to air is 5%. Thus 0.064 * 0.05 = 0,0032.</t>
  </si>
  <si>
    <t>6.4% of microplastic emissions during removal/maintainance of outdoor other paint uses (DIY) (EF_removal = 6.4% in Table 8). The fraction going to wastewater equals 39.4% according to Table 10 in Verschoor et al. (2016). Thus 0.064 * 0.394 = 0,02522.</t>
  </si>
  <si>
    <t>6.4% of microplastic emissions during removal/maintainance of outdoor other paint uses (DIY) (EF_removal = 6.4% in Table 8). The fraction going to soil equals 57.2% (adjusted from Table 10 in Verschoor et al., 2016). We assume -5% that goes to air. Thus 52.2% to soil. Thus 0.064 * 0.522 = 0,03341.</t>
  </si>
  <si>
    <t>6.4% of microplastic emissions during removal/maintainance of outdoor other paint uses (DIY) (EF_removal = 6.4% in Table 8). The fraction going to surfacewater equals 3.4% according to Table 10 in Verschoor et al. (2016). Thus 0.064 * 0.034 = 0,00218.</t>
  </si>
  <si>
    <t>The "overall value" for the microplastio emission ix sewerage reported disTable 10 from Verschoor  p al. (2016)</t>
  </si>
  <si>
    <t>Eurostat, 2024. Sewage sludge production and disposal from urban wastewater (in dry substance (d.s)). https://doi.org/10.2908/TEN00030</t>
  </si>
  <si>
    <t>Assumming "sludge disposal - other" means that the sludge has an other application, thus not ending up in the environment</t>
  </si>
  <si>
    <t>Input values</t>
  </si>
  <si>
    <t>Production</t>
  </si>
  <si>
    <t>Import</t>
  </si>
  <si>
    <t>Use</t>
  </si>
  <si>
    <t>TC export</t>
  </si>
  <si>
    <t>TC use</t>
  </si>
  <si>
    <t>TNO synthesis: Kawecki &amp; Nowack</t>
  </si>
  <si>
    <t>Calculation based on CSB import/export/production data - TC pellet losses transport land</t>
  </si>
  <si>
    <t>For year 2019</t>
  </si>
  <si>
    <t>Loss TCS</t>
  </si>
  <si>
    <t>8.8% loss to sea</t>
  </si>
  <si>
    <t>Extra information</t>
  </si>
  <si>
    <t xml:space="preserve">GN codes represent product categories, in this case primary forms of polymers. The number represent the fraction of the material in each category. </t>
  </si>
  <si>
    <t>GN code</t>
  </si>
  <si>
    <t>Comment</t>
  </si>
  <si>
    <t>390110</t>
  </si>
  <si>
    <t>390120</t>
  </si>
  <si>
    <t>390130</t>
  </si>
  <si>
    <t>From prodcom names</t>
  </si>
  <si>
    <t>RIVM</t>
  </si>
  <si>
    <t>390140</t>
  </si>
  <si>
    <t>390210</t>
  </si>
  <si>
    <t>390220</t>
  </si>
  <si>
    <t>390311</t>
  </si>
  <si>
    <t>390319</t>
  </si>
  <si>
    <t>390320</t>
  </si>
  <si>
    <t>390330</t>
  </si>
  <si>
    <t>Liu and Nowack (2022)</t>
  </si>
  <si>
    <t>390390</t>
  </si>
  <si>
    <t>390410</t>
  </si>
  <si>
    <t>390421</t>
  </si>
  <si>
    <t>Private com. A. Sevenster</t>
  </si>
  <si>
    <t>390422</t>
  </si>
  <si>
    <t>390430</t>
  </si>
  <si>
    <t>390450</t>
  </si>
  <si>
    <t>390461</t>
  </si>
  <si>
    <t>390512</t>
  </si>
  <si>
    <t>390519</t>
  </si>
  <si>
    <t>390530</t>
  </si>
  <si>
    <t>390610</t>
  </si>
  <si>
    <t>390690</t>
  </si>
  <si>
    <t>390710</t>
  </si>
  <si>
    <t>390721</t>
  </si>
  <si>
    <t>390729</t>
  </si>
  <si>
    <t>390730</t>
  </si>
  <si>
    <t>390740</t>
  </si>
  <si>
    <t>390750</t>
  </si>
  <si>
    <t>390761</t>
  </si>
  <si>
    <t>390769</t>
  </si>
  <si>
    <t>390770</t>
  </si>
  <si>
    <t>390791</t>
  </si>
  <si>
    <t>390810</t>
  </si>
  <si>
    <t>390890</t>
  </si>
  <si>
    <t>390940</t>
  </si>
  <si>
    <t>390950</t>
  </si>
  <si>
    <t>391110</t>
  </si>
  <si>
    <t xml:space="preserve">The table below was used to match Prodcom codes to GN codes. Both are a different way of identifying product categories. An x in the last column means this category was not taken into account (because the polymer is not synthetic). </t>
  </si>
  <si>
    <t>Prodcom code</t>
  </si>
  <si>
    <t>Prodcom name CBS</t>
  </si>
  <si>
    <t>Prodcom name</t>
  </si>
  <si>
    <t>GN name</t>
  </si>
  <si>
    <t>GN 6</t>
  </si>
  <si>
    <t>Polymer</t>
  </si>
  <si>
    <t>20.16.10.35</t>
  </si>
  <si>
    <t>Lineair polyethyleen met een relatieve dichtheid &lt; 0,94, in primaire vormen</t>
  </si>
  <si>
    <t>Linear polyethylene having a specific gravity &lt; 0,94, in primary forms</t>
  </si>
  <si>
    <t>Polyethyleen, lineair, met een relatieve dichtheid van &lt; 0,94, in primaire vormen</t>
  </si>
  <si>
    <t>20.16.10.39</t>
  </si>
  <si>
    <t>Polyethyleen met een relatieve dichtheid &lt; 0,94, in primaire vormen (excl. lineair polyethyleen)</t>
  </si>
  <si>
    <t>Polyethylene having a specific gravity &lt; 0,94, in primary forms (excluding linear)</t>
  </si>
  <si>
    <t>Polyethyleen met een relatieve dichtheid van &lt; 0,94, in primaire vormen (m.u.v. lineair polyethyleen)</t>
  </si>
  <si>
    <t>20.16.10.50</t>
  </si>
  <si>
    <t>Polyethyleen met een relatieve dichtheid ≥ 0,94, in primaire vormen</t>
  </si>
  <si>
    <t>Polyethylene having a specific gravity of &gt;= 0,94, in primary forms</t>
  </si>
  <si>
    <t>Polyethyleen in blokken in onregelmatige vorm, stukken, klonters, poeder, korrels, vlokken e.d., met een relatieve dichtheid van &gt;= 0,958 bij 23°C, bevattende &lt;= 50 mg/kg aluminium, &lt;= 2 mg/kg kalium, &lt;= 2 mg/kg chroom, &lt;= 2 mg/kg ijzer, &lt;= 2 mg/kg nikkel</t>
  </si>
  <si>
    <t>20.16.10.70</t>
  </si>
  <si>
    <t>Copolymeren van ethyleen en vinylacetaat, in primaire vormen</t>
  </si>
  <si>
    <t>Ethylene-vinyl acetate copolymers, in primary forms</t>
  </si>
  <si>
    <t>Copolymeren van ethyleen en vinylacetaat in primaire vormen</t>
  </si>
  <si>
    <t>20.16.10.90</t>
  </si>
  <si>
    <t>Polymeren van ethyleen, in primaire vormen (excl. polyethyleen en copolymeren van ethyleen en vinylacetaat)</t>
  </si>
  <si>
    <t>Polymers of ethylene, in primary forms (excluding polyethylene, ethylene-vinyl acetate copolymers)</t>
  </si>
  <si>
    <t>Copolymeren van ethyleen en alfa-olefine, met een relatieve dichtheid van minder dan 0,94, in primaire vormen</t>
  </si>
  <si>
    <t>20.16.51.30</t>
  </si>
  <si>
    <t>Polypropyleen in primaire vormen</t>
  </si>
  <si>
    <t>Polypropylene, in primary forms</t>
  </si>
  <si>
    <t>20.16.51.50</t>
  </si>
  <si>
    <t>Polymeren van propyleen of van andere olefinen, in primaire vormen (excl. polypropyleen)</t>
  </si>
  <si>
    <t>Polymers of propylene or of other olefins, in primary forms (excluding polypropylene)</t>
  </si>
  <si>
    <t>Polyisobutyleen in primaire vormen</t>
  </si>
  <si>
    <t>20.16.20.35</t>
  </si>
  <si>
    <t>Expandeerbaar polystyreen, in primaire vormen</t>
  </si>
  <si>
    <t>Expansible polystyrene, in primary forms</t>
  </si>
  <si>
    <t>Polystyreen in primaire vormen, expandeerbaar</t>
  </si>
  <si>
    <t>20.16.20.39</t>
  </si>
  <si>
    <t>Polystyreen in primaire vormen (excl. expandeerbaar polystyreen)</t>
  </si>
  <si>
    <t>Polystyrene, in primary forms (excluding expansible polystyrene)</t>
  </si>
  <si>
    <t>Polystyreen in primaire vormen (m.u.v. expandeerbaar polystyreen)</t>
  </si>
  <si>
    <t>20.16.20.50</t>
  </si>
  <si>
    <t>Copolymeren van styreen en acrylonitril (SAN), in primaire vormen</t>
  </si>
  <si>
    <t>Styrene-acrylonitrile (SAN) copolymers, in primary forms</t>
  </si>
  <si>
    <t>Copolymeren van styreen en acrylonitrol "SAN", in primaire vormen</t>
  </si>
  <si>
    <t>20.16.20.70</t>
  </si>
  <si>
    <t>Copolymeren van acrylonitril, butadieen en styreen (ABS), in primaire vormen</t>
  </si>
  <si>
    <t>Acrylonitrile-butadiene-styrene (ABS) copolymers, in primary forms</t>
  </si>
  <si>
    <t>Copolymeren van acrylonitrol, butadieen en styreen "ABS", in primaire vormen</t>
  </si>
  <si>
    <t>20.16.20.90</t>
  </si>
  <si>
    <t>Polymeren van styreen, in primaire vormen (excl. polystyreen, copolymeren van styreen en acrylonitril (SAN) en copolymeren van acrylonitril, butadieen en styreen (ABS))</t>
  </si>
  <si>
    <t>Polymers of styrene, in primary forms (excluding polystyrene, styrene-acrylonitrile (SAN) copolymers, acrylonitrile-butadiene-styrene (ABS) copolymers)</t>
  </si>
  <si>
    <t>Copolymeren enkel van allylalcohol met styreen, met een acetylgetal van &gt;= 175, in primaire vormen</t>
  </si>
  <si>
    <t>20.16.30.10</t>
  </si>
  <si>
    <t>Poly(vinylchloride), niet gemengd met andere zelfstandigheden, in primaire vormen</t>
  </si>
  <si>
    <t>Polyvinyl chloride, not mixed with any other substances, in primary forms</t>
  </si>
  <si>
    <t>Poly"vinylchloride", tenzij gemengd met andere zelfstandigheden, in primaire vormen</t>
  </si>
  <si>
    <t>20.16.30.23</t>
  </si>
  <si>
    <t>Polyvinylchloride zonder weekmakers, in primaire vormen</t>
  </si>
  <si>
    <t>Non-plasticised polyvinyl chloride mixed with any other substance, in primary forms</t>
  </si>
  <si>
    <t>Poly"vinylchloride", gemengd met andere zelfstandigheden, in primaire vormen, geen weekmakers bevattend</t>
  </si>
  <si>
    <t>20.16.30.25</t>
  </si>
  <si>
    <t>Polyvinylchloride met weekmakers, in primaire vormen</t>
  </si>
  <si>
    <t>Plasticised polyvinyl chloride mixed with any other substance, in primary forms</t>
  </si>
  <si>
    <t>Poly"vinylchloride", gemengd met andere zelfstandigheden, in primaire vormen, weekmakers bevattend</t>
  </si>
  <si>
    <t>20.16.30.40</t>
  </si>
  <si>
    <t>Copolymeren van vinylchloride en vinylacetaat en andere copolymeren van vinylchloride, in primaire vormen</t>
  </si>
  <si>
    <t>Vinyl chloride-vinyl acetate copolymers and other vinyl chloride copolymers, in primary forms</t>
  </si>
  <si>
    <t>Copolymeren van vinylchloride en vinylacetaat, in primaire vormen</t>
  </si>
  <si>
    <t>20.16.30.90</t>
  </si>
  <si>
    <t>Polymeren van halogeenolefinen, in primaire vormen, n.e.g.</t>
  </si>
  <si>
    <t>Polymers of halogenated olefins, in primary forms, n.e.c.</t>
  </si>
  <si>
    <t>Copolymeren van vinylideenchloride en acrylonitril, in de vorm van expandeerbare bolletjes met een diameter van &gt;= 4 doch &lt;= 20 micrometer</t>
  </si>
  <si>
    <t>20.16.30.60</t>
  </si>
  <si>
    <t>Fluorhoudende polymeren</t>
  </si>
  <si>
    <t>Polytetrafluorethyleen, in primaire vormen</t>
  </si>
  <si>
    <t>20.16.52.30</t>
  </si>
  <si>
    <t>Polymeren van vinylacetaat, in waterige dispersie, in primaire vormen</t>
  </si>
  <si>
    <t>Polymers of vinyl acetate, in aqueous dispersion, in primary forms</t>
  </si>
  <si>
    <t>Poly"vinylacetaat" in waterige dispersie</t>
  </si>
  <si>
    <t>20.16.52.50</t>
  </si>
  <si>
    <t>Polymeren van vinylacetaat, in primaire vormen (excl. in waterige dispersie)</t>
  </si>
  <si>
    <t>Polymers of vinyl acetate, in primary forms (excluding in aqueous dispersion)</t>
  </si>
  <si>
    <t>Poly"vinylacetaat" in primaire vormen (m.u.v. dat in waterige dispersie)</t>
  </si>
  <si>
    <t>20.16.52.70</t>
  </si>
  <si>
    <t>Polymeren van vinylesters en andere vinylpolymeren, in primaire vormen (excl. vinylacetaat)</t>
  </si>
  <si>
    <t>Polymers of vinyl esters or other vinyl polymers, in primary forms (excluding vinyl acetate)</t>
  </si>
  <si>
    <t>Poly"vinylalcohol", ook indien niet-gehydrolyseerde acetaatgroepen bevattend, in primaire vormen</t>
  </si>
  <si>
    <t>20.16.53.50</t>
  </si>
  <si>
    <t>Poly(methylmethacrylaat) in primaire vormen</t>
  </si>
  <si>
    <t>Polymethyl methacrylate, in primary forms</t>
  </si>
  <si>
    <t>Poly"methylmethacrylaat", in primaire vormen</t>
  </si>
  <si>
    <t>20.16.53.90</t>
  </si>
  <si>
    <t>Acrylpolymeren in primaire vormen (excl. poly(methylmethacrylaat))</t>
  </si>
  <si>
    <t>Acrylic polymers, in primary forms (excluding polymethyl methacrylate)</t>
  </si>
  <si>
    <t>Poly[N-"3-hydroxyimino-1,1-dimethylbutyl"acrylamide], in primaire vormen</t>
  </si>
  <si>
    <t>20.16.40.13</t>
  </si>
  <si>
    <t>Polyacetalen in primaire vormen</t>
  </si>
  <si>
    <t>Polyacetals, in primary forms</t>
  </si>
  <si>
    <t>20.16.40.15</t>
  </si>
  <si>
    <t>Polyethyleenglycolen en andere polyetheralcoholen, in primaire vormen</t>
  </si>
  <si>
    <t>Polyethylene glycols and other polyether alcohols, in primary forms</t>
  </si>
  <si>
    <t>Bis(polyoxyethyleen) methylfosfonaat, in primaire vormen</t>
  </si>
  <si>
    <t>20.16.40.20</t>
  </si>
  <si>
    <t>Polyethers in primaire vormen (excl. polyacetalen en polyetheralcoholen)</t>
  </si>
  <si>
    <t>Polyethers, in primary forms (excluding polyacetals, polyether alcohols)</t>
  </si>
  <si>
    <t>Copolymeer van 1-chloor-2,3-epoxypropaan en ethyleenoxide, in primaire vormen</t>
  </si>
  <si>
    <t>20.16.40.30</t>
  </si>
  <si>
    <t>Epoxyharsen in primaire vormen</t>
  </si>
  <si>
    <t>Epoxide resins, in primary forms</t>
  </si>
  <si>
    <t>20.16.40.40</t>
  </si>
  <si>
    <t>Polycarbonaten in primaire vormen</t>
  </si>
  <si>
    <t>Polycarbonates, in primary forms</t>
  </si>
  <si>
    <t>20.16.40.50</t>
  </si>
  <si>
    <t>Alkydharsen in primaire vormen</t>
  </si>
  <si>
    <t>Alkyd resins, in primary forms</t>
  </si>
  <si>
    <t>20.16.40.62</t>
  </si>
  <si>
    <t>Poly(ethyleentereftalaat) in primaire vormen, met een viscositeitsgetal ≥ 78 ml/g</t>
  </si>
  <si>
    <t>Polyethylene terephthalate in primary forms having a viscosity number of &gt;= 78 ml/g</t>
  </si>
  <si>
    <t>Poly"ethyleentereftalaat" in primaire vormen, met een viscositeitsgetal van &gt;= 78 ml/g</t>
  </si>
  <si>
    <t>20.16.40.64</t>
  </si>
  <si>
    <t>Ander poly(ethyleentereftalaat) in primaire vormen</t>
  </si>
  <si>
    <t>Other polyethylene terephthalate in primary forms</t>
  </si>
  <si>
    <t>Poly"ethyleentereftalaat" in primaire vormen, met een viscositeitsgetal van &lt; 78 ml/g</t>
  </si>
  <si>
    <t>20.16.40.90</t>
  </si>
  <si>
    <t>Polyesters in primaire vormen (excl. polyacetalen, polyethers, epoxyharsen, polycarbonaten, alkydharsen, poly(ethyleentereftalaat), andere onverzadigde polyesters)</t>
  </si>
  <si>
    <t>Polyesters, in primary forms (excluding polyacetals, polyethers, epoxide resins, polycarbonates, alkyd resins, polyethylene terephthalate, other unsaturated polyesters)</t>
  </si>
  <si>
    <t>Poly(melkzuur) in primaire vormen</t>
  </si>
  <si>
    <t>20.16.40.70</t>
  </si>
  <si>
    <t>Vloeibare onverzadigde polyesters, in primaire vormen (excl. polyacetalen, polyethers, epoxyharsen, polycarbonaten, alkydharsen, poly(ethyleentereftalaat))</t>
  </si>
  <si>
    <t>Unsaturated liquid polyesters, in primary forms (excluding polyacetals, polyethers, epoxide resins, polycarbonates, alkyd resins, polyethylene terephthalate)</t>
  </si>
  <si>
    <t>Polyallylesters en andere polyesters, onverzadigd, vloeibaar, in primaire vormen (m.u.v. polycarbonaten, alkydharsen en poly"ethyleentereftalaat")</t>
  </si>
  <si>
    <t>20.16.40.80</t>
  </si>
  <si>
    <t>Onverzadigde polyesters in primaire vormen (excl. vloeibare polyesters, polyacetalen, polyethers, epoxyharsen, polycarbonaten, alkydharsen, poly(ethyleentereftalaat))</t>
  </si>
  <si>
    <t>Unsaturated polyesters, in primary forms (excluding liquid polyesters, polyacetals, polyethers, epoxide resins, polycarbonates, alkyd resins, polyethylene terephthalate)</t>
  </si>
  <si>
    <t>Polyallylesters en andere polyesters, onverzadigd, in primaire vormen (m.u.v. vloeibare polyesters en polycarbonaten, alkydharsen en poly"ethyleentereftalaat")</t>
  </si>
  <si>
    <t>20.16.54.50</t>
  </si>
  <si>
    <t>Polyamide-6, -11, -12, -6,6, -6,9, -6,10 of -6,12, in primaire vormen</t>
  </si>
  <si>
    <t>Polyamide -6, -11, -12, -6,6, -6,9, -6,10 or -6,12, in primary forms</t>
  </si>
  <si>
    <t>Polyamide-6, -11, -12, -6,6, -6,9, -6,10 of -6,12 in primaire vormen</t>
  </si>
  <si>
    <t>20.16.54.90</t>
  </si>
  <si>
    <t>Polyamiden, in primaire vormen (excl. polyamide-6, -11, -12, -6,6, -6,9, -6,10 of -6,12)</t>
  </si>
  <si>
    <t>Polyamides, in primary forms (excluding polyamide -6, -11, -12, -6,6, -6,9, -6,10 or -6,12)</t>
  </si>
  <si>
    <t>Polyamide in primaire vormen (m.u.v. polyamide-6, -11, -12, -6,6, -6,9, -6,10 of -6,12)</t>
  </si>
  <si>
    <t>20.16.55.50</t>
  </si>
  <si>
    <t>Ureumharsen en thio-ureumharsen, in primaire vormen</t>
  </si>
  <si>
    <t>Urea resins and thiourea resins, in primary forms</t>
  </si>
  <si>
    <t>Ureumharsen, incl. thio-ureumharsen, in primaire vormen</t>
  </si>
  <si>
    <t>20.16.55.70</t>
  </si>
  <si>
    <t>Melamineharsen in primaire vormen</t>
  </si>
  <si>
    <t>Melamine resins, in primary forms</t>
  </si>
  <si>
    <t>20.16.56.30</t>
  </si>
  <si>
    <t>Aminoharsen in primaire vormen (excl. ureumharsen, thio-ureumharsen en melamineharsen)</t>
  </si>
  <si>
    <t>Amino resins, in primary forms (excluding urea and thiourea resins, melamine resins)</t>
  </si>
  <si>
    <t>Poly(methyleenfenylisocyanaat) (ruw MDI, polymerisch MDI), in primaire vormen</t>
  </si>
  <si>
    <t>20.16.56.50</t>
  </si>
  <si>
    <t>Fenolharsen in primaire vormen</t>
  </si>
  <si>
    <t>Phenolic resins, in primary forms</t>
  </si>
  <si>
    <t>20.16.56.70</t>
  </si>
  <si>
    <t>Polyurethanen in primaire vormen</t>
  </si>
  <si>
    <t>Polyurethanes, in primary forms</t>
  </si>
  <si>
    <t>Polyurethaan vervaardigd van 2,2'-"tert-butylimino"diëthanol en 4,4'-methyleendicyclohexyldiisocyanaat, opgelost in N,N-dimethylaceetamide, met een gehalte aan polymeer van &gt;= 50 gewichtspercenten</t>
  </si>
  <si>
    <t>20.16.57.00</t>
  </si>
  <si>
    <t>Siliconen in primaire vormen</t>
  </si>
  <si>
    <t>Silicones, in primary forms</t>
  </si>
  <si>
    <t>20.16.59.20</t>
  </si>
  <si>
    <t>Petroleumharsen, cumaronindeenharsen, polyterpenen, polysulfiden, polysulfonen enz., n.e.g., in primaire vormen</t>
  </si>
  <si>
    <t>Petroleum resins, coumarone-indene resins, polyterpenes, polysulphides, polysulphones, etc., n.e.c., in primary forms</t>
  </si>
  <si>
    <t>Petroleumharsen, cumaronharsen, indeenharsen of cumaronindeenharsen en polyterpenen, in primaire vormen</t>
  </si>
  <si>
    <t>20.16.59.50</t>
  </si>
  <si>
    <t>Cellulose en chemische derivaten daarvan, in primaire vormen, excl natriumcarboxymethylcellulose en n.e.g.</t>
  </si>
  <si>
    <t>Cellulose and its chemical derivatives, n.e.c., in primary forms</t>
  </si>
  <si>
    <t>Celluloseacetaten, zonder weekmakers, in primaire vormen</t>
  </si>
  <si>
    <t>20.16.59.45</t>
  </si>
  <si>
    <t>Natriumcarboxymethylcellulose</t>
  </si>
  <si>
    <t>Carboxymethylcellulose en zouten daarvan, in primaire vormen</t>
  </si>
  <si>
    <t>20.16.59.55</t>
  </si>
  <si>
    <t>Natuurlijke polymeren en gewijzigde natuurlijke polymeren, elders genoemd noch elders onder begrepen, in primaire vormen. Alginezuur, alsmede zouten en esters daarvan</t>
  </si>
  <si>
    <t>Alginezuur, alsmede zouten en esters daarvan, in primaire vormen</t>
  </si>
  <si>
    <t>20.16.59.65</t>
  </si>
  <si>
    <t>Natuurlijke polymeren en gewijzigde natuurlijke polymeren, bv. geharde proteïnen, chemische derivaten van natuurlijke rubber, n.e.g., in primaire vormen (m.u.v. alginezuur, alsmede zouten en esters daarvan)</t>
  </si>
  <si>
    <t>Natural and modified natural polymers, in primary forms (including alginic acid, hardened proteins, chemical derivatives of natural rubber)</t>
  </si>
  <si>
    <t>Polymeren, natuurlijk en gewijzigde natuurlijke polymeren, b.v. geharde proteïnen, chemische derivaten van natuurlijke rubber, n.e.g., in primaire vormen (m.u.v. alginezuur, alsmede zouten en esters daarvan)</t>
  </si>
  <si>
    <t>20.16.59.70</t>
  </si>
  <si>
    <t>Ionenwisselaars op basis van synthetische of natuurlijke polymeren, in primaore vormen</t>
  </si>
  <si>
    <t>Ion-exchangers based on synthetic or natural polymers, in primary forms</t>
  </si>
  <si>
    <t>Ionenwisselaars van polymeren bedoeld bij de posten 3901 tot en met 3913 in primaire vormen</t>
  </si>
  <si>
    <t>Input NL consumption</t>
  </si>
  <si>
    <t>Input Tyre Wear (kt)</t>
  </si>
  <si>
    <t>Average - Own calculation based on RWS, 2022. Bandenslijtage wegverkeer (No. Versie juli 2022), Emissieschattingen Diffuse bronnen Emissieregistratie.</t>
  </si>
  <si>
    <t>LOW - Own calculation based on RWS, 2022. Bandenslijtage wegverkeer (No. Versie juli 2022), Emissieschattingen Diffuse bronnen Emissieregistratie.</t>
  </si>
  <si>
    <t>HIGH - Own calculation based on RWS, 2022. Bandenslijtage wegverkeer (No. Versie juli 2022), Emissieschattingen Diffuse bronnen Emissieregistratie.</t>
  </si>
  <si>
    <t>Input EU consumption</t>
  </si>
  <si>
    <t>AVG - Scaling from NL to EU using population</t>
  </si>
  <si>
    <t>LOW - Scaling from NL to EU using population</t>
  </si>
  <si>
    <t>HIGH - Scaling from NL to EU using population</t>
  </si>
  <si>
    <t>Rubber</t>
  </si>
  <si>
    <t>CBS data, see RWS, 2022.</t>
  </si>
  <si>
    <t>Assumption: Same as NL</t>
  </si>
  <si>
    <t>Capture in ZOAB</t>
  </si>
  <si>
    <t>To environmental compartments and waste handling</t>
  </si>
  <si>
    <t>Road runoff only for Urban situation (WWTP etc.)</t>
  </si>
  <si>
    <t>*potentially overestimting waste water treatment</t>
  </si>
  <si>
    <t>Transfer due to traffic induced turbulence</t>
  </si>
  <si>
    <t>Fraction going to combined sewer</t>
  </si>
  <si>
    <t>Fraction going to seperate sewer (strom water)</t>
  </si>
  <si>
    <t xml:space="preserve">Extra information </t>
  </si>
  <si>
    <t>Copied from TC_Urban_Rural_highway_NL.csv</t>
  </si>
  <si>
    <t>Jaar</t>
  </si>
  <si>
    <t>Type weg</t>
  </si>
  <si>
    <t>TWP_total</t>
  </si>
  <si>
    <t>Statistic</t>
  </si>
  <si>
    <t>TWP_RoadType</t>
  </si>
  <si>
    <t>TC_RoadType</t>
  </si>
  <si>
    <t>Autosnelwegen</t>
  </si>
  <si>
    <t>Low</t>
  </si>
  <si>
    <t>Average</t>
  </si>
  <si>
    <t>High</t>
  </si>
  <si>
    <t>Bebouwde kom</t>
  </si>
  <si>
    <t>Landelijke wegen</t>
  </si>
  <si>
    <t>Input</t>
  </si>
  <si>
    <t>What</t>
  </si>
  <si>
    <t>Paint mass (kt)</t>
  </si>
  <si>
    <t>Domestic paint sales</t>
  </si>
  <si>
    <t>VVVF Jaaroverzicht</t>
  </si>
  <si>
    <t>reported in Verschoor et al. 2016</t>
  </si>
  <si>
    <t>VVVF Jaaroverzicht 2017</t>
  </si>
  <si>
    <t>https://issuu.com/vvvf/docs/vvvf_jaaroverzicht2017_webversie</t>
  </si>
  <si>
    <t>VVVF Jaaroverzicht 2018</t>
  </si>
  <si>
    <t>VVVF Jaaroverzicht PDF Gratis download (docplayer.nl)</t>
  </si>
  <si>
    <t>VVVF Jaaroverzicht 2019</t>
  </si>
  <si>
    <t>https://docplayer.nl/189357972-2019-verf-en-drukinktindustrie-sector-ketens.html</t>
  </si>
  <si>
    <t>VVVF Jaaroverzicht 2022</t>
  </si>
  <si>
    <t>https://www.vvvf.nl/stream/jaaroverzicht-vvvf-in-2022</t>
  </si>
  <si>
    <t>Transfer coefficient</t>
  </si>
  <si>
    <t>Included in our model?</t>
  </si>
  <si>
    <t>Professional building and construction</t>
  </si>
  <si>
    <t>Figure 3 from Verschoor et al. (2016)</t>
  </si>
  <si>
    <t>yes</t>
  </si>
  <si>
    <t>DIY sector</t>
  </si>
  <si>
    <t>Ship building and maintenance</t>
  </si>
  <si>
    <t>Industry</t>
  </si>
  <si>
    <t>no</t>
  </si>
  <si>
    <t>Steel preservation</t>
  </si>
  <si>
    <t>Car repair</t>
  </si>
  <si>
    <t>No data available for division among different paint types, therefore we assumed equal distribution</t>
  </si>
  <si>
    <t>Paint used in pre-made wooden products</t>
  </si>
  <si>
    <t>Mass of microplastics (kt)</t>
  </si>
  <si>
    <t>Microplastic content in concrete paint (prof)</t>
  </si>
  <si>
    <t>Table 8 from Verschoor et al. (2016)</t>
  </si>
  <si>
    <t>Microplastic content in lacquer (prof)</t>
  </si>
  <si>
    <t>Microplastic content in wood stain (prof)</t>
  </si>
  <si>
    <t>Microplastic content in wall paint (prof)</t>
  </si>
  <si>
    <t>Microplastic content in plaster (prof)</t>
  </si>
  <si>
    <t>Microplastic content in other paint uses (prof)</t>
  </si>
  <si>
    <t>Microplastic content in paint used in pre-made wooden products</t>
  </si>
  <si>
    <t>Microplastic content in lacquer (DIY)</t>
  </si>
  <si>
    <t>Microplastic content in wood stain (DIY)</t>
  </si>
  <si>
    <t>Microplastic content in wall paint (DIY)</t>
  </si>
  <si>
    <t>Microplastic content in plaster (DIY)</t>
  </si>
  <si>
    <t>Microplastic content in other paint uses (DIY)</t>
  </si>
  <si>
    <t>Microplastic content in ship paint (prof)</t>
  </si>
  <si>
    <t>Microplastic content in Ship paint (recr)</t>
  </si>
  <si>
    <t>Input NL</t>
  </si>
  <si>
    <t>Input EU</t>
  </si>
  <si>
    <t>Transfer coefficients (NL)</t>
  </si>
  <si>
    <t>Transfer coefficients (EU)</t>
  </si>
  <si>
    <t>Assumed same as in NL</t>
  </si>
  <si>
    <t>Polymer content</t>
  </si>
  <si>
    <t>Acrylic</t>
  </si>
  <si>
    <t>Clothing ( in use)</t>
  </si>
  <si>
    <t>n/a</t>
  </si>
  <si>
    <t>Synthetic Fibers (polymerdatabase.com)</t>
  </si>
  <si>
    <t>Disposable cleaning cloths (in use)</t>
  </si>
  <si>
    <t>Carpet Fibers (polymerdatabase.com)</t>
  </si>
  <si>
    <t>Thadepalli, 2022</t>
  </si>
  <si>
    <t>Agrotextiles ( in use)</t>
  </si>
  <si>
    <t>Geotextiles ( in use)</t>
  </si>
  <si>
    <t>Wu et al., 2020</t>
  </si>
  <si>
    <t>Building textiles ( in use)</t>
  </si>
  <si>
    <t>Textile coating ( in use)</t>
  </si>
  <si>
    <t>Consumption (kt)</t>
  </si>
  <si>
    <t>Fractions of total textile consumption</t>
  </si>
  <si>
    <t>Lifetime of</t>
  </si>
  <si>
    <t>CBS, 2019</t>
  </si>
  <si>
    <t>Voskamp and Retzlaff (2022)</t>
  </si>
  <si>
    <t>To get a total of 407 kt, the consumption of 'Other technical textiles' is calculated.</t>
  </si>
  <si>
    <t>Total textile consumption</t>
  </si>
  <si>
    <t>Main compartment</t>
  </si>
  <si>
    <t>LDPE (kt)</t>
  </si>
  <si>
    <t>HDPE (kt)</t>
  </si>
  <si>
    <t>PP (kt)</t>
  </si>
  <si>
    <t>PS (kt)</t>
  </si>
  <si>
    <t>EPS (kt)</t>
  </si>
  <si>
    <t>PVC (kt)</t>
  </si>
  <si>
    <t>PET (kt)</t>
  </si>
  <si>
    <t>PA (kt)</t>
  </si>
  <si>
    <t>Acrylic (kt)</t>
  </si>
  <si>
    <t>Clothing (product sector) is the main compartment, 'Clothing' is its subcompartment.</t>
  </si>
  <si>
    <t>Household textiles (product sector) is the main compartment, its subcompartments are 'Disposable cleaning cloths', 'Wet wipes', 'Tampons', 'Panty liners', 'Sanitary pads', and 'Home textiles'.</t>
  </si>
  <si>
    <t>Technical textiles is the main compartment, its subcompartments are 'Techincal home teztiles', 'Medical textiles', 'Agrotextiles', 'Mobility textiles', 'Geotextiles', 'Building textiles', 'Other technical textiles', and 'Textile coating'.</t>
  </si>
  <si>
    <t>Transpose the table:</t>
  </si>
  <si>
    <t>Clothing (product sector) (kt)</t>
  </si>
  <si>
    <t>Household textiles (product sector) (kt)</t>
  </si>
  <si>
    <t>Technical textiles (kt)</t>
  </si>
  <si>
    <t>Technical textiles is the main compartments, its subcompartments are 'Techincal home teztiles', 'Medical textiles', 'Agrotextiles', 'Mobility textiles', 'Geotextiles', 'Building textiles', 'Other technical textiles', and 'Textile coating'.</t>
  </si>
  <si>
    <t>The transfer coefficients are calculated on the basis of the kilotons per polymer for the subcompartments for 2017 for NL. We assume that these transfer coefficients also apply at EU scale.</t>
  </si>
  <si>
    <t>NL &amp; EU</t>
  </si>
  <si>
    <t>Transfer coefficient (full lifetime)</t>
  </si>
  <si>
    <t>Indoor air (mirco)</t>
  </si>
  <si>
    <t>Page 45 SI Kawecki and Nowack (2019): 0.04% wear and tear &amp; 93% to indoor air.</t>
  </si>
  <si>
    <t>Page 45 SI Kawecki and Nowack (2019): 0.86% wear and tear &amp; 93% to indoor air.</t>
  </si>
  <si>
    <t>Page 45 SI Kawecki and Nowack (2019): 0.27% wear and tear &amp; 93% to indoor air. Not used, because we can only have 2 TCs per process.</t>
  </si>
  <si>
    <t xml:space="preserve">Page 45 SI Kawecki and Nowack (2019): 0.04% wear and tear &amp; 7% to outdoor air. </t>
  </si>
  <si>
    <t>Page 45 SI Kawecki and Nowack (2019): 0.86% wear and tear &amp; 7% to outdoor air.</t>
  </si>
  <si>
    <t>Page 45 SI Kawecki and Nowack (2019): 0.27% wear and tear &amp; 7% to outdoor air. Not used, because we can only have 2 TCs per process.</t>
  </si>
  <si>
    <t>Average based on data from seven different sources.</t>
  </si>
  <si>
    <t>To split microplastic emissions during the product lifetime (i.e. in use) from emissions after the lifetime (i.e. after discarding)</t>
  </si>
  <si>
    <t>Of the clothing that is not dumped, 55.4% goes to Mixed waste collection</t>
  </si>
  <si>
    <t>Of the clothing that is not dumped, 44.6% goes to Textile waste collection</t>
  </si>
  <si>
    <t>Average based on data from seven different sources</t>
  </si>
  <si>
    <t>Disposable cleaning cloths (discarded)</t>
  </si>
  <si>
    <t>See last column Table SI9 from Kawecki and Nowack, 2019. Based on Friedler, E.; Brown, D. M.; Butler, D. A Study of WC Derived Sewer Solids. Water Sci. Technol. 1996, 33 (9), 17–24.</t>
  </si>
  <si>
    <t>See last column Table SI10 from Kawecki and Nowack, 2019. Based on Spence, K. J.; Digman, C.; Balmforth, D.; Houldsworth, J.; Saul, A.; Meadowcroft, J. Gross Solids from Combined Sewers in Dry Weather and Storms, Elucidating Production, Storage and Social Factors. Urban Water J. 2016, 13 (8), 773–789.</t>
  </si>
  <si>
    <t>Page 47 SI Kawecki and Nowack (2019): 1.3% shedding rate &amp; 100% to indoor air.</t>
  </si>
  <si>
    <t>Page 47 SI Kawecki and Nowack (2019): 0.86% shedding rate &amp; 100% to indoor air.</t>
  </si>
  <si>
    <t>Of the home textiles that are not dumped, 55.4% goes to Mixed waste collection</t>
  </si>
  <si>
    <t>Of the home textiles that are not dumped, 44.6% goes to Textile waste collection</t>
  </si>
  <si>
    <t>Page 47 SI Kawecki and Nowack (2019): 1.3% shedding rate &amp; 100% to indoor air. Niet helemaal zeker of deze shredding rates ook voor tapijt gelden...</t>
  </si>
  <si>
    <t>Page 47 SI Kawecki and Nowack (2019): 0.86% shedding rate &amp; 100% to indoor air. Niet helemaal zeker of deze shredding rates ook voor tapijt gelden...</t>
  </si>
  <si>
    <t>Technical home textiles are mainly carpets, so no emissions to outdoor air</t>
  </si>
  <si>
    <t>Technical home textiles are mainly carpets, so no emissions to waste water</t>
  </si>
  <si>
    <t>Of the technical home textiles that are not dumped, 55.4% goes to Mixed waste collection</t>
  </si>
  <si>
    <t>Of the technical home textiles that are not dumped, 44.6% goes to Textile waste collection</t>
  </si>
  <si>
    <t>Based on Vigo, T. L.; Lamb, G. E. R.; Kepka, S.; Miller, B. Abrasion and Lint Loss Properties of Fabrics Containing Crosslinked Polyethylene Glycol. Text. Res. J. 1991, 61 (3), 169–176.</t>
  </si>
  <si>
    <t>Compost collection (&gt; 1mm)</t>
  </si>
  <si>
    <t>Compost collection (&lt; 1mm)</t>
  </si>
  <si>
    <t>1.2% wear and tear, of which 100% goes to subsurface soil</t>
  </si>
  <si>
    <t>Page 45 SI Kawecki and Nowack (2019): 0.04% wear and tear &amp; 100% to outdoor air. We assume that coated textiles are mainly outdoor textiles (for example, waterproof coats)</t>
  </si>
  <si>
    <t>Page 45 SI Kawecki and Nowack (2019): 0.86% wear and tear &amp; 100% to outdoor air. We assume that coated textiles are mainly outdoor textiles (for example, waterproof coats).</t>
  </si>
  <si>
    <t>Assumption made by Kawecki and Nowack (2019)</t>
  </si>
  <si>
    <t>Agriculture</t>
  </si>
  <si>
    <t>All</t>
  </si>
  <si>
    <t>Statistics - APE Europe [WWW Document], n.d. URL https://web.archive.org/web/20230930160250/https://apeeurope.eu/statistics/ (accessed 3.27.24). Minus intentionally produced.</t>
  </si>
  <si>
    <t>Divided per polymer type</t>
  </si>
  <si>
    <t xml:space="preserve">Combined from TNO Sieger Henke and Statistics - APE Europe [WWW Document], n.d. URL https://web.archive.org/web/20230930160250/https://apeeurope.eu/statistics/ (accessed 3.27.24). </t>
  </si>
  <si>
    <t>Statistics - APE Europe [WWW Document], n.d. URL https://web.archive.org/web/20230930160250/https://apeeurope.eu/statistics/ (accessed 3.27.24).</t>
  </si>
  <si>
    <t>Estimation using 3.36% conversion to NL (Plastics Europe, 2014)</t>
  </si>
  <si>
    <t>Estimation using 6.7% conversion to NL (https://ec.europa.eu/eurostat/databrowser/bookmark/ad869a47-4196-4282-b054-0a75caf9373f?lang=en)</t>
  </si>
  <si>
    <t>Combined from TNO Sieger Henke and Statistics - APE Europe [WWW Document], n.d. URL https://web.archive.org/web/20230930160250/https://apeeurope.eu/statistics/ (accessed 3.27.24). Using 3.36% conversion to NL</t>
  </si>
  <si>
    <t>Combined from TNO Sieger Henke and Statistics - APE Europe [WWW Document], n.d. URL https://web.archive.org/web/20230930160250/https://apeeurope.eu/statistics/ (accessed 3.27.24). Using 6.7% conversion to NL</t>
  </si>
  <si>
    <t>Agricultural pipes (discarded)</t>
  </si>
  <si>
    <t>Urbanus, J.H., Brunner, A., Boersma, A., Henke, S., Kooter, I., Lensen, S., Parker, L., Schwarz, A., Imhof, P., Dortmans, A., Wijngaard, M., 2022. Autobanden, verpakkingen en landbouwfolie zijn in Nederland de grootste bronnen van microplastics. TNO.</t>
  </si>
  <si>
    <t>Assessment of agricultural plastics and their sustainability: A call for action, 2021. . FAO. https://doi.org/10.4060/cb7856en</t>
  </si>
  <si>
    <t>Agricultural other</t>
  </si>
  <si>
    <t>Agricultural greenhouse films (in use)</t>
  </si>
  <si>
    <t>Agricultural pipes (in use)</t>
  </si>
  <si>
    <t>Agricultural greenhouse films (discarded)</t>
  </si>
  <si>
    <t>Agricultural mulching films</t>
  </si>
  <si>
    <t>SI Kawecki and Nowack, 2019</t>
  </si>
  <si>
    <t>Assume that for a film with 1m width, 1cm is lost on both sides when removing. This results in a total loss of 2% of plastic.</t>
  </si>
  <si>
    <t>Normalized (See Agriculture sheet)</t>
  </si>
  <si>
    <t>Liftime compartment name</t>
  </si>
  <si>
    <t>Lifetime (years)</t>
  </si>
  <si>
    <t>Values</t>
  </si>
  <si>
    <t>Distribution</t>
  </si>
  <si>
    <t>AgriculturalPipesIU</t>
  </si>
  <si>
    <t>Refereren naar originele bron</t>
  </si>
  <si>
    <t>Copied from Kawecki et al.</t>
  </si>
  <si>
    <t>Evenly distributed over the years</t>
  </si>
  <si>
    <t>AgriculturalPipesEOL</t>
  </si>
  <si>
    <t>AgriculturalFilmsIU</t>
  </si>
  <si>
    <t>AgriculturalFilmsEOL</t>
  </si>
  <si>
    <t>Raw data</t>
  </si>
  <si>
    <t>Polymer distribution TCs Europe</t>
  </si>
  <si>
    <t>Total (non-packaging) tonnes</t>
  </si>
  <si>
    <t>Total Europe 2018</t>
  </si>
  <si>
    <t>Total per polymer (ton)</t>
  </si>
  <si>
    <t>Total per polymer (kton)</t>
  </si>
  <si>
    <t>TC to Mulching films</t>
  </si>
  <si>
    <t>TC to pipes</t>
  </si>
  <si>
    <t>TC naar Overig</t>
  </si>
  <si>
    <t>TC to greenhouse films</t>
  </si>
  <si>
    <t>TC polymer</t>
  </si>
  <si>
    <t>Tonnes</t>
  </si>
  <si>
    <t>Recalculate %</t>
  </si>
  <si>
    <t>% of total films</t>
  </si>
  <si>
    <t>Films silage mulch (%)</t>
  </si>
  <si>
    <t>Films silage mulch</t>
  </si>
  <si>
    <t>Total Mulching films</t>
  </si>
  <si>
    <t>Total Pipes</t>
  </si>
  <si>
    <t>Total Other</t>
  </si>
  <si>
    <t>Total Greenhouse films</t>
  </si>
  <si>
    <t>Mulching films</t>
  </si>
  <si>
    <t>Greenhouses (%)</t>
  </si>
  <si>
    <t>Greenhouses</t>
  </si>
  <si>
    <t>tonnes</t>
  </si>
  <si>
    <t>Greenhouse films</t>
  </si>
  <si>
    <t>Twines</t>
  </si>
  <si>
    <t>materials</t>
  </si>
  <si>
    <t>%</t>
  </si>
  <si>
    <t>Pipes</t>
  </si>
  <si>
    <t>%*</t>
  </si>
  <si>
    <t>Other</t>
  </si>
  <si>
    <t>Irrigation equipment</t>
  </si>
  <si>
    <t>Nets</t>
  </si>
  <si>
    <t>*Assumption equal distribution PS, PP en HDPE</t>
  </si>
  <si>
    <t>Polymer distribution TCs NL</t>
  </si>
  <si>
    <t>Onderverdeling naar type gebruik (bron TNO Sieger Henke)</t>
  </si>
  <si>
    <t>Total NL 2018 low estimate</t>
  </si>
  <si>
    <t>Films (total)</t>
  </si>
  <si>
    <t>Other (minus agricultural plastics in int. prod. MPs)</t>
  </si>
  <si>
    <t xml:space="preserve">Pipes </t>
  </si>
  <si>
    <t>Fractions and input values</t>
  </si>
  <si>
    <t>Region</t>
  </si>
  <si>
    <t>Type</t>
  </si>
  <si>
    <t>Value</t>
  </si>
  <si>
    <t>Total agriculture</t>
  </si>
  <si>
    <t>APE Europe, 2019</t>
  </si>
  <si>
    <t xml:space="preserve">Crop production </t>
  </si>
  <si>
    <t>Animal production</t>
  </si>
  <si>
    <t>Division between categories</t>
  </si>
  <si>
    <t>Fraction</t>
  </si>
  <si>
    <t>Silage and mulch films</t>
  </si>
  <si>
    <t>FAO figure 7, 2021, Urbanus et al., 2022</t>
  </si>
  <si>
    <t>Urbanus et al., 2022</t>
  </si>
  <si>
    <t>Fractions used in calculations</t>
  </si>
  <si>
    <t>Fraction type</t>
  </si>
  <si>
    <t>Fraction NL agriculture (plant + lifestock + Gardening)</t>
  </si>
  <si>
    <t>Plastics Europe (2024)</t>
  </si>
  <si>
    <t>Fraction NL  (plant + lifestock + Gardening) from EU (plant + lifestock + Gardening) total consumption</t>
  </si>
  <si>
    <t>Fraction NL total from EU total consumption</t>
  </si>
  <si>
    <t xml:space="preserve">Market share agricultural industry </t>
  </si>
  <si>
    <t>https://ec.europa.eu/eurostat/databrowser/bookmark/ad869a47-4196-4282-b054-0a75caf9373f?lang=en</t>
  </si>
  <si>
    <t>Agricultural plastics in Intentionally produced microparticles (2020)</t>
  </si>
  <si>
    <t>EU mean (kt)</t>
  </si>
  <si>
    <t>NL mean (kt)</t>
  </si>
  <si>
    <t>Total</t>
  </si>
  <si>
    <t xml:space="preserve">Original TCs from Kawecki et al. 2019 and RIVM </t>
  </si>
  <si>
    <t>Agricultural films</t>
  </si>
  <si>
    <t>Assumption by Kawecki and Nowack (explained on page 38 of the SI)</t>
  </si>
  <si>
    <t>Agricultural pipes</t>
  </si>
  <si>
    <t>Personal Care and Cosmetic Products (PCCP)</t>
  </si>
  <si>
    <t>Data in tonnes</t>
  </si>
  <si>
    <t xml:space="preserve">Table 3.3 from Scudo et al. (2017) </t>
  </si>
  <si>
    <t>Scudo, A. et al. (2017) Intentionally added microplastics in products. London, United Kingdom: Amec Foster Wheeler Environment &amp; Infrastructure UK Limited.</t>
  </si>
  <si>
    <t xml:space="preserve">Table 3.6 from Scudo et al. (2017) </t>
  </si>
  <si>
    <t>Ratio's for polymer content</t>
  </si>
  <si>
    <t>RIVM assumption</t>
  </si>
  <si>
    <t>Polymer fractions calculated from previous table</t>
  </si>
  <si>
    <t>Low (tonnes)</t>
  </si>
  <si>
    <t>Central (tonnes)</t>
  </si>
  <si>
    <t>High (tonnes)</t>
  </si>
  <si>
    <t>Table 55 in Annex XV Report (2020)</t>
  </si>
  <si>
    <t>Microplastics_Annex XV_Report_Annexes (europa.eu)</t>
  </si>
  <si>
    <t>Cosmetics</t>
  </si>
  <si>
    <t>Table 73 in Annex XV Report (2020)</t>
  </si>
  <si>
    <t>Table 42 in Annex XV Report (2020)</t>
  </si>
  <si>
    <t>AgriculturalPPP</t>
  </si>
  <si>
    <t>Table 44 in Annex XV Report (2020)</t>
  </si>
  <si>
    <t>Table 46 in Annex XV Report (2020)</t>
  </si>
  <si>
    <t>Table 48 in Annex XV Report (2020)</t>
  </si>
  <si>
    <t>Table 83 in Annex XV Report (2020)</t>
  </si>
  <si>
    <t>ConsumerOther</t>
  </si>
  <si>
    <t>Table 96 in Annex XV Report (2020)</t>
  </si>
  <si>
    <t>See D.10.3. Not quantified, but assumed similar Medicine diffusion limitation</t>
  </si>
  <si>
    <t>Table 99 in Annex XV Report (2020)</t>
  </si>
  <si>
    <t>OtherOilGas</t>
  </si>
  <si>
    <t>Section D.13.4 in Annex XV Report (2020)</t>
  </si>
  <si>
    <t>RubberInfill</t>
  </si>
  <si>
    <t>Total 'Intentionally produced microplarticles'</t>
  </si>
  <si>
    <t>LDPE (tonnes)</t>
  </si>
  <si>
    <t>HDPE (tonnes)</t>
  </si>
  <si>
    <t>PP (tonnes)</t>
  </si>
  <si>
    <t>PS (tonnes)</t>
  </si>
  <si>
    <t>EPS (tonnes)</t>
  </si>
  <si>
    <t>PVC (tonnes)</t>
  </si>
  <si>
    <t>PET (tonnes)</t>
  </si>
  <si>
    <t>RUBBER (tonnes)</t>
  </si>
  <si>
    <t>PUR (tonnes)</t>
  </si>
  <si>
    <t>ABS (tonnes)</t>
  </si>
  <si>
    <t>PA (tonnes)</t>
  </si>
  <si>
    <t>PC (tonnes)</t>
  </si>
  <si>
    <t>PMMA (tonnes)</t>
  </si>
  <si>
    <t>Other (tonnes)</t>
  </si>
  <si>
    <t>RUBBER (kt)</t>
  </si>
  <si>
    <t>PUR (kt)</t>
  </si>
  <si>
    <t>ABS (kt)</t>
  </si>
  <si>
    <t>PC (kt)</t>
  </si>
  <si>
    <t>PMMA (kt)</t>
  </si>
  <si>
    <t>Other (kt)</t>
  </si>
  <si>
    <t>Intentionally produced microplarticles</t>
  </si>
  <si>
    <t>These are the values that are used in the 'Input EU' sheet</t>
  </si>
  <si>
    <t>To calculate the input NL consumption, the EU consumption values are scaled to NL using 'scale factors'. For some categories the scale factor was  based on population and for others on market share.</t>
  </si>
  <si>
    <t>Data type</t>
  </si>
  <si>
    <t>Unit</t>
  </si>
  <si>
    <t>Scale factor from EU to NL</t>
  </si>
  <si>
    <t>Population</t>
  </si>
  <si>
    <t>person</t>
  </si>
  <si>
    <t>Statistics | Eurostat (europa.eu)</t>
  </si>
  <si>
    <t>Market share 'agricultural industry'</t>
  </si>
  <si>
    <t>billion euro</t>
  </si>
  <si>
    <t>Market share 'oil and gas mining and quarrying'</t>
  </si>
  <si>
    <t>https://ec.europa.eu/eurostat/databrowser/bookmark/2e211686-43a6-4cb8-90f4-401aa9ef8d81?lang=en</t>
  </si>
  <si>
    <t>Combination of two sources: Annex XV Report (2020) and Statistics | Eurostat (europa.eu)</t>
  </si>
  <si>
    <t>Combination of two sources: Annex XV Report (2020) and Performance of the agricultural sector - Statistics Explained (europa.eu)</t>
  </si>
  <si>
    <t>RecyBEM</t>
  </si>
  <si>
    <t>Consumed (tonnes)</t>
  </si>
  <si>
    <t>Estimate that then only replacement of lost material</t>
  </si>
  <si>
    <t>Full stop</t>
  </si>
  <si>
    <t>These are the values that are used in the 'Input NL' sheet</t>
  </si>
  <si>
    <t>These are the values that are used in the 'Transfer coefficients' sheet.</t>
  </si>
  <si>
    <t>Rubber infill TCs</t>
  </si>
  <si>
    <t>Loss per year</t>
  </si>
  <si>
    <t>per jaar volgens Hoeke et al 2023</t>
  </si>
  <si>
    <t>Hoe wordt rubber infill verwrkt bij EoL:</t>
  </si>
  <si>
    <t>document (eerstekamer.nl)</t>
  </si>
  <si>
    <t>With 10 year lifespan:</t>
  </si>
  <si>
    <t>Final Demand</t>
  </si>
  <si>
    <t>Industry Use</t>
  </si>
  <si>
    <t>Polymer fractions</t>
  </si>
  <si>
    <t>Waste post-consumer</t>
  </si>
  <si>
    <t>Data from Fig. 2 in Plastic packaging flows in Europe: A hybrid input‐output approach - Cimpan - 2021 - Journal of Industrial Ecology - Wiley Online Library</t>
  </si>
  <si>
    <t>Plastic packaging flows in Europe: A hybrid input‐output approach - Cimpan - 2021 - Journal of Industrial Ecology - Wiley Online Library</t>
  </si>
  <si>
    <t xml:space="preserve">Input EU consumption </t>
  </si>
  <si>
    <t xml:space="preserve">https://ec.europa.eu/eurostat/databrowser/bookmark/19fb9122-d657-402c-9caf-78be4e0aa7ea?lang=en </t>
  </si>
  <si>
    <t>Calculation based on EUROSTAT, polymer distribution based on Cimpan et al. (2021)</t>
  </si>
  <si>
    <t>https://ec.europa.eu/eurostat/databrowser/view/env_waspac/default/table?lang=en</t>
  </si>
  <si>
    <t>At the moment we use TCs from the WRAP Report and Plastic Packaging Composition (2011, 2013) - see Transfer coefficients sheet. But for a future version we will consider to include TCs from the study of Navarre et al. (2022). Joris has made a start on this:</t>
  </si>
  <si>
    <t>Minimum</t>
  </si>
  <si>
    <t>Maximum</t>
  </si>
  <si>
    <t>Food Packaging</t>
  </si>
  <si>
    <t>PE</t>
  </si>
  <si>
    <t>Navarre et al. (2022)</t>
  </si>
  <si>
    <t>Sum</t>
  </si>
  <si>
    <t>Figure from SI from Navarre et al. (2022)</t>
  </si>
  <si>
    <t>Minimum values</t>
  </si>
  <si>
    <t>Maximum values</t>
  </si>
  <si>
    <t>Average (kt/yr)</t>
  </si>
  <si>
    <t>Minimum (kt/yr)</t>
  </si>
  <si>
    <t>Maximum (kt/yr)</t>
  </si>
  <si>
    <t>TC</t>
  </si>
  <si>
    <t>(inter kTon)</t>
  </si>
  <si>
    <t>Food packaging</t>
  </si>
  <si>
    <t>Recycle</t>
  </si>
  <si>
    <t>Litter</t>
  </si>
  <si>
    <t>Outside ('Leaked'?)</t>
  </si>
  <si>
    <t>Figure from Navarre et al. (2022)</t>
  </si>
  <si>
    <t>From Lui et al 2022</t>
  </si>
  <si>
    <t>Average from figures</t>
  </si>
  <si>
    <t>AgriculturalPackagingBottles</t>
  </si>
  <si>
    <t>WRAP Report: PlasticFlow 2025, Plastic Packaging Flow Data Report, 2018</t>
  </si>
  <si>
    <t xml:space="preserve"> </t>
  </si>
  <si>
    <t>AgriculturalPackagingFilms</t>
  </si>
  <si>
    <t>BuildingPackagingFilms</t>
  </si>
  <si>
    <t>ConsumerBags</t>
  </si>
  <si>
    <t>ConsumerFilms</t>
  </si>
  <si>
    <t>NonConsumerBags</t>
  </si>
  <si>
    <t>NonConsumerOther</t>
  </si>
  <si>
    <t>OtherNonConsumerFilms</t>
  </si>
  <si>
    <t>Recycling TCs</t>
  </si>
  <si>
    <t>Source: EC, 2023. Preliminary analysis of the main sources of microplastic emissions, ANNEX 1-14 of the IMPACT ASSESSMENT REPORT on Combatting microplastics pollution in the Eurpean Union.</t>
  </si>
  <si>
    <t>Agricultural plastics recycling</t>
  </si>
  <si>
    <t>Industrial storm water (micro)</t>
  </si>
  <si>
    <t>Note: as the losses from pellet proccesing plants are very uncertain (large range of estimates), a higher and a lower TC was used to estimate the microplastic losses during recycling.</t>
  </si>
  <si>
    <t>Mass collected organic waste</t>
  </si>
  <si>
    <t>For</t>
  </si>
  <si>
    <t>Mass (kt)</t>
  </si>
  <si>
    <t>Collected organic waste (from households)</t>
  </si>
  <si>
    <t>https://www.verenigingafvalbedrijven.nl/userfiles/files/VA_Meer_waarde_uit_gft-afval_Jaarverslag_Afdeling_Bioconversie.pdf</t>
  </si>
  <si>
    <t>Dutch: 'gft afval'</t>
  </si>
  <si>
    <t>Collected organic waste (from auctions, restaurants, and the agricultural sector)</t>
  </si>
  <si>
    <t>Sum:</t>
  </si>
  <si>
    <t>Plastic fraction in collected organic waste</t>
  </si>
  <si>
    <t>In</t>
  </si>
  <si>
    <t xml:space="preserve">Material </t>
  </si>
  <si>
    <t>Plastic fraction</t>
  </si>
  <si>
    <t>all</t>
  </si>
  <si>
    <t>https://nos.nl/artikel/2193860-plastic-afval-recyclen-heeft-weinig-effect-op-milieu</t>
  </si>
  <si>
    <t>For organic waste from households (assume same fraction for organic waste from other sectors)</t>
  </si>
  <si>
    <t>Plastic mass in collected compost and organic waste</t>
  </si>
  <si>
    <t>Plastic mass content (kt)</t>
  </si>
  <si>
    <t>Mean mass (modelled)</t>
  </si>
  <si>
    <t>Mean mass (kt)</t>
  </si>
  <si>
    <t>Mean mass inflow (kt)</t>
  </si>
  <si>
    <t>Mean mass ratio's</t>
  </si>
  <si>
    <t>Mass ratio</t>
  </si>
  <si>
    <t>Mean mass outflow</t>
  </si>
  <si>
    <t>Mass outflow (kt)</t>
  </si>
  <si>
    <t>Transfer Coefficient</t>
  </si>
  <si>
    <t>Population 2010 to 2020</t>
  </si>
  <si>
    <t>Scale factor from NL to EU</t>
  </si>
  <si>
    <t>https://ec.europa.eu/eurostat/databrowser/bookmark/63ebb7a5-64ae-4556-b52f-89336b710a52?lang=en</t>
  </si>
  <si>
    <t>Data extracted on 25/03/2024 10:05:36 from [ESTAT]</t>
  </si>
  <si>
    <t xml:space="preserve">Source: https://ec.europa.eu/eurostat/databrowser/view/demo_gind__custom_15185265/default/table?lang=en </t>
  </si>
  <si>
    <t xml:space="preserve">Dataset: </t>
  </si>
  <si>
    <t>Population change - Demographic balance and crude rates at national level [demo_gind__custom_10549545]</t>
  </si>
  <si>
    <t xml:space="preserve">Last updated: </t>
  </si>
  <si>
    <t>27/11/2023 23:00</t>
  </si>
  <si>
    <t>Time frequency</t>
  </si>
  <si>
    <t>Annual</t>
  </si>
  <si>
    <t>Demographic indicator</t>
  </si>
  <si>
    <t>Average population - total</t>
  </si>
  <si>
    <t>TIME</t>
  </si>
  <si>
    <t>1990</t>
  </si>
  <si>
    <t>1995</t>
  </si>
  <si>
    <t>2000</t>
  </si>
  <si>
    <t>2014</t>
  </si>
  <si>
    <t>2015</t>
  </si>
  <si>
    <t>2016</t>
  </si>
  <si>
    <t>2017</t>
  </si>
  <si>
    <t>2018</t>
  </si>
  <si>
    <t>2019</t>
  </si>
  <si>
    <t>2020</t>
  </si>
  <si>
    <t>2021</t>
  </si>
  <si>
    <t>2022</t>
  </si>
  <si>
    <t>2023</t>
  </si>
  <si>
    <t>GEO (Labels)</t>
  </si>
  <si>
    <t>European Union - 27 countries (from 2020)</t>
  </si>
  <si>
    <t>b</t>
  </si>
  <si>
    <t>e</t>
  </si>
  <si>
    <t>bep</t>
  </si>
  <si>
    <t>ep</t>
  </si>
  <si>
    <t>:</t>
  </si>
  <si>
    <t>European Union - 28 countries (2013-2020)</t>
  </si>
  <si>
    <t>Netherlands</t>
  </si>
  <si>
    <t>Special value</t>
  </si>
  <si>
    <t>not available</t>
  </si>
  <si>
    <t>Available flags:</t>
  </si>
  <si>
    <t>break in time series, estimated, provisional</t>
  </si>
  <si>
    <t>break in time series</t>
  </si>
  <si>
    <t>estimated</t>
  </si>
  <si>
    <t>estimated, provisional</t>
  </si>
  <si>
    <t>Average population</t>
  </si>
  <si>
    <t>2005</t>
  </si>
  <si>
    <t>2010</t>
  </si>
  <si>
    <t>EU27</t>
  </si>
  <si>
    <t>2011</t>
  </si>
  <si>
    <t>2012</t>
  </si>
  <si>
    <t>2013</t>
  </si>
  <si>
    <t>Plastics Use (mt)</t>
  </si>
  <si>
    <t>Growth compared to reference years for agriculture</t>
  </si>
  <si>
    <t>Agriculture Projection EU (kt)</t>
  </si>
  <si>
    <t>Agriculture Projection NL (kt) low</t>
  </si>
  <si>
    <t>Agriculture Projection NL (kt) high</t>
  </si>
  <si>
    <t>OECD relative growth</t>
  </si>
  <si>
    <t>Global Plastics Outlook : Policy Scenarios to 2060 | OECD iLibrary [WWW Document], n.d. URL https://www.oecd-ilibrary.org/environment/global-plastics-outlook_aa1edf33-en (accessed 3.27.24).</t>
  </si>
  <si>
    <t>AgriculturalFilmsDis</t>
  </si>
  <si>
    <t>AgriculturalPipesDis</t>
  </si>
  <si>
    <t>ConsumerBottles</t>
  </si>
  <si>
    <t>Household</t>
  </si>
  <si>
    <t>OtherOther</t>
  </si>
  <si>
    <t>PipesDucts</t>
  </si>
  <si>
    <t>InfillSportsFieldDis</t>
  </si>
  <si>
    <t>InfillSportsFieldU</t>
  </si>
  <si>
    <t>ClothingDis</t>
  </si>
  <si>
    <t>ClothingIUWearTear</t>
  </si>
  <si>
    <t>ClothingIUWashDry</t>
  </si>
  <si>
    <t>HomeTextilesDis</t>
  </si>
  <si>
    <t>HomeTextilesIU</t>
  </si>
  <si>
    <t>TechHomeTextilesDis</t>
  </si>
  <si>
    <t>TechHomeTextilesIU</t>
  </si>
  <si>
    <t>MedicalTextiles</t>
  </si>
  <si>
    <t>AgrotextilesDis</t>
  </si>
  <si>
    <t>AgrotextilesIU</t>
  </si>
  <si>
    <t>MobilityTextiles</t>
  </si>
  <si>
    <t>GeotextilesDis</t>
  </si>
  <si>
    <t>GeotextilesIU</t>
  </si>
  <si>
    <t>BuildingTextilesDis</t>
  </si>
  <si>
    <t>BuildingTextilesIU</t>
  </si>
  <si>
    <t>OtherTechnicalTextiles</t>
  </si>
  <si>
    <t>TextileCoatingDis</t>
  </si>
  <si>
    <t>TextileCoatingIU</t>
  </si>
  <si>
    <t>ConcreteProfInDis</t>
  </si>
  <si>
    <t>ConcreteProfInIU</t>
  </si>
  <si>
    <t>ConcreteProfOutDis</t>
  </si>
  <si>
    <t>ConcreteProfOutIU</t>
  </si>
  <si>
    <t>LacquerDiyInDis</t>
  </si>
  <si>
    <t>LacquerDiyInIU</t>
  </si>
  <si>
    <t>LacquerDiyOutDis</t>
  </si>
  <si>
    <t>LacquerDiyOutIU</t>
  </si>
  <si>
    <t>LacquerProfInDis</t>
  </si>
  <si>
    <t>LacquerProfInIU</t>
  </si>
  <si>
    <t>LacquerProfOutDis</t>
  </si>
  <si>
    <t>LacquerProfOutIU</t>
  </si>
  <si>
    <t>OtherPaintUsesDiyInDis</t>
  </si>
  <si>
    <t>OtherPaintUsesDiyInIU</t>
  </si>
  <si>
    <t>OtherPaintUsesDiyOutDis</t>
  </si>
  <si>
    <t>OtherPaintUsesDiyOutIU</t>
  </si>
  <si>
    <t>OtherPaintUsesProfInDis</t>
  </si>
  <si>
    <t>OtherPaintUsesProfInIU</t>
  </si>
  <si>
    <t>OtherPaintUsesProfOutDis</t>
  </si>
  <si>
    <t>OtherPaintUsesProfOutIU</t>
  </si>
  <si>
    <t>PaintsPreMadeWoodInDis</t>
  </si>
  <si>
    <t>PaintsPreMadeWoodInIU</t>
  </si>
  <si>
    <t>PaintsPreMadeWoodOutDis</t>
  </si>
  <si>
    <t>PaintsPreMadeWoodOutIU</t>
  </si>
  <si>
    <t>PlasterDiyInDis</t>
  </si>
  <si>
    <t>PlasterDiyInIU</t>
  </si>
  <si>
    <t>PlasterDiyOutDis</t>
  </si>
  <si>
    <t>PlasterDiyOutIU</t>
  </si>
  <si>
    <t>PlasterProfInDis</t>
  </si>
  <si>
    <t>PlasterProfInIU</t>
  </si>
  <si>
    <t>PlasterProfOutDis</t>
  </si>
  <si>
    <t>PlasterProfOutIU</t>
  </si>
  <si>
    <t>ShipProfDis</t>
  </si>
  <si>
    <t>ShipProfIU</t>
  </si>
  <si>
    <t>ShipDiyDis</t>
  </si>
  <si>
    <t>ShipDiyIU</t>
  </si>
  <si>
    <t>WallPaintDiyIndoorAppliedDis</t>
  </si>
  <si>
    <t>WallPaintDiyIndoorAppliedIU</t>
  </si>
  <si>
    <t>WallPaintDiyOutDis</t>
  </si>
  <si>
    <t>WallPaintDiyOutIU</t>
  </si>
  <si>
    <t>WallPaintProfInDis</t>
  </si>
  <si>
    <t>WallPaintProfInIU</t>
  </si>
  <si>
    <t>WallPaintProfOutDis</t>
  </si>
  <si>
    <t>WallPaintProfOutIU</t>
  </si>
  <si>
    <t>WoodStainDiyInDis</t>
  </si>
  <si>
    <t>WoodStainDiyInIU</t>
  </si>
  <si>
    <t>WoodStainDiyOutDis</t>
  </si>
  <si>
    <t>WoodStainDiyOutIU</t>
  </si>
  <si>
    <t>WoodStainProfInDis</t>
  </si>
  <si>
    <t>WoodStainProfInIU</t>
  </si>
  <si>
    <t>WoodStainProfOutDis</t>
  </si>
  <si>
    <t>WoodStainProfOutIU</t>
  </si>
  <si>
    <t>Stock compartment</t>
  </si>
  <si>
    <t>Lifetime category</t>
  </si>
  <si>
    <t>Check</t>
  </si>
  <si>
    <t>Categories present in Lifetimes</t>
  </si>
  <si>
    <t>Stock compartments</t>
  </si>
  <si>
    <t>Stock compartments short name</t>
  </si>
  <si>
    <t>Check if every stock comp is in column A</t>
  </si>
  <si>
    <t>Fulllabel</t>
  </si>
  <si>
    <t>Short name</t>
  </si>
  <si>
    <t>Lifetime (calculation)</t>
  </si>
  <si>
    <t>Reference or assumption</t>
  </si>
  <si>
    <r>
      <t xml:space="preserve">The same lifetime factors that are used for 'ApparelPC': </t>
    </r>
    <r>
      <rPr>
        <b/>
        <sz val="11"/>
        <color theme="1"/>
        <rFont val="Calibri"/>
        <family val="2"/>
      </rPr>
      <t>5 years</t>
    </r>
    <r>
      <rPr>
        <sz val="11"/>
        <color theme="1"/>
        <rFont val="Calibri"/>
        <family val="2"/>
      </rPr>
      <t>.</t>
    </r>
  </si>
  <si>
    <t>Clothing (in use) wear and tear</t>
  </si>
  <si>
    <t>In a study the microfiber emissions due to 10000 wearing cycles were tested. "Approximately 66% of microfibers were released during the first 1000 wearing cycles, whereas the rate was 24% at 1001–5000 cycles and 10% at 5001–10000 cycles". It is unclear how 1 cycle is related to time of wearing. So we had to make an assumption. We assume that the 10000 cylces represent a lifetime of wearing, so 5 years (2000 cycles per year). Then the first year release fraction = 0.66 + (0.24/4) = 0.72. For the 2nd year: 2*(0.24/4) = 0.12. For the 3th year: 1*(0.24/4) + 1*(0.10/5) = 0.08. For the 4th and 5th year: 2*(0.10/5) = 0.04.</t>
  </si>
  <si>
    <t>Lim, J., Choi, J., Won, A., Kim, M., Kim, S., &amp; Yun, C. (2022). Cause of microfibers found in the domestic washing process of clothing; focusing on the manufacturing, wearing, and washing processes. Fashion and Textiles, 9(1), 24.</t>
  </si>
  <si>
    <t>Clothing (in use) wash and dry</t>
  </si>
  <si>
    <t>In a study by Pirc et al. (2016) the microfiber emissions due to washing and tumble drying were measured. For the first 10 washing and drying cycles the mass weigth fraction emissions were reported (Table 1 in Pirc et al. (2016)). We assumed 'no additives' (meaning no detergents). Kawecki and Nowack (2019) reported that clothing is washed 20 times per year. So for a lifetime of 5 years: 100 washing cycles. Also, Kawecki and Nowack (2019) reported that 25% of the washed clothes are tumble dried. So 25 tumble dry cycles for a lifetime of 5 years. We assume that those are equally divided over the lifetime, so 5 dry cycles per year. In summary: for each year of a clothings lifetime there are 20 wash cycles and 5 dry cycles. The fiber emissions in Table 1 from Pric et al. (2016) were used to calculate the release factors for 5 years of uding clothing. The total release during one lifetime (washing and drying) was calculated as follows:  (sum fractions of washing cycles 1 to 10 (see Table 1 of Pirc)) + (90*0.00108) + (sum fractions of drying cycles 1 to 10 (see table of Pirc)) + (15*0.00464) = 0.29336. Release factor of the 1st year: ((sum fractions of washing cycles 1 to 10) + (10*0.00108) + (sum fraction of drying cycles 1 to 5)) / 0.29336. Release factor of the 2nd year: ((20*0.00108) + (sum of fractions of drying cycles 6 to 10)) / 0.29336. Release factors of the 3th, 4th and 5th year: ((20*0.00108) + (5*0.00464)) / 0.29336.</t>
  </si>
  <si>
    <r>
      <t>Pirc, U., Vidmar, M., Mozer, A., &amp; Kržan, A. (2016). Emissions of microplastic fibers from microfiber fleece during domestic washing. </t>
    </r>
    <r>
      <rPr>
        <i/>
        <sz val="8"/>
        <color rgb="FF222222"/>
        <rFont val="Arial"/>
        <family val="2"/>
      </rPr>
      <t>Environmental Science and Pollution Research</t>
    </r>
    <r>
      <rPr>
        <sz val="8"/>
        <color rgb="FF222222"/>
        <rFont val="Arial"/>
        <family val="2"/>
      </rPr>
      <t>, </t>
    </r>
    <r>
      <rPr>
        <i/>
        <sz val="8"/>
        <color rgb="FF222222"/>
        <rFont val="Arial"/>
        <family val="2"/>
      </rPr>
      <t>23</t>
    </r>
    <r>
      <rPr>
        <sz val="8"/>
        <color rgb="FF222222"/>
        <rFont val="Arial"/>
        <family val="2"/>
      </rPr>
      <t>, 22206-22211.</t>
    </r>
  </si>
  <si>
    <t>The same lifetime factors that are used for 'HousehouldTextilesPC'</t>
  </si>
  <si>
    <t>Constant weathering rate during lifetime</t>
  </si>
  <si>
    <t>Assumed</t>
  </si>
  <si>
    <t>The same lifetime factors that are used for 'TechnicalHouseholdTextiles'</t>
  </si>
  <si>
    <t>The same lifetime factors that are used for 'HygieneMedicalTextiles'</t>
  </si>
  <si>
    <t>The same lifetime factors that are used for 'Agrotextiles'</t>
  </si>
  <si>
    <t>The same lifetime factors that are used for 'Mobility'</t>
  </si>
  <si>
    <t>The same lifetime factors that are used for 'Geotextiles'</t>
  </si>
  <si>
    <t>The same lifetime factors that are used for 'BuildingTextiles'</t>
  </si>
  <si>
    <t>OtherTechTextiles</t>
  </si>
  <si>
    <t>The same lifetime factors that are used for 'OtherTechnicalTextiles'</t>
  </si>
  <si>
    <t>The same lifetime factors that are used for 'FabricCoatings'</t>
  </si>
  <si>
    <t>In general: lifetime_indoor = 1.4 * lifetime_outdoor. Thus, lifetime of indoor concrete paint is 1.4 * 8 ≈ 11 years.</t>
  </si>
  <si>
    <t>https://www.verfwinkel.nl/blog/hoe-vaak-je-huis-schilderen-binnen-and-buiten/</t>
  </si>
  <si>
    <t>Lifetime of outdoor concrete paint is 5 to 8 years. We adopt the upper limit: 8 years.</t>
  </si>
  <si>
    <t>https://www.wovar.be/betonverf-voor-buiten/</t>
  </si>
  <si>
    <t>In general: lifetime_indoor = 1.4 * lifetime_outdoor. Thus, lifetime of indoor lacquer (DIY) is 1.4 * 3 ≈ 4 years.</t>
  </si>
  <si>
    <t>Average lifetime of outdoor applied lacquer is 3 years.</t>
  </si>
  <si>
    <t>https://verfhandelnatte.nl/tip-4-wanneer-zijn-deuren-en-kozijnen-toe-aan-nieuwe-buitenlak/</t>
  </si>
  <si>
    <t>In general: lifetime_indoor = 1.4 * lifetime_outdoor. Thus, lifetime of indoor lacquer (DIY) is 1.4 * 8 ≈ 11 years.</t>
  </si>
  <si>
    <t>Average lifetime of outdoor applied lacquer is 8 years.</t>
  </si>
  <si>
    <t>Average lifetime for indoor paint is 7 years.</t>
  </si>
  <si>
    <t>Average lifetime for outdoor paint is 5 years.</t>
  </si>
  <si>
    <t>https://www.verfwinkel.nl/blog/hoe-vaak-is-buitenschilderwerk-en-kozijnen-schilderen-nodig/</t>
  </si>
  <si>
    <t>Lifetime of a wooden chair is 10 to 15 year. Adopt upper limit: 15 years.</t>
  </si>
  <si>
    <t>How Long Does Wood Furniture Last: A Comprehensive Guide (woodmodo.com)</t>
  </si>
  <si>
    <t>Lifetime of a wooden chair is 10 to 15 year. Adopt lower limit: 10 years.</t>
  </si>
  <si>
    <t>Estimated lifetime of 15 years.</t>
  </si>
  <si>
    <t>Estimated lifetime of 10 years.</t>
  </si>
  <si>
    <t>Estimated lifetime of 20 years.</t>
  </si>
  <si>
    <t>Lifetime of marine ship paint is 2 to 5 years. We adopt the upper limit: 5 years.</t>
  </si>
  <si>
    <t>Lagerström et al. (2022)</t>
  </si>
  <si>
    <t>Lifetime of recreational ship paint is 2 years.</t>
  </si>
  <si>
    <t>Lifetime of indoor wall paint is 5 to 10 years. For indoor wall paint (DIY) we adopt the lower limit: 5 years.</t>
  </si>
  <si>
    <t>https://elitepropainting.com/how-long-does-paint-last-lifespan-of-paint/</t>
  </si>
  <si>
    <t>Lifetime of outdoor wall paint is 5 to 7 years. For outdoor wall paint (DIY) we adopt the lower limit: 5 years.</t>
  </si>
  <si>
    <t>Lifetime of indoor wall paint is 5 to 10 years. For indoor wall paint (prof) we adopt the upper limit: 10 years.</t>
  </si>
  <si>
    <t>Lifetime of outdoor wall paint is 5 to 7 years. For outdoor wall paint (prof) we adopt the upper limit: 7 years.</t>
  </si>
  <si>
    <t>Lifetime of wood stain is 2 to 8 on horizontal and 4 to 10 on vertical surfaces. Assume indoor applications are only on horizontal surfaces (furniture) and for DIY we adopt the lower limit: 2 years.</t>
  </si>
  <si>
    <t>Lifetime of wood stain is 2 to 8 on horizontal and 4 to 10 on vertical surfaces. Assume outdoor applications are only on vertical surfaces (fences) and for DIY we adopt the lower limit: 4 years.</t>
  </si>
  <si>
    <t>Lifetime of wood stain is 2 to 8 on horizontal and 4 to 10 on vertical surfaces. Assume indoor applications are only on horizontal surfaces (furniture) and for prof we adopt the upper limit: 8 years.</t>
  </si>
  <si>
    <t>Lifetime of wood stain is 2 to 8 on horizontal and 4 to 10 on vertical surfaces. Assume outdoor applications are only on vertical surfaces (fences) and for prof we adopt the upper limit: 10 years.</t>
  </si>
  <si>
    <t>Refill is reduced as pile length is reducced so in use emission are gradually up to 5  - 12 year life span</t>
  </si>
  <si>
    <t>Based on Kole et al. 2023 (https://doi.org/10.1016/j.scitotenv.2023.166221)</t>
  </si>
  <si>
    <t>An average life span is assumed of 10 years with about 11% loss based on yearly refill of fields</t>
  </si>
  <si>
    <t xml:space="preserve">Hoeke etal. 2024 (https://doi.org/10.1016/j.resconrec.2023.107389) and Sieber et al. </t>
  </si>
  <si>
    <t xml:space="preserve">Identical lifetimes as category 'construction pipes' from Kawecki et al. (2021). </t>
  </si>
  <si>
    <t>Same as for Agricultural pipes (discarded)</t>
  </si>
  <si>
    <t>Assumed equally distributed emissions over 4 years.</t>
  </si>
  <si>
    <t>Same as for Agricultural films (discarded)</t>
  </si>
  <si>
    <t>fulllabel</t>
  </si>
  <si>
    <t>type</t>
  </si>
  <si>
    <t>name</t>
  </si>
  <si>
    <t>Adopted from Kawecki &amp; Nowack (2019) or added/changed</t>
  </si>
  <si>
    <t>All compartments mentioned in the Input_NL sheet</t>
  </si>
  <si>
    <t>All compartments mentioned in the Transfer coefficients sheet</t>
  </si>
  <si>
    <t>Stack all compartments mentioned in input and transfer coefficients sheets</t>
  </si>
  <si>
    <t>STACKING column</t>
  </si>
  <si>
    <t>Compartments used by Kawecki &amp; Nowack (2019)</t>
  </si>
  <si>
    <t>Type of compartment</t>
  </si>
  <si>
    <t>Shorter name of the compartment (for modelling purposes)</t>
  </si>
  <si>
    <t>CHECK</t>
  </si>
  <si>
    <t>If B = Stock, then check if it has a lifetime</t>
  </si>
  <si>
    <t>Does this error need attention?</t>
  </si>
  <si>
    <t>Lifetimes defined</t>
  </si>
  <si>
    <t>Flow</t>
  </si>
  <si>
    <t>AgriculturalFilms</t>
  </si>
  <si>
    <t>AgriculturalOther</t>
  </si>
  <si>
    <t>Stock</t>
  </si>
  <si>
    <t>AgriculturalPipes</t>
  </si>
  <si>
    <t>AgricultureRecycling</t>
  </si>
  <si>
    <t>Sink</t>
  </si>
  <si>
    <t>AgriculturalSoilMacro</t>
  </si>
  <si>
    <t>AgriculturalSoilMicro</t>
  </si>
  <si>
    <t>AgricultureCollection</t>
  </si>
  <si>
    <t>ASR recycling</t>
  </si>
  <si>
    <t>ASRRecycling</t>
  </si>
  <si>
    <t>Automotive</t>
  </si>
  <si>
    <t>Automotive (product sector)</t>
  </si>
  <si>
    <t>AutomotivePC</t>
  </si>
  <si>
    <t>Automotive large parts recycling</t>
  </si>
  <si>
    <t>LargePartRecycling</t>
  </si>
  <si>
    <t>Automotive parts reuse</t>
  </si>
  <si>
    <t>PartReuse</t>
  </si>
  <si>
    <t>Building and Construction</t>
  </si>
  <si>
    <t>BuildingConstruction</t>
  </si>
  <si>
    <t>No, we don't include this product sector in our model</t>
  </si>
  <si>
    <t>BuildingTextiles</t>
  </si>
  <si>
    <t>Clothing</t>
  </si>
  <si>
    <t>Apparel</t>
  </si>
  <si>
    <t>ClothingProdSec</t>
  </si>
  <si>
    <t>Combined Sewer Overflow (macro)</t>
  </si>
  <si>
    <t>CSOMacro</t>
  </si>
  <si>
    <t>Combined Sewer Overflow (micro)</t>
  </si>
  <si>
    <t>CSOMicro</t>
  </si>
  <si>
    <t>Combined Sewer Overflow (small macro)</t>
  </si>
  <si>
    <t>CSOMacroSmall</t>
  </si>
  <si>
    <t>CompostMacro</t>
  </si>
  <si>
    <t>CompostMicro</t>
  </si>
  <si>
    <t>Compost collection (smaller than 1 mm)</t>
  </si>
  <si>
    <t>CompostCollectionSmall</t>
  </si>
  <si>
    <t>Compost collection (larger than 1 mm)</t>
  </si>
  <si>
    <t>CompostCollectionLarge</t>
  </si>
  <si>
    <t>CompostingSizeSep</t>
  </si>
  <si>
    <t>CDIncinerableCollection</t>
  </si>
  <si>
    <t>Construction and demolition recycling</t>
  </si>
  <si>
    <t>CDRecycling</t>
  </si>
  <si>
    <t>Construction and demolition waste collection</t>
  </si>
  <si>
    <t>CDCollection</t>
  </si>
  <si>
    <t>Construction pipes (and ducts)</t>
  </si>
  <si>
    <t>YES</t>
  </si>
  <si>
    <t>Cotton swabs</t>
  </si>
  <si>
    <t>CottonBudSticks</t>
  </si>
  <si>
    <t>Coverings (construction)</t>
  </si>
  <si>
    <t>WallFloorCoverings</t>
  </si>
  <si>
    <t>Cutlery</t>
  </si>
  <si>
    <t>DisposCleanCloths</t>
  </si>
  <si>
    <t>EEE</t>
  </si>
  <si>
    <t>EEE (product sector)</t>
  </si>
  <si>
    <t>EEEPC</t>
  </si>
  <si>
    <t>ELV collection</t>
  </si>
  <si>
    <t>ELVCollection</t>
  </si>
  <si>
    <t>ELVTextilesCollection</t>
  </si>
  <si>
    <t>Fabric coatings</t>
  </si>
  <si>
    <t>FabricCoatings</t>
  </si>
  <si>
    <t>Fibre production</t>
  </si>
  <si>
    <t>FibreProduction</t>
  </si>
  <si>
    <t>Furniture</t>
  </si>
  <si>
    <t>Household plastics</t>
  </si>
  <si>
    <t>Household textiles</t>
  </si>
  <si>
    <t>HouseholdTextiles</t>
  </si>
  <si>
    <t>HouseholdTextilesPC</t>
  </si>
  <si>
    <t>Hygiene and medical textiles</t>
  </si>
  <si>
    <t>HygieneMedicalTextiles</t>
  </si>
  <si>
    <t>IndoorAirMicro</t>
  </si>
  <si>
    <t>FloorCleaning</t>
  </si>
  <si>
    <t>IndusStormWaterMicro</t>
  </si>
  <si>
    <t>Insulation (construction)</t>
  </si>
  <si>
    <t>Insulation</t>
  </si>
  <si>
    <t>Lining (construction)</t>
  </si>
  <si>
    <t>Lining</t>
  </si>
  <si>
    <t>RuralLitter</t>
  </si>
  <si>
    <t>UrbanLitter</t>
  </si>
  <si>
    <t>RoadSideLitter</t>
  </si>
  <si>
    <t>MixedCollection</t>
  </si>
  <si>
    <t>RuralSoilMacro</t>
  </si>
  <si>
    <t>RuralSoilMicro</t>
  </si>
  <si>
    <t>Non-textile manufacturing</t>
  </si>
  <si>
    <t>NonTextileManufact</t>
  </si>
  <si>
    <t>On-Site Sewage Facility (macro)</t>
  </si>
  <si>
    <t>OSSFMacro</t>
  </si>
  <si>
    <t>On-Site Sewage Facility (micro)</t>
  </si>
  <si>
    <t>OSSFMicro</t>
  </si>
  <si>
    <t>OnTheGo</t>
  </si>
  <si>
    <t>OnTheGoRural</t>
  </si>
  <si>
    <t>OnTheGoUrban</t>
  </si>
  <si>
    <t>OnTheGoTransport</t>
  </si>
  <si>
    <t>Other non-textile products</t>
  </si>
  <si>
    <t>Other plastic products (product sector)</t>
  </si>
  <si>
    <t>OutdoorAirMicro</t>
  </si>
  <si>
    <t>PackagingCollection</t>
  </si>
  <si>
    <t>PackagingRecycling</t>
  </si>
  <si>
    <t>PantyLiners</t>
  </si>
  <si>
    <t>Pre-consumer fibre collection</t>
  </si>
  <si>
    <t>PCFibreCollection</t>
  </si>
  <si>
    <t>Pre-consumer plastic collection</t>
  </si>
  <si>
    <t>PCPlasticCollection</t>
  </si>
  <si>
    <t>Primary production</t>
  </si>
  <si>
    <t>PrimProduction</t>
  </si>
  <si>
    <t>WWTPrimaryMacro</t>
  </si>
  <si>
    <t>WWTPrimaryMicro</t>
  </si>
  <si>
    <t>Primary water treatment (small macro)</t>
  </si>
  <si>
    <t>WWTPrimaryMacroSmall</t>
  </si>
  <si>
    <t>UrbanSoilMacro</t>
  </si>
  <si>
    <t>UrbanSoilMicro</t>
  </si>
  <si>
    <t>RoadSideMacro</t>
  </si>
  <si>
    <t>Sanitary napkins</t>
  </si>
  <si>
    <t>SanitaryNapkins</t>
  </si>
  <si>
    <t>Secondary material production</t>
  </si>
  <si>
    <t>SecMatProduction</t>
  </si>
  <si>
    <t>MaterialReuse</t>
  </si>
  <si>
    <t>WWTSecondaryMacro</t>
  </si>
  <si>
    <t>WWTSecondaryMicro</t>
  </si>
  <si>
    <t>Secondary water treatment (small macro)</t>
  </si>
  <si>
    <t>WWTSecondaryMacroSmall</t>
  </si>
  <si>
    <t>Shotgun cartridges</t>
  </si>
  <si>
    <t>ShotgunCartridges</t>
  </si>
  <si>
    <t>SludgeMacro</t>
  </si>
  <si>
    <t>SludgeMicro</t>
  </si>
  <si>
    <t>StormWaterMacro</t>
  </si>
  <si>
    <t>StormWaterMicro</t>
  </si>
  <si>
    <t>Straws</t>
  </si>
  <si>
    <t>DeepUrbanSoilMicro</t>
  </si>
  <si>
    <t>SurfaceWaterMacro</t>
  </si>
  <si>
    <t>SurfaceWaterMicro</t>
  </si>
  <si>
    <t>Tampon applicators</t>
  </si>
  <si>
    <t>TamponApplicators</t>
  </si>
  <si>
    <t>Technical clothing</t>
  </si>
  <si>
    <t>TechnicalClothing</t>
  </si>
  <si>
    <t>Technical household textiles</t>
  </si>
  <si>
    <t>TechnicalHouseholdTextiles</t>
  </si>
  <si>
    <t>Renamed to Technical home textiles (see Comp Added)</t>
  </si>
  <si>
    <t>TechnicalTextiles</t>
  </si>
  <si>
    <t>WWTTertiaryMacro</t>
  </si>
  <si>
    <t>WWTTertiaryMicro</t>
  </si>
  <si>
    <t>Textile manufacturing</t>
  </si>
  <si>
    <t>TextileManufacturing</t>
  </si>
  <si>
    <t>TextileReuse</t>
  </si>
  <si>
    <t>TextileCollection</t>
  </si>
  <si>
    <t>Transport</t>
  </si>
  <si>
    <t>WWTPMacro</t>
  </si>
  <si>
    <t>WWTPMicro</t>
  </si>
  <si>
    <t>WasteWaterMacro</t>
  </si>
  <si>
    <t>WasteWaterMicro</t>
  </si>
  <si>
    <t>Wastewater (small macro)</t>
  </si>
  <si>
    <t>WasteWaterMacroSmall</t>
  </si>
  <si>
    <t>WEEE collection</t>
  </si>
  <si>
    <t>WEEECollection</t>
  </si>
  <si>
    <t>WEEP recycling</t>
  </si>
  <si>
    <t>WEEPRecycling</t>
  </si>
  <si>
    <t>WetWipes</t>
  </si>
  <si>
    <t>Windows, profiles and fitted furniture</t>
  </si>
  <si>
    <t>WindowsProfilesFittedFurniture</t>
  </si>
  <si>
    <t>WWTPMacroSmall</t>
  </si>
  <si>
    <t>Compartments added</t>
  </si>
  <si>
    <t>AgriMulching</t>
  </si>
  <si>
    <t>ClothingIU</t>
  </si>
  <si>
    <t>CollectedOrganicW</t>
  </si>
  <si>
    <t>CollectedOrganicWlarger1mm</t>
  </si>
  <si>
    <t>CollectedOrganicWsmaller1mm</t>
  </si>
  <si>
    <t>ConcreteProf</t>
  </si>
  <si>
    <t>ConcreteProfIn</t>
  </si>
  <si>
    <t>ConcreteProfOut</t>
  </si>
  <si>
    <t>ControlledFertilizer</t>
  </si>
  <si>
    <t>Detergents</t>
  </si>
  <si>
    <t>DomPrimaryProd</t>
  </si>
  <si>
    <t>ExportPrimPlastics</t>
  </si>
  <si>
    <t>FertilizerAdditive</t>
  </si>
  <si>
    <t>FoodAdditive</t>
  </si>
  <si>
    <t>HighwayDAB</t>
  </si>
  <si>
    <t>HighwayZOAB</t>
  </si>
  <si>
    <t>HighwayZOABnc</t>
  </si>
  <si>
    <t>HighwayDABnc</t>
  </si>
  <si>
    <t>HomeTextiles</t>
  </si>
  <si>
    <t>ImpPrimaryProd</t>
  </si>
  <si>
    <t>Indoor concrete paint (prof)</t>
  </si>
  <si>
    <t>IndoorConcretePaint</t>
  </si>
  <si>
    <t>Indoor lacquer (DIY)</t>
  </si>
  <si>
    <t>IndoorLacquerDiy</t>
  </si>
  <si>
    <t>Indoor lacquer (prof)</t>
  </si>
  <si>
    <t>IndoorLacquerProf</t>
  </si>
  <si>
    <t>Indoor other paint uses (DIY)</t>
  </si>
  <si>
    <t>IndoorPaintOtherDiy</t>
  </si>
  <si>
    <t>Indoor other paint uses (prof)</t>
  </si>
  <si>
    <t>IndoorPaintOtherProf</t>
  </si>
  <si>
    <t>Indoor plaster (DIY)</t>
  </si>
  <si>
    <t>IndoorPlasterDiy</t>
  </si>
  <si>
    <t>Indoor plaster (prof)</t>
  </si>
  <si>
    <t>IndoorPlasterProf</t>
  </si>
  <si>
    <t>Indoor wall paint (DIY)</t>
  </si>
  <si>
    <t>IndoorWallDiy</t>
  </si>
  <si>
    <t>Indoor wall paint (prof)</t>
  </si>
  <si>
    <t>IndoorWallProf</t>
  </si>
  <si>
    <t>Indoor wood stain (DIY)</t>
  </si>
  <si>
    <t>IndoorWoodStainDiy</t>
  </si>
  <si>
    <t>Indoor wood stain (prof)</t>
  </si>
  <si>
    <t>IndoorWoodProf</t>
  </si>
  <si>
    <t>IndustrialStormwaterMicro</t>
  </si>
  <si>
    <t>InfillSportsField</t>
  </si>
  <si>
    <t>IntProdMP</t>
  </si>
  <si>
    <t>In-use indoor paint</t>
  </si>
  <si>
    <t>UseIndoorPaint</t>
  </si>
  <si>
    <t>In-use outdoor paint</t>
  </si>
  <si>
    <t>UseOutdoorPaint</t>
  </si>
  <si>
    <t>In-use ship paint (prof)</t>
  </si>
  <si>
    <t>UseShipPaintProf</t>
  </si>
  <si>
    <t>In-use Ship paint (recr)</t>
  </si>
  <si>
    <t>UseShipPaintDiy</t>
  </si>
  <si>
    <t>IVD</t>
  </si>
  <si>
    <t>LacquerDiy</t>
  </si>
  <si>
    <t>LacquerDiyIn</t>
  </si>
  <si>
    <t>LacquerDiyOut</t>
  </si>
  <si>
    <t>LacquerProf</t>
  </si>
  <si>
    <t>LacquerProfIn</t>
  </si>
  <si>
    <t>LacquerProfOut</t>
  </si>
  <si>
    <t>Maintenance indoor paint emission</t>
  </si>
  <si>
    <t>MaintenanceIndoorPaint</t>
  </si>
  <si>
    <t>Maintenance outdoor paint emission</t>
  </si>
  <si>
    <t>MaintenanceOutdoorPaint</t>
  </si>
  <si>
    <t>Maintenance ship paint (prof) emission</t>
  </si>
  <si>
    <t>MaintenanceShipPaintProf</t>
  </si>
  <si>
    <t>Maintenance Ship paint (recr) emission</t>
  </si>
  <si>
    <t>MaintenanceShipPaintDiy</t>
  </si>
  <si>
    <t>MedicineDiff</t>
  </si>
  <si>
    <t>MixedCollectionMicro</t>
  </si>
  <si>
    <t>OilGasApplications</t>
  </si>
  <si>
    <t>OtherPaintUsesDiy</t>
  </si>
  <si>
    <t>OtherPaintUsesDiyIn</t>
  </si>
  <si>
    <t>OtherPaintUsesDiyOut</t>
  </si>
  <si>
    <t>OtherPaintUses</t>
  </si>
  <si>
    <t>OtherPaintUsesProfIn</t>
  </si>
  <si>
    <t>OtherPaintUsesProfOut</t>
  </si>
  <si>
    <t>Outdoor concrete paint (prof)</t>
  </si>
  <si>
    <t>OutdoorConcretePaint</t>
  </si>
  <si>
    <t>Outdoor lacquer (DIY)</t>
  </si>
  <si>
    <t>OutdoorLacquerDiy</t>
  </si>
  <si>
    <t>Outdoor lacquer (prof)</t>
  </si>
  <si>
    <t>OutdoorLacquerProf</t>
  </si>
  <si>
    <t>Outdoor other paint uses (DIY)</t>
  </si>
  <si>
    <t>OutdoorPaintOtherDiy</t>
  </si>
  <si>
    <t>Outdoor other paint uses (prof)</t>
  </si>
  <si>
    <t>OutdoorPaintOtherProf</t>
  </si>
  <si>
    <t>Outdoor plaster (DIY)</t>
  </si>
  <si>
    <t>OutdoorPlasterDiy</t>
  </si>
  <si>
    <t>Outdoor plaster (prof)</t>
  </si>
  <si>
    <t>OutdoorPlasterProf</t>
  </si>
  <si>
    <t>Outdoor wall paint (DIY)</t>
  </si>
  <si>
    <t>OutdoorWallDiy</t>
  </si>
  <si>
    <t>Outdoor wall paint (prof)</t>
  </si>
  <si>
    <t>OutdoorWallProf</t>
  </si>
  <si>
    <t>Outdoor wood stain (DIY)</t>
  </si>
  <si>
    <t>OutdoorWoodStainDiy</t>
  </si>
  <si>
    <t>Outdoor wood stain (prof)</t>
  </si>
  <si>
    <t>OutdoorWoodProf</t>
  </si>
  <si>
    <t>PaintsPreMadeWood</t>
  </si>
  <si>
    <t>PaintsPreMadeWoodIn</t>
  </si>
  <si>
    <t>PaintsPreMadeWoodOut</t>
  </si>
  <si>
    <t>PelletConversio</t>
  </si>
  <si>
    <t>PelletLossIndustrial</t>
  </si>
  <si>
    <t>PelletTransportLossesL</t>
  </si>
  <si>
    <t>PlantProtection</t>
  </si>
  <si>
    <t>PlasterDiy</t>
  </si>
  <si>
    <t>PlasterDiyIn</t>
  </si>
  <si>
    <t>PlasterDiyOut</t>
  </si>
  <si>
    <t>PlasterProf</t>
  </si>
  <si>
    <t>PlasterProfIn</t>
  </si>
  <si>
    <t>PlasterProfOut</t>
  </si>
  <si>
    <t>PlasticProduct</t>
  </si>
  <si>
    <t>Rinsing paint brushes emission</t>
  </si>
  <si>
    <t>RinsingBrushes</t>
  </si>
  <si>
    <t>RoadCleaning</t>
  </si>
  <si>
    <t>RoadRunoff</t>
  </si>
  <si>
    <t>RoadSideSoilMicro</t>
  </si>
  <si>
    <t>RuralRoads</t>
  </si>
  <si>
    <t>SanitaryPads</t>
  </si>
  <si>
    <t>SeaWaterMicro</t>
  </si>
  <si>
    <t>SeedCoating</t>
  </si>
  <si>
    <t>ShipProf</t>
  </si>
  <si>
    <t>ShipDiy</t>
  </si>
  <si>
    <t>TechHomeTextiles</t>
  </si>
  <si>
    <t>TextileCoating</t>
  </si>
  <si>
    <t>PelletTransport</t>
  </si>
  <si>
    <t>TyreWear</t>
  </si>
  <si>
    <t>UrbanRoads</t>
  </si>
  <si>
    <t>WallDiy</t>
  </si>
  <si>
    <t>WallDiyIn</t>
  </si>
  <si>
    <t>WallApplDiy</t>
  </si>
  <si>
    <t>WallBrushDiy</t>
  </si>
  <si>
    <t>WallDiyOut</t>
  </si>
  <si>
    <t>WallProf</t>
  </si>
  <si>
    <t>WallProfIn</t>
  </si>
  <si>
    <t>WallProfOut</t>
  </si>
  <si>
    <t>Weathering indoor paint emission</t>
  </si>
  <si>
    <t>WeatheringIndoorPaint</t>
  </si>
  <si>
    <t>Weathering outdoor paint emission</t>
  </si>
  <si>
    <t>WeatheringOutdoorPaint</t>
  </si>
  <si>
    <t>Weathering ship paint (prof) emission</t>
  </si>
  <si>
    <t>WeatheringShipPaintProf</t>
  </si>
  <si>
    <t>Weathering Ship paint (recr) emission</t>
  </si>
  <si>
    <t>WeatheringShipPaintDiy</t>
  </si>
  <si>
    <t>WoodDiy</t>
  </si>
  <si>
    <t>WoodDiyIn</t>
  </si>
  <si>
    <t>WoodDiyOut</t>
  </si>
  <si>
    <t>WoodProf</t>
  </si>
  <si>
    <t>WoodProfIn</t>
  </si>
  <si>
    <t>WoodProfOut</t>
  </si>
  <si>
    <t>AgriculturalWasteCollectionMicro</t>
  </si>
  <si>
    <t>TextileRecycling</t>
  </si>
  <si>
    <t>Input compartments</t>
  </si>
  <si>
    <t>All types of compartiments</t>
  </si>
  <si>
    <t>Also in NL inputs?</t>
  </si>
  <si>
    <t>Also in EU input?</t>
  </si>
  <si>
    <t>TC from</t>
  </si>
  <si>
    <r>
      <t xml:space="preserve">Do microplastics also flow </t>
    </r>
    <r>
      <rPr>
        <b/>
        <u/>
        <sz val="11"/>
        <color theme="1"/>
        <rFont val="Calibri"/>
        <family val="2"/>
        <scheme val="minor"/>
      </rPr>
      <t>to</t>
    </r>
    <r>
      <rPr>
        <b/>
        <sz val="11"/>
        <color theme="1"/>
        <rFont val="Calibri"/>
        <family val="2"/>
        <scheme val="minor"/>
      </rPr>
      <t xml:space="preserve"> this comparment (from another compartment)? If yes: OK. If not: this compartment is an input or data is missing.</t>
    </r>
  </si>
  <si>
    <t>TC to</t>
  </si>
  <si>
    <r>
      <t xml:space="preserve">Do microplastics also flow </t>
    </r>
    <r>
      <rPr>
        <b/>
        <u/>
        <sz val="11"/>
        <color theme="1"/>
        <rFont val="Calibri"/>
        <family val="2"/>
        <scheme val="minor"/>
      </rPr>
      <t>from</t>
    </r>
    <r>
      <rPr>
        <b/>
        <sz val="11"/>
        <color theme="1"/>
        <rFont val="Calibri"/>
        <family val="2"/>
        <scheme val="minor"/>
      </rPr>
      <t xml:space="preserve"> this comparment (to another compartment)? If yes: OK. If not: then this compartment is a sink or data is missing.</t>
    </r>
  </si>
  <si>
    <t>Lifetime Category</t>
  </si>
  <si>
    <t>Lifetime sheet collumn names (lifetime categories)</t>
  </si>
  <si>
    <t>Check if exists in Lifetime_pairs, if missing check or clean up lifetimes sheet</t>
  </si>
  <si>
    <t>Code for links to lifetimes header row</t>
  </si>
  <si>
    <t>kkqLifetimes!B1</t>
  </si>
  <si>
    <t>kkqLifetimes!C1</t>
  </si>
  <si>
    <t>kkqLifetimes!D1</t>
  </si>
  <si>
    <t>kkqLifetimes!E1</t>
  </si>
  <si>
    <t>kkqLifetimes!F1</t>
  </si>
  <si>
    <t>kkqLifetimes!G1</t>
  </si>
  <si>
    <t>kkqLifetimes!H1</t>
  </si>
  <si>
    <t>kkqLifetimes!I1</t>
  </si>
  <si>
    <t>kkqLifetimes!J1</t>
  </si>
  <si>
    <t>kkqLifetimes!K1</t>
  </si>
  <si>
    <t>kkqLifetimes!L1</t>
  </si>
  <si>
    <t>kkqLifetimes!M1</t>
  </si>
  <si>
    <t>kkqLifetimes!N1</t>
  </si>
  <si>
    <t>kkqLifetimes!O1</t>
  </si>
  <si>
    <t>kkqLifetimes!P1</t>
  </si>
  <si>
    <t>kkqLifetimes!Q1</t>
  </si>
  <si>
    <t>kkqLifetimes!R1</t>
  </si>
  <si>
    <t>kkqLifetimes!S1</t>
  </si>
  <si>
    <t>kkqLifetimes!T1</t>
  </si>
  <si>
    <t>kkqLifetimes!U1</t>
  </si>
  <si>
    <t>kkqLifetimes!V1</t>
  </si>
  <si>
    <t>z</t>
  </si>
  <si>
    <t>kkqLifetimes!W1</t>
  </si>
  <si>
    <t>kkqLifetimes!X1</t>
  </si>
  <si>
    <t>kkqLifetimes!Y1</t>
  </si>
  <si>
    <t>kkqLifetimes!Z1</t>
  </si>
  <si>
    <t>kkqLifetimes!AA1</t>
  </si>
  <si>
    <t>kkqLifetimes!AB1</t>
  </si>
  <si>
    <t>kkqLifetimes!AC1</t>
  </si>
  <si>
    <t>kkqLifetimes!AD1</t>
  </si>
  <si>
    <t>kkqLifetimes!AE1</t>
  </si>
  <si>
    <t>kkqLifetimes!AF1</t>
  </si>
  <si>
    <t>kkqLifetimes!AG1</t>
  </si>
  <si>
    <t>kkqLifetimes!AH1</t>
  </si>
  <si>
    <t>kkqLifetimes!AI1</t>
  </si>
  <si>
    <t>kkqLifetimes!AJ1</t>
  </si>
  <si>
    <t>kkqLifetimes!AK1</t>
  </si>
  <si>
    <t>kkqLifetimes!AL1</t>
  </si>
  <si>
    <t>kkqLifetimes!AM1</t>
  </si>
  <si>
    <t>kkqLifetimes!AN1</t>
  </si>
  <si>
    <t>kkqLifetimes!AO1</t>
  </si>
  <si>
    <t>kkqLifetimes!AP1</t>
  </si>
  <si>
    <t>kkqLifetimes!AQ1</t>
  </si>
  <si>
    <t>kkqLifetimes!AR1</t>
  </si>
  <si>
    <t>kkqLifetimes!AS1</t>
  </si>
  <si>
    <t>kkqLifetimes!AT1</t>
  </si>
  <si>
    <t>kkqLifetimes!AU1</t>
  </si>
  <si>
    <t>kkqLifetimes!AV1</t>
  </si>
  <si>
    <t>kkqLifetimes!AW1</t>
  </si>
  <si>
    <t>kkqLifetimes!AX1</t>
  </si>
  <si>
    <t>kkqLifetimes!AY1</t>
  </si>
  <si>
    <t>kkqLifetimes!AZ1</t>
  </si>
  <si>
    <t>kkqLifetimes!BA1</t>
  </si>
  <si>
    <t>kkqLifetimes!BB1</t>
  </si>
  <si>
    <t>kkqLifetimes!BC1</t>
  </si>
  <si>
    <t>kkqLifetimes!BD1</t>
  </si>
  <si>
    <t>kkqLifetimes!BE1</t>
  </si>
  <si>
    <t>kkqLifetimes!BF1</t>
  </si>
  <si>
    <t>kkqLifetimes!BG1</t>
  </si>
  <si>
    <t>kkqLifetimes!BH1</t>
  </si>
  <si>
    <t>kkqLifetimes!BI1</t>
  </si>
  <si>
    <t>kkqLifetimes!BJ1</t>
  </si>
  <si>
    <t>kkqLifetimes!BK1</t>
  </si>
  <si>
    <t>kkqLifetimes!BL1</t>
  </si>
  <si>
    <t>kkqLifetimes!BM1</t>
  </si>
  <si>
    <t>kkqLifetimes!BN1</t>
  </si>
  <si>
    <t>kkqLifetimes!BO1</t>
  </si>
  <si>
    <t>kkqLifetimes!BP1</t>
  </si>
  <si>
    <t>kkqLifetimes!BQ1</t>
  </si>
  <si>
    <t>kkqLifetimes!BR1</t>
  </si>
  <si>
    <t>kkqLifetimes!BS1</t>
  </si>
  <si>
    <t>kkqLifetimes!BT1</t>
  </si>
  <si>
    <t>kkqLifetimes!BU1</t>
  </si>
  <si>
    <t>kkqLifetimes!BV1</t>
  </si>
  <si>
    <t>kkqLifetimes!BW1</t>
  </si>
  <si>
    <t>kkqLifetimes!BX1</t>
  </si>
  <si>
    <t>kkqLifetimes!BY1</t>
  </si>
  <si>
    <t>kkqLifetimes!BZ1</t>
  </si>
  <si>
    <t>kkqLifetimes!CA1</t>
  </si>
  <si>
    <t>kkqLifetimes!CB1</t>
  </si>
  <si>
    <t>kkqLifetimes!CC1</t>
  </si>
  <si>
    <t>kkqLifetimes!CD1</t>
  </si>
  <si>
    <t>kkqLifetimes!CE1</t>
  </si>
  <si>
    <t>kkqLifetimes!CF1</t>
  </si>
  <si>
    <t>kkqLifetimes!CG1</t>
  </si>
  <si>
    <t>kkqLifetimes!CH1</t>
  </si>
  <si>
    <t>kkqLifetimes!CI1</t>
  </si>
  <si>
    <t>kkqLifetimes!CJ1</t>
  </si>
  <si>
    <t>kkqLifetimes!CK1</t>
  </si>
  <si>
    <t>kkqLifetimes!CL1</t>
  </si>
  <si>
    <t>kkqLifetimes!CM1</t>
  </si>
  <si>
    <t>kkqLifetimes!CN1</t>
  </si>
  <si>
    <t>kkqLifetimes!CO1</t>
  </si>
  <si>
    <t>kkqLifetimes!CP1</t>
  </si>
  <si>
    <t>kkqLifetimes!CQ1</t>
  </si>
  <si>
    <t>kkqLifetimes!CR1</t>
  </si>
  <si>
    <t>kkqLifetimes!CS1</t>
  </si>
  <si>
    <t>kkqLifetimes!CT1</t>
  </si>
  <si>
    <t>kkqLifetimes!CU1</t>
  </si>
  <si>
    <t>kkqLifetimes!CV1</t>
  </si>
  <si>
    <t>kkqLifetimes!CW1</t>
  </si>
  <si>
    <t>kkqLifetimes!CX1</t>
  </si>
  <si>
    <t>kkqLifetimes!CY1</t>
  </si>
  <si>
    <t>kkqLifetimes!CZ1</t>
  </si>
  <si>
    <t>kkqLifetimes!DA1</t>
  </si>
  <si>
    <t>kkqLifetimes!DB1</t>
  </si>
  <si>
    <t>kkqLifetimes!DC1</t>
  </si>
  <si>
    <t>kkqLifetimes!DD1</t>
  </si>
  <si>
    <t>kkqLifetimes!DE1</t>
  </si>
  <si>
    <t>kkqLifetimes!DF1</t>
  </si>
  <si>
    <t>kkqLifetimes!DG1</t>
  </si>
  <si>
    <t>kkqLifetimes!DH1</t>
  </si>
  <si>
    <t>kkqLifetimes!DI1</t>
  </si>
  <si>
    <t>kkqLifetimes!DJ1</t>
  </si>
  <si>
    <t>kkqLifetimes!DK1</t>
  </si>
  <si>
    <t>kkqLifetimes!DL1</t>
  </si>
  <si>
    <t>kkqLifetimes!DM1</t>
  </si>
  <si>
    <t>kkqLifetimes!DN1</t>
  </si>
  <si>
    <t>kkqLifetimes!DO1</t>
  </si>
  <si>
    <t>kkqLifetimes!DP1</t>
  </si>
  <si>
    <t>kkqLifetimes!DQ1</t>
  </si>
  <si>
    <t>kkqLifetimes!DR1</t>
  </si>
  <si>
    <t>kkqLifetimes!DS1</t>
  </si>
  <si>
    <t>kkqLifetimes!DT1</t>
  </si>
  <si>
    <t>kkqLifetimes!DU1</t>
  </si>
  <si>
    <t>kkqLifetimes!DV1</t>
  </si>
  <si>
    <t>kkqLifetimes!DW1</t>
  </si>
  <si>
    <t>kkqLifetimes!DX1</t>
  </si>
  <si>
    <t>kkqLifetimes!DY1</t>
  </si>
  <si>
    <t>kkqLifetimes!DZ1</t>
  </si>
  <si>
    <t>kkqLifetimes!EA1</t>
  </si>
  <si>
    <t>kkqLifetimes!EB1</t>
  </si>
  <si>
    <t>kkqLifetimes!EC1</t>
  </si>
  <si>
    <t>kkqLifetimes!ED1</t>
  </si>
  <si>
    <t>kkqLifetimes!EE1</t>
  </si>
  <si>
    <t>kkqLifetimes!EF1</t>
  </si>
  <si>
    <t>kkqLifetimes!EG1</t>
  </si>
  <si>
    <t>kkqLifetimes!EH1</t>
  </si>
  <si>
    <t>kkqLifetimes!EI1</t>
  </si>
  <si>
    <t>kkqLifetimes!EJ1</t>
  </si>
  <si>
    <t>kkqLifetimes!EK1</t>
  </si>
  <si>
    <t>kkqLifetimes!EL1</t>
  </si>
  <si>
    <t>kkqLifetimes!EM1</t>
  </si>
  <si>
    <t>kkqLifetimes!EN1</t>
  </si>
  <si>
    <t>kkqLifetimes!EO1</t>
  </si>
  <si>
    <t>kkqLifetimes!EP1</t>
  </si>
  <si>
    <t>kkqLifetimes!EQ1</t>
  </si>
  <si>
    <t>kkqLifetimes!ER1</t>
  </si>
  <si>
    <t>kkqLifetimes!ES1</t>
  </si>
  <si>
    <t>kkqLifetimes!ET1</t>
  </si>
  <si>
    <t>kkqLifetimes!EU1</t>
  </si>
  <si>
    <t>kkqLifetimes!EV1</t>
  </si>
  <si>
    <t>kkqLifetimes!EW1</t>
  </si>
  <si>
    <t>kkqLifetimes!EX1</t>
  </si>
  <si>
    <t>kkqLifetimes!EY1</t>
  </si>
  <si>
    <t>kkqLifetimes!EZ1</t>
  </si>
  <si>
    <t>kkqLifetimes!FA1</t>
  </si>
  <si>
    <t>kkqLifetimes!FB1</t>
  </si>
  <si>
    <t>kkqLifetimes!FC1</t>
  </si>
  <si>
    <t>kkqLifetimes!FD1</t>
  </si>
  <si>
    <t>kkqLifetimes!FE1</t>
  </si>
  <si>
    <t>kkqLifetimes!FF1</t>
  </si>
  <si>
    <t>kkqLifetimes!FG1</t>
  </si>
  <si>
    <t>kkqLifetimes!FH1</t>
  </si>
  <si>
    <t>kkqLifetimes!FI1</t>
  </si>
  <si>
    <t>kkqLifetimes!FJ1</t>
  </si>
  <si>
    <t>kkqLifetimes!FK1</t>
  </si>
  <si>
    <t>kkqLifetimes!FL1</t>
  </si>
  <si>
    <t>kkqLifetimes!FM1</t>
  </si>
  <si>
    <t>kkqLifetimes!FN1</t>
  </si>
  <si>
    <t>kkqLifetimes!FO1</t>
  </si>
  <si>
    <t>kkqLifetimes!FP1</t>
  </si>
  <si>
    <t>kkqLifetimes!FQ1</t>
  </si>
  <si>
    <t>kkqLifetimes!FR1</t>
  </si>
  <si>
    <t>kkqLifetimes!FS1</t>
  </si>
  <si>
    <t>kkqLifetimes!FT1</t>
  </si>
  <si>
    <t>kkqLifetimes!FU1</t>
  </si>
  <si>
    <t>kkqLifetimes!FV1</t>
  </si>
  <si>
    <t>kkqLifetimes!FW1</t>
  </si>
  <si>
    <t>kkqLifetimes!FX1</t>
  </si>
  <si>
    <t>kkqLifetimes!FY1</t>
  </si>
  <si>
    <t>kkqLifetimes!FZ1</t>
  </si>
  <si>
    <t>kkqLifetimes!GA1</t>
  </si>
  <si>
    <t>kkqLifetimes!GB1</t>
  </si>
  <si>
    <t>kkqLifetimes!GC1</t>
  </si>
  <si>
    <t>kkqLifetimes!GD1</t>
  </si>
  <si>
    <t>kkqLifetimes!GE1</t>
  </si>
  <si>
    <t>kkqLifetimes!GF1</t>
  </si>
  <si>
    <t>kkqLifetimes!GG1</t>
  </si>
  <si>
    <t>kkqLifetimes!GH1</t>
  </si>
  <si>
    <t>kkqLifetimes!GI1</t>
  </si>
  <si>
    <t>kkqLifetimes!GJ1</t>
  </si>
  <si>
    <t>kkqLifetimes!GK1</t>
  </si>
  <si>
    <t>kkqLifetimes!GL1</t>
  </si>
  <si>
    <t>kkqLifetimes!GM1</t>
  </si>
  <si>
    <t>kkqLifetimes!GN1</t>
  </si>
  <si>
    <t>kkqLifetimes!GO1</t>
  </si>
  <si>
    <t>kkqLifetimes!GP1</t>
  </si>
  <si>
    <t>kkqLifetimes!GQ1</t>
  </si>
  <si>
    <t>kkqLifetimes!GR1</t>
  </si>
  <si>
    <t>kkqLifetimes!GS1</t>
  </si>
  <si>
    <t>kkqLifetimes!GT1</t>
  </si>
  <si>
    <t>kkqLifetimes!GU1</t>
  </si>
  <si>
    <t>kkqLifetimes!GV1</t>
  </si>
  <si>
    <t>kkqLifetimes!GW1</t>
  </si>
  <si>
    <t>kkqLifetimes!GX1</t>
  </si>
  <si>
    <t>kkqLifetimes!GY1</t>
  </si>
  <si>
    <t>kkqLifetimes!GZ1</t>
  </si>
  <si>
    <t>Apparel accessories</t>
  </si>
  <si>
    <t>https://eeb.org/library/draft-product-environmental-footprint-category-rules-pefcr-apparel-and-footwear/</t>
  </si>
  <si>
    <t>Dresses, skirts and jumpsuits</t>
  </si>
  <si>
    <t>Jackets &amp; coats</t>
  </si>
  <si>
    <t>Leggings, stockings, tights and socks</t>
  </si>
  <si>
    <t>Pants &amp; shorts</t>
  </si>
  <si>
    <t>Shirts &amp; blouses</t>
  </si>
  <si>
    <t>Sweaters &amp; midlayers</t>
  </si>
  <si>
    <t>Swimwear</t>
  </si>
  <si>
    <t>T-shirts</t>
  </si>
  <si>
    <t>Underwear</t>
  </si>
  <si>
    <t>Boots</t>
  </si>
  <si>
    <t>Closed-toed shoes</t>
  </si>
  <si>
    <t>Open-toed shoes</t>
  </si>
  <si>
    <t>Clothing manufacturing</t>
  </si>
  <si>
    <t>Fibre production (EU)</t>
  </si>
  <si>
    <t>Fibre production (outside EU)</t>
  </si>
  <si>
    <t>Pre-consumer textile recycling</t>
  </si>
  <si>
    <t>https://ec.europa.eu/eurostat/databrowser/view/DS-056120__custom_15192557/default/table?lang=en</t>
  </si>
  <si>
    <t>TCs calculated for 2022 (most recent year with complete data)</t>
  </si>
  <si>
    <t>Clothing consumption</t>
  </si>
  <si>
    <t>New compartments</t>
  </si>
  <si>
    <t>Burkhardt, Michael, Alexander Englert, Rico Iten, and Sandro Schärer, Entsorgung Nanosilberhaltiger Abfälle in Der Textilindustrie - Massenflüsse Und Behandlungsverfahren, 2011</t>
  </si>
  <si>
    <t>Years</t>
  </si>
  <si>
    <t>Combined from Fair claims guide and Laitala et al. (2018)</t>
  </si>
  <si>
    <t>Draft Product Environmental Footprint Category Rules (PEFCR) Apparel and Footwear, 2021</t>
  </si>
  <si>
    <t>New input compartment</t>
  </si>
  <si>
    <t>Post-consumer textile recycling</t>
  </si>
  <si>
    <t>Previously "Textile recycling"</t>
  </si>
  <si>
    <t>Import_kt</t>
  </si>
  <si>
    <t>Production_kt</t>
  </si>
  <si>
    <t>Export_kt</t>
  </si>
  <si>
    <t>production_fraction</t>
  </si>
  <si>
    <t>Import_from_EU</t>
  </si>
  <si>
    <t>Import_from_outside_EU</t>
  </si>
  <si>
    <t>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</si>
</sst>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64" formatCode="_ &quot;Fr.&quot;\ * #,##0.00_ ;_ &quot;Fr.&quot;\ * \-#,##0.00_ ;_ &quot;Fr.&quot;\ * &quot;-&quot;??_ ;_ @_ "/>
    <numFmt numFmtId="165" formatCode="0.000"/>
    <numFmt numFmtId="166" formatCode="0.0000"/>
    <numFmt numFmtId="167" formatCode="0.000000"/>
    <numFmt numFmtId="168" formatCode="0.00000000000000"/>
    <numFmt numFmtId="169" formatCode="0.00000"/>
    <numFmt numFmtId="170" formatCode="0.0%"/>
    <numFmt numFmtId="171" formatCode="0.0000000"/>
    <numFmt numFmtId="172" formatCode="0.00000000000"/>
    <numFmt numFmtId="173" formatCode="0.0"/>
    <numFmt numFmtId="174" formatCode="0.000000000"/>
  </numFmts>
  <fonts count="71">
    <font>
      <sz val="11"/>
      <color theme="1"/>
      <name val="Calibri"/>
      <family val="2"/>
      <scheme val="minor"/>
    </font>
    <font>
      <sz val="10"/>
      <color theme="1"/>
      <name val="Segoe UI"/>
      <family val="2"/>
    </font>
    <font>
      <sz val="10"/>
      <color theme="1"/>
      <name val="Segoe UI"/>
      <family val="2"/>
    </font>
    <font>
      <sz val="10"/>
      <color theme="1"/>
      <name val="Segoe UI"/>
      <family val="2"/>
    </font>
    <font>
      <sz val="10"/>
      <color theme="1"/>
      <name val="Segoe UI"/>
      <family val="2"/>
    </font>
    <font>
      <b/>
      <sz val="11"/>
      <color theme="1"/>
      <name val="Calibri"/>
      <family val="2"/>
      <scheme val="minor"/>
    </font>
    <font>
      <b/>
      <sz val="11"/>
      <name val="Calibri"/>
      <family val="2"/>
      <scheme val="minor"/>
    </font>
    <font>
      <sz val="11"/>
      <name val="Calibri"/>
      <family val="2"/>
      <scheme val="minor"/>
    </font>
    <font>
      <i/>
      <sz val="11"/>
      <color theme="0" tint="-0.499984740745262"/>
      <name val="Calibri"/>
      <family val="2"/>
      <scheme val="minor"/>
    </font>
    <font>
      <i/>
      <sz val="11"/>
      <color theme="1" tint="0.499984740745262"/>
      <name val="Calibri"/>
      <family val="2"/>
      <scheme val="minor"/>
    </font>
    <font>
      <i/>
      <sz val="11"/>
      <color theme="1"/>
      <name val="Calibri"/>
      <family val="2"/>
      <scheme val="minor"/>
    </font>
    <font>
      <sz val="11"/>
      <name val="Arial"/>
      <family val="2"/>
    </font>
    <font>
      <sz val="11"/>
      <color indexed="8"/>
      <name val="Calibri"/>
      <family val="2"/>
      <scheme val="minor"/>
    </font>
    <font>
      <sz val="14"/>
      <color theme="1"/>
      <name val="Calibri"/>
      <family val="2"/>
      <scheme val="minor"/>
    </font>
    <font>
      <sz val="11"/>
      <color theme="1"/>
      <name val="Calibri"/>
      <family val="2"/>
      <scheme val="minor"/>
    </font>
    <font>
      <sz val="11"/>
      <color theme="0"/>
      <name val="Calibri"/>
      <family val="2"/>
      <scheme val="minor"/>
    </font>
    <font>
      <b/>
      <sz val="22"/>
      <color theme="1" tint="0.34998626667073579"/>
      <name val="Cambria"/>
      <family val="2"/>
      <scheme val="major"/>
    </font>
    <font>
      <b/>
      <sz val="11"/>
      <color theme="0"/>
      <name val="Calibri"/>
      <family val="2"/>
      <scheme val="minor"/>
    </font>
    <font>
      <sz val="11"/>
      <color rgb="FFFF0000"/>
      <name val="Calibri"/>
      <family val="2"/>
      <scheme val="minor"/>
    </font>
    <font>
      <u/>
      <sz val="11"/>
      <color theme="10"/>
      <name val="Calibri"/>
      <family val="2"/>
      <scheme val="minor"/>
    </font>
    <font>
      <sz val="10"/>
      <color rgb="FF3F3F76"/>
      <name val="Times New Roman"/>
      <family val="2"/>
    </font>
    <font>
      <sz val="10"/>
      <color rgb="FF9C0006"/>
      <name val="Times New Roman"/>
      <family val="2"/>
    </font>
    <font>
      <sz val="8"/>
      <name val="Calibri"/>
      <family val="2"/>
      <scheme val="minor"/>
    </font>
    <font>
      <sz val="11"/>
      <color rgb="FF3F3F76"/>
      <name val="Calibri"/>
      <family val="2"/>
      <scheme val="minor"/>
    </font>
    <font>
      <b/>
      <sz val="11"/>
      <color theme="3"/>
      <name val="Calibri"/>
      <family val="2"/>
      <scheme val="minor"/>
    </font>
    <font>
      <b/>
      <i/>
      <sz val="11"/>
      <name val="Calibri"/>
      <family val="2"/>
      <scheme val="minor"/>
    </font>
    <font>
      <sz val="11"/>
      <color theme="1" tint="0.499984740745262"/>
      <name val="Calibri"/>
      <family val="2"/>
      <scheme val="minor"/>
    </font>
    <font>
      <sz val="11"/>
      <color rgb="FF000000"/>
      <name val="Calibri"/>
      <family val="2"/>
      <scheme val="minor"/>
    </font>
    <font>
      <u/>
      <sz val="11"/>
      <color theme="1"/>
      <name val="Calibri"/>
      <family val="2"/>
      <scheme val="minor"/>
    </font>
    <font>
      <sz val="11"/>
      <color rgb="FF222222"/>
      <name val="Calibri"/>
      <family val="2"/>
      <scheme val="minor"/>
    </font>
    <font>
      <b/>
      <u/>
      <sz val="11"/>
      <color theme="1"/>
      <name val="Calibri"/>
      <family val="2"/>
      <scheme val="minor"/>
    </font>
    <font>
      <b/>
      <sz val="12"/>
      <color rgb="FF000000"/>
      <name val="Calibri"/>
      <family val="2"/>
      <scheme val="minor"/>
    </font>
    <font>
      <b/>
      <sz val="14"/>
      <color theme="0"/>
      <name val="Calibri"/>
      <family val="2"/>
      <scheme val="minor"/>
    </font>
    <font>
      <b/>
      <sz val="14"/>
      <color theme="1"/>
      <name val="Calibri"/>
      <family val="2"/>
      <scheme val="minor"/>
    </font>
    <font>
      <u/>
      <sz val="11"/>
      <name val="Calibri"/>
      <family val="2"/>
      <scheme val="minor"/>
    </font>
    <font>
      <sz val="11"/>
      <color rgb="FF0066FF"/>
      <name val="Calibri"/>
      <family val="2"/>
      <scheme val="minor"/>
    </font>
    <font>
      <sz val="11"/>
      <color rgb="FF006100"/>
      <name val="Calibri"/>
      <family val="2"/>
      <scheme val="minor"/>
    </font>
    <font>
      <b/>
      <sz val="11"/>
      <color rgb="FFFF0000"/>
      <name val="Calibri"/>
      <family val="2"/>
      <scheme val="minor"/>
    </font>
    <font>
      <u/>
      <sz val="11"/>
      <color rgb="FFFF0000"/>
      <name val="Calibri"/>
      <family val="2"/>
      <scheme val="minor"/>
    </font>
    <font>
      <b/>
      <sz val="9"/>
      <name val="Arial"/>
      <family val="2"/>
    </font>
    <font>
      <sz val="9"/>
      <name val="Arial"/>
      <family val="2"/>
    </font>
    <font>
      <b/>
      <sz val="9"/>
      <color indexed="9"/>
      <name val="Arial"/>
      <family val="2"/>
    </font>
    <font>
      <sz val="10"/>
      <color rgb="FF000000"/>
      <name val="Arial"/>
      <family val="2"/>
    </font>
    <font>
      <b/>
      <sz val="11"/>
      <color rgb="FFFFFFFF"/>
      <name val="Calibri"/>
      <family val="2"/>
      <scheme val="minor"/>
    </font>
    <font>
      <sz val="11"/>
      <color rgb="FFFFFFFF"/>
      <name val="Calibri"/>
      <family val="2"/>
      <scheme val="minor"/>
    </font>
    <font>
      <b/>
      <sz val="20"/>
      <color theme="0"/>
      <name val="Calibri"/>
      <family val="2"/>
      <scheme val="minor"/>
    </font>
    <font>
      <sz val="11"/>
      <color rgb="FF9C0006"/>
      <name val="Calibri"/>
      <family val="2"/>
      <scheme val="minor"/>
    </font>
    <font>
      <b/>
      <sz val="11"/>
      <color rgb="FFC00000"/>
      <name val="Calibri"/>
      <family val="2"/>
      <scheme val="minor"/>
    </font>
    <font>
      <b/>
      <sz val="11"/>
      <color rgb="FFFF6600"/>
      <name val="Calibri"/>
      <family val="2"/>
      <scheme val="minor"/>
    </font>
    <font>
      <sz val="11"/>
      <color rgb="FF000000"/>
      <name val="Calibri"/>
      <family val="3"/>
      <charset val="134"/>
      <scheme val="minor"/>
    </font>
    <font>
      <b/>
      <sz val="11"/>
      <color rgb="FFFFC000"/>
      <name val="Calibri"/>
      <family val="2"/>
      <scheme val="minor"/>
    </font>
    <font>
      <b/>
      <sz val="11"/>
      <color rgb="FF92D050"/>
      <name val="Calibri"/>
      <family val="2"/>
      <scheme val="minor"/>
    </font>
    <font>
      <b/>
      <sz val="11"/>
      <color rgb="FF00B050"/>
      <name val="Calibri"/>
      <family val="2"/>
      <scheme val="minor"/>
    </font>
    <font>
      <sz val="11"/>
      <color theme="8"/>
      <name val="Calibri"/>
      <family val="2"/>
      <scheme val="minor"/>
    </font>
    <font>
      <sz val="11"/>
      <color theme="1"/>
      <name val="Calibri"/>
      <family val="2"/>
    </font>
    <font>
      <b/>
      <sz val="11"/>
      <color rgb="FFFFFFFF"/>
      <name val="Calibri"/>
      <family val="2"/>
    </font>
    <font>
      <sz val="11"/>
      <color theme="1"/>
      <name val="Calibri"/>
      <family val="2"/>
    </font>
    <font>
      <i/>
      <sz val="11"/>
      <name val="Calibri"/>
      <family val="2"/>
      <scheme val="minor"/>
    </font>
    <font>
      <b/>
      <sz val="11"/>
      <color rgb="FF000000"/>
      <name val="Calibri"/>
      <family val="2"/>
    </font>
    <font>
      <i/>
      <sz val="11"/>
      <color rgb="FF000000"/>
      <name val="Calibri"/>
      <family val="2"/>
    </font>
    <font>
      <u/>
      <sz val="11"/>
      <color rgb="FF0563C1"/>
      <name val="Calibri"/>
      <family val="2"/>
    </font>
    <font>
      <b/>
      <sz val="11"/>
      <color theme="1"/>
      <name val="Calibri"/>
      <family val="2"/>
    </font>
    <font>
      <i/>
      <sz val="8"/>
      <color rgb="FF222222"/>
      <name val="Arial"/>
      <family val="2"/>
    </font>
    <font>
      <sz val="8"/>
      <color rgb="FF222222"/>
      <name val="Arial"/>
      <family val="2"/>
    </font>
    <font>
      <sz val="11"/>
      <color rgb="FFFFFFFF"/>
      <name val="Courier New"/>
      <family val="3"/>
    </font>
    <font>
      <b/>
      <sz val="11"/>
      <name val="Calibri"/>
    </font>
    <font>
      <b/>
      <sz val="11"/>
      <name val="Calibri"/>
      <family val="2"/>
    </font>
    <font>
      <b/>
      <sz val="10"/>
      <name val="Segoe UI"/>
      <family val="2"/>
    </font>
    <font>
      <sz val="20"/>
      <color theme="0"/>
      <name val="Calibri"/>
      <family val="2"/>
      <scheme val="minor"/>
    </font>
    <font>
      <sz val="20"/>
      <color theme="1"/>
      <name val="Calibri"/>
      <family val="2"/>
      <scheme val="minor"/>
    </font>
    <font>
      <b/>
      <sz val="16"/>
      <color theme="0"/>
      <name val="Calibri"/>
      <family val="2"/>
      <scheme val="minor"/>
    </font>
  </fonts>
  <fills count="60">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rgb="FF3FCDFF"/>
        <bgColor indexed="64"/>
      </patternFill>
    </fill>
    <fill>
      <patternFill patternType="solid">
        <fgColor theme="0" tint="-0.14999847407452621"/>
        <bgColor indexed="64"/>
      </patternFill>
    </fill>
    <fill>
      <patternFill patternType="solid">
        <fgColor rgb="FFFF0000"/>
        <bgColor indexed="64"/>
      </patternFill>
    </fill>
    <fill>
      <patternFill patternType="solid">
        <fgColor rgb="FF00B0F0"/>
        <bgColor indexed="64"/>
      </patternFill>
    </fill>
    <fill>
      <patternFill patternType="solid">
        <fgColor rgb="FFFFC7CE"/>
      </patternFill>
    </fill>
    <fill>
      <patternFill patternType="solid">
        <fgColor rgb="FFFFCC99"/>
      </patternFill>
    </fill>
    <fill>
      <patternFill patternType="solid">
        <fgColor theme="5" tint="0.79998168889431442"/>
        <bgColor indexed="65"/>
      </patternFill>
    </fill>
    <fill>
      <patternFill patternType="solid">
        <fgColor theme="6"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8" tint="0.79998168889431442"/>
        <bgColor indexed="64"/>
      </patternFill>
    </fill>
    <fill>
      <patternFill patternType="solid">
        <fgColor theme="8" tint="0.39997558519241921"/>
        <bgColor indexed="64"/>
      </patternFill>
    </fill>
    <fill>
      <patternFill patternType="solid">
        <fgColor rgb="FF339933"/>
        <bgColor indexed="64"/>
      </patternFill>
    </fill>
    <fill>
      <patternFill patternType="solid">
        <fgColor rgb="FFD8EEC0"/>
        <bgColor indexed="64"/>
      </patternFill>
    </fill>
    <fill>
      <patternFill patternType="solid">
        <fgColor theme="7"/>
        <bgColor indexed="64"/>
      </patternFill>
    </fill>
    <fill>
      <patternFill patternType="solid">
        <fgColor theme="7" tint="0.79998168889431442"/>
        <bgColor indexed="64"/>
      </patternFill>
    </fill>
    <fill>
      <patternFill patternType="solid">
        <fgColor theme="1"/>
        <bgColor indexed="64"/>
      </patternFill>
    </fill>
    <fill>
      <patternFill patternType="solid">
        <fgColor rgb="FFE961AB"/>
        <bgColor indexed="64"/>
      </patternFill>
    </fill>
    <fill>
      <patternFill patternType="solid">
        <fgColor rgb="FFF19DCB"/>
        <bgColor indexed="64"/>
      </patternFill>
    </fill>
    <fill>
      <patternFill patternType="solid">
        <fgColor theme="6" tint="0.79998168889431442"/>
        <bgColor indexed="64"/>
      </patternFill>
    </fill>
    <fill>
      <patternFill patternType="solid">
        <fgColor theme="0"/>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8"/>
        <bgColor indexed="64"/>
      </patternFill>
    </fill>
    <fill>
      <patternFill patternType="solid">
        <fgColor rgb="FFFFFF00"/>
        <bgColor indexed="64"/>
      </patternFill>
    </fill>
    <fill>
      <patternFill patternType="solid">
        <fgColor theme="9"/>
        <bgColor indexed="64"/>
      </patternFill>
    </fill>
    <fill>
      <patternFill patternType="solid">
        <fgColor rgb="FFC6EFCE"/>
      </patternFill>
    </fill>
    <fill>
      <patternFill patternType="solid">
        <fgColor rgb="FF4669AF"/>
      </patternFill>
    </fill>
    <fill>
      <patternFill patternType="solid">
        <fgColor rgb="FF0096DC"/>
      </patternFill>
    </fill>
    <fill>
      <patternFill patternType="solid">
        <fgColor rgb="FFDCE6F1"/>
      </patternFill>
    </fill>
    <fill>
      <patternFill patternType="mediumGray">
        <bgColor indexed="22"/>
      </patternFill>
    </fill>
    <fill>
      <patternFill patternType="solid">
        <fgColor rgb="FFF6F6F6"/>
      </patternFill>
    </fill>
    <fill>
      <patternFill patternType="solid">
        <fgColor theme="5" tint="0.39997558519241921"/>
        <bgColor indexed="65"/>
      </patternFill>
    </fill>
    <fill>
      <patternFill patternType="solid">
        <fgColor theme="7" tint="0.39997558519241921"/>
        <bgColor indexed="65"/>
      </patternFill>
    </fill>
    <fill>
      <patternFill patternType="solid">
        <fgColor rgb="FF00B050"/>
        <bgColor indexed="64"/>
      </patternFill>
    </fill>
    <fill>
      <patternFill patternType="solid">
        <fgColor rgb="FF1F497D"/>
        <bgColor rgb="FF000000"/>
      </patternFill>
    </fill>
    <fill>
      <patternFill patternType="solid">
        <fgColor rgb="FFC5D9F1"/>
        <bgColor rgb="FF000000"/>
      </patternFill>
    </fill>
    <fill>
      <patternFill patternType="solid">
        <fgColor theme="4"/>
      </patternFill>
    </fill>
    <fill>
      <patternFill patternType="solid">
        <fgColor theme="2" tint="-9.9978637043366805E-2"/>
        <bgColor indexed="64"/>
      </patternFill>
    </fill>
    <fill>
      <patternFill patternType="solid">
        <fgColor theme="8"/>
        <bgColor theme="1"/>
      </patternFill>
    </fill>
    <fill>
      <patternFill patternType="solid">
        <fgColor theme="0"/>
        <bgColor theme="0" tint="-0.14999847407452621"/>
      </patternFill>
    </fill>
    <fill>
      <patternFill patternType="solid">
        <fgColor rgb="FFED7D31"/>
        <bgColor rgb="FF000000"/>
      </patternFill>
    </fill>
    <fill>
      <patternFill patternType="solid">
        <fgColor rgb="FF4472C4"/>
        <bgColor rgb="FF000000"/>
      </patternFill>
    </fill>
    <fill>
      <patternFill patternType="solid">
        <fgColor rgb="FFFCE4D6"/>
        <bgColor rgb="FF000000"/>
      </patternFill>
    </fill>
    <fill>
      <patternFill patternType="solid">
        <fgColor rgb="FFD9E1F2"/>
        <bgColor rgb="FF000000"/>
      </patternFill>
    </fill>
    <fill>
      <patternFill patternType="solid">
        <fgColor rgb="FF000000"/>
        <bgColor rgb="FF000000"/>
      </patternFill>
    </fill>
    <fill>
      <patternFill patternType="solid">
        <fgColor rgb="FFF2F2F2"/>
        <bgColor rgb="FF000000"/>
      </patternFill>
    </fill>
    <fill>
      <patternFill patternType="solid">
        <fgColor rgb="FFC5D9F1"/>
        <bgColor indexed="64"/>
      </patternFill>
    </fill>
    <fill>
      <patternFill patternType="solid">
        <fgColor theme="0" tint="-0.499984740745262"/>
        <bgColor indexed="64"/>
      </patternFill>
    </fill>
    <fill>
      <patternFill patternType="solid">
        <fgColor theme="3"/>
        <bgColor indexed="64"/>
      </patternFill>
    </fill>
    <fill>
      <patternFill patternType="solid">
        <fgColor theme="9" tint="-0.249977111117893"/>
        <bgColor indexed="64"/>
      </patternFill>
    </fill>
    <fill>
      <patternFill patternType="solid">
        <fgColor theme="4" tint="-0.249977111117893"/>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7" tint="0.59999389629810485"/>
        <bgColor indexed="65"/>
      </patternFill>
    </fill>
    <fill>
      <patternFill patternType="solid">
        <fgColor theme="0" tint="-0.249977111117893"/>
        <bgColor indexed="64"/>
      </patternFill>
    </fill>
  </fills>
  <borders count="85">
    <border>
      <left/>
      <right/>
      <top/>
      <bottom/>
      <diagonal/>
    </border>
    <border>
      <left style="medium">
        <color indexed="64"/>
      </left>
      <right style="medium">
        <color indexed="64"/>
      </right>
      <top/>
      <bottom/>
      <diagonal/>
    </border>
    <border>
      <left/>
      <right/>
      <top style="thin">
        <color indexed="64"/>
      </top>
      <bottom/>
      <diagonal/>
    </border>
    <border>
      <left/>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rgb="FF7F7F7F"/>
      </left>
      <right style="thin">
        <color rgb="FF7F7F7F"/>
      </right>
      <top style="thin">
        <color rgb="FF7F7F7F"/>
      </top>
      <bottom style="thin">
        <color rgb="FF7F7F7F"/>
      </bottom>
      <diagonal/>
    </border>
    <border>
      <left/>
      <right style="thin">
        <color indexed="64"/>
      </right>
      <top style="thin">
        <color indexed="64"/>
      </top>
      <bottom style="thin">
        <color indexed="64"/>
      </bottom>
      <diagonal/>
    </border>
    <border>
      <left/>
      <right/>
      <top/>
      <bottom style="medium">
        <color theme="4" tint="0.39997558519241921"/>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thin">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rgb="FFFF0000"/>
      </left>
      <right style="medium">
        <color rgb="FFFF0000"/>
      </right>
      <top style="thin">
        <color indexed="64"/>
      </top>
      <bottom style="thin">
        <color indexed="64"/>
      </bottom>
      <diagonal/>
    </border>
    <border>
      <left style="medium">
        <color rgb="FFFF0000"/>
      </left>
      <right style="medium">
        <color rgb="FFFF0000"/>
      </right>
      <top style="thin">
        <color indexed="64"/>
      </top>
      <bottom style="medium">
        <color rgb="FFFF0000"/>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diagonal/>
    </border>
    <border>
      <left style="thin">
        <color indexed="64"/>
      </left>
      <right/>
      <top style="medium">
        <color indexed="64"/>
      </top>
      <bottom style="medium">
        <color indexed="64"/>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rgb="FFB0B0B0"/>
      </left>
      <right style="thin">
        <color rgb="FFB0B0B0"/>
      </right>
      <top style="thin">
        <color rgb="FFB0B0B0"/>
      </top>
      <bottom style="thin">
        <color rgb="FFB0B0B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style="medium">
        <color indexed="64"/>
      </left>
      <right style="thin">
        <color indexed="64"/>
      </right>
      <top/>
      <bottom style="medium">
        <color indexed="64"/>
      </bottom>
      <diagonal/>
    </border>
    <border>
      <left/>
      <right style="thin">
        <color indexed="64"/>
      </right>
      <top style="medium">
        <color indexed="64"/>
      </top>
      <bottom style="medium">
        <color indexed="64"/>
      </bottom>
      <diagonal/>
    </border>
  </borders>
  <cellStyleXfs count="104">
    <xf numFmtId="0" fontId="0"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1" fillId="0" borderId="0"/>
    <xf numFmtId="164" fontId="1" fillId="0" borderId="0" applyFont="0" applyFill="0" applyBorder="0" applyAlignment="0" applyProtection="0"/>
    <xf numFmtId="0" fontId="11" fillId="0" borderId="0"/>
    <xf numFmtId="0" fontId="12" fillId="0" borderId="0"/>
    <xf numFmtId="0" fontId="13" fillId="0" borderId="0" applyNumberFormat="0" applyFill="0" applyAlignment="0" applyProtection="0"/>
    <xf numFmtId="0" fontId="15" fillId="0" borderId="0"/>
    <xf numFmtId="37" fontId="14" fillId="0" borderId="0" applyFont="0" applyFill="0" applyBorder="0" applyProtection="0">
      <alignment horizontal="center" vertical="center"/>
    </xf>
    <xf numFmtId="14" fontId="14" fillId="0" borderId="0" applyFont="0" applyFill="0" applyBorder="0">
      <alignment horizontal="center" vertical="center"/>
    </xf>
    <xf numFmtId="9" fontId="14" fillId="0" borderId="0" applyFont="0" applyFill="0" applyBorder="0" applyProtection="0">
      <alignment horizontal="center" vertical="center"/>
    </xf>
    <xf numFmtId="0" fontId="14" fillId="0" borderId="0" applyNumberFormat="0" applyFill="0" applyProtection="0">
      <alignment horizontal="right" vertical="center" indent="1"/>
    </xf>
    <xf numFmtId="0" fontId="16" fillId="0" borderId="0" applyNumberFormat="0" applyFill="0" applyBorder="0" applyAlignment="0" applyProtection="0"/>
    <xf numFmtId="0" fontId="19" fillId="0" borderId="0" applyNumberFormat="0" applyFill="0" applyBorder="0" applyAlignment="0" applyProtection="0"/>
    <xf numFmtId="0" fontId="20" fillId="9" borderId="12" applyNumberFormat="0" applyAlignment="0" applyProtection="0"/>
    <xf numFmtId="0" fontId="21" fillId="8" borderId="0" applyNumberFormat="0" applyBorder="0" applyAlignment="0" applyProtection="0"/>
    <xf numFmtId="0" fontId="23" fillId="9" borderId="12" applyNumberFormat="0" applyAlignment="0" applyProtection="0"/>
    <xf numFmtId="0" fontId="24" fillId="0" borderId="14" applyNumberFormat="0" applyFill="0" applyAlignment="0" applyProtection="0"/>
    <xf numFmtId="0" fontId="14" fillId="10" borderId="0" applyNumberFormat="0" applyBorder="0" applyAlignment="0" applyProtection="0"/>
    <xf numFmtId="0" fontId="14" fillId="11" borderId="0" applyNumberFormat="0" applyBorder="0" applyAlignment="0" applyProtection="0"/>
    <xf numFmtId="0" fontId="14" fillId="12" borderId="0" applyNumberFormat="0" applyBorder="0" applyAlignment="0" applyProtection="0"/>
    <xf numFmtId="0" fontId="14" fillId="13" borderId="0" applyNumberFormat="0" applyBorder="0" applyAlignment="0" applyProtection="0"/>
    <xf numFmtId="0" fontId="36" fillId="30" borderId="0" applyNumberFormat="0" applyBorder="0" applyAlignment="0" applyProtection="0"/>
    <xf numFmtId="9" fontId="14" fillId="0" borderId="0" applyFont="0" applyFill="0" applyBorder="0" applyAlignment="0" applyProtection="0"/>
    <xf numFmtId="0" fontId="14" fillId="36" borderId="0" applyNumberFormat="0" applyBorder="0" applyAlignment="0" applyProtection="0"/>
    <xf numFmtId="0" fontId="14" fillId="37" borderId="0" applyNumberFormat="0" applyBorder="0" applyAlignment="0" applyProtection="0"/>
    <xf numFmtId="0" fontId="15" fillId="41" borderId="0" applyNumberFormat="0" applyBorder="0" applyAlignment="0" applyProtection="0"/>
    <xf numFmtId="0" fontId="46" fillId="8" borderId="0" applyNumberFormat="0" applyBorder="0" applyAlignment="0" applyProtection="0"/>
    <xf numFmtId="0" fontId="53" fillId="0" borderId="36" applyNumberForma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58" borderId="0" applyNumberFormat="0" applyBorder="0" applyAlignment="0" applyProtection="0"/>
  </cellStyleXfs>
  <cellXfs count="1106">
    <xf numFmtId="0" fontId="0" fillId="0" borderId="0" xfId="0"/>
    <xf numFmtId="0" fontId="7" fillId="0" borderId="0" xfId="0" applyFont="1" applyAlignment="1">
      <alignment vertical="center"/>
    </xf>
    <xf numFmtId="0" fontId="0" fillId="0" borderId="0" xfId="0" applyAlignment="1">
      <alignment vertical="center"/>
    </xf>
    <xf numFmtId="0" fontId="0" fillId="0" borderId="0" xfId="0" applyAlignment="1">
      <alignment vertical="center" wrapText="1"/>
    </xf>
    <xf numFmtId="0" fontId="0" fillId="0" borderId="0" xfId="0" applyAlignment="1">
      <alignment wrapText="1"/>
    </xf>
    <xf numFmtId="0" fontId="5" fillId="0" borderId="0" xfId="0" applyFont="1" applyAlignment="1">
      <alignment horizontal="center" vertical="center"/>
    </xf>
    <xf numFmtId="0" fontId="0" fillId="0" borderId="0" xfId="0" applyAlignment="1">
      <alignment horizontal="left" vertical="center"/>
    </xf>
    <xf numFmtId="0" fontId="7" fillId="0" borderId="0" xfId="0" applyFont="1" applyAlignment="1">
      <alignment horizontal="left" vertical="center"/>
    </xf>
    <xf numFmtId="0" fontId="0" fillId="0" borderId="0" xfId="0" applyAlignment="1">
      <alignment horizontal="center" vertical="center"/>
    </xf>
    <xf numFmtId="0" fontId="7" fillId="0" borderId="9" xfId="0" applyFont="1" applyBorder="1" applyAlignment="1">
      <alignment horizontal="left" vertical="center"/>
    </xf>
    <xf numFmtId="0" fontId="7" fillId="0" borderId="9" xfId="0" applyFont="1" applyBorder="1" applyAlignment="1">
      <alignment vertical="center"/>
    </xf>
    <xf numFmtId="0" fontId="7" fillId="0" borderId="24" xfId="0" applyFont="1" applyBorder="1" applyAlignment="1">
      <alignment horizontal="left" vertical="center"/>
    </xf>
    <xf numFmtId="0" fontId="7" fillId="0" borderId="29" xfId="0" applyFont="1" applyBorder="1" applyAlignment="1">
      <alignment horizontal="left" vertical="center"/>
    </xf>
    <xf numFmtId="0" fontId="7" fillId="0" borderId="24" xfId="0" applyFont="1" applyBorder="1" applyAlignment="1">
      <alignment vertical="center"/>
    </xf>
    <xf numFmtId="0" fontId="7" fillId="0" borderId="29" xfId="0" applyFont="1" applyBorder="1" applyAlignment="1">
      <alignment vertical="center"/>
    </xf>
    <xf numFmtId="0" fontId="7" fillId="0" borderId="16" xfId="0" applyFont="1" applyBorder="1" applyAlignment="1">
      <alignment vertical="center"/>
    </xf>
    <xf numFmtId="0" fontId="0" fillId="0" borderId="0" xfId="0" applyAlignment="1">
      <alignment horizontal="left"/>
    </xf>
    <xf numFmtId="0" fontId="10" fillId="0" borderId="0" xfId="0" applyFont="1"/>
    <xf numFmtId="0" fontId="5" fillId="0" borderId="0" xfId="0" applyFont="1" applyAlignment="1">
      <alignment vertical="center" wrapText="1"/>
    </xf>
    <xf numFmtId="0" fontId="0" fillId="0" borderId="0" xfId="0"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vertical="center" wrapText="1"/>
    </xf>
    <xf numFmtId="0" fontId="7" fillId="15" borderId="38" xfId="41" applyFont="1" applyFill="1" applyBorder="1" applyAlignment="1">
      <alignment horizontal="left" vertical="center" wrapText="1"/>
    </xf>
    <xf numFmtId="0" fontId="7" fillId="15" borderId="36" xfId="41" applyFont="1" applyFill="1" applyBorder="1" applyAlignment="1">
      <alignment horizontal="left" vertical="center" wrapText="1"/>
    </xf>
    <xf numFmtId="0" fontId="7" fillId="15" borderId="37" xfId="41" applyFont="1" applyFill="1" applyBorder="1" applyAlignment="1">
      <alignment horizontal="left" vertical="center" wrapText="1"/>
    </xf>
    <xf numFmtId="0" fontId="5" fillId="0" borderId="0" xfId="0" applyFont="1" applyAlignment="1">
      <alignment horizontal="left" vertical="center"/>
    </xf>
    <xf numFmtId="0" fontId="6" fillId="0" borderId="0" xfId="0" applyFont="1" applyAlignment="1">
      <alignment horizontal="left" vertical="center"/>
    </xf>
    <xf numFmtId="0" fontId="9" fillId="0" borderId="0" xfId="0" applyFont="1" applyAlignment="1">
      <alignment horizontal="left" vertical="center"/>
    </xf>
    <xf numFmtId="0" fontId="7" fillId="0" borderId="23" xfId="0" applyFont="1" applyBorder="1" applyAlignment="1">
      <alignment horizontal="left" vertical="center"/>
    </xf>
    <xf numFmtId="0" fontId="7" fillId="0" borderId="26" xfId="0" applyFont="1" applyBorder="1" applyAlignment="1">
      <alignment horizontal="left" vertical="center"/>
    </xf>
    <xf numFmtId="0" fontId="7" fillId="0" borderId="28" xfId="0" applyFont="1" applyBorder="1" applyAlignment="1">
      <alignment horizontal="left" vertical="center"/>
    </xf>
    <xf numFmtId="49" fontId="7" fillId="0" borderId="0" xfId="0" applyNumberFormat="1" applyFont="1" applyAlignment="1">
      <alignment horizontal="left" vertical="center"/>
    </xf>
    <xf numFmtId="0" fontId="5" fillId="2" borderId="40" xfId="0" applyFont="1" applyFill="1" applyBorder="1" applyAlignment="1">
      <alignment horizontal="left" vertical="center"/>
    </xf>
    <xf numFmtId="0" fontId="7" fillId="0" borderId="35" xfId="0" applyFont="1" applyBorder="1" applyAlignment="1">
      <alignment horizontal="left" vertical="center"/>
    </xf>
    <xf numFmtId="0" fontId="7" fillId="0" borderId="36" xfId="0" applyFont="1" applyBorder="1" applyAlignment="1">
      <alignment horizontal="left" vertical="center"/>
    </xf>
    <xf numFmtId="0" fontId="7" fillId="0" borderId="37" xfId="0" applyFont="1" applyBorder="1" applyAlignment="1">
      <alignment horizontal="left" vertical="center"/>
    </xf>
    <xf numFmtId="0" fontId="0" fillId="0" borderId="35" xfId="0" applyBorder="1" applyAlignment="1">
      <alignment horizontal="left" vertical="center"/>
    </xf>
    <xf numFmtId="0" fontId="0" fillId="0" borderId="36" xfId="0" applyBorder="1" applyAlignment="1">
      <alignment horizontal="left" vertical="center"/>
    </xf>
    <xf numFmtId="0" fontId="0" fillId="0" borderId="37" xfId="0" applyBorder="1" applyAlignment="1">
      <alignment horizontal="left" vertical="center"/>
    </xf>
    <xf numFmtId="0" fontId="7" fillId="0" borderId="20" xfId="0" applyFont="1" applyBorder="1" applyAlignment="1">
      <alignment horizontal="left" vertical="center"/>
    </xf>
    <xf numFmtId="0" fontId="7" fillId="0" borderId="7" xfId="0" applyFont="1" applyBorder="1" applyAlignment="1">
      <alignment horizontal="left" vertical="center"/>
    </xf>
    <xf numFmtId="0" fontId="7" fillId="0" borderId="48" xfId="0" applyFont="1" applyBorder="1" applyAlignment="1">
      <alignment horizontal="left" vertical="center"/>
    </xf>
    <xf numFmtId="0" fontId="7" fillId="0" borderId="25" xfId="0" applyFont="1" applyBorder="1" applyAlignment="1">
      <alignment horizontal="left" vertical="center"/>
    </xf>
    <xf numFmtId="0" fontId="7" fillId="0" borderId="27" xfId="0" applyFont="1" applyBorder="1" applyAlignment="1">
      <alignment horizontal="left" vertical="center"/>
    </xf>
    <xf numFmtId="0" fontId="7" fillId="0" borderId="30" xfId="0" applyFont="1" applyBorder="1" applyAlignment="1">
      <alignment horizontal="left" vertical="center"/>
    </xf>
    <xf numFmtId="0" fontId="6" fillId="3" borderId="45" xfId="0" applyFont="1" applyFill="1" applyBorder="1" applyAlignment="1">
      <alignment horizontal="left" vertical="center"/>
    </xf>
    <xf numFmtId="0" fontId="6" fillId="3" borderId="47" xfId="0" applyFont="1" applyFill="1" applyBorder="1" applyAlignment="1">
      <alignment horizontal="left" vertical="center"/>
    </xf>
    <xf numFmtId="0" fontId="6" fillId="3" borderId="46" xfId="0" applyFont="1" applyFill="1" applyBorder="1" applyAlignment="1">
      <alignment horizontal="left" vertical="center"/>
    </xf>
    <xf numFmtId="0" fontId="5" fillId="2" borderId="32" xfId="0" applyFont="1" applyFill="1" applyBorder="1" applyAlignment="1">
      <alignment horizontal="left" vertical="center"/>
    </xf>
    <xf numFmtId="49" fontId="6" fillId="16" borderId="10" xfId="0" applyNumberFormat="1" applyFont="1" applyFill="1" applyBorder="1" applyAlignment="1">
      <alignment horizontal="left" vertical="center"/>
    </xf>
    <xf numFmtId="0" fontId="6" fillId="4" borderId="32" xfId="0" applyFont="1" applyFill="1" applyBorder="1" applyAlignment="1">
      <alignment horizontal="left" vertical="center" wrapText="1"/>
    </xf>
    <xf numFmtId="49" fontId="7" fillId="0" borderId="21" xfId="0" applyNumberFormat="1" applyFont="1" applyBorder="1" applyAlignment="1">
      <alignment horizontal="left" vertical="center"/>
    </xf>
    <xf numFmtId="49" fontId="7" fillId="0" borderId="33" xfId="0" applyNumberFormat="1" applyFont="1" applyBorder="1" applyAlignment="1">
      <alignment horizontal="left" vertical="center"/>
    </xf>
    <xf numFmtId="49" fontId="7" fillId="0" borderId="34" xfId="0" applyNumberFormat="1" applyFont="1" applyBorder="1" applyAlignment="1">
      <alignment horizontal="left" vertical="center"/>
    </xf>
    <xf numFmtId="2" fontId="7" fillId="0" borderId="35" xfId="0" applyNumberFormat="1" applyFont="1" applyBorder="1" applyAlignment="1">
      <alignment horizontal="left" vertical="center"/>
    </xf>
    <xf numFmtId="2" fontId="7" fillId="0" borderId="36" xfId="0" applyNumberFormat="1" applyFont="1" applyBorder="1" applyAlignment="1">
      <alignment horizontal="left" vertical="center"/>
    </xf>
    <xf numFmtId="2" fontId="7" fillId="0" borderId="37" xfId="0" applyNumberFormat="1" applyFont="1" applyBorder="1" applyAlignment="1">
      <alignment horizontal="left" vertical="center"/>
    </xf>
    <xf numFmtId="49" fontId="26" fillId="0" borderId="0" xfId="0" applyNumberFormat="1" applyFont="1" applyAlignment="1">
      <alignment horizontal="left" vertical="center"/>
    </xf>
    <xf numFmtId="0" fontId="6" fillId="2" borderId="32" xfId="0" applyFont="1" applyFill="1" applyBorder="1" applyAlignment="1">
      <alignment horizontal="left" vertical="center"/>
    </xf>
    <xf numFmtId="0" fontId="7" fillId="0" borderId="36" xfId="0" applyFont="1" applyBorder="1" applyAlignment="1">
      <alignment horizontal="left"/>
    </xf>
    <xf numFmtId="0" fontId="7" fillId="0" borderId="38" xfId="0" applyFont="1" applyBorder="1" applyAlignment="1">
      <alignment horizontal="left" vertical="center"/>
    </xf>
    <xf numFmtId="49" fontId="7" fillId="0" borderId="5" xfId="0" applyNumberFormat="1" applyFont="1" applyBorder="1" applyAlignment="1">
      <alignment horizontal="left" vertical="center"/>
    </xf>
    <xf numFmtId="0" fontId="7" fillId="0" borderId="34" xfId="0" applyFont="1" applyBorder="1" applyAlignment="1">
      <alignment horizontal="left" vertical="center"/>
    </xf>
    <xf numFmtId="0" fontId="7" fillId="0" borderId="33" xfId="0" applyFont="1" applyBorder="1" applyAlignment="1">
      <alignment horizontal="left" vertical="center"/>
    </xf>
    <xf numFmtId="2" fontId="7" fillId="0" borderId="0" xfId="0" applyNumberFormat="1" applyFont="1" applyAlignment="1">
      <alignment horizontal="left" vertical="center"/>
    </xf>
    <xf numFmtId="0" fontId="6" fillId="2" borderId="40" xfId="0" applyFont="1" applyFill="1" applyBorder="1" applyAlignment="1">
      <alignment horizontal="left" vertical="center"/>
    </xf>
    <xf numFmtId="0" fontId="7" fillId="0" borderId="17" xfId="0" applyFont="1" applyBorder="1" applyAlignment="1">
      <alignment vertical="center"/>
    </xf>
    <xf numFmtId="0" fontId="0" fillId="0" borderId="38" xfId="0" applyBorder="1" applyAlignment="1">
      <alignment horizontal="left" vertical="center"/>
    </xf>
    <xf numFmtId="0" fontId="0" fillId="0" borderId="36" xfId="0" applyBorder="1"/>
    <xf numFmtId="0" fontId="0" fillId="0" borderId="36" xfId="0" applyBorder="1" applyAlignment="1">
      <alignment horizontal="left"/>
    </xf>
    <xf numFmtId="0" fontId="7" fillId="0" borderId="47" xfId="0" applyFont="1" applyBorder="1" applyAlignment="1">
      <alignment vertical="center"/>
    </xf>
    <xf numFmtId="0" fontId="7" fillId="0" borderId="31" xfId="0" applyFont="1" applyBorder="1" applyAlignment="1">
      <alignment vertical="center"/>
    </xf>
    <xf numFmtId="0" fontId="0" fillId="0" borderId="37" xfId="0" applyBorder="1"/>
    <xf numFmtId="0" fontId="0" fillId="17" borderId="19" xfId="0" applyFill="1" applyBorder="1"/>
    <xf numFmtId="0" fontId="0" fillId="17" borderId="50" xfId="0" applyFill="1" applyBorder="1"/>
    <xf numFmtId="0" fontId="0" fillId="17" borderId="51" xfId="0" applyFill="1" applyBorder="1"/>
    <xf numFmtId="0" fontId="0" fillId="0" borderId="0" xfId="0" applyAlignment="1">
      <alignment horizontal="left" vertical="center" wrapText="1"/>
    </xf>
    <xf numFmtId="0" fontId="0" fillId="0" borderId="38" xfId="0" applyBorder="1"/>
    <xf numFmtId="0" fontId="7" fillId="0" borderId="0" xfId="0" applyFont="1" applyAlignment="1">
      <alignment horizontal="left" vertical="center" wrapText="1"/>
    </xf>
    <xf numFmtId="0" fontId="10" fillId="0" borderId="32" xfId="0" applyFont="1" applyBorder="1" applyAlignment="1">
      <alignment horizontal="left" vertical="center"/>
    </xf>
    <xf numFmtId="0" fontId="10" fillId="0" borderId="39" xfId="0" applyFont="1" applyBorder="1" applyAlignment="1">
      <alignment horizontal="left" vertical="center"/>
    </xf>
    <xf numFmtId="0" fontId="0" fillId="0" borderId="4" xfId="0" applyBorder="1" applyAlignment="1">
      <alignment horizontal="left" vertical="center"/>
    </xf>
    <xf numFmtId="0" fontId="0" fillId="0" borderId="33" xfId="0" applyBorder="1" applyAlignment="1">
      <alignment horizontal="left" vertical="center"/>
    </xf>
    <xf numFmtId="0" fontId="0" fillId="0" borderId="34" xfId="0" applyBorder="1" applyAlignment="1">
      <alignment horizontal="left" vertical="center"/>
    </xf>
    <xf numFmtId="0" fontId="5" fillId="7" borderId="39" xfId="0" applyFont="1" applyFill="1" applyBorder="1" applyAlignment="1">
      <alignment horizontal="left" vertical="center"/>
    </xf>
    <xf numFmtId="0" fontId="0" fillId="0" borderId="32" xfId="0" applyBorder="1" applyAlignment="1">
      <alignment horizontal="left" vertical="center"/>
    </xf>
    <xf numFmtId="0" fontId="5" fillId="7" borderId="32" xfId="0" applyFont="1" applyFill="1" applyBorder="1" applyAlignment="1">
      <alignment horizontal="left" vertical="center"/>
    </xf>
    <xf numFmtId="0" fontId="10" fillId="0" borderId="32" xfId="0" applyFont="1" applyBorder="1" applyAlignment="1">
      <alignment horizontal="left"/>
    </xf>
    <xf numFmtId="0" fontId="0" fillId="0" borderId="38" xfId="0" applyBorder="1" applyAlignment="1">
      <alignment horizontal="left"/>
    </xf>
    <xf numFmtId="0" fontId="0" fillId="0" borderId="37" xfId="0" applyBorder="1" applyAlignment="1">
      <alignment horizontal="left"/>
    </xf>
    <xf numFmtId="0" fontId="0" fillId="0" borderId="32" xfId="0" applyBorder="1" applyAlignment="1">
      <alignment horizontal="left"/>
    </xf>
    <xf numFmtId="0" fontId="5" fillId="2" borderId="39" xfId="0" applyFont="1" applyFill="1" applyBorder="1" applyAlignment="1">
      <alignment horizontal="left" vertical="center"/>
    </xf>
    <xf numFmtId="0" fontId="0" fillId="0" borderId="39" xfId="0" applyBorder="1" applyAlignment="1">
      <alignment horizontal="left"/>
    </xf>
    <xf numFmtId="0" fontId="17" fillId="20" borderId="0" xfId="0" applyFont="1" applyFill="1" applyAlignment="1">
      <alignment horizontal="left" vertical="center"/>
    </xf>
    <xf numFmtId="0" fontId="5" fillId="4" borderId="32" xfId="0" applyFont="1" applyFill="1" applyBorder="1" applyAlignment="1">
      <alignment horizontal="left" vertical="center" wrapText="1"/>
    </xf>
    <xf numFmtId="0" fontId="0" fillId="0" borderId="35" xfId="0" applyBorder="1"/>
    <xf numFmtId="0" fontId="0" fillId="0" borderId="19" xfId="0" applyBorder="1"/>
    <xf numFmtId="0" fontId="0" fillId="0" borderId="50" xfId="0" applyBorder="1"/>
    <xf numFmtId="0" fontId="0" fillId="0" borderId="51" xfId="0" applyBorder="1"/>
    <xf numFmtId="0" fontId="0" fillId="0" borderId="21" xfId="0" applyBorder="1"/>
    <xf numFmtId="0" fontId="0" fillId="0" borderId="33" xfId="0" applyBorder="1"/>
    <xf numFmtId="0" fontId="0" fillId="0" borderId="35" xfId="0" applyBorder="1" applyAlignment="1">
      <alignment horizontal="left"/>
    </xf>
    <xf numFmtId="0" fontId="6" fillId="21" borderId="40" xfId="0" applyFont="1" applyFill="1" applyBorder="1" applyAlignment="1">
      <alignment horizontal="left" vertical="center" wrapText="1"/>
    </xf>
    <xf numFmtId="0" fontId="0" fillId="22" borderId="35" xfId="0" applyFill="1" applyBorder="1" applyAlignment="1">
      <alignment horizontal="left" vertical="center" wrapText="1"/>
    </xf>
    <xf numFmtId="0" fontId="0" fillId="22" borderId="36" xfId="0" applyFill="1" applyBorder="1" applyAlignment="1">
      <alignment horizontal="left" vertical="center" wrapText="1"/>
    </xf>
    <xf numFmtId="0" fontId="0" fillId="22" borderId="37" xfId="0" applyFill="1" applyBorder="1" applyAlignment="1">
      <alignment horizontal="left" vertical="center" wrapText="1"/>
    </xf>
    <xf numFmtId="2" fontId="0" fillId="0" borderId="0" xfId="0" applyNumberFormat="1" applyAlignment="1">
      <alignment horizontal="left" vertical="center"/>
    </xf>
    <xf numFmtId="0" fontId="6" fillId="2" borderId="18" xfId="0" applyFont="1" applyFill="1" applyBorder="1" applyAlignment="1">
      <alignment horizontal="left" vertical="center"/>
    </xf>
    <xf numFmtId="0" fontId="6" fillId="6" borderId="40" xfId="0" applyFont="1" applyFill="1" applyBorder="1" applyAlignment="1">
      <alignment horizontal="left" vertical="center"/>
    </xf>
    <xf numFmtId="0" fontId="6" fillId="6" borderId="18" xfId="0" applyFont="1" applyFill="1" applyBorder="1" applyAlignment="1">
      <alignment horizontal="left" vertical="center"/>
    </xf>
    <xf numFmtId="0" fontId="6" fillId="6" borderId="52" xfId="0" applyFont="1" applyFill="1" applyBorder="1" applyAlignment="1">
      <alignment horizontal="left" vertical="center"/>
    </xf>
    <xf numFmtId="0" fontId="6" fillId="3" borderId="55" xfId="0" applyFont="1" applyFill="1" applyBorder="1" applyAlignment="1">
      <alignment horizontal="left" vertical="center"/>
    </xf>
    <xf numFmtId="0" fontId="6" fillId="3" borderId="56" xfId="0" applyFont="1" applyFill="1" applyBorder="1" applyAlignment="1">
      <alignment horizontal="left" vertical="center"/>
    </xf>
    <xf numFmtId="0" fontId="6" fillId="3" borderId="54" xfId="0" applyFont="1" applyFill="1" applyBorder="1" applyAlignment="1">
      <alignment horizontal="left" vertical="center"/>
    </xf>
    <xf numFmtId="2" fontId="6" fillId="4" borderId="40" xfId="0" applyNumberFormat="1" applyFont="1" applyFill="1" applyBorder="1" applyAlignment="1">
      <alignment horizontal="center" vertical="center"/>
    </xf>
    <xf numFmtId="0" fontId="6" fillId="16" borderId="52" xfId="0" applyFont="1" applyFill="1" applyBorder="1" applyAlignment="1">
      <alignment horizontal="left" vertical="center"/>
    </xf>
    <xf numFmtId="1" fontId="0" fillId="0" borderId="9" xfId="0" applyNumberFormat="1" applyBorder="1" applyAlignment="1">
      <alignment horizontal="left" vertical="center"/>
    </xf>
    <xf numFmtId="0" fontId="0" fillId="0" borderId="9" xfId="0" applyBorder="1" applyAlignment="1">
      <alignment horizontal="left" vertical="center"/>
    </xf>
    <xf numFmtId="0" fontId="7" fillId="0" borderId="17" xfId="0" applyFont="1" applyBorder="1" applyAlignment="1">
      <alignment horizontal="left" vertical="center"/>
    </xf>
    <xf numFmtId="0" fontId="7" fillId="0" borderId="16" xfId="0" applyFont="1" applyBorder="1" applyAlignment="1">
      <alignment horizontal="left" vertical="center"/>
    </xf>
    <xf numFmtId="167" fontId="7" fillId="0" borderId="0" xfId="0" applyNumberFormat="1" applyFont="1" applyAlignment="1">
      <alignment horizontal="left" vertical="center"/>
    </xf>
    <xf numFmtId="0" fontId="7" fillId="0" borderId="53" xfId="0" applyFont="1" applyBorder="1" applyAlignment="1">
      <alignment horizontal="left" vertical="center"/>
    </xf>
    <xf numFmtId="0" fontId="7" fillId="0" borderId="13" xfId="0" applyFont="1" applyBorder="1" applyAlignment="1">
      <alignment horizontal="left" vertical="center"/>
    </xf>
    <xf numFmtId="0" fontId="7" fillId="0" borderId="11" xfId="0" applyFont="1" applyBorder="1" applyAlignment="1">
      <alignment horizontal="left" vertical="center"/>
    </xf>
    <xf numFmtId="0" fontId="7" fillId="0" borderId="10" xfId="0" applyFont="1" applyBorder="1" applyAlignment="1">
      <alignment horizontal="left" vertical="center"/>
    </xf>
    <xf numFmtId="167" fontId="6" fillId="6" borderId="32" xfId="0" applyNumberFormat="1" applyFont="1" applyFill="1" applyBorder="1" applyAlignment="1">
      <alignment horizontal="left" vertical="center"/>
    </xf>
    <xf numFmtId="0" fontId="0" fillId="0" borderId="17" xfId="0" applyBorder="1" applyAlignment="1">
      <alignment horizontal="left" vertical="center"/>
    </xf>
    <xf numFmtId="0" fontId="5" fillId="0" borderId="9" xfId="0" applyFont="1" applyBorder="1" applyAlignment="1">
      <alignment horizontal="left" vertical="center"/>
    </xf>
    <xf numFmtId="165" fontId="0" fillId="0" borderId="9" xfId="0" applyNumberFormat="1" applyBorder="1" applyAlignment="1">
      <alignment horizontal="left" vertical="center"/>
    </xf>
    <xf numFmtId="0" fontId="5" fillId="0" borderId="17" xfId="0" applyFont="1" applyBorder="1" applyAlignment="1">
      <alignment horizontal="left" vertical="center"/>
    </xf>
    <xf numFmtId="2" fontId="0" fillId="0" borderId="9" xfId="0" applyNumberFormat="1" applyBorder="1" applyAlignment="1">
      <alignment horizontal="left" vertical="center"/>
    </xf>
    <xf numFmtId="0" fontId="33" fillId="0" borderId="0" xfId="0" applyFont="1" applyAlignment="1">
      <alignment horizontal="left" vertical="center"/>
    </xf>
    <xf numFmtId="1" fontId="5" fillId="0" borderId="9" xfId="0" applyNumberFormat="1" applyFont="1" applyBorder="1" applyAlignment="1">
      <alignment horizontal="left" vertical="center"/>
    </xf>
    <xf numFmtId="165" fontId="5" fillId="0" borderId="9" xfId="0" applyNumberFormat="1" applyFont="1" applyBorder="1" applyAlignment="1">
      <alignment horizontal="left" vertical="center"/>
    </xf>
    <xf numFmtId="1" fontId="5" fillId="0" borderId="0" xfId="0" applyNumberFormat="1" applyFont="1" applyAlignment="1">
      <alignment horizontal="left" vertical="center"/>
    </xf>
    <xf numFmtId="165" fontId="5" fillId="0" borderId="0" xfId="0" applyNumberFormat="1" applyFont="1" applyAlignment="1">
      <alignment horizontal="left" vertical="center"/>
    </xf>
    <xf numFmtId="2" fontId="0" fillId="25" borderId="9" xfId="0" applyNumberFormat="1" applyFill="1" applyBorder="1" applyAlignment="1">
      <alignment horizontal="left" vertical="center"/>
    </xf>
    <xf numFmtId="2" fontId="5" fillId="0" borderId="9" xfId="0" applyNumberFormat="1" applyFont="1" applyBorder="1" applyAlignment="1">
      <alignment horizontal="left" vertical="center"/>
    </xf>
    <xf numFmtId="0" fontId="5" fillId="26" borderId="9" xfId="0" applyFont="1" applyFill="1" applyBorder="1" applyAlignment="1">
      <alignment horizontal="left" vertical="center"/>
    </xf>
    <xf numFmtId="0" fontId="5" fillId="27" borderId="17" xfId="0" applyFont="1" applyFill="1" applyBorder="1" applyAlignment="1">
      <alignment horizontal="left" vertical="center"/>
    </xf>
    <xf numFmtId="0" fontId="5" fillId="27" borderId="9" xfId="0" applyFont="1" applyFill="1" applyBorder="1" applyAlignment="1">
      <alignment horizontal="left" vertical="center"/>
    </xf>
    <xf numFmtId="0" fontId="5" fillId="27" borderId="17" xfId="0" applyFont="1" applyFill="1" applyBorder="1" applyAlignment="1">
      <alignment vertical="center"/>
    </xf>
    <xf numFmtId="0" fontId="0" fillId="26" borderId="9" xfId="0" applyFill="1" applyBorder="1" applyAlignment="1">
      <alignment horizontal="left" vertical="center"/>
    </xf>
    <xf numFmtId="0" fontId="7" fillId="26" borderId="9" xfId="0" applyFont="1" applyFill="1" applyBorder="1" applyAlignment="1">
      <alignment horizontal="left" vertical="center"/>
    </xf>
    <xf numFmtId="0" fontId="6" fillId="2" borderId="42" xfId="0" applyFont="1" applyFill="1" applyBorder="1" applyAlignment="1">
      <alignment horizontal="left" vertical="center"/>
    </xf>
    <xf numFmtId="0" fontId="6" fillId="2" borderId="52" xfId="0" applyFont="1" applyFill="1" applyBorder="1" applyAlignment="1">
      <alignment horizontal="left" vertical="center"/>
    </xf>
    <xf numFmtId="0" fontId="17" fillId="18" borderId="32" xfId="0" applyFont="1" applyFill="1" applyBorder="1" applyAlignment="1">
      <alignment horizontal="left" vertical="center"/>
    </xf>
    <xf numFmtId="0" fontId="7" fillId="19" borderId="35" xfId="0" applyFont="1" applyFill="1" applyBorder="1" applyAlignment="1">
      <alignment horizontal="left" vertical="center"/>
    </xf>
    <xf numFmtId="0" fontId="7" fillId="19" borderId="36" xfId="0" applyFont="1" applyFill="1" applyBorder="1" applyAlignment="1">
      <alignment horizontal="left" vertical="center"/>
    </xf>
    <xf numFmtId="0" fontId="7" fillId="19" borderId="37" xfId="0" applyFont="1" applyFill="1" applyBorder="1" applyAlignment="1">
      <alignment horizontal="left" vertical="center"/>
    </xf>
    <xf numFmtId="0" fontId="7" fillId="0" borderId="57" xfId="0" applyFont="1" applyBorder="1" applyAlignment="1">
      <alignment horizontal="left" vertical="center"/>
    </xf>
    <xf numFmtId="0" fontId="7" fillId="0" borderId="19" xfId="0" applyFont="1" applyBorder="1" applyAlignment="1">
      <alignment horizontal="left" vertical="center"/>
    </xf>
    <xf numFmtId="0" fontId="7" fillId="0" borderId="50" xfId="0" applyFont="1" applyBorder="1" applyAlignment="1">
      <alignment horizontal="left" vertical="center"/>
    </xf>
    <xf numFmtId="0" fontId="7" fillId="0" borderId="51" xfId="0" applyFont="1" applyBorder="1" applyAlignment="1">
      <alignment horizontal="left" vertical="center"/>
    </xf>
    <xf numFmtId="0" fontId="7" fillId="0" borderId="2" xfId="0" applyFont="1" applyBorder="1" applyAlignment="1">
      <alignment horizontal="left" vertical="center"/>
    </xf>
    <xf numFmtId="0" fontId="7" fillId="0" borderId="70" xfId="0" applyFont="1" applyBorder="1" applyAlignment="1">
      <alignment horizontal="left" vertical="center"/>
    </xf>
    <xf numFmtId="0" fontId="7" fillId="0" borderId="71" xfId="0" applyFont="1" applyBorder="1" applyAlignment="1">
      <alignment horizontal="left" vertical="center"/>
    </xf>
    <xf numFmtId="2" fontId="7" fillId="0" borderId="57" xfId="0" applyNumberFormat="1" applyFont="1" applyBorder="1" applyAlignment="1">
      <alignment horizontal="left" vertical="center"/>
    </xf>
    <xf numFmtId="2" fontId="7" fillId="0" borderId="38" xfId="0" applyNumberFormat="1" applyFont="1" applyBorder="1" applyAlignment="1">
      <alignment horizontal="left" vertical="center"/>
    </xf>
    <xf numFmtId="2" fontId="7" fillId="0" borderId="25" xfId="0" applyNumberFormat="1" applyFont="1" applyBorder="1" applyAlignment="1">
      <alignment horizontal="left" vertical="center"/>
    </xf>
    <xf numFmtId="2" fontId="7" fillId="0" borderId="27" xfId="0" applyNumberFormat="1" applyFont="1" applyBorder="1" applyAlignment="1">
      <alignment horizontal="left" vertical="center"/>
    </xf>
    <xf numFmtId="2" fontId="7" fillId="0" borderId="30" xfId="0" applyNumberFormat="1" applyFont="1" applyBorder="1" applyAlignment="1">
      <alignment horizontal="left" vertical="center"/>
    </xf>
    <xf numFmtId="0" fontId="7" fillId="0" borderId="3" xfId="0" applyFont="1" applyBorder="1" applyAlignment="1">
      <alignment horizontal="left" vertical="center"/>
    </xf>
    <xf numFmtId="49" fontId="7" fillId="0" borderId="35" xfId="0" applyNumberFormat="1" applyFont="1" applyBorder="1" applyAlignment="1">
      <alignment horizontal="left" vertical="center"/>
    </xf>
    <xf numFmtId="49" fontId="7" fillId="0" borderId="36" xfId="0" applyNumberFormat="1" applyFont="1" applyBorder="1" applyAlignment="1">
      <alignment horizontal="left" vertical="center"/>
    </xf>
    <xf numFmtId="49" fontId="7" fillId="0" borderId="37" xfId="0" applyNumberFormat="1" applyFont="1" applyBorder="1" applyAlignment="1">
      <alignment horizontal="left" vertical="center"/>
    </xf>
    <xf numFmtId="0" fontId="7" fillId="0" borderId="32" xfId="0" applyFont="1" applyBorder="1" applyAlignment="1">
      <alignment horizontal="left" vertical="center"/>
    </xf>
    <xf numFmtId="0" fontId="7" fillId="0" borderId="6" xfId="0" applyFont="1" applyBorder="1" applyAlignment="1">
      <alignment horizontal="left" vertical="center"/>
    </xf>
    <xf numFmtId="1" fontId="7" fillId="0" borderId="20" xfId="0" applyNumberFormat="1" applyFont="1" applyBorder="1" applyAlignment="1">
      <alignment horizontal="left" vertical="center"/>
    </xf>
    <xf numFmtId="1" fontId="7" fillId="0" borderId="7" xfId="0" applyNumberFormat="1" applyFont="1" applyBorder="1" applyAlignment="1">
      <alignment horizontal="left" vertical="center"/>
    </xf>
    <xf numFmtId="1" fontId="7" fillId="0" borderId="48" xfId="0" applyNumberFormat="1" applyFont="1" applyBorder="1" applyAlignment="1">
      <alignment horizontal="left" vertical="center"/>
    </xf>
    <xf numFmtId="1" fontId="7" fillId="0" borderId="2" xfId="0" applyNumberFormat="1" applyFont="1" applyBorder="1" applyAlignment="1">
      <alignment horizontal="left" vertical="center"/>
    </xf>
    <xf numFmtId="1" fontId="7" fillId="0" borderId="50" xfId="0" applyNumberFormat="1" applyFont="1" applyBorder="1" applyAlignment="1">
      <alignment horizontal="left" vertical="center"/>
    </xf>
    <xf numFmtId="0" fontId="7" fillId="0" borderId="13" xfId="0" applyFont="1" applyBorder="1" applyAlignment="1">
      <alignment vertical="center"/>
    </xf>
    <xf numFmtId="0" fontId="7" fillId="0" borderId="11" xfId="0" applyFont="1" applyBorder="1" applyAlignment="1">
      <alignment vertical="center"/>
    </xf>
    <xf numFmtId="0" fontId="7" fillId="0" borderId="8" xfId="0" applyFont="1" applyBorder="1" applyAlignment="1">
      <alignment vertical="center"/>
    </xf>
    <xf numFmtId="0" fontId="7" fillId="0" borderId="10" xfId="0" applyFont="1" applyBorder="1" applyAlignment="1">
      <alignment vertical="center"/>
    </xf>
    <xf numFmtId="2" fontId="7" fillId="0" borderId="58" xfId="0" applyNumberFormat="1" applyFont="1" applyBorder="1" applyAlignment="1">
      <alignment horizontal="center" vertical="center"/>
    </xf>
    <xf numFmtId="2" fontId="7" fillId="0" borderId="59" xfId="0" applyNumberFormat="1" applyFont="1" applyBorder="1" applyAlignment="1">
      <alignment horizontal="center" vertical="center"/>
    </xf>
    <xf numFmtId="2" fontId="7" fillId="0" borderId="60" xfId="0" applyNumberFormat="1" applyFont="1" applyBorder="1" applyAlignment="1">
      <alignment horizontal="center" vertical="center"/>
    </xf>
    <xf numFmtId="2" fontId="7" fillId="0" borderId="63" xfId="0" applyNumberFormat="1" applyFont="1" applyBorder="1" applyAlignment="1">
      <alignment horizontal="center" vertical="center"/>
    </xf>
    <xf numFmtId="2" fontId="7" fillId="0" borderId="64" xfId="0" applyNumberFormat="1" applyFont="1" applyBorder="1" applyAlignment="1">
      <alignment horizontal="center" vertical="center"/>
    </xf>
    <xf numFmtId="0" fontId="5" fillId="27" borderId="9" xfId="0" applyFont="1" applyFill="1" applyBorder="1" applyAlignment="1">
      <alignment horizontal="left" vertical="center" wrapText="1"/>
    </xf>
    <xf numFmtId="165" fontId="0" fillId="0" borderId="17" xfId="0" applyNumberFormat="1" applyBorder="1" applyAlignment="1">
      <alignment horizontal="left" vertical="center"/>
    </xf>
    <xf numFmtId="2" fontId="7" fillId="0" borderId="9" xfId="0" applyNumberFormat="1" applyFont="1" applyBorder="1" applyAlignment="1">
      <alignment horizontal="left" vertical="center" readingOrder="1"/>
    </xf>
    <xf numFmtId="2" fontId="6" fillId="0" borderId="9" xfId="0" applyNumberFormat="1" applyFont="1" applyBorder="1" applyAlignment="1">
      <alignment horizontal="left" vertical="center"/>
    </xf>
    <xf numFmtId="2" fontId="7" fillId="0" borderId="9" xfId="0" applyNumberFormat="1" applyFont="1" applyBorder="1" applyAlignment="1">
      <alignment horizontal="left" vertical="center"/>
    </xf>
    <xf numFmtId="0" fontId="0" fillId="0" borderId="9" xfId="0" applyBorder="1" applyAlignment="1">
      <alignment vertical="center"/>
    </xf>
    <xf numFmtId="0" fontId="6" fillId="27" borderId="17" xfId="0" applyFont="1" applyFill="1" applyBorder="1" applyAlignment="1">
      <alignment horizontal="left" vertical="center"/>
    </xf>
    <xf numFmtId="2" fontId="7" fillId="0" borderId="9" xfId="40" applyNumberFormat="1" applyFont="1" applyFill="1" applyBorder="1" applyAlignment="1">
      <alignment horizontal="left" vertical="center"/>
    </xf>
    <xf numFmtId="0" fontId="6" fillId="27" borderId="9" xfId="0" applyFont="1" applyFill="1" applyBorder="1" applyAlignment="1">
      <alignment horizontal="left" vertical="center"/>
    </xf>
    <xf numFmtId="166" fontId="0" fillId="25" borderId="9" xfId="0" applyNumberFormat="1" applyFill="1" applyBorder="1" applyAlignment="1">
      <alignment horizontal="left" vertical="center"/>
    </xf>
    <xf numFmtId="166" fontId="0" fillId="0" borderId="9" xfId="0" applyNumberFormat="1" applyBorder="1" applyAlignment="1">
      <alignment horizontal="left" vertical="center"/>
    </xf>
    <xf numFmtId="166" fontId="5" fillId="0" borderId="9" xfId="0" applyNumberFormat="1" applyFont="1" applyBorder="1" applyAlignment="1">
      <alignment horizontal="left" vertical="center"/>
    </xf>
    <xf numFmtId="0" fontId="13" fillId="0" borderId="0" xfId="0" applyFont="1" applyAlignment="1">
      <alignment horizontal="left" vertical="center"/>
    </xf>
    <xf numFmtId="0" fontId="19" fillId="0" borderId="0" xfId="37" applyAlignment="1">
      <alignment horizontal="left" vertical="center"/>
    </xf>
    <xf numFmtId="0" fontId="5" fillId="24" borderId="18" xfId="0" applyFont="1" applyFill="1" applyBorder="1" applyAlignment="1">
      <alignment horizontal="left" vertical="center"/>
    </xf>
    <xf numFmtId="0" fontId="5" fillId="24" borderId="0" xfId="0" applyFont="1" applyFill="1" applyAlignment="1">
      <alignment horizontal="left" vertical="center"/>
    </xf>
    <xf numFmtId="0" fontId="5" fillId="24" borderId="68" xfId="0" applyFont="1" applyFill="1" applyBorder="1" applyAlignment="1">
      <alignment horizontal="left" vertical="center"/>
    </xf>
    <xf numFmtId="0" fontId="5" fillId="0" borderId="68" xfId="0" applyFont="1" applyBorder="1" applyAlignment="1">
      <alignment horizontal="left" vertical="center"/>
    </xf>
    <xf numFmtId="0" fontId="6" fillId="26" borderId="9" xfId="0" applyFont="1" applyFill="1" applyBorder="1" applyAlignment="1">
      <alignment horizontal="left" vertical="center"/>
    </xf>
    <xf numFmtId="0" fontId="0" fillId="24" borderId="42" xfId="0" applyFill="1" applyBorder="1" applyAlignment="1">
      <alignment horizontal="left" vertical="center"/>
    </xf>
    <xf numFmtId="0" fontId="0" fillId="24" borderId="18" xfId="0" applyFill="1" applyBorder="1" applyAlignment="1">
      <alignment horizontal="left" vertical="center"/>
    </xf>
    <xf numFmtId="0" fontId="0" fillId="24" borderId="66" xfId="0" applyFill="1" applyBorder="1" applyAlignment="1">
      <alignment horizontal="left" vertical="center"/>
    </xf>
    <xf numFmtId="0" fontId="0" fillId="24" borderId="0" xfId="0" applyFill="1" applyAlignment="1">
      <alignment horizontal="left" vertical="center"/>
    </xf>
    <xf numFmtId="0" fontId="31" fillId="0" borderId="66" xfId="0" applyFont="1" applyBorder="1" applyAlignment="1">
      <alignment horizontal="left" vertical="center"/>
    </xf>
    <xf numFmtId="0" fontId="5" fillId="24" borderId="66" xfId="0" applyFont="1" applyFill="1" applyBorder="1" applyAlignment="1">
      <alignment horizontal="left" vertical="center"/>
    </xf>
    <xf numFmtId="0" fontId="5" fillId="24" borderId="22" xfId="0" applyFont="1" applyFill="1" applyBorder="1" applyAlignment="1">
      <alignment horizontal="left" vertical="center"/>
    </xf>
    <xf numFmtId="0" fontId="0" fillId="24" borderId="68" xfId="0" applyFill="1" applyBorder="1" applyAlignment="1">
      <alignment horizontal="left" vertical="center"/>
    </xf>
    <xf numFmtId="0" fontId="31" fillId="0" borderId="0" xfId="0" applyFont="1" applyAlignment="1">
      <alignment horizontal="left" vertical="center"/>
    </xf>
    <xf numFmtId="0" fontId="0" fillId="0" borderId="22" xfId="0" applyBorder="1" applyAlignment="1">
      <alignment horizontal="left" vertical="center"/>
    </xf>
    <xf numFmtId="0" fontId="0" fillId="0" borderId="68" xfId="0" applyBorder="1" applyAlignment="1">
      <alignment horizontal="left" vertical="center"/>
    </xf>
    <xf numFmtId="0" fontId="0" fillId="24" borderId="22" xfId="0" applyFill="1" applyBorder="1" applyAlignment="1">
      <alignment horizontal="left" vertical="center"/>
    </xf>
    <xf numFmtId="0" fontId="7" fillId="26" borderId="9" xfId="0" applyFont="1" applyFill="1" applyBorder="1" applyAlignment="1">
      <alignment horizontal="left" vertical="center" readingOrder="1"/>
    </xf>
    <xf numFmtId="165" fontId="7" fillId="0" borderId="9" xfId="0" applyNumberFormat="1" applyFont="1" applyBorder="1" applyAlignment="1">
      <alignment horizontal="left" vertical="center" readingOrder="1"/>
    </xf>
    <xf numFmtId="0" fontId="5" fillId="27" borderId="0" xfId="0" applyFont="1" applyFill="1" applyAlignment="1">
      <alignment horizontal="left" vertical="center"/>
    </xf>
    <xf numFmtId="2" fontId="7" fillId="26" borderId="9" xfId="0" applyNumberFormat="1" applyFont="1" applyFill="1" applyBorder="1" applyAlignment="1">
      <alignment horizontal="left" vertical="center"/>
    </xf>
    <xf numFmtId="11" fontId="7" fillId="0" borderId="36" xfId="0" applyNumberFormat="1" applyFont="1" applyBorder="1" applyAlignment="1">
      <alignment horizontal="left" vertical="center"/>
    </xf>
    <xf numFmtId="11" fontId="0" fillId="0" borderId="0" xfId="0" applyNumberFormat="1"/>
    <xf numFmtId="11" fontId="7" fillId="0" borderId="61" xfId="0" applyNumberFormat="1" applyFont="1" applyBorder="1" applyAlignment="1">
      <alignment horizontal="left" vertical="center"/>
    </xf>
    <xf numFmtId="11" fontId="7" fillId="0" borderId="62" xfId="0" applyNumberFormat="1" applyFont="1" applyBorder="1" applyAlignment="1">
      <alignment horizontal="left" vertical="center"/>
    </xf>
    <xf numFmtId="10" fontId="0" fillId="0" borderId="0" xfId="0" applyNumberFormat="1"/>
    <xf numFmtId="11" fontId="0" fillId="25" borderId="9" xfId="0" applyNumberFormat="1" applyFill="1" applyBorder="1" applyAlignment="1">
      <alignment horizontal="left" vertical="center"/>
    </xf>
    <xf numFmtId="0" fontId="0" fillId="28" borderId="9" xfId="0" applyFill="1" applyBorder="1" applyAlignment="1">
      <alignment horizontal="left" vertical="center"/>
    </xf>
    <xf numFmtId="0" fontId="0" fillId="20" borderId="0" xfId="0" applyFill="1"/>
    <xf numFmtId="0" fontId="5" fillId="0" borderId="0" xfId="0" applyFont="1"/>
    <xf numFmtId="9" fontId="0" fillId="0" borderId="0" xfId="0" applyNumberFormat="1"/>
    <xf numFmtId="0" fontId="0" fillId="0" borderId="9" xfId="0" applyBorder="1"/>
    <xf numFmtId="0" fontId="5" fillId="27" borderId="9" xfId="0" applyFont="1" applyFill="1" applyBorder="1" applyAlignment="1">
      <alignment vertical="center"/>
    </xf>
    <xf numFmtId="167" fontId="6" fillId="6" borderId="40" xfId="0" applyNumberFormat="1" applyFont="1" applyFill="1" applyBorder="1" applyAlignment="1">
      <alignment horizontal="left" vertical="center"/>
    </xf>
    <xf numFmtId="0" fontId="7" fillId="0" borderId="72" xfId="0" applyFont="1" applyBorder="1" applyAlignment="1">
      <alignment horizontal="left" vertical="center"/>
    </xf>
    <xf numFmtId="0" fontId="7" fillId="0" borderId="15" xfId="0" applyFont="1" applyBorder="1" applyAlignment="1">
      <alignment horizontal="left" vertical="center"/>
    </xf>
    <xf numFmtId="0" fontId="7" fillId="0" borderId="4" xfId="0" applyFont="1" applyBorder="1" applyAlignment="1">
      <alignment horizontal="left" vertical="center"/>
    </xf>
    <xf numFmtId="0" fontId="7" fillId="0" borderId="49" xfId="0" applyFont="1" applyBorder="1" applyAlignment="1">
      <alignment horizontal="left" vertical="center"/>
    </xf>
    <xf numFmtId="1" fontId="7" fillId="0" borderId="35" xfId="0" applyNumberFormat="1" applyFont="1" applyBorder="1" applyAlignment="1">
      <alignment horizontal="left" vertical="center"/>
    </xf>
    <xf numFmtId="1" fontId="7" fillId="0" borderId="36" xfId="0" applyNumberFormat="1" applyFont="1" applyBorder="1" applyAlignment="1">
      <alignment horizontal="left" vertical="center"/>
    </xf>
    <xf numFmtId="1" fontId="7" fillId="0" borderId="37" xfId="0" applyNumberFormat="1" applyFont="1" applyBorder="1" applyAlignment="1">
      <alignment horizontal="left" vertical="center"/>
    </xf>
    <xf numFmtId="1" fontId="7" fillId="0" borderId="38" xfId="0" applyNumberFormat="1" applyFont="1" applyBorder="1" applyAlignment="1">
      <alignment horizontal="left" vertical="center"/>
    </xf>
    <xf numFmtId="1" fontId="7" fillId="0" borderId="57" xfId="0" applyNumberFormat="1" applyFont="1" applyBorder="1" applyAlignment="1">
      <alignment horizontal="left" vertical="center"/>
    </xf>
    <xf numFmtId="1" fontId="7" fillId="0" borderId="32" xfId="0" applyNumberFormat="1" applyFont="1" applyBorder="1" applyAlignment="1">
      <alignment horizontal="left" vertical="center"/>
    </xf>
    <xf numFmtId="169" fontId="7" fillId="0" borderId="36" xfId="0" applyNumberFormat="1" applyFont="1" applyBorder="1" applyAlignment="1">
      <alignment horizontal="left" vertical="center"/>
    </xf>
    <xf numFmtId="169" fontId="7" fillId="0" borderId="37" xfId="0" applyNumberFormat="1" applyFont="1" applyBorder="1" applyAlignment="1">
      <alignment horizontal="left" vertical="center"/>
    </xf>
    <xf numFmtId="11" fontId="7" fillId="0" borderId="20" xfId="0" applyNumberFormat="1" applyFont="1" applyBorder="1" applyAlignment="1">
      <alignment horizontal="left" vertical="center"/>
    </xf>
    <xf numFmtId="11" fontId="7" fillId="0" borderId="7" xfId="0" applyNumberFormat="1" applyFont="1" applyBorder="1" applyAlignment="1">
      <alignment horizontal="left" vertical="center"/>
    </xf>
    <xf numFmtId="169" fontId="7" fillId="25" borderId="9" xfId="0" applyNumberFormat="1" applyFont="1" applyFill="1" applyBorder="1" applyAlignment="1">
      <alignment horizontal="left" vertical="center"/>
    </xf>
    <xf numFmtId="169" fontId="7" fillId="0" borderId="9" xfId="0" applyNumberFormat="1" applyFont="1" applyBorder="1" applyAlignment="1">
      <alignment horizontal="left" vertical="center"/>
    </xf>
    <xf numFmtId="2" fontId="6" fillId="27" borderId="9" xfId="0" applyNumberFormat="1" applyFont="1" applyFill="1" applyBorder="1" applyAlignment="1">
      <alignment horizontal="left" vertical="center"/>
    </xf>
    <xf numFmtId="2" fontId="6" fillId="27" borderId="9" xfId="0" applyNumberFormat="1" applyFont="1" applyFill="1" applyBorder="1" applyAlignment="1">
      <alignment vertical="center" wrapText="1"/>
    </xf>
    <xf numFmtId="1" fontId="7" fillId="0" borderId="9" xfId="0" applyNumberFormat="1" applyFont="1" applyBorder="1" applyAlignment="1">
      <alignment horizontal="left" vertical="center"/>
    </xf>
    <xf numFmtId="169" fontId="7" fillId="0" borderId="0" xfId="0" applyNumberFormat="1" applyFont="1" applyAlignment="1">
      <alignment horizontal="left" vertical="center"/>
    </xf>
    <xf numFmtId="0" fontId="7" fillId="0" borderId="59" xfId="0" applyFont="1" applyBorder="1" applyAlignment="1">
      <alignment horizontal="left" vertical="center"/>
    </xf>
    <xf numFmtId="0" fontId="7" fillId="0" borderId="70" xfId="0" applyFont="1" applyBorder="1" applyAlignment="1">
      <alignment vertical="center"/>
    </xf>
    <xf numFmtId="0" fontId="7" fillId="0" borderId="26" xfId="0" applyFont="1" applyBorder="1" applyAlignment="1">
      <alignment vertical="center"/>
    </xf>
    <xf numFmtId="0" fontId="7" fillId="0" borderId="23" xfId="0" applyFont="1" applyBorder="1" applyAlignment="1">
      <alignment vertical="center"/>
    </xf>
    <xf numFmtId="0" fontId="7" fillId="0" borderId="43" xfId="0" applyFont="1" applyBorder="1" applyAlignment="1">
      <alignment vertical="center"/>
    </xf>
    <xf numFmtId="0" fontId="7" fillId="0" borderId="28" xfId="0" applyFont="1" applyBorder="1" applyAlignment="1">
      <alignment vertical="center"/>
    </xf>
    <xf numFmtId="0" fontId="7" fillId="0" borderId="45" xfId="0" applyFont="1" applyBorder="1" applyAlignment="1">
      <alignment vertical="center"/>
    </xf>
    <xf numFmtId="171" fontId="7" fillId="0" borderId="9" xfId="0" applyNumberFormat="1" applyFont="1" applyBorder="1" applyAlignment="1">
      <alignment horizontal="left" vertical="center"/>
    </xf>
    <xf numFmtId="172" fontId="7" fillId="0" borderId="9" xfId="0" applyNumberFormat="1" applyFont="1" applyBorder="1" applyAlignment="1">
      <alignment horizontal="left" vertical="center"/>
    </xf>
    <xf numFmtId="169" fontId="7" fillId="0" borderId="20" xfId="0" applyNumberFormat="1" applyFont="1" applyBorder="1" applyAlignment="1">
      <alignment horizontal="left" vertical="center"/>
    </xf>
    <xf numFmtId="169" fontId="7" fillId="0" borderId="7" xfId="0" applyNumberFormat="1" applyFont="1" applyBorder="1" applyAlignment="1">
      <alignment horizontal="left" vertical="center"/>
    </xf>
    <xf numFmtId="169" fontId="7" fillId="0" borderId="48" xfId="0" applyNumberFormat="1" applyFont="1" applyBorder="1" applyAlignment="1">
      <alignment horizontal="left" vertical="center"/>
    </xf>
    <xf numFmtId="169" fontId="7" fillId="0" borderId="2" xfId="0" applyNumberFormat="1" applyFont="1" applyBorder="1" applyAlignment="1">
      <alignment horizontal="left" vertical="center"/>
    </xf>
    <xf numFmtId="169" fontId="7" fillId="0" borderId="3" xfId="0" applyNumberFormat="1" applyFont="1" applyBorder="1" applyAlignment="1">
      <alignment horizontal="left" vertical="center"/>
    </xf>
    <xf numFmtId="2" fontId="7" fillId="0" borderId="20" xfId="0" applyNumberFormat="1" applyFont="1" applyBorder="1" applyAlignment="1">
      <alignment horizontal="left" vertical="center"/>
    </xf>
    <xf numFmtId="2" fontId="7" fillId="0" borderId="7" xfId="0" applyNumberFormat="1" applyFont="1" applyBorder="1" applyAlignment="1">
      <alignment horizontal="left" vertical="center"/>
    </xf>
    <xf numFmtId="2" fontId="7" fillId="0" borderId="48" xfId="0" applyNumberFormat="1" applyFont="1" applyBorder="1" applyAlignment="1">
      <alignment horizontal="left" vertical="center"/>
    </xf>
    <xf numFmtId="0" fontId="6" fillId="15" borderId="40" xfId="41" applyFont="1" applyFill="1" applyBorder="1" applyAlignment="1">
      <alignment horizontal="center" vertical="center" wrapText="1"/>
    </xf>
    <xf numFmtId="0" fontId="6" fillId="15" borderId="41" xfId="41" applyFont="1" applyFill="1" applyBorder="1" applyAlignment="1">
      <alignment horizontal="center" vertical="center" wrapText="1"/>
    </xf>
    <xf numFmtId="0" fontId="7" fillId="15" borderId="49" xfId="41" applyFont="1" applyFill="1" applyBorder="1" applyAlignment="1">
      <alignment horizontal="center" vertical="center" wrapText="1"/>
    </xf>
    <xf numFmtId="0" fontId="7" fillId="15" borderId="50" xfId="41" applyFont="1" applyFill="1" applyBorder="1" applyAlignment="1">
      <alignment horizontal="center" vertical="center" wrapText="1"/>
    </xf>
    <xf numFmtId="0" fontId="7" fillId="15" borderId="51" xfId="41" applyFont="1" applyFill="1" applyBorder="1" applyAlignment="1">
      <alignment horizontal="center" vertical="center" wrapText="1"/>
    </xf>
    <xf numFmtId="0" fontId="6" fillId="15" borderId="18" xfId="41" applyFont="1" applyFill="1" applyBorder="1" applyAlignment="1">
      <alignment horizontal="center" vertical="center"/>
    </xf>
    <xf numFmtId="0" fontId="6" fillId="15" borderId="68" xfId="41" applyFont="1" applyFill="1" applyBorder="1" applyAlignment="1">
      <alignment horizontal="center" vertical="center"/>
    </xf>
    <xf numFmtId="0" fontId="6" fillId="15" borderId="40" xfId="41" applyFont="1" applyFill="1" applyBorder="1" applyAlignment="1">
      <alignment horizontal="center" vertical="center"/>
    </xf>
    <xf numFmtId="0" fontId="6" fillId="15" borderId="41" xfId="41" applyFont="1" applyFill="1" applyBorder="1" applyAlignment="1">
      <alignment horizontal="center" vertical="center"/>
    </xf>
    <xf numFmtId="0" fontId="7" fillId="14" borderId="38" xfId="43" applyFont="1" applyFill="1" applyBorder="1" applyAlignment="1">
      <alignment horizontal="center" vertical="center" wrapText="1"/>
    </xf>
    <xf numFmtId="0" fontId="7" fillId="14" borderId="36" xfId="43" applyFont="1" applyFill="1" applyBorder="1" applyAlignment="1">
      <alignment horizontal="center" vertical="center" wrapText="1"/>
    </xf>
    <xf numFmtId="0" fontId="7" fillId="14" borderId="37" xfId="43" applyFont="1" applyFill="1" applyBorder="1" applyAlignment="1">
      <alignment horizontal="center" vertical="center" wrapText="1"/>
    </xf>
    <xf numFmtId="0" fontId="7" fillId="14" borderId="3" xfId="44" applyFont="1" applyFill="1" applyBorder="1" applyAlignment="1">
      <alignment horizontal="center" vertical="center" wrapText="1"/>
    </xf>
    <xf numFmtId="0" fontId="7" fillId="14" borderId="7" xfId="44" applyFont="1" applyFill="1" applyBorder="1" applyAlignment="1">
      <alignment horizontal="center" vertical="center" wrapText="1"/>
    </xf>
    <xf numFmtId="0" fontId="7" fillId="14" borderId="48" xfId="44" applyFont="1" applyFill="1" applyBorder="1" applyAlignment="1">
      <alignment horizontal="center" vertical="center" wrapText="1"/>
    </xf>
    <xf numFmtId="0" fontId="6" fillId="15" borderId="52" xfId="41" applyFont="1" applyFill="1" applyBorder="1" applyAlignment="1">
      <alignment horizontal="center" vertical="center"/>
    </xf>
    <xf numFmtId="0" fontId="6" fillId="15" borderId="69" xfId="41" applyFont="1" applyFill="1" applyBorder="1" applyAlignment="1">
      <alignment horizontal="center" vertical="center"/>
    </xf>
    <xf numFmtId="0" fontId="7" fillId="14" borderId="4" xfId="42" applyFont="1" applyFill="1" applyBorder="1" applyAlignment="1">
      <alignment horizontal="center" vertical="center" wrapText="1"/>
    </xf>
    <xf numFmtId="0" fontId="7" fillId="14" borderId="33" xfId="42" applyFont="1" applyFill="1" applyBorder="1" applyAlignment="1">
      <alignment horizontal="center" vertical="center" wrapText="1"/>
    </xf>
    <xf numFmtId="0" fontId="7" fillId="14" borderId="34" xfId="42" applyFont="1" applyFill="1" applyBorder="1" applyAlignment="1">
      <alignment horizontal="center" vertical="center" wrapText="1"/>
    </xf>
    <xf numFmtId="0" fontId="7" fillId="14" borderId="38" xfId="45" applyFont="1" applyFill="1" applyBorder="1" applyAlignment="1">
      <alignment horizontal="center" vertical="center" wrapText="1"/>
    </xf>
    <xf numFmtId="0" fontId="7" fillId="14" borderId="36" xfId="45" applyFont="1" applyFill="1" applyBorder="1" applyAlignment="1">
      <alignment horizontal="center" vertical="center" wrapText="1"/>
    </xf>
    <xf numFmtId="0" fontId="7" fillId="14" borderId="37" xfId="45" applyFont="1" applyFill="1" applyBorder="1" applyAlignment="1">
      <alignment horizontal="center" vertical="center" wrapText="1"/>
    </xf>
    <xf numFmtId="0" fontId="7" fillId="0" borderId="46" xfId="0" applyFont="1" applyBorder="1" applyAlignment="1">
      <alignment vertical="center"/>
    </xf>
    <xf numFmtId="0" fontId="7" fillId="0" borderId="50" xfId="0" applyFont="1" applyBorder="1" applyAlignment="1">
      <alignment vertical="center"/>
    </xf>
    <xf numFmtId="2" fontId="7" fillId="0" borderId="50" xfId="0" applyNumberFormat="1" applyFont="1" applyBorder="1" applyAlignment="1">
      <alignment horizontal="left" vertical="center"/>
    </xf>
    <xf numFmtId="2" fontId="7" fillId="0" borderId="2" xfId="0" applyNumberFormat="1" applyFont="1" applyBorder="1" applyAlignment="1">
      <alignment horizontal="left" vertical="center"/>
    </xf>
    <xf numFmtId="2" fontId="7" fillId="0" borderId="19" xfId="0" applyNumberFormat="1" applyFont="1" applyBorder="1" applyAlignment="1">
      <alignment horizontal="left" vertical="center"/>
    </xf>
    <xf numFmtId="2" fontId="7" fillId="0" borderId="72" xfId="0" applyNumberFormat="1" applyFont="1" applyBorder="1" applyAlignment="1">
      <alignment horizontal="left" vertical="center"/>
    </xf>
    <xf numFmtId="169" fontId="7" fillId="0" borderId="6" xfId="0" applyNumberFormat="1" applyFont="1" applyBorder="1" applyAlignment="1">
      <alignment horizontal="left" vertical="center"/>
    </xf>
    <xf numFmtId="0" fontId="7" fillId="0" borderId="25" xfId="0" applyFont="1" applyBorder="1" applyAlignment="1">
      <alignment vertical="center"/>
    </xf>
    <xf numFmtId="0" fontId="7" fillId="0" borderId="27" xfId="0" applyFont="1" applyBorder="1" applyAlignment="1">
      <alignment vertical="center"/>
    </xf>
    <xf numFmtId="0" fontId="7" fillId="0" borderId="30" xfId="0" applyFont="1" applyBorder="1" applyAlignment="1">
      <alignment vertical="center"/>
    </xf>
    <xf numFmtId="0" fontId="7" fillId="0" borderId="44" xfId="0" applyFont="1" applyBorder="1" applyAlignment="1">
      <alignment vertical="center"/>
    </xf>
    <xf numFmtId="0" fontId="7" fillId="0" borderId="71" xfId="0" applyFont="1" applyBorder="1" applyAlignment="1">
      <alignment vertical="center"/>
    </xf>
    <xf numFmtId="2" fontId="7" fillId="0" borderId="20" xfId="0" applyNumberFormat="1" applyFont="1" applyBorder="1" applyAlignment="1">
      <alignment horizontal="center" vertical="center"/>
    </xf>
    <xf numFmtId="2" fontId="7" fillId="0" borderId="7" xfId="0" applyNumberFormat="1" applyFont="1" applyBorder="1" applyAlignment="1">
      <alignment horizontal="center" vertical="center"/>
    </xf>
    <xf numFmtId="2" fontId="7" fillId="0" borderId="48" xfId="0" applyNumberFormat="1" applyFont="1" applyBorder="1" applyAlignment="1">
      <alignment horizontal="center" vertical="center"/>
    </xf>
    <xf numFmtId="2" fontId="7" fillId="0" borderId="2" xfId="0" applyNumberFormat="1" applyFont="1" applyBorder="1" applyAlignment="1">
      <alignment horizontal="center" vertical="center"/>
    </xf>
    <xf numFmtId="0" fontId="0" fillId="0" borderId="50" xfId="0" applyBorder="1" applyAlignment="1">
      <alignment horizontal="left" vertical="center"/>
    </xf>
    <xf numFmtId="0" fontId="0" fillId="0" borderId="19" xfId="0" applyBorder="1" applyAlignment="1">
      <alignment horizontal="left" vertical="center"/>
    </xf>
    <xf numFmtId="0" fontId="5" fillId="0" borderId="52" xfId="0" applyFont="1" applyBorder="1" applyAlignment="1">
      <alignment horizontal="left" vertical="center" wrapText="1"/>
    </xf>
    <xf numFmtId="0" fontId="0" fillId="0" borderId="51" xfId="0" applyBorder="1" applyAlignment="1">
      <alignment horizontal="left"/>
    </xf>
    <xf numFmtId="0" fontId="5" fillId="0" borderId="40" xfId="0" applyFont="1" applyBorder="1" applyAlignment="1">
      <alignment horizontal="left" vertical="center"/>
    </xf>
    <xf numFmtId="0" fontId="0" fillId="23" borderId="36" xfId="0" applyFill="1" applyBorder="1" applyAlignment="1">
      <alignment horizontal="left" vertical="center"/>
    </xf>
    <xf numFmtId="0" fontId="0" fillId="0" borderId="7" xfId="0" applyBorder="1"/>
    <xf numFmtId="169" fontId="0" fillId="0" borderId="7" xfId="0" applyNumberFormat="1" applyBorder="1" applyAlignment="1">
      <alignment horizontal="left" vertical="center"/>
    </xf>
    <xf numFmtId="1" fontId="0" fillId="0" borderId="36" xfId="0" applyNumberFormat="1" applyBorder="1" applyAlignment="1">
      <alignment horizontal="left" vertical="center"/>
    </xf>
    <xf numFmtId="0" fontId="0" fillId="0" borderId="9" xfId="0" applyBorder="1" applyAlignment="1">
      <alignment horizontal="left"/>
    </xf>
    <xf numFmtId="0" fontId="5" fillId="27" borderId="9" xfId="0" applyFont="1" applyFill="1" applyBorder="1"/>
    <xf numFmtId="0" fontId="7" fillId="0" borderId="64" xfId="0" applyFont="1" applyBorder="1" applyAlignment="1">
      <alignment horizontal="left" vertical="center"/>
    </xf>
    <xf numFmtId="0" fontId="7" fillId="0" borderId="9" xfId="0" applyFont="1" applyBorder="1"/>
    <xf numFmtId="49" fontId="7" fillId="0" borderId="36" xfId="0" quotePrefix="1" applyNumberFormat="1" applyFont="1" applyBorder="1" applyAlignment="1">
      <alignment horizontal="left" vertical="center"/>
    </xf>
    <xf numFmtId="173" fontId="0" fillId="0" borderId="9" xfId="0" applyNumberFormat="1" applyBorder="1" applyAlignment="1">
      <alignment horizontal="left" vertical="center"/>
    </xf>
    <xf numFmtId="0" fontId="5" fillId="29" borderId="9" xfId="0" applyFont="1" applyFill="1" applyBorder="1"/>
    <xf numFmtId="0" fontId="7" fillId="0" borderId="58" xfId="0" applyFont="1" applyBorder="1" applyAlignment="1">
      <alignment vertical="center"/>
    </xf>
    <xf numFmtId="0" fontId="7" fillId="0" borderId="59" xfId="0" applyFont="1" applyBorder="1" applyAlignment="1">
      <alignment vertical="center"/>
    </xf>
    <xf numFmtId="0" fontId="0" fillId="0" borderId="20" xfId="0" applyBorder="1"/>
    <xf numFmtId="0" fontId="0" fillId="0" borderId="48" xfId="0" applyBorder="1"/>
    <xf numFmtId="0" fontId="0" fillId="0" borderId="3" xfId="0" applyBorder="1"/>
    <xf numFmtId="0" fontId="0" fillId="0" borderId="2" xfId="0" applyBorder="1"/>
    <xf numFmtId="0" fontId="0" fillId="0" borderId="57" xfId="0" applyBorder="1"/>
    <xf numFmtId="0" fontId="0" fillId="17" borderId="72" xfId="0" applyFill="1" applyBorder="1"/>
    <xf numFmtId="0" fontId="7" fillId="17" borderId="50" xfId="0" applyFont="1" applyFill="1" applyBorder="1" applyAlignment="1">
      <alignment vertical="center"/>
    </xf>
    <xf numFmtId="0" fontId="0" fillId="0" borderId="5" xfId="0" applyBorder="1"/>
    <xf numFmtId="0" fontId="6" fillId="26" borderId="0" xfId="0" applyFont="1" applyFill="1" applyAlignment="1">
      <alignment horizontal="left" vertical="center"/>
    </xf>
    <xf numFmtId="2" fontId="5" fillId="0" borderId="0" xfId="0" applyNumberFormat="1" applyFont="1" applyAlignment="1">
      <alignment horizontal="left" vertical="center"/>
    </xf>
    <xf numFmtId="0" fontId="7" fillId="5" borderId="16" xfId="0" applyFont="1" applyFill="1" applyBorder="1" applyAlignment="1">
      <alignment horizontal="left" vertical="center"/>
    </xf>
    <xf numFmtId="0" fontId="7" fillId="5" borderId="31" xfId="0" applyFont="1" applyFill="1" applyBorder="1" applyAlignment="1">
      <alignment horizontal="left" vertical="center"/>
    </xf>
    <xf numFmtId="0" fontId="7" fillId="5" borderId="63" xfId="0" applyFont="1" applyFill="1" applyBorder="1" applyAlignment="1">
      <alignment horizontal="left" vertical="center"/>
    </xf>
    <xf numFmtId="0" fontId="7" fillId="5" borderId="3" xfId="0" applyFont="1" applyFill="1" applyBorder="1" applyAlignment="1">
      <alignment horizontal="left" vertical="center"/>
    </xf>
    <xf numFmtId="0" fontId="7" fillId="5" borderId="8" xfId="0" applyFont="1" applyFill="1" applyBorder="1" applyAlignment="1">
      <alignment horizontal="left" vertical="center"/>
    </xf>
    <xf numFmtId="0" fontId="7" fillId="5" borderId="0" xfId="0" applyFont="1" applyFill="1" applyAlignment="1">
      <alignment horizontal="left" vertical="center"/>
    </xf>
    <xf numFmtId="0" fontId="0" fillId="0" borderId="50" xfId="0" applyBorder="1" applyAlignment="1">
      <alignment horizontal="left"/>
    </xf>
    <xf numFmtId="0" fontId="0" fillId="0" borderId="72" xfId="0" applyBorder="1" applyAlignment="1">
      <alignment horizontal="left"/>
    </xf>
    <xf numFmtId="0" fontId="5" fillId="29" borderId="9" xfId="0" applyFont="1" applyFill="1" applyBorder="1" applyAlignment="1">
      <alignment horizontal="left" vertical="center"/>
    </xf>
    <xf numFmtId="173" fontId="0" fillId="25" borderId="9" xfId="0" applyNumberFormat="1" applyFill="1" applyBorder="1" applyAlignment="1">
      <alignment horizontal="left" vertical="center"/>
    </xf>
    <xf numFmtId="0" fontId="7" fillId="0" borderId="7" xfId="0" applyFont="1" applyBorder="1" applyAlignment="1">
      <alignment horizontal="left"/>
    </xf>
    <xf numFmtId="0" fontId="35" fillId="0" borderId="51" xfId="0" applyFont="1" applyBorder="1" applyAlignment="1">
      <alignment horizontal="left" vertical="center"/>
    </xf>
    <xf numFmtId="0" fontId="35" fillId="0" borderId="37" xfId="0" applyFont="1" applyBorder="1" applyAlignment="1">
      <alignment horizontal="left" vertical="center"/>
    </xf>
    <xf numFmtId="0" fontId="35" fillId="0" borderId="48" xfId="0" applyFont="1" applyBorder="1" applyAlignment="1">
      <alignment horizontal="left" vertical="center"/>
    </xf>
    <xf numFmtId="1" fontId="35" fillId="0" borderId="37" xfId="0" applyNumberFormat="1" applyFont="1" applyBorder="1" applyAlignment="1">
      <alignment horizontal="left" vertical="center"/>
    </xf>
    <xf numFmtId="0" fontId="35" fillId="0" borderId="28" xfId="0" applyFont="1" applyBorder="1" applyAlignment="1">
      <alignment vertical="center"/>
    </xf>
    <xf numFmtId="0" fontId="35" fillId="0" borderId="29" xfId="0" applyFont="1" applyBorder="1" applyAlignment="1">
      <alignment vertical="center"/>
    </xf>
    <xf numFmtId="0" fontId="7" fillId="0" borderId="21" xfId="0" applyFont="1" applyBorder="1" applyAlignment="1">
      <alignment horizontal="left" vertical="center"/>
    </xf>
    <xf numFmtId="1" fontId="7" fillId="0" borderId="19" xfId="0" applyNumberFormat="1" applyFont="1" applyBorder="1" applyAlignment="1">
      <alignment horizontal="left" vertical="center"/>
    </xf>
    <xf numFmtId="1" fontId="35" fillId="0" borderId="51" xfId="0" applyNumberFormat="1" applyFont="1" applyBorder="1" applyAlignment="1">
      <alignment horizontal="left" vertical="center"/>
    </xf>
    <xf numFmtId="0" fontId="35" fillId="0" borderId="60" xfId="0" applyFont="1" applyBorder="1" applyAlignment="1">
      <alignment vertical="center"/>
    </xf>
    <xf numFmtId="2" fontId="7" fillId="0" borderId="19" xfId="0" applyNumberFormat="1" applyFont="1" applyBorder="1" applyAlignment="1">
      <alignment horizontal="center" vertical="center"/>
    </xf>
    <xf numFmtId="0" fontId="7" fillId="0" borderId="39" xfId="0" applyFont="1" applyBorder="1" applyAlignment="1">
      <alignment horizontal="left" vertical="center"/>
    </xf>
    <xf numFmtId="0" fontId="7" fillId="0" borderId="64" xfId="0" applyFont="1" applyBorder="1" applyAlignment="1">
      <alignment vertical="center"/>
    </xf>
    <xf numFmtId="0" fontId="6" fillId="27" borderId="9" xfId="0" applyFont="1" applyFill="1" applyBorder="1" applyAlignment="1">
      <alignment horizontal="center" vertical="center"/>
    </xf>
    <xf numFmtId="0" fontId="6" fillId="27" borderId="9" xfId="0" applyFont="1" applyFill="1" applyBorder="1" applyAlignment="1">
      <alignment vertical="center"/>
    </xf>
    <xf numFmtId="0" fontId="19" fillId="0" borderId="0" xfId="37" applyFill="1" applyBorder="1" applyAlignment="1">
      <alignment horizontal="left" vertical="center"/>
    </xf>
    <xf numFmtId="0" fontId="5" fillId="27" borderId="9" xfId="0" applyFont="1" applyFill="1" applyBorder="1" applyAlignment="1">
      <alignment horizontal="center" vertical="center"/>
    </xf>
    <xf numFmtId="0" fontId="6" fillId="0" borderId="9" xfId="0" applyFont="1" applyBorder="1" applyAlignment="1">
      <alignment horizontal="left" vertical="center"/>
    </xf>
    <xf numFmtId="0" fontId="7" fillId="0" borderId="9" xfId="0" applyFont="1" applyBorder="1" applyAlignment="1">
      <alignment horizontal="center" vertical="center"/>
    </xf>
    <xf numFmtId="0" fontId="6" fillId="0" borderId="9" xfId="0" applyFont="1" applyBorder="1" applyAlignment="1">
      <alignment horizontal="center" vertical="center"/>
    </xf>
    <xf numFmtId="0" fontId="7" fillId="0" borderId="59" xfId="0" applyFont="1" applyBorder="1" applyAlignment="1">
      <alignment horizontal="center" vertical="center"/>
    </xf>
    <xf numFmtId="0" fontId="0" fillId="0" borderId="9" xfId="0" applyBorder="1" applyAlignment="1">
      <alignment horizontal="center" vertical="center"/>
    </xf>
    <xf numFmtId="0" fontId="5" fillId="27" borderId="16" xfId="0" applyFont="1" applyFill="1" applyBorder="1" applyAlignment="1">
      <alignment vertical="center"/>
    </xf>
    <xf numFmtId="0" fontId="7" fillId="17" borderId="50" xfId="0" applyFont="1" applyFill="1" applyBorder="1"/>
    <xf numFmtId="0" fontId="6" fillId="27" borderId="16" xfId="0" applyFont="1" applyFill="1" applyBorder="1" applyAlignment="1">
      <alignment horizontal="center" vertical="center"/>
    </xf>
    <xf numFmtId="0" fontId="7" fillId="0" borderId="36" xfId="0" applyFont="1" applyBorder="1"/>
    <xf numFmtId="0" fontId="5" fillId="27" borderId="31" xfId="0" applyFont="1" applyFill="1" applyBorder="1" applyAlignment="1">
      <alignment horizontal="center" vertical="center"/>
    </xf>
    <xf numFmtId="166" fontId="7" fillId="0" borderId="9" xfId="0" applyNumberFormat="1" applyFont="1" applyBorder="1" applyAlignment="1">
      <alignment horizontal="center" vertical="center"/>
    </xf>
    <xf numFmtId="0" fontId="19" fillId="0" borderId="0" xfId="37"/>
    <xf numFmtId="0" fontId="0" fillId="0" borderId="77" xfId="0" applyBorder="1"/>
    <xf numFmtId="0" fontId="0" fillId="0" borderId="78" xfId="0" applyBorder="1"/>
    <xf numFmtId="0" fontId="35" fillId="0" borderId="0" xfId="0" applyFont="1" applyAlignment="1">
      <alignment horizontal="left"/>
    </xf>
    <xf numFmtId="2" fontId="35" fillId="0" borderId="9" xfId="40" applyNumberFormat="1" applyFont="1" applyFill="1" applyBorder="1" applyAlignment="1">
      <alignment horizontal="left" vertical="center"/>
    </xf>
    <xf numFmtId="165" fontId="0" fillId="0" borderId="9" xfId="0" applyNumberFormat="1" applyBorder="1" applyAlignment="1">
      <alignment horizontal="center" vertical="center"/>
    </xf>
    <xf numFmtId="0" fontId="5" fillId="27" borderId="59" xfId="0" applyFont="1" applyFill="1" applyBorder="1" applyAlignment="1">
      <alignment horizontal="left" vertical="center"/>
    </xf>
    <xf numFmtId="2" fontId="0" fillId="24" borderId="9" xfId="0" applyNumberFormat="1" applyFill="1" applyBorder="1" applyAlignment="1">
      <alignment horizontal="left" vertical="center"/>
    </xf>
    <xf numFmtId="2" fontId="6" fillId="0" borderId="0" xfId="0" applyNumberFormat="1" applyFont="1" applyAlignment="1">
      <alignment horizontal="left" vertical="center"/>
    </xf>
    <xf numFmtId="0" fontId="19" fillId="0" borderId="0" xfId="37" applyBorder="1" applyAlignment="1">
      <alignment horizontal="left" vertical="center"/>
    </xf>
    <xf numFmtId="2" fontId="7" fillId="24" borderId="9" xfId="0" applyNumberFormat="1" applyFont="1" applyFill="1" applyBorder="1" applyAlignment="1">
      <alignment horizontal="left" vertical="center"/>
    </xf>
    <xf numFmtId="0" fontId="18" fillId="0" borderId="0" xfId="0" applyFont="1" applyAlignment="1">
      <alignment horizontal="left" vertical="center"/>
    </xf>
    <xf numFmtId="166" fontId="18" fillId="25" borderId="0" xfId="0" applyNumberFormat="1" applyFont="1" applyFill="1" applyAlignment="1">
      <alignment horizontal="left" vertical="center"/>
    </xf>
    <xf numFmtId="0" fontId="18" fillId="0" borderId="0" xfId="0" applyFont="1"/>
    <xf numFmtId="0" fontId="38" fillId="0" borderId="0" xfId="37" applyFont="1" applyBorder="1" applyAlignment="1">
      <alignment horizontal="left" vertical="center"/>
    </xf>
    <xf numFmtId="0" fontId="32" fillId="20" borderId="9" xfId="0" applyFont="1" applyFill="1" applyBorder="1" applyAlignment="1">
      <alignment vertical="center"/>
    </xf>
    <xf numFmtId="0" fontId="15" fillId="0" borderId="0" xfId="31"/>
    <xf numFmtId="9" fontId="0" fillId="0" borderId="0" xfId="47" applyFont="1"/>
    <xf numFmtId="0" fontId="0" fillId="0" borderId="31" xfId="0" applyBorder="1" applyAlignment="1">
      <alignment horizontal="center" vertical="center"/>
    </xf>
    <xf numFmtId="0" fontId="0" fillId="26" borderId="16" xfId="0" applyFill="1" applyBorder="1" applyAlignment="1">
      <alignment horizontal="center" vertical="center"/>
    </xf>
    <xf numFmtId="0" fontId="0" fillId="0" borderId="16" xfId="0" applyBorder="1" applyAlignment="1">
      <alignment horizontal="center" vertical="center"/>
    </xf>
    <xf numFmtId="0" fontId="19" fillId="0" borderId="64" xfId="37" applyFill="1" applyBorder="1" applyAlignment="1">
      <alignment horizontal="center" vertical="center"/>
    </xf>
    <xf numFmtId="0" fontId="19" fillId="0" borderId="65" xfId="37" applyFill="1" applyBorder="1" applyAlignment="1">
      <alignment horizontal="center" vertical="center"/>
    </xf>
    <xf numFmtId="11" fontId="0" fillId="0" borderId="9" xfId="0" applyNumberFormat="1" applyBorder="1" applyAlignment="1">
      <alignment horizontal="center" vertical="center"/>
    </xf>
    <xf numFmtId="0" fontId="12" fillId="0" borderId="0" xfId="29"/>
    <xf numFmtId="0" fontId="39" fillId="0" borderId="0" xfId="29" applyFont="1" applyAlignment="1">
      <alignment horizontal="left" vertical="center"/>
    </xf>
    <xf numFmtId="0" fontId="40" fillId="0" borderId="0" xfId="29" applyFont="1" applyAlignment="1">
      <alignment horizontal="left" vertical="center"/>
    </xf>
    <xf numFmtId="0" fontId="41" fillId="31" borderId="79" xfId="29" applyFont="1" applyFill="1" applyBorder="1" applyAlignment="1">
      <alignment horizontal="right" vertical="center"/>
    </xf>
    <xf numFmtId="0" fontId="39" fillId="32" borderId="79" xfId="29" applyFont="1" applyFill="1" applyBorder="1" applyAlignment="1">
      <alignment horizontal="left" vertical="center"/>
    </xf>
    <xf numFmtId="0" fontId="39" fillId="33" borderId="79" xfId="29" applyFont="1" applyFill="1" applyBorder="1" applyAlignment="1">
      <alignment horizontal="left" vertical="center"/>
    </xf>
    <xf numFmtId="0" fontId="12" fillId="34" borderId="0" xfId="29" applyFill="1"/>
    <xf numFmtId="3" fontId="40" fillId="0" borderId="0" xfId="29" applyNumberFormat="1" applyFont="1" applyAlignment="1">
      <alignment horizontal="right" vertical="center" shrinkToFit="1"/>
    </xf>
    <xf numFmtId="3" fontId="40" fillId="35" borderId="0" xfId="29" applyNumberFormat="1" applyFont="1" applyFill="1" applyAlignment="1">
      <alignment horizontal="right" vertical="center" shrinkToFit="1"/>
    </xf>
    <xf numFmtId="0" fontId="41" fillId="31" borderId="79" xfId="29" applyFont="1" applyFill="1" applyBorder="1" applyAlignment="1">
      <alignment vertical="center"/>
    </xf>
    <xf numFmtId="0" fontId="7" fillId="0" borderId="53" xfId="0" applyFont="1" applyBorder="1" applyAlignment="1">
      <alignment vertical="center"/>
    </xf>
    <xf numFmtId="3" fontId="40" fillId="35" borderId="0" xfId="0" applyNumberFormat="1" applyFont="1" applyFill="1" applyAlignment="1">
      <alignment horizontal="right" vertical="center" shrinkToFit="1"/>
    </xf>
    <xf numFmtId="3" fontId="40" fillId="0" borderId="0" xfId="0" applyNumberFormat="1" applyFont="1" applyAlignment="1">
      <alignment horizontal="right" vertical="center" shrinkToFit="1"/>
    </xf>
    <xf numFmtId="0" fontId="41" fillId="31" borderId="79" xfId="0" applyFont="1" applyFill="1" applyBorder="1" applyAlignment="1">
      <alignment vertical="center"/>
    </xf>
    <xf numFmtId="2" fontId="7" fillId="0" borderId="9" xfId="0" applyNumberFormat="1" applyFont="1" applyBorder="1" applyAlignment="1">
      <alignment horizontal="center" vertical="center"/>
    </xf>
    <xf numFmtId="0" fontId="8" fillId="0" borderId="67" xfId="0" applyFont="1" applyBorder="1" applyAlignment="1">
      <alignment horizontal="left" vertical="center"/>
    </xf>
    <xf numFmtId="2" fontId="0" fillId="0" borderId="0" xfId="0" applyNumberFormat="1"/>
    <xf numFmtId="2" fontId="0" fillId="25" borderId="59" xfId="0" applyNumberFormat="1" applyFill="1" applyBorder="1" applyAlignment="1">
      <alignment horizontal="left" vertical="center"/>
    </xf>
    <xf numFmtId="0" fontId="17" fillId="20" borderId="0" xfId="0" applyFont="1" applyFill="1"/>
    <xf numFmtId="0" fontId="0" fillId="28" borderId="13" xfId="0" applyFill="1" applyBorder="1" applyAlignment="1">
      <alignment horizontal="left" vertical="center"/>
    </xf>
    <xf numFmtId="0" fontId="7" fillId="26" borderId="16" xfId="0" applyFont="1" applyFill="1" applyBorder="1" applyAlignment="1">
      <alignment horizontal="left" vertical="center"/>
    </xf>
    <xf numFmtId="0" fontId="7" fillId="26" borderId="13" xfId="0" applyFont="1" applyFill="1" applyBorder="1" applyAlignment="1">
      <alignment horizontal="left" vertical="center"/>
    </xf>
    <xf numFmtId="2" fontId="0" fillId="0" borderId="59" xfId="0" applyNumberFormat="1" applyBorder="1" applyAlignment="1">
      <alignment horizontal="left" vertical="center"/>
    </xf>
    <xf numFmtId="0" fontId="14" fillId="37" borderId="0" xfId="49"/>
    <xf numFmtId="0" fontId="42" fillId="0" borderId="0" xfId="0" applyFont="1"/>
    <xf numFmtId="0" fontId="14" fillId="36" borderId="0" xfId="48"/>
    <xf numFmtId="2" fontId="14" fillId="36" borderId="0" xfId="48" applyNumberFormat="1"/>
    <xf numFmtId="1" fontId="7" fillId="0" borderId="3" xfId="0" applyNumberFormat="1" applyFont="1" applyBorder="1" applyAlignment="1">
      <alignment horizontal="left" vertical="center"/>
    </xf>
    <xf numFmtId="0" fontId="6" fillId="3" borderId="80" xfId="0" applyFont="1" applyFill="1" applyBorder="1" applyAlignment="1">
      <alignment horizontal="left" vertical="center"/>
    </xf>
    <xf numFmtId="0" fontId="6" fillId="3" borderId="81" xfId="0" applyFont="1" applyFill="1" applyBorder="1" applyAlignment="1">
      <alignment horizontal="left" vertical="center"/>
    </xf>
    <xf numFmtId="0" fontId="6" fillId="3" borderId="82" xfId="0" applyFont="1" applyFill="1" applyBorder="1" applyAlignment="1">
      <alignment horizontal="left" vertical="center"/>
    </xf>
    <xf numFmtId="0" fontId="6" fillId="4" borderId="40" xfId="0" applyFont="1" applyFill="1" applyBorder="1" applyAlignment="1">
      <alignment horizontal="left" vertical="center" wrapText="1"/>
    </xf>
    <xf numFmtId="49" fontId="6" fillId="16" borderId="52" xfId="0" applyNumberFormat="1" applyFont="1" applyFill="1" applyBorder="1" applyAlignment="1">
      <alignment horizontal="left" vertical="center"/>
    </xf>
    <xf numFmtId="2" fontId="7" fillId="0" borderId="16" xfId="0" applyNumberFormat="1" applyFont="1" applyBorder="1" applyAlignment="1">
      <alignment horizontal="center" vertical="center"/>
    </xf>
    <xf numFmtId="2" fontId="7" fillId="0" borderId="24" xfId="0" applyNumberFormat="1" applyFont="1" applyBorder="1" applyAlignment="1">
      <alignment horizontal="center" vertical="center"/>
    </xf>
    <xf numFmtId="2" fontId="7" fillId="0" borderId="25" xfId="0" applyNumberFormat="1" applyFont="1" applyBorder="1" applyAlignment="1">
      <alignment horizontal="center" vertical="center"/>
    </xf>
    <xf numFmtId="2" fontId="7" fillId="0" borderId="27"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2" fontId="7" fillId="0" borderId="49" xfId="0" applyNumberFormat="1" applyFont="1" applyBorder="1" applyAlignment="1">
      <alignment horizontal="center" vertical="center"/>
    </xf>
    <xf numFmtId="0" fontId="35" fillId="0" borderId="16" xfId="0" applyFont="1" applyBorder="1" applyAlignment="1">
      <alignment vertical="center"/>
    </xf>
    <xf numFmtId="2" fontId="7" fillId="0" borderId="71" xfId="0" applyNumberFormat="1" applyFont="1" applyBorder="1" applyAlignment="1">
      <alignment horizontal="center" vertical="center"/>
    </xf>
    <xf numFmtId="1" fontId="0" fillId="0" borderId="2" xfId="0" applyNumberFormat="1" applyBorder="1"/>
    <xf numFmtId="0" fontId="7" fillId="0" borderId="35" xfId="0" applyFont="1" applyBorder="1"/>
    <xf numFmtId="0" fontId="7" fillId="0" borderId="37" xfId="0" applyFont="1" applyBorder="1"/>
    <xf numFmtId="0" fontId="7" fillId="0" borderId="38" xfId="0" applyFont="1" applyBorder="1"/>
    <xf numFmtId="0" fontId="7" fillId="0" borderId="0" xfId="0" applyFont="1"/>
    <xf numFmtId="0" fontId="7" fillId="0" borderId="19" xfId="0" applyFont="1" applyBorder="1"/>
    <xf numFmtId="2" fontId="7" fillId="0" borderId="17" xfId="0" applyNumberFormat="1" applyFont="1" applyBorder="1" applyAlignment="1">
      <alignment horizontal="center" vertical="center"/>
    </xf>
    <xf numFmtId="2" fontId="7" fillId="0" borderId="47" xfId="0" applyNumberFormat="1" applyFont="1" applyBorder="1" applyAlignment="1">
      <alignment horizontal="center" vertical="center"/>
    </xf>
    <xf numFmtId="0" fontId="0" fillId="17" borderId="66" xfId="0" applyFill="1" applyBorder="1"/>
    <xf numFmtId="0" fontId="0" fillId="0" borderId="19" xfId="0" applyBorder="1" applyAlignment="1">
      <alignment horizontal="left"/>
    </xf>
    <xf numFmtId="0" fontId="0" fillId="0" borderId="66" xfId="0" applyBorder="1" applyAlignment="1">
      <alignment horizontal="left"/>
    </xf>
    <xf numFmtId="0" fontId="7" fillId="17" borderId="51" xfId="0" applyFont="1" applyFill="1" applyBorder="1" applyAlignment="1">
      <alignment vertical="center"/>
    </xf>
    <xf numFmtId="0" fontId="35" fillId="0" borderId="70" xfId="0" applyFont="1" applyBorder="1" applyAlignment="1">
      <alignment vertical="center"/>
    </xf>
    <xf numFmtId="2" fontId="6" fillId="4" borderId="19" xfId="0" applyNumberFormat="1" applyFont="1" applyFill="1" applyBorder="1" applyAlignment="1">
      <alignment horizontal="center" vertical="center"/>
    </xf>
    <xf numFmtId="2" fontId="7" fillId="0" borderId="50" xfId="0" applyNumberFormat="1" applyFont="1" applyBorder="1" applyAlignment="1">
      <alignment horizontal="center" vertical="center"/>
    </xf>
    <xf numFmtId="2" fontId="7" fillId="0" borderId="51" xfId="0" applyNumberFormat="1" applyFont="1" applyBorder="1" applyAlignment="1">
      <alignment horizontal="center" vertical="center"/>
    </xf>
    <xf numFmtId="0" fontId="6" fillId="38" borderId="35" xfId="0" applyFont="1" applyFill="1" applyBorder="1" applyAlignment="1">
      <alignment horizontal="left" vertical="center"/>
    </xf>
    <xf numFmtId="169" fontId="7" fillId="0" borderId="38" xfId="0" applyNumberFormat="1" applyFont="1" applyBorder="1" applyAlignment="1">
      <alignment horizontal="left" vertical="center"/>
    </xf>
    <xf numFmtId="169" fontId="0" fillId="0" borderId="35" xfId="0" applyNumberFormat="1" applyBorder="1"/>
    <xf numFmtId="169" fontId="0" fillId="0" borderId="36" xfId="0" applyNumberFormat="1" applyBorder="1"/>
    <xf numFmtId="169" fontId="0" fillId="0" borderId="57" xfId="0" applyNumberFormat="1" applyBorder="1"/>
    <xf numFmtId="1" fontId="0" fillId="0" borderId="20" xfId="0" applyNumberFormat="1" applyBorder="1"/>
    <xf numFmtId="1" fontId="0" fillId="0" borderId="7" xfId="0" applyNumberFormat="1" applyBorder="1"/>
    <xf numFmtId="2" fontId="6" fillId="4" borderId="18" xfId="0" applyNumberFormat="1" applyFont="1" applyFill="1" applyBorder="1" applyAlignment="1">
      <alignment horizontal="center" vertical="center"/>
    </xf>
    <xf numFmtId="0" fontId="35" fillId="0" borderId="71" xfId="0" applyFont="1" applyBorder="1" applyAlignment="1">
      <alignment vertical="center"/>
    </xf>
    <xf numFmtId="0" fontId="43" fillId="39" borderId="0" xfId="0" applyFont="1" applyFill="1" applyAlignment="1">
      <alignment horizontal="left" vertical="center"/>
    </xf>
    <xf numFmtId="0" fontId="27" fillId="40" borderId="9" xfId="0" applyFont="1" applyFill="1" applyBorder="1" applyAlignment="1">
      <alignment horizontal="left" vertical="top"/>
    </xf>
    <xf numFmtId="0" fontId="27" fillId="0" borderId="0" xfId="0" applyFont="1"/>
    <xf numFmtId="0" fontId="27" fillId="0" borderId="0" xfId="0" applyFont="1" applyAlignment="1">
      <alignment horizontal="left"/>
    </xf>
    <xf numFmtId="0" fontId="44" fillId="39" borderId="9" xfId="0" applyFont="1" applyFill="1" applyBorder="1" applyAlignment="1">
      <alignment horizontal="center" vertical="center"/>
    </xf>
    <xf numFmtId="0" fontId="32" fillId="20" borderId="7" xfId="0" applyFont="1" applyFill="1" applyBorder="1" applyAlignment="1">
      <alignment horizontal="left" vertical="center"/>
    </xf>
    <xf numFmtId="0" fontId="32" fillId="20" borderId="13" xfId="0" applyFont="1" applyFill="1" applyBorder="1" applyAlignment="1">
      <alignment horizontal="left" vertical="center"/>
    </xf>
    <xf numFmtId="0" fontId="7" fillId="5" borderId="2" xfId="0" applyFont="1" applyFill="1" applyBorder="1" applyAlignment="1">
      <alignment horizontal="left" vertical="center"/>
    </xf>
    <xf numFmtId="0" fontId="7" fillId="5" borderId="10" xfId="0" applyFont="1" applyFill="1" applyBorder="1" applyAlignment="1">
      <alignment horizontal="left" vertical="center"/>
    </xf>
    <xf numFmtId="0" fontId="7" fillId="42" borderId="9" xfId="0" applyFont="1" applyFill="1" applyBorder="1" applyAlignment="1">
      <alignment horizontal="left" vertical="center"/>
    </xf>
    <xf numFmtId="170" fontId="0" fillId="0" borderId="0" xfId="0" applyNumberFormat="1"/>
    <xf numFmtId="9" fontId="23" fillId="9" borderId="12" xfId="40" applyNumberFormat="1"/>
    <xf numFmtId="11" fontId="23" fillId="9" borderId="12" xfId="40" applyNumberFormat="1"/>
    <xf numFmtId="0" fontId="45" fillId="20" borderId="0" xfId="0" applyFont="1" applyFill="1"/>
    <xf numFmtId="0" fontId="0" fillId="20" borderId="0" xfId="0" applyFill="1" applyAlignment="1">
      <alignment vertical="center"/>
    </xf>
    <xf numFmtId="11" fontId="0" fillId="44" borderId="9" xfId="0" applyNumberFormat="1" applyFill="1" applyBorder="1"/>
    <xf numFmtId="0" fontId="15" fillId="41" borderId="0" xfId="50"/>
    <xf numFmtId="0" fontId="17" fillId="41" borderId="0" xfId="50" applyFont="1"/>
    <xf numFmtId="0" fontId="0" fillId="27" borderId="9" xfId="0" applyFill="1" applyBorder="1"/>
    <xf numFmtId="0" fontId="0" fillId="26" borderId="9" xfId="0" applyFill="1" applyBorder="1"/>
    <xf numFmtId="9" fontId="5" fillId="27" borderId="9" xfId="0" applyNumberFormat="1" applyFont="1" applyFill="1" applyBorder="1"/>
    <xf numFmtId="0" fontId="0" fillId="24" borderId="9" xfId="0" applyFill="1" applyBorder="1"/>
    <xf numFmtId="10" fontId="0" fillId="24" borderId="9" xfId="47" applyNumberFormat="1" applyFont="1" applyFill="1" applyBorder="1"/>
    <xf numFmtId="170" fontId="0" fillId="24" borderId="9" xfId="47" applyNumberFormat="1" applyFont="1" applyFill="1" applyBorder="1"/>
    <xf numFmtId="10" fontId="0" fillId="24" borderId="9" xfId="0" applyNumberFormat="1" applyFill="1" applyBorder="1"/>
    <xf numFmtId="0" fontId="6" fillId="43" borderId="9" xfId="0" applyFont="1" applyFill="1" applyBorder="1"/>
    <xf numFmtId="0" fontId="0" fillId="26" borderId="9" xfId="0" applyFill="1" applyBorder="1" applyAlignment="1">
      <alignment horizontal="right"/>
    </xf>
    <xf numFmtId="0" fontId="5" fillId="27" borderId="9" xfId="0" applyFont="1" applyFill="1" applyBorder="1" applyAlignment="1">
      <alignment horizontal="right"/>
    </xf>
    <xf numFmtId="11" fontId="0" fillId="24" borderId="9" xfId="0" applyNumberFormat="1" applyFill="1" applyBorder="1"/>
    <xf numFmtId="1" fontId="0" fillId="24" borderId="9" xfId="0" applyNumberFormat="1" applyFill="1" applyBorder="1"/>
    <xf numFmtId="9" fontId="0" fillId="0" borderId="9" xfId="47" applyFont="1" applyBorder="1"/>
    <xf numFmtId="9" fontId="0" fillId="0" borderId="9" xfId="0" applyNumberFormat="1" applyBorder="1"/>
    <xf numFmtId="11" fontId="0" fillId="0" borderId="9" xfId="0" applyNumberFormat="1" applyBorder="1"/>
    <xf numFmtId="11" fontId="5" fillId="0" borderId="0" xfId="0" applyNumberFormat="1" applyFont="1"/>
    <xf numFmtId="0" fontId="0" fillId="0" borderId="59" xfId="0" applyBorder="1" applyAlignment="1">
      <alignment horizontal="left" vertical="center"/>
    </xf>
    <xf numFmtId="11" fontId="7" fillId="0" borderId="38" xfId="0" applyNumberFormat="1" applyFont="1" applyBorder="1" applyAlignment="1">
      <alignment horizontal="left" vertical="center"/>
    </xf>
    <xf numFmtId="11" fontId="7" fillId="0" borderId="49" xfId="0" applyNumberFormat="1" applyFont="1" applyBorder="1" applyAlignment="1">
      <alignment horizontal="left" vertical="center"/>
    </xf>
    <xf numFmtId="2" fontId="6" fillId="0" borderId="17" xfId="0" applyNumberFormat="1" applyFont="1" applyBorder="1" applyAlignment="1">
      <alignment horizontal="center" vertical="center"/>
    </xf>
    <xf numFmtId="0" fontId="7" fillId="17" borderId="19" xfId="0" applyFont="1" applyFill="1" applyBorder="1" applyAlignment="1">
      <alignment vertical="center"/>
    </xf>
    <xf numFmtId="0" fontId="7" fillId="17" borderId="50" xfId="0" applyFont="1" applyFill="1" applyBorder="1" applyAlignment="1">
      <alignment horizontal="left" vertical="center"/>
    </xf>
    <xf numFmtId="0" fontId="7" fillId="0" borderId="50" xfId="0" applyFont="1" applyBorder="1"/>
    <xf numFmtId="2" fontId="7" fillId="0" borderId="35" xfId="0" applyNumberFormat="1" applyFont="1" applyBorder="1" applyAlignment="1">
      <alignment horizontal="center" vertical="center"/>
    </xf>
    <xf numFmtId="2" fontId="7" fillId="0" borderId="32" xfId="0" applyNumberFormat="1" applyFont="1" applyBorder="1" applyAlignment="1">
      <alignment horizontal="center" vertical="center"/>
    </xf>
    <xf numFmtId="0" fontId="5" fillId="27" borderId="31" xfId="0" applyFont="1" applyFill="1" applyBorder="1" applyAlignment="1">
      <alignment horizontal="left" vertical="center"/>
    </xf>
    <xf numFmtId="0" fontId="5" fillId="27" borderId="16" xfId="0" applyFont="1" applyFill="1" applyBorder="1" applyAlignment="1">
      <alignment horizontal="left" vertical="center"/>
    </xf>
    <xf numFmtId="0" fontId="7" fillId="0" borderId="21" xfId="0" applyFont="1" applyBorder="1"/>
    <xf numFmtId="0" fontId="0" fillId="0" borderId="27" xfId="0" applyBorder="1"/>
    <xf numFmtId="0" fontId="0" fillId="0" borderId="30" xfId="0" applyBorder="1"/>
    <xf numFmtId="0" fontId="0" fillId="0" borderId="68" xfId="0" applyBorder="1"/>
    <xf numFmtId="0" fontId="7" fillId="0" borderId="5" xfId="0" applyFont="1" applyBorder="1" applyAlignment="1">
      <alignment horizontal="left" vertical="center"/>
    </xf>
    <xf numFmtId="2" fontId="7" fillId="0" borderId="40" xfId="0" applyNumberFormat="1" applyFont="1" applyBorder="1" applyAlignment="1">
      <alignment horizontal="center" vertical="center"/>
    </xf>
    <xf numFmtId="0" fontId="5" fillId="27" borderId="31" xfId="0" applyFont="1" applyFill="1" applyBorder="1"/>
    <xf numFmtId="0" fontId="46" fillId="8" borderId="9" xfId="51" applyBorder="1"/>
    <xf numFmtId="0" fontId="0" fillId="0" borderId="0" xfId="47" applyNumberFormat="1" applyFont="1"/>
    <xf numFmtId="0" fontId="14" fillId="36" borderId="0" xfId="48" applyNumberFormat="1"/>
    <xf numFmtId="0" fontId="27" fillId="40" borderId="0" xfId="0" applyFont="1" applyFill="1" applyAlignment="1">
      <alignment horizontal="left" vertical="top"/>
    </xf>
    <xf numFmtId="0" fontId="5" fillId="27" borderId="65" xfId="0" applyFont="1" applyFill="1" applyBorder="1" applyAlignment="1">
      <alignment vertical="center"/>
    </xf>
    <xf numFmtId="0" fontId="6" fillId="27" borderId="31" xfId="0" applyFont="1" applyFill="1" applyBorder="1" applyAlignment="1">
      <alignment horizontal="left" vertical="center"/>
    </xf>
    <xf numFmtId="0" fontId="0" fillId="0" borderId="20" xfId="0" applyBorder="1" applyAlignment="1">
      <alignment horizontal="left" vertical="center"/>
    </xf>
    <xf numFmtId="0" fontId="0" fillId="0" borderId="7" xfId="0" applyBorder="1" applyAlignment="1">
      <alignment horizontal="left" vertical="center"/>
    </xf>
    <xf numFmtId="0" fontId="0" fillId="0" borderId="48" xfId="0" applyBorder="1" applyAlignment="1">
      <alignment horizontal="left" vertical="center"/>
    </xf>
    <xf numFmtId="2" fontId="0" fillId="0" borderId="35" xfId="0" applyNumberFormat="1" applyBorder="1"/>
    <xf numFmtId="2" fontId="0" fillId="0" borderId="36" xfId="0" applyNumberFormat="1" applyBorder="1"/>
    <xf numFmtId="2" fontId="0" fillId="0" borderId="37" xfId="0" applyNumberFormat="1" applyBorder="1"/>
    <xf numFmtId="0" fontId="0" fillId="0" borderId="35" xfId="0" applyBorder="1" applyAlignment="1">
      <alignment vertical="center"/>
    </xf>
    <xf numFmtId="0" fontId="0" fillId="0" borderId="36" xfId="0" applyBorder="1" applyAlignment="1">
      <alignment vertical="center"/>
    </xf>
    <xf numFmtId="0" fontId="0" fillId="0" borderId="37" xfId="0" applyBorder="1" applyAlignment="1">
      <alignment vertical="center"/>
    </xf>
    <xf numFmtId="0" fontId="0" fillId="0" borderId="20" xfId="0" applyBorder="1" applyAlignment="1">
      <alignment vertical="center"/>
    </xf>
    <xf numFmtId="0" fontId="0" fillId="0" borderId="7" xfId="0" applyBorder="1" applyAlignment="1">
      <alignment vertical="center"/>
    </xf>
    <xf numFmtId="0" fontId="19" fillId="0" borderId="7" xfId="37" applyBorder="1" applyAlignment="1">
      <alignment vertical="center"/>
    </xf>
    <xf numFmtId="0" fontId="47" fillId="0" borderId="65" xfId="0" applyFont="1" applyBorder="1" applyAlignment="1">
      <alignment vertical="center"/>
    </xf>
    <xf numFmtId="0" fontId="48" fillId="0" borderId="67" xfId="0" applyFont="1" applyBorder="1" applyAlignment="1">
      <alignment horizontal="left" vertical="center"/>
    </xf>
    <xf numFmtId="0" fontId="37" fillId="0" borderId="73" xfId="0" applyFont="1" applyBorder="1" applyAlignment="1">
      <alignment horizontal="left" vertical="center"/>
    </xf>
    <xf numFmtId="0" fontId="0" fillId="5" borderId="0" xfId="0" applyFill="1"/>
    <xf numFmtId="0" fontId="0" fillId="0" borderId="1" xfId="0" applyBorder="1"/>
    <xf numFmtId="0" fontId="7" fillId="5" borderId="66" xfId="0" applyFont="1" applyFill="1" applyBorder="1" applyAlignment="1">
      <alignment vertical="center"/>
    </xf>
    <xf numFmtId="0" fontId="7" fillId="5" borderId="0" xfId="0" applyFont="1" applyFill="1" applyAlignment="1">
      <alignment vertical="center"/>
    </xf>
    <xf numFmtId="0" fontId="7" fillId="5" borderId="67" xfId="0" applyFont="1" applyFill="1" applyBorder="1" applyAlignment="1">
      <alignment vertical="center"/>
    </xf>
    <xf numFmtId="2" fontId="7" fillId="5" borderId="66" xfId="0" applyNumberFormat="1" applyFont="1" applyFill="1" applyBorder="1" applyAlignment="1">
      <alignment vertical="center"/>
    </xf>
    <xf numFmtId="2" fontId="7" fillId="5" borderId="67" xfId="0" applyNumberFormat="1" applyFont="1" applyFill="1" applyBorder="1" applyAlignment="1">
      <alignment vertical="center"/>
    </xf>
    <xf numFmtId="0" fontId="8" fillId="0" borderId="0" xfId="0" applyFont="1" applyAlignment="1">
      <alignment vertical="center"/>
    </xf>
    <xf numFmtId="165" fontId="49" fillId="0" borderId="0" xfId="0" applyNumberFormat="1" applyFont="1"/>
    <xf numFmtId="0" fontId="7" fillId="0" borderId="66" xfId="0" applyFont="1" applyBorder="1" applyAlignment="1">
      <alignment vertical="center"/>
    </xf>
    <xf numFmtId="0" fontId="7" fillId="0" borderId="67" xfId="0" applyFont="1" applyBorder="1" applyAlignment="1">
      <alignment vertical="center"/>
    </xf>
    <xf numFmtId="165" fontId="0" fillId="0" borderId="0" xfId="0" applyNumberFormat="1"/>
    <xf numFmtId="2" fontId="7" fillId="0" borderId="66" xfId="0" applyNumberFormat="1" applyFont="1" applyBorder="1" applyAlignment="1">
      <alignment vertical="center"/>
    </xf>
    <xf numFmtId="2" fontId="7" fillId="0" borderId="67" xfId="0" applyNumberFormat="1" applyFont="1" applyBorder="1" applyAlignment="1">
      <alignment vertical="center"/>
    </xf>
    <xf numFmtId="0" fontId="50" fillId="0" borderId="73" xfId="0" applyFont="1" applyBorder="1" applyAlignment="1">
      <alignment horizontal="left" vertical="center"/>
    </xf>
    <xf numFmtId="0" fontId="8" fillId="0" borderId="0" xfId="0" applyFont="1"/>
    <xf numFmtId="0" fontId="47" fillId="0" borderId="0" xfId="0" applyFont="1" applyAlignment="1">
      <alignment vertical="center"/>
    </xf>
    <xf numFmtId="0" fontId="51" fillId="0" borderId="73" xfId="0" applyFont="1" applyBorder="1" applyAlignment="1">
      <alignment horizontal="left" vertical="center"/>
    </xf>
    <xf numFmtId="0" fontId="52" fillId="0" borderId="73" xfId="0" applyFont="1" applyBorder="1" applyAlignment="1">
      <alignment horizontal="left" vertical="center"/>
    </xf>
    <xf numFmtId="0" fontId="47" fillId="0" borderId="43" xfId="0" applyFont="1" applyBorder="1" applyAlignment="1">
      <alignment horizontal="left" vertical="center"/>
    </xf>
    <xf numFmtId="0" fontId="47" fillId="0" borderId="63" xfId="0" applyFont="1" applyBorder="1" applyAlignment="1">
      <alignment vertical="center"/>
    </xf>
    <xf numFmtId="0" fontId="48" fillId="0" borderId="4" xfId="0" applyFont="1" applyBorder="1" applyAlignment="1">
      <alignment horizontal="left" vertical="center"/>
    </xf>
    <xf numFmtId="0" fontId="8" fillId="0" borderId="3" xfId="0" applyFont="1" applyBorder="1" applyAlignment="1">
      <alignment vertical="center"/>
    </xf>
    <xf numFmtId="0" fontId="0" fillId="0" borderId="3" xfId="0" applyBorder="1" applyAlignment="1">
      <alignment vertical="center"/>
    </xf>
    <xf numFmtId="11" fontId="0" fillId="0" borderId="0" xfId="0" applyNumberFormat="1" applyAlignment="1">
      <alignment horizontal="left" vertical="center"/>
    </xf>
    <xf numFmtId="169" fontId="0" fillId="24" borderId="7" xfId="0" applyNumberFormat="1" applyFill="1" applyBorder="1" applyAlignment="1">
      <alignment horizontal="left" vertical="center"/>
    </xf>
    <xf numFmtId="0" fontId="43" fillId="39" borderId="9" xfId="0" applyFont="1" applyFill="1" applyBorder="1" applyAlignment="1">
      <alignment horizontal="center" vertical="center" wrapText="1"/>
    </xf>
    <xf numFmtId="0" fontId="55" fillId="45" borderId="55" xfId="0" applyFont="1" applyFill="1" applyBorder="1" applyAlignment="1">
      <alignment horizontal="center" vertical="center"/>
    </xf>
    <xf numFmtId="0" fontId="55" fillId="45" borderId="54" xfId="0" applyFont="1" applyFill="1" applyBorder="1" applyAlignment="1">
      <alignment horizontal="center" vertical="center"/>
    </xf>
    <xf numFmtId="0" fontId="55" fillId="45" borderId="45" xfId="0" applyFont="1" applyFill="1" applyBorder="1" applyAlignment="1">
      <alignment horizontal="center" vertical="center"/>
    </xf>
    <xf numFmtId="0" fontId="55" fillId="45" borderId="46" xfId="0" applyFont="1" applyFill="1" applyBorder="1" applyAlignment="1">
      <alignment horizontal="center" vertical="center"/>
    </xf>
    <xf numFmtId="0" fontId="55" fillId="46" borderId="45" xfId="0" applyFont="1" applyFill="1" applyBorder="1" applyAlignment="1">
      <alignment horizontal="center" vertical="center"/>
    </xf>
    <xf numFmtId="0" fontId="55" fillId="46" borderId="46" xfId="0" applyFont="1" applyFill="1" applyBorder="1" applyAlignment="1">
      <alignment horizontal="center" vertical="center"/>
    </xf>
    <xf numFmtId="0" fontId="55" fillId="46" borderId="55" xfId="0" applyFont="1" applyFill="1" applyBorder="1" applyAlignment="1">
      <alignment horizontal="center" vertical="center"/>
    </xf>
    <xf numFmtId="0" fontId="55" fillId="46" borderId="54" xfId="0" applyFont="1" applyFill="1" applyBorder="1" applyAlignment="1">
      <alignment horizontal="center" vertical="center"/>
    </xf>
    <xf numFmtId="0" fontId="0" fillId="17" borderId="63" xfId="46" applyFont="1" applyFill="1" applyBorder="1"/>
    <xf numFmtId="0" fontId="0" fillId="17" borderId="59" xfId="46" applyFont="1" applyFill="1" applyBorder="1" applyAlignment="1">
      <alignment vertical="center"/>
    </xf>
    <xf numFmtId="0" fontId="0" fillId="17" borderId="59" xfId="46" applyFont="1" applyFill="1" applyBorder="1"/>
    <xf numFmtId="0" fontId="7" fillId="0" borderId="7" xfId="52" applyFont="1" applyBorder="1"/>
    <xf numFmtId="0" fontId="0" fillId="0" borderId="51" xfId="0" applyBorder="1" applyAlignment="1">
      <alignment horizontal="left" vertical="center"/>
    </xf>
    <xf numFmtId="0" fontId="0" fillId="0" borderId="21" xfId="0" applyBorder="1" applyAlignment="1">
      <alignment horizontal="left" vertical="center"/>
    </xf>
    <xf numFmtId="11" fontId="7" fillId="0" borderId="48" xfId="0" applyNumberFormat="1" applyFont="1" applyBorder="1" applyAlignment="1">
      <alignment horizontal="left" vertical="center"/>
    </xf>
    <xf numFmtId="11" fontId="7" fillId="0" borderId="3" xfId="0" applyNumberFormat="1" applyFont="1" applyBorder="1" applyAlignment="1">
      <alignment horizontal="left" vertical="center"/>
    </xf>
    <xf numFmtId="11" fontId="7" fillId="0" borderId="2" xfId="0" applyNumberFormat="1" applyFont="1" applyBorder="1" applyAlignment="1">
      <alignment horizontal="left" vertical="center"/>
    </xf>
    <xf numFmtId="2" fontId="7" fillId="0" borderId="36" xfId="0" applyNumberFormat="1" applyFont="1" applyBorder="1" applyAlignment="1">
      <alignment horizontal="center" vertical="center"/>
    </xf>
    <xf numFmtId="2" fontId="7" fillId="0" borderId="37" xfId="0" applyNumberFormat="1" applyFont="1" applyBorder="1" applyAlignment="1">
      <alignment horizontal="center" vertical="center"/>
    </xf>
    <xf numFmtId="2" fontId="7" fillId="0" borderId="35" xfId="0" applyNumberFormat="1" applyFont="1" applyBorder="1" applyAlignment="1">
      <alignment vertical="center"/>
    </xf>
    <xf numFmtId="2" fontId="7" fillId="0" borderId="20" xfId="0" applyNumberFormat="1" applyFont="1" applyBorder="1" applyAlignment="1">
      <alignment vertical="center"/>
    </xf>
    <xf numFmtId="2" fontId="7" fillId="0" borderId="36" xfId="0" applyNumberFormat="1" applyFont="1" applyBorder="1" applyAlignment="1">
      <alignment vertical="center"/>
    </xf>
    <xf numFmtId="2" fontId="7" fillId="0" borderId="7" xfId="0" applyNumberFormat="1" applyFont="1" applyBorder="1" applyAlignment="1">
      <alignment vertical="center"/>
    </xf>
    <xf numFmtId="2" fontId="7" fillId="0" borderId="57" xfId="0" applyNumberFormat="1" applyFont="1" applyBorder="1" applyAlignment="1">
      <alignment vertical="center"/>
    </xf>
    <xf numFmtId="2" fontId="7" fillId="0" borderId="2" xfId="0" applyNumberFormat="1" applyFont="1" applyBorder="1" applyAlignment="1">
      <alignment vertical="center"/>
    </xf>
    <xf numFmtId="2" fontId="7" fillId="0" borderId="3" xfId="0" applyNumberFormat="1" applyFont="1" applyBorder="1" applyAlignment="1">
      <alignment horizontal="left" vertical="center"/>
    </xf>
    <xf numFmtId="2" fontId="7" fillId="0" borderId="32" xfId="0" applyNumberFormat="1" applyFont="1" applyBorder="1" applyAlignment="1">
      <alignment horizontal="left" vertical="center"/>
    </xf>
    <xf numFmtId="0" fontId="7" fillId="0" borderId="65" xfId="0" applyFont="1" applyBorder="1" applyAlignment="1">
      <alignment vertical="center"/>
    </xf>
    <xf numFmtId="0" fontId="57" fillId="0" borderId="0" xfId="0" applyFont="1" applyAlignment="1">
      <alignment horizontal="left" vertical="center"/>
    </xf>
    <xf numFmtId="0" fontId="5" fillId="2" borderId="32" xfId="0" applyFont="1" applyFill="1" applyBorder="1" applyAlignment="1">
      <alignment horizontal="left" vertical="center" wrapText="1"/>
    </xf>
    <xf numFmtId="0" fontId="5" fillId="3" borderId="32" xfId="0" applyFont="1" applyFill="1" applyBorder="1" applyAlignment="1">
      <alignment horizontal="left" vertical="center"/>
    </xf>
    <xf numFmtId="0" fontId="15" fillId="0" borderId="36" xfId="0" applyFont="1" applyBorder="1" applyAlignment="1">
      <alignment horizontal="left" vertical="center"/>
    </xf>
    <xf numFmtId="2" fontId="27" fillId="40" borderId="9" xfId="0" applyNumberFormat="1" applyFont="1" applyFill="1" applyBorder="1" applyAlignment="1">
      <alignment horizontal="center" vertical="center"/>
    </xf>
    <xf numFmtId="0" fontId="55" fillId="45" borderId="18" xfId="0" applyFont="1" applyFill="1" applyBorder="1" applyAlignment="1">
      <alignment horizontal="center" vertical="center"/>
    </xf>
    <xf numFmtId="169" fontId="0" fillId="0" borderId="0" xfId="0" applyNumberFormat="1" applyAlignment="1">
      <alignment horizontal="left" vertical="center"/>
    </xf>
    <xf numFmtId="0" fontId="56" fillId="0" borderId="0" xfId="0" applyFont="1"/>
    <xf numFmtId="0" fontId="58" fillId="0" borderId="0" xfId="0" applyFont="1" applyAlignment="1">
      <alignment horizontal="left" vertical="center"/>
    </xf>
    <xf numFmtId="0" fontId="56" fillId="0" borderId="0" xfId="0" applyFont="1" applyAlignment="1">
      <alignment horizontal="left" vertical="center"/>
    </xf>
    <xf numFmtId="0" fontId="55" fillId="49" borderId="16" xfId="0" applyFont="1" applyFill="1" applyBorder="1" applyAlignment="1">
      <alignment horizontal="left" vertical="center"/>
    </xf>
    <xf numFmtId="0" fontId="59" fillId="0" borderId="30" xfId="0" applyFont="1" applyBorder="1" applyAlignment="1">
      <alignment horizontal="left" vertical="center"/>
    </xf>
    <xf numFmtId="0" fontId="60" fillId="50" borderId="25" xfId="37" applyFont="1" applyFill="1" applyBorder="1" applyAlignment="1">
      <alignment horizontal="left" vertical="center"/>
    </xf>
    <xf numFmtId="0" fontId="59" fillId="50" borderId="27" xfId="0" applyFont="1" applyFill="1" applyBorder="1" applyAlignment="1">
      <alignment horizontal="left" vertical="center"/>
    </xf>
    <xf numFmtId="0" fontId="60" fillId="0" borderId="27" xfId="37" applyFont="1" applyBorder="1" applyAlignment="1">
      <alignment horizontal="left" vertical="center"/>
    </xf>
    <xf numFmtId="0" fontId="59" fillId="0" borderId="27" xfId="0" applyFont="1" applyBorder="1" applyAlignment="1">
      <alignment horizontal="left" vertical="center"/>
    </xf>
    <xf numFmtId="0" fontId="60" fillId="50" borderId="27" xfId="37" applyFont="1" applyFill="1" applyBorder="1" applyAlignment="1">
      <alignment horizontal="left" vertical="center"/>
    </xf>
    <xf numFmtId="0" fontId="59" fillId="0" borderId="71" xfId="0" applyFont="1" applyBorder="1" applyAlignment="1">
      <alignment horizontal="left" vertical="center"/>
    </xf>
    <xf numFmtId="0" fontId="59" fillId="50" borderId="25" xfId="0" applyFont="1" applyFill="1" applyBorder="1" applyAlignment="1">
      <alignment horizontal="left" vertical="center"/>
    </xf>
    <xf numFmtId="2" fontId="27" fillId="40" borderId="3" xfId="0" applyNumberFormat="1" applyFont="1" applyFill="1" applyBorder="1" applyAlignment="1">
      <alignment horizontal="center" vertical="center"/>
    </xf>
    <xf numFmtId="2" fontId="27" fillId="40" borderId="7" xfId="0" applyNumberFormat="1" applyFont="1" applyFill="1" applyBorder="1" applyAlignment="1">
      <alignment horizontal="center" vertical="center"/>
    </xf>
    <xf numFmtId="0" fontId="43" fillId="39" borderId="9" xfId="0" applyFont="1" applyFill="1" applyBorder="1" applyAlignment="1">
      <alignment horizontal="left" vertical="center"/>
    </xf>
    <xf numFmtId="0" fontId="43" fillId="39" borderId="64" xfId="0" applyFont="1" applyFill="1" applyBorder="1" applyAlignment="1">
      <alignment horizontal="left" vertical="center"/>
    </xf>
    <xf numFmtId="0" fontId="5" fillId="2" borderId="0" xfId="0" applyFont="1" applyFill="1" applyAlignment="1">
      <alignment horizontal="center" vertical="center"/>
    </xf>
    <xf numFmtId="0" fontId="0" fillId="0" borderId="59" xfId="0" applyBorder="1"/>
    <xf numFmtId="0" fontId="6" fillId="2" borderId="32" xfId="0" applyFont="1" applyFill="1" applyBorder="1" applyAlignment="1">
      <alignment horizontal="left" vertical="center" wrapText="1"/>
    </xf>
    <xf numFmtId="0" fontId="27" fillId="51" borderId="21" xfId="0" applyFont="1" applyFill="1" applyBorder="1" applyAlignment="1">
      <alignment horizontal="left" vertical="center"/>
    </xf>
    <xf numFmtId="0" fontId="27" fillId="51" borderId="33" xfId="0" applyFont="1" applyFill="1" applyBorder="1" applyAlignment="1">
      <alignment horizontal="left" vertical="center"/>
    </xf>
    <xf numFmtId="0" fontId="0" fillId="51" borderId="33" xfId="0" applyFill="1" applyBorder="1" applyAlignment="1">
      <alignment horizontal="left" vertical="center"/>
    </xf>
    <xf numFmtId="0" fontId="0" fillId="51" borderId="34" xfId="0" applyFill="1" applyBorder="1" applyAlignment="1">
      <alignment horizontal="left" vertical="center"/>
    </xf>
    <xf numFmtId="0" fontId="27" fillId="51" borderId="35" xfId="0" applyFont="1" applyFill="1" applyBorder="1" applyAlignment="1">
      <alignment horizontal="left" vertical="center"/>
    </xf>
    <xf numFmtId="0" fontId="27" fillId="51" borderId="36" xfId="0" applyFont="1" applyFill="1" applyBorder="1" applyAlignment="1">
      <alignment horizontal="left" vertical="center"/>
    </xf>
    <xf numFmtId="0" fontId="0" fillId="51" borderId="36" xfId="0" applyFill="1" applyBorder="1" applyAlignment="1">
      <alignment horizontal="left" vertical="center"/>
    </xf>
    <xf numFmtId="0" fontId="0" fillId="51" borderId="37" xfId="0" applyFill="1" applyBorder="1" applyAlignment="1">
      <alignment horizontal="left" vertical="center"/>
    </xf>
    <xf numFmtId="0" fontId="7" fillId="0" borderId="50" xfId="0" applyFont="1" applyBorder="1" applyAlignment="1">
      <alignment horizontal="left"/>
    </xf>
    <xf numFmtId="0" fontId="0" fillId="0" borderId="66" xfId="0" applyBorder="1"/>
    <xf numFmtId="0" fontId="5" fillId="7" borderId="32" xfId="0" applyFont="1" applyFill="1" applyBorder="1" applyAlignment="1">
      <alignment horizontal="left" vertical="center" wrapText="1"/>
    </xf>
    <xf numFmtId="0" fontId="0" fillId="17" borderId="9" xfId="0" applyFill="1" applyBorder="1"/>
    <xf numFmtId="0" fontId="19" fillId="24" borderId="9" xfId="37" applyFill="1" applyBorder="1"/>
    <xf numFmtId="0" fontId="7" fillId="0" borderId="8" xfId="0" applyFont="1" applyBorder="1" applyAlignment="1">
      <alignment horizontal="left" vertical="center"/>
    </xf>
    <xf numFmtId="0" fontId="6" fillId="2" borderId="9" xfId="0" applyFont="1" applyFill="1" applyBorder="1" applyAlignment="1">
      <alignment horizontal="left" vertical="center"/>
    </xf>
    <xf numFmtId="0" fontId="6" fillId="6" borderId="9" xfId="0" applyFont="1" applyFill="1" applyBorder="1" applyAlignment="1">
      <alignment horizontal="left" vertical="center"/>
    </xf>
    <xf numFmtId="0" fontId="6" fillId="3" borderId="9" xfId="0" applyFont="1" applyFill="1" applyBorder="1" applyAlignment="1">
      <alignment horizontal="left" vertical="center"/>
    </xf>
    <xf numFmtId="0" fontId="0" fillId="0" borderId="4" xfId="0" applyBorder="1"/>
    <xf numFmtId="2" fontId="0" fillId="0" borderId="9" xfId="0" applyNumberFormat="1" applyBorder="1" applyAlignment="1">
      <alignment horizontal="left"/>
    </xf>
    <xf numFmtId="0" fontId="7" fillId="0" borderId="9" xfId="0" applyFont="1" applyBorder="1" applyAlignment="1">
      <alignment horizontal="left"/>
    </xf>
    <xf numFmtId="165" fontId="7" fillId="0" borderId="9" xfId="0" applyNumberFormat="1" applyFont="1" applyBorder="1" applyAlignment="1">
      <alignment horizontal="left" vertical="center"/>
    </xf>
    <xf numFmtId="0" fontId="5" fillId="29" borderId="9" xfId="0" applyFont="1" applyFill="1" applyBorder="1" applyAlignment="1">
      <alignment horizontal="left" vertical="center" wrapText="1"/>
    </xf>
    <xf numFmtId="0" fontId="5" fillId="29" borderId="31" xfId="0" applyFont="1" applyFill="1" applyBorder="1" applyAlignment="1">
      <alignment horizontal="left" vertical="center" wrapText="1"/>
    </xf>
    <xf numFmtId="0" fontId="6" fillId="4" borderId="9" xfId="0" applyFont="1" applyFill="1" applyBorder="1" applyAlignment="1">
      <alignment horizontal="left" vertical="center" wrapText="1"/>
    </xf>
    <xf numFmtId="0" fontId="6" fillId="2" borderId="13" xfId="0" applyFont="1" applyFill="1" applyBorder="1" applyAlignment="1">
      <alignment horizontal="left" vertical="center"/>
    </xf>
    <xf numFmtId="0" fontId="64" fillId="0" borderId="0" xfId="0" applyFont="1"/>
    <xf numFmtId="0" fontId="17" fillId="53" borderId="0" xfId="0" applyFont="1" applyFill="1" applyAlignment="1">
      <alignment horizontal="center" vertical="center"/>
    </xf>
    <xf numFmtId="0" fontId="27" fillId="0" borderId="9" xfId="0" applyFont="1" applyBorder="1"/>
    <xf numFmtId="0" fontId="27" fillId="0" borderId="9" xfId="0" applyFont="1" applyBorder="1" applyAlignment="1">
      <alignment horizontal="left"/>
    </xf>
    <xf numFmtId="0" fontId="43" fillId="39" borderId="16" xfId="0" applyFont="1" applyFill="1" applyBorder="1" applyAlignment="1">
      <alignment horizontal="left" vertical="center"/>
    </xf>
    <xf numFmtId="0" fontId="64" fillId="0" borderId="9" xfId="0" applyFont="1" applyBorder="1"/>
    <xf numFmtId="169" fontId="7" fillId="0" borderId="24" xfId="0" applyNumberFormat="1" applyFont="1" applyBorder="1" applyAlignment="1">
      <alignment horizontal="left" vertical="center"/>
    </xf>
    <xf numFmtId="0" fontId="7" fillId="0" borderId="45" xfId="0" applyFont="1" applyBorder="1"/>
    <xf numFmtId="0" fontId="7" fillId="0" borderId="23" xfId="0" applyFont="1" applyBorder="1"/>
    <xf numFmtId="0" fontId="7" fillId="0" borderId="28" xfId="0" applyFont="1" applyBorder="1"/>
    <xf numFmtId="0" fontId="7" fillId="0" borderId="26" xfId="0" applyFont="1" applyBorder="1"/>
    <xf numFmtId="0" fontId="7" fillId="0" borderId="17" xfId="0" applyFont="1" applyBorder="1"/>
    <xf numFmtId="0" fontId="7" fillId="0" borderId="16" xfId="0" applyFont="1" applyBorder="1"/>
    <xf numFmtId="0" fontId="57" fillId="0" borderId="9" xfId="0" applyFont="1" applyBorder="1" applyAlignment="1">
      <alignment horizontal="left" vertical="center"/>
    </xf>
    <xf numFmtId="169" fontId="18" fillId="0" borderId="2" xfId="0" applyNumberFormat="1" applyFont="1" applyBorder="1" applyAlignment="1">
      <alignment horizontal="left" vertical="center"/>
    </xf>
    <xf numFmtId="174" fontId="0" fillId="0" borderId="0" xfId="0" applyNumberFormat="1"/>
    <xf numFmtId="0" fontId="7" fillId="0" borderId="20" xfId="0" applyFont="1" applyBorder="1" applyAlignment="1">
      <alignment horizontal="left"/>
    </xf>
    <xf numFmtId="0" fontId="7" fillId="0" borderId="2" xfId="0" applyFont="1" applyBorder="1" applyAlignment="1">
      <alignment horizontal="left"/>
    </xf>
    <xf numFmtId="0" fontId="0" fillId="0" borderId="0" xfId="0" applyAlignment="1">
      <alignment horizontal="center"/>
    </xf>
    <xf numFmtId="0" fontId="66" fillId="0" borderId="9" xfId="0" applyFont="1" applyBorder="1" applyAlignment="1">
      <alignment horizontal="center" vertical="top"/>
    </xf>
    <xf numFmtId="0" fontId="17" fillId="20" borderId="0" xfId="0" applyFont="1" applyFill="1" applyAlignment="1">
      <alignment horizontal="left"/>
    </xf>
    <xf numFmtId="0" fontId="65" fillId="0" borderId="16" xfId="0" applyFont="1" applyBorder="1" applyAlignment="1">
      <alignment horizontal="center" vertical="top"/>
    </xf>
    <xf numFmtId="0" fontId="0" fillId="0" borderId="13" xfId="0" applyBorder="1"/>
    <xf numFmtId="0" fontId="0" fillId="0" borderId="49" xfId="0" applyBorder="1"/>
    <xf numFmtId="0" fontId="0" fillId="0" borderId="8" xfId="0" applyBorder="1"/>
    <xf numFmtId="0" fontId="0" fillId="0" borderId="44" xfId="0" applyBorder="1"/>
    <xf numFmtId="0" fontId="0" fillId="0" borderId="34" xfId="0" applyBorder="1"/>
    <xf numFmtId="49" fontId="7" fillId="0" borderId="38" xfId="0" applyNumberFormat="1" applyFont="1" applyBorder="1" applyAlignment="1">
      <alignment horizontal="left" vertical="center"/>
    </xf>
    <xf numFmtId="0" fontId="7" fillId="52" borderId="9" xfId="0" applyFont="1" applyFill="1" applyBorder="1" applyAlignment="1">
      <alignment vertical="center"/>
    </xf>
    <xf numFmtId="0" fontId="7" fillId="56" borderId="17" xfId="0" applyFont="1" applyFill="1" applyBorder="1" applyAlignment="1">
      <alignment vertical="center"/>
    </xf>
    <xf numFmtId="0" fontId="7" fillId="56" borderId="9" xfId="0" applyFont="1" applyFill="1" applyBorder="1" applyAlignment="1">
      <alignment vertical="center"/>
    </xf>
    <xf numFmtId="0" fontId="5" fillId="0" borderId="9" xfId="0" applyFont="1" applyBorder="1"/>
    <xf numFmtId="0" fontId="67" fillId="0" borderId="9" xfId="0" applyFont="1" applyBorder="1"/>
    <xf numFmtId="0" fontId="0" fillId="0" borderId="59" xfId="0" applyBorder="1" applyAlignment="1">
      <alignment horizontal="left"/>
    </xf>
    <xf numFmtId="0" fontId="7" fillId="0" borderId="43" xfId="0" applyFont="1" applyBorder="1" applyAlignment="1">
      <alignment horizontal="left" vertical="center"/>
    </xf>
    <xf numFmtId="0" fontId="7" fillId="0" borderId="44" xfId="0" applyFont="1" applyBorder="1" applyAlignment="1">
      <alignment horizontal="left" vertical="center"/>
    </xf>
    <xf numFmtId="49" fontId="7" fillId="0" borderId="4" xfId="0" applyNumberFormat="1" applyFont="1" applyBorder="1" applyAlignment="1">
      <alignment horizontal="left" vertical="center"/>
    </xf>
    <xf numFmtId="11" fontId="7" fillId="0" borderId="19" xfId="0" applyNumberFormat="1" applyFont="1" applyBorder="1" applyAlignment="1">
      <alignment horizontal="left" vertical="center"/>
    </xf>
    <xf numFmtId="11" fontId="36" fillId="30" borderId="50" xfId="46" applyNumberFormat="1" applyBorder="1" applyAlignment="1">
      <alignment horizontal="left" vertical="center"/>
    </xf>
    <xf numFmtId="11" fontId="7" fillId="0" borderId="50" xfId="0" applyNumberFormat="1" applyFont="1" applyBorder="1" applyAlignment="1">
      <alignment horizontal="left" vertical="center"/>
    </xf>
    <xf numFmtId="11" fontId="35" fillId="0" borderId="51" xfId="0" applyNumberFormat="1" applyFont="1" applyBorder="1" applyAlignment="1">
      <alignment horizontal="left" vertical="center"/>
    </xf>
    <xf numFmtId="11" fontId="36" fillId="30" borderId="7" xfId="46" applyNumberFormat="1" applyBorder="1" applyAlignment="1">
      <alignment horizontal="left" vertical="center"/>
    </xf>
    <xf numFmtId="0" fontId="15" fillId="41" borderId="0" xfId="50" applyAlignment="1">
      <alignment horizontal="left" vertical="top"/>
    </xf>
    <xf numFmtId="169" fontId="0" fillId="0" borderId="20" xfId="0" applyNumberFormat="1" applyBorder="1" applyAlignment="1">
      <alignment horizontal="right"/>
    </xf>
    <xf numFmtId="0" fontId="0" fillId="0" borderId="7" xfId="0" applyBorder="1" applyAlignment="1">
      <alignment horizontal="right"/>
    </xf>
    <xf numFmtId="169" fontId="0" fillId="0" borderId="7" xfId="0" applyNumberFormat="1" applyBorder="1" applyAlignment="1">
      <alignment horizontal="right"/>
    </xf>
    <xf numFmtId="169" fontId="0" fillId="0" borderId="2" xfId="0" applyNumberFormat="1" applyBorder="1" applyAlignment="1">
      <alignment horizontal="right"/>
    </xf>
    <xf numFmtId="1" fontId="0" fillId="0" borderId="35" xfId="0" applyNumberFormat="1" applyBorder="1" applyAlignment="1">
      <alignment horizontal="right"/>
    </xf>
    <xf numFmtId="0" fontId="0" fillId="0" borderId="36" xfId="0" applyBorder="1" applyAlignment="1">
      <alignment horizontal="right"/>
    </xf>
    <xf numFmtId="1" fontId="0" fillId="0" borderId="36" xfId="0" applyNumberFormat="1" applyBorder="1" applyAlignment="1">
      <alignment horizontal="right"/>
    </xf>
    <xf numFmtId="1" fontId="0" fillId="0" borderId="37" xfId="0" applyNumberFormat="1" applyBorder="1" applyAlignment="1">
      <alignment horizontal="right"/>
    </xf>
    <xf numFmtId="2" fontId="54" fillId="47" borderId="23" xfId="0" applyNumberFormat="1" applyFont="1" applyFill="1" applyBorder="1" applyAlignment="1">
      <alignment horizontal="center" vertical="center"/>
    </xf>
    <xf numFmtId="2" fontId="54" fillId="47" borderId="24" xfId="0" applyNumberFormat="1" applyFont="1" applyFill="1" applyBorder="1" applyAlignment="1">
      <alignment horizontal="center" vertical="center"/>
    </xf>
    <xf numFmtId="2" fontId="54" fillId="47" borderId="25" xfId="0" applyNumberFormat="1" applyFont="1" applyFill="1" applyBorder="1" applyAlignment="1">
      <alignment horizontal="center" vertical="center"/>
    </xf>
    <xf numFmtId="2" fontId="54" fillId="47" borderId="53" xfId="0" applyNumberFormat="1" applyFont="1" applyFill="1" applyBorder="1" applyAlignment="1">
      <alignment horizontal="center" vertical="center"/>
    </xf>
    <xf numFmtId="2" fontId="54" fillId="47" borderId="35" xfId="0" applyNumberFormat="1" applyFont="1" applyFill="1" applyBorder="1" applyAlignment="1">
      <alignment horizontal="center" vertical="center"/>
    </xf>
    <xf numFmtId="2" fontId="54" fillId="47" borderId="21" xfId="0" applyNumberFormat="1" applyFont="1" applyFill="1" applyBorder="1" applyAlignment="1">
      <alignment horizontal="center" vertical="center"/>
    </xf>
    <xf numFmtId="2" fontId="54" fillId="48" borderId="23" xfId="0" applyNumberFormat="1" applyFont="1" applyFill="1" applyBorder="1" applyAlignment="1">
      <alignment horizontal="center" vertical="center"/>
    </xf>
    <xf numFmtId="2" fontId="54" fillId="48" borderId="25" xfId="0" applyNumberFormat="1" applyFont="1" applyFill="1" applyBorder="1" applyAlignment="1">
      <alignment horizontal="center" vertical="center"/>
    </xf>
    <xf numFmtId="2" fontId="54" fillId="48" borderId="53" xfId="0" applyNumberFormat="1" applyFont="1" applyFill="1" applyBorder="1" applyAlignment="1">
      <alignment horizontal="center" vertical="center"/>
    </xf>
    <xf numFmtId="2" fontId="54" fillId="48" borderId="58" xfId="0" applyNumberFormat="1" applyFont="1" applyFill="1" applyBorder="1" applyAlignment="1">
      <alignment horizontal="center" vertical="center"/>
    </xf>
    <xf numFmtId="2" fontId="54" fillId="47" borderId="26" xfId="0" applyNumberFormat="1" applyFont="1" applyFill="1" applyBorder="1" applyAlignment="1">
      <alignment horizontal="center" vertical="center"/>
    </xf>
    <xf numFmtId="2" fontId="54" fillId="47" borderId="9" xfId="0" applyNumberFormat="1" applyFont="1" applyFill="1" applyBorder="1" applyAlignment="1">
      <alignment horizontal="center" vertical="center"/>
    </xf>
    <xf numFmtId="2" fontId="54" fillId="47" borderId="27" xfId="0" applyNumberFormat="1" applyFont="1" applyFill="1" applyBorder="1" applyAlignment="1">
      <alignment horizontal="center" vertical="center"/>
    </xf>
    <xf numFmtId="2" fontId="54" fillId="47" borderId="13" xfId="0" applyNumberFormat="1" applyFont="1" applyFill="1" applyBorder="1" applyAlignment="1">
      <alignment horizontal="center" vertical="center"/>
    </xf>
    <xf numFmtId="2" fontId="54" fillId="47" borderId="38" xfId="0" applyNumberFormat="1" applyFont="1" applyFill="1" applyBorder="1" applyAlignment="1">
      <alignment horizontal="center" vertical="center"/>
    </xf>
    <xf numFmtId="2" fontId="54" fillId="47" borderId="43" xfId="0" applyNumberFormat="1" applyFont="1" applyFill="1" applyBorder="1" applyAlignment="1">
      <alignment horizontal="center" vertical="center"/>
    </xf>
    <xf numFmtId="2" fontId="54" fillId="47" borderId="4" xfId="0" applyNumberFormat="1" applyFont="1" applyFill="1" applyBorder="1" applyAlignment="1">
      <alignment horizontal="center" vertical="center"/>
    </xf>
    <xf numFmtId="2" fontId="54" fillId="48" borderId="26" xfId="0" applyNumberFormat="1" applyFont="1" applyFill="1" applyBorder="1" applyAlignment="1">
      <alignment horizontal="center" vertical="center"/>
    </xf>
    <xf numFmtId="2" fontId="54" fillId="48" borderId="27" xfId="0" applyNumberFormat="1" applyFont="1" applyFill="1" applyBorder="1" applyAlignment="1">
      <alignment horizontal="center" vertical="center"/>
    </xf>
    <xf numFmtId="2" fontId="54" fillId="48" borderId="13" xfId="0" applyNumberFormat="1" applyFont="1" applyFill="1" applyBorder="1" applyAlignment="1">
      <alignment horizontal="center" vertical="center"/>
    </xf>
    <xf numFmtId="2" fontId="54" fillId="48" borderId="59" xfId="0" applyNumberFormat="1" applyFont="1" applyFill="1" applyBorder="1" applyAlignment="1">
      <alignment horizontal="center" vertical="center"/>
    </xf>
    <xf numFmtId="2" fontId="54" fillId="47" borderId="28" xfId="0" applyNumberFormat="1" applyFont="1" applyFill="1" applyBorder="1" applyAlignment="1">
      <alignment horizontal="center" vertical="center"/>
    </xf>
    <xf numFmtId="2" fontId="54" fillId="47" borderId="29" xfId="0" applyNumberFormat="1" applyFont="1" applyFill="1" applyBorder="1" applyAlignment="1">
      <alignment horizontal="center" vertical="center"/>
    </xf>
    <xf numFmtId="2" fontId="54" fillId="47" borderId="30" xfId="0" applyNumberFormat="1" applyFont="1" applyFill="1" applyBorder="1" applyAlignment="1">
      <alignment horizontal="center" vertical="center"/>
    </xf>
    <xf numFmtId="2" fontId="54" fillId="47" borderId="11" xfId="0" applyNumberFormat="1" applyFont="1" applyFill="1" applyBorder="1" applyAlignment="1">
      <alignment horizontal="center" vertical="center"/>
    </xf>
    <xf numFmtId="2" fontId="54" fillId="47" borderId="41" xfId="0" applyNumberFormat="1" applyFont="1" applyFill="1" applyBorder="1" applyAlignment="1">
      <alignment horizontal="center" vertical="center"/>
    </xf>
    <xf numFmtId="2" fontId="54" fillId="47" borderId="83" xfId="0" applyNumberFormat="1" applyFont="1" applyFill="1" applyBorder="1" applyAlignment="1">
      <alignment horizontal="center" vertical="center"/>
    </xf>
    <xf numFmtId="2" fontId="54" fillId="47" borderId="69" xfId="0" applyNumberFormat="1" applyFont="1" applyFill="1" applyBorder="1" applyAlignment="1">
      <alignment horizontal="center" vertical="center"/>
    </xf>
    <xf numFmtId="2" fontId="54" fillId="48" borderId="28" xfId="0" applyNumberFormat="1" applyFont="1" applyFill="1" applyBorder="1" applyAlignment="1">
      <alignment horizontal="center" vertical="center"/>
    </xf>
    <xf numFmtId="2" fontId="54" fillId="48" borderId="30" xfId="0" applyNumberFormat="1" applyFont="1" applyFill="1" applyBorder="1" applyAlignment="1">
      <alignment horizontal="center" vertical="center"/>
    </xf>
    <xf numFmtId="2" fontId="54" fillId="48" borderId="11" xfId="0" applyNumberFormat="1" applyFont="1" applyFill="1" applyBorder="1" applyAlignment="1">
      <alignment horizontal="center" vertical="center"/>
    </xf>
    <xf numFmtId="2" fontId="54" fillId="48" borderId="60" xfId="0" applyNumberFormat="1" applyFont="1" applyFill="1" applyBorder="1" applyAlignment="1">
      <alignment horizontal="center" vertical="center"/>
    </xf>
    <xf numFmtId="0" fontId="54" fillId="0" borderId="23" xfId="0" applyFont="1" applyBorder="1" applyAlignment="1">
      <alignment horizontal="left" vertical="center"/>
    </xf>
    <xf numFmtId="0" fontId="54" fillId="0" borderId="24" xfId="0" applyFont="1" applyBorder="1" applyAlignment="1">
      <alignment horizontal="left" vertical="center"/>
    </xf>
    <xf numFmtId="0" fontId="54" fillId="0" borderId="25" xfId="0" applyFont="1" applyBorder="1" applyAlignment="1">
      <alignment horizontal="left" vertical="center"/>
    </xf>
    <xf numFmtId="0" fontId="54" fillId="0" borderId="26" xfId="0" applyFont="1" applyBorder="1" applyAlignment="1">
      <alignment horizontal="left" vertical="center"/>
    </xf>
    <xf numFmtId="0" fontId="54" fillId="0" borderId="9" xfId="0" applyFont="1" applyBorder="1" applyAlignment="1">
      <alignment horizontal="left" vertical="center"/>
    </xf>
    <xf numFmtId="0" fontId="54" fillId="0" borderId="9" xfId="0" applyFont="1" applyBorder="1" applyAlignment="1">
      <alignment horizontal="left" vertical="center" wrapText="1"/>
    </xf>
    <xf numFmtId="0" fontId="54" fillId="0" borderId="27" xfId="0" applyFont="1" applyBorder="1" applyAlignment="1">
      <alignment horizontal="left" vertical="center" wrapText="1"/>
    </xf>
    <xf numFmtId="0" fontId="54" fillId="0" borderId="28" xfId="0" applyFont="1" applyBorder="1" applyAlignment="1">
      <alignment horizontal="left" vertical="center"/>
    </xf>
    <xf numFmtId="0" fontId="54" fillId="0" borderId="29" xfId="0" applyFont="1" applyBorder="1" applyAlignment="1">
      <alignment horizontal="left" vertical="center"/>
    </xf>
    <xf numFmtId="0" fontId="54" fillId="0" borderId="29" xfId="0" applyFont="1" applyBorder="1" applyAlignment="1">
      <alignment horizontal="left" vertical="center" wrapText="1"/>
    </xf>
    <xf numFmtId="0" fontId="54" fillId="0" borderId="30" xfId="0" applyFont="1" applyBorder="1" applyAlignment="1">
      <alignment horizontal="left" vertical="center" wrapText="1"/>
    </xf>
    <xf numFmtId="0" fontId="54" fillId="0" borderId="43" xfId="0" applyFont="1" applyBorder="1" applyAlignment="1">
      <alignment horizontal="left" vertical="center"/>
    </xf>
    <xf numFmtId="0" fontId="54" fillId="0" borderId="17" xfId="0" applyFont="1" applyBorder="1" applyAlignment="1">
      <alignment horizontal="left" vertical="center"/>
    </xf>
    <xf numFmtId="0" fontId="54" fillId="0" borderId="44" xfId="0" applyFont="1" applyBorder="1" applyAlignment="1">
      <alignment horizontal="left" vertical="center"/>
    </xf>
    <xf numFmtId="0" fontId="54" fillId="0" borderId="45" xfId="0" applyFont="1" applyBorder="1" applyAlignment="1">
      <alignment horizontal="left" vertical="center"/>
    </xf>
    <xf numFmtId="0" fontId="54" fillId="0" borderId="47" xfId="0" applyFont="1" applyBorder="1" applyAlignment="1">
      <alignment horizontal="left" vertical="center"/>
    </xf>
    <xf numFmtId="0" fontId="54" fillId="0" borderId="46" xfId="0" applyFont="1" applyBorder="1" applyAlignment="1">
      <alignment horizontal="left" vertical="center"/>
    </xf>
    <xf numFmtId="167" fontId="54" fillId="0" borderId="29" xfId="0" applyNumberFormat="1" applyFont="1" applyBorder="1" applyAlignment="1">
      <alignment horizontal="left" vertical="center"/>
    </xf>
    <xf numFmtId="0" fontId="54" fillId="0" borderId="30" xfId="0" applyFont="1" applyBorder="1" applyAlignment="1">
      <alignment horizontal="left" vertical="center"/>
    </xf>
    <xf numFmtId="0" fontId="54" fillId="0" borderId="73" xfId="0" applyFont="1" applyBorder="1" applyAlignment="1">
      <alignment horizontal="left" vertical="center"/>
    </xf>
    <xf numFmtId="0" fontId="54" fillId="0" borderId="31" xfId="0" applyFont="1" applyBorder="1" applyAlignment="1">
      <alignment horizontal="left" vertical="center"/>
    </xf>
    <xf numFmtId="0" fontId="54" fillId="0" borderId="74" xfId="0" applyFont="1" applyBorder="1" applyAlignment="1">
      <alignment horizontal="left" vertical="center"/>
    </xf>
    <xf numFmtId="0" fontId="54" fillId="0" borderId="70" xfId="0" applyFont="1" applyBorder="1" applyAlignment="1">
      <alignment horizontal="left" vertical="center"/>
    </xf>
    <xf numFmtId="0" fontId="54" fillId="0" borderId="16" xfId="0" applyFont="1" applyBorder="1" applyAlignment="1">
      <alignment horizontal="left" vertical="center"/>
    </xf>
    <xf numFmtId="0" fontId="54" fillId="50" borderId="23" xfId="0" applyFont="1" applyFill="1" applyBorder="1" applyAlignment="1">
      <alignment horizontal="left" vertical="center"/>
    </xf>
    <xf numFmtId="0" fontId="54" fillId="50" borderId="24" xfId="0" applyFont="1" applyFill="1" applyBorder="1" applyAlignment="1">
      <alignment horizontal="left" vertical="center"/>
    </xf>
    <xf numFmtId="0" fontId="54" fillId="50" borderId="26" xfId="0" applyFont="1" applyFill="1" applyBorder="1" applyAlignment="1">
      <alignment horizontal="left" vertical="center"/>
    </xf>
    <xf numFmtId="0" fontId="54" fillId="50" borderId="9" xfId="0" applyFont="1" applyFill="1" applyBorder="1" applyAlignment="1">
      <alignment horizontal="left" vertical="center"/>
    </xf>
    <xf numFmtId="0" fontId="54" fillId="50" borderId="27" xfId="0" applyFont="1" applyFill="1" applyBorder="1" applyAlignment="1">
      <alignment horizontal="left" vertical="center"/>
    </xf>
    <xf numFmtId="0" fontId="54" fillId="0" borderId="27" xfId="0" applyFont="1" applyBorder="1" applyAlignment="1">
      <alignment horizontal="left" vertical="center"/>
    </xf>
    <xf numFmtId="0" fontId="54" fillId="50" borderId="24" xfId="0" applyFont="1" applyFill="1" applyBorder="1" applyAlignment="1">
      <alignment horizontal="left" vertical="center" wrapText="1"/>
    </xf>
    <xf numFmtId="0" fontId="54" fillId="50" borderId="9" xfId="0" applyFont="1" applyFill="1" applyBorder="1" applyAlignment="1">
      <alignment horizontal="left" vertical="center" wrapText="1"/>
    </xf>
    <xf numFmtId="0" fontId="6" fillId="2" borderId="16" xfId="0" applyFont="1" applyFill="1" applyBorder="1" applyAlignment="1">
      <alignment horizontal="left" vertical="center"/>
    </xf>
    <xf numFmtId="0" fontId="6" fillId="6" borderId="16" xfId="0" applyFont="1" applyFill="1" applyBorder="1" applyAlignment="1">
      <alignment horizontal="left" vertical="center"/>
    </xf>
    <xf numFmtId="167" fontId="6" fillId="6" borderId="16" xfId="0" applyNumberFormat="1" applyFont="1" applyFill="1" applyBorder="1" applyAlignment="1">
      <alignment horizontal="left" vertical="center"/>
    </xf>
    <xf numFmtId="0" fontId="6" fillId="3" borderId="16" xfId="0" applyFont="1" applyFill="1" applyBorder="1" applyAlignment="1">
      <alignment horizontal="left" vertical="center"/>
    </xf>
    <xf numFmtId="2" fontId="6" fillId="4" borderId="16" xfId="0" applyNumberFormat="1" applyFont="1" applyFill="1" applyBorder="1" applyAlignment="1">
      <alignment horizontal="center" vertical="center"/>
    </xf>
    <xf numFmtId="0" fontId="6" fillId="16" borderId="16" xfId="0" applyFont="1" applyFill="1" applyBorder="1" applyAlignment="1">
      <alignment horizontal="left" vertical="center"/>
    </xf>
    <xf numFmtId="169" fontId="7" fillId="0" borderId="17" xfId="0" applyNumberFormat="1" applyFont="1" applyBorder="1" applyAlignment="1">
      <alignment horizontal="left" vertical="center"/>
    </xf>
    <xf numFmtId="165" fontId="7" fillId="0" borderId="24" xfId="0" applyNumberFormat="1" applyFont="1" applyBorder="1" applyAlignment="1">
      <alignment horizontal="left" vertical="center"/>
    </xf>
    <xf numFmtId="169" fontId="7" fillId="0" borderId="27" xfId="0" applyNumberFormat="1" applyFont="1" applyBorder="1" applyAlignment="1">
      <alignment horizontal="left" vertical="center"/>
    </xf>
    <xf numFmtId="173" fontId="7" fillId="0" borderId="27" xfId="0" applyNumberFormat="1" applyFont="1" applyBorder="1" applyAlignment="1">
      <alignment horizontal="left" vertical="center"/>
    </xf>
    <xf numFmtId="165" fontId="7" fillId="0" borderId="29" xfId="0" applyNumberFormat="1" applyFont="1" applyBorder="1" applyAlignment="1">
      <alignment horizontal="left" vertical="center"/>
    </xf>
    <xf numFmtId="169" fontId="7" fillId="0" borderId="16" xfId="0" applyNumberFormat="1" applyFont="1" applyBorder="1" applyAlignment="1">
      <alignment horizontal="left" vertical="center"/>
    </xf>
    <xf numFmtId="0" fontId="7" fillId="0" borderId="47" xfId="0" applyFont="1" applyBorder="1" applyAlignment="1">
      <alignment horizontal="left" vertical="center"/>
    </xf>
    <xf numFmtId="169" fontId="7" fillId="0" borderId="47" xfId="0" applyNumberFormat="1" applyFont="1" applyBorder="1" applyAlignment="1">
      <alignment horizontal="left" vertical="center"/>
    </xf>
    <xf numFmtId="0" fontId="7" fillId="0" borderId="46" xfId="0" applyFont="1" applyBorder="1" applyAlignment="1">
      <alignment horizontal="left" vertical="center"/>
    </xf>
    <xf numFmtId="169" fontId="7" fillId="0" borderId="29" xfId="0" applyNumberFormat="1" applyFont="1" applyBorder="1" applyAlignment="1">
      <alignment horizontal="left" vertical="center"/>
    </xf>
    <xf numFmtId="0" fontId="7" fillId="0" borderId="31" xfId="0" applyFont="1" applyBorder="1" applyAlignment="1">
      <alignment horizontal="left" vertical="center"/>
    </xf>
    <xf numFmtId="169" fontId="7" fillId="0" borderId="31" xfId="0" applyNumberFormat="1" applyFont="1" applyBorder="1" applyAlignment="1">
      <alignment horizontal="left" vertical="center"/>
    </xf>
    <xf numFmtId="167" fontId="7" fillId="0" borderId="0" xfId="0" applyNumberFormat="1" applyFont="1"/>
    <xf numFmtId="171" fontId="7" fillId="0" borderId="0" xfId="0" applyNumberFormat="1" applyFont="1"/>
    <xf numFmtId="0" fontId="7" fillId="0" borderId="31" xfId="0" applyFont="1" applyBorder="1"/>
    <xf numFmtId="2" fontId="7" fillId="0" borderId="31" xfId="0" applyNumberFormat="1" applyFont="1" applyBorder="1" applyAlignment="1">
      <alignment horizontal="center" vertical="center"/>
    </xf>
    <xf numFmtId="0" fontId="7" fillId="0" borderId="54" xfId="0" applyFont="1" applyBorder="1" applyAlignment="1">
      <alignment horizontal="left" vertical="center"/>
    </xf>
    <xf numFmtId="0" fontId="7" fillId="0" borderId="0" xfId="0" applyFont="1" applyAlignment="1">
      <alignment horizontal="center" vertical="center"/>
    </xf>
    <xf numFmtId="0" fontId="0" fillId="0" borderId="9" xfId="0" applyBorder="1" applyAlignment="1">
      <alignment horizontal="left" vertical="top"/>
    </xf>
    <xf numFmtId="2" fontId="7" fillId="0" borderId="0" xfId="0" applyNumberFormat="1" applyFont="1" applyAlignment="1">
      <alignment horizontal="center" vertical="center"/>
    </xf>
    <xf numFmtId="0" fontId="14" fillId="37" borderId="0" xfId="49" applyBorder="1" applyAlignment="1">
      <alignment horizontal="left" vertical="center"/>
    </xf>
    <xf numFmtId="0" fontId="14" fillId="37" borderId="0" xfId="49" applyBorder="1" applyAlignment="1">
      <alignment vertical="center"/>
    </xf>
    <xf numFmtId="167" fontId="14" fillId="37" borderId="0" xfId="49" applyNumberFormat="1" applyBorder="1" applyAlignment="1">
      <alignment horizontal="left" vertical="center"/>
    </xf>
    <xf numFmtId="0" fontId="5" fillId="37" borderId="0" xfId="49" applyFont="1" applyBorder="1" applyAlignment="1">
      <alignment horizontal="left" vertical="center"/>
    </xf>
    <xf numFmtId="167" fontId="0" fillId="0" borderId="9" xfId="0" applyNumberFormat="1" applyBorder="1" applyAlignment="1">
      <alignment horizontal="left" vertical="top"/>
    </xf>
    <xf numFmtId="167" fontId="7" fillId="0" borderId="9" xfId="0" applyNumberFormat="1" applyFont="1" applyBorder="1" applyAlignment="1">
      <alignment horizontal="left" vertical="center"/>
    </xf>
    <xf numFmtId="169" fontId="7" fillId="0" borderId="56" xfId="0" applyNumberFormat="1" applyFont="1" applyBorder="1" applyAlignment="1">
      <alignment horizontal="left" vertical="center"/>
    </xf>
    <xf numFmtId="0" fontId="7" fillId="0" borderId="56" xfId="0" applyFont="1" applyBorder="1" applyAlignment="1">
      <alignment horizontal="left" vertical="center"/>
    </xf>
    <xf numFmtId="0" fontId="7" fillId="0" borderId="56" xfId="0" applyFont="1" applyBorder="1" applyAlignment="1">
      <alignment vertical="center"/>
    </xf>
    <xf numFmtId="0" fontId="7" fillId="0" borderId="51" xfId="0" applyFont="1" applyBorder="1"/>
    <xf numFmtId="0" fontId="7" fillId="0" borderId="63" xfId="0" applyFont="1" applyBorder="1"/>
    <xf numFmtId="0" fontId="7" fillId="0" borderId="64" xfId="0" applyFont="1" applyBorder="1"/>
    <xf numFmtId="0" fontId="7" fillId="0" borderId="74" xfId="0" applyFont="1" applyBorder="1" applyAlignment="1">
      <alignment horizontal="left" vertical="center"/>
    </xf>
    <xf numFmtId="0" fontId="7" fillId="0" borderId="65" xfId="0" applyFont="1" applyBorder="1"/>
    <xf numFmtId="167" fontId="7" fillId="0" borderId="16" xfId="0" applyNumberFormat="1" applyFont="1" applyBorder="1" applyAlignment="1">
      <alignment horizontal="left" vertical="center"/>
    </xf>
    <xf numFmtId="0" fontId="7" fillId="0" borderId="45" xfId="0" applyFont="1" applyBorder="1" applyAlignment="1">
      <alignment horizontal="left" vertical="center"/>
    </xf>
    <xf numFmtId="0" fontId="7" fillId="0" borderId="59" xfId="0" applyFont="1" applyBorder="1"/>
    <xf numFmtId="0" fontId="7" fillId="0" borderId="84" xfId="0" applyFont="1" applyBorder="1" applyAlignment="1">
      <alignment horizontal="left" vertical="center"/>
    </xf>
    <xf numFmtId="0" fontId="7" fillId="0" borderId="72" xfId="0" applyFont="1" applyBorder="1"/>
    <xf numFmtId="0" fontId="7" fillId="0" borderId="58" xfId="0" applyFont="1" applyBorder="1"/>
    <xf numFmtId="0" fontId="7" fillId="0" borderId="60" xfId="0" applyFont="1" applyBorder="1"/>
    <xf numFmtId="0" fontId="7" fillId="0" borderId="76" xfId="0" applyFont="1" applyBorder="1"/>
    <xf numFmtId="0" fontId="7" fillId="0" borderId="15" xfId="0" applyFont="1" applyBorder="1"/>
    <xf numFmtId="0" fontId="7" fillId="0" borderId="75" xfId="0" applyFont="1" applyBorder="1" applyAlignment="1">
      <alignment horizontal="left" vertical="center"/>
    </xf>
    <xf numFmtId="0" fontId="7" fillId="0" borderId="49" xfId="0" applyFont="1" applyBorder="1"/>
    <xf numFmtId="0" fontId="45" fillId="20" borderId="0" xfId="0" applyFont="1" applyFill="1" applyAlignment="1">
      <alignment horizontal="left"/>
    </xf>
    <xf numFmtId="165" fontId="7" fillId="0" borderId="7" xfId="0" applyNumberFormat="1" applyFont="1" applyBorder="1" applyAlignment="1">
      <alignment horizontal="left" vertical="center" readingOrder="1"/>
    </xf>
    <xf numFmtId="0" fontId="6" fillId="16" borderId="65" xfId="0" applyFont="1" applyFill="1" applyBorder="1" applyAlignment="1">
      <alignment horizontal="center" vertical="center"/>
    </xf>
    <xf numFmtId="173" fontId="7" fillId="0" borderId="35" xfId="0" applyNumberFormat="1" applyFont="1" applyBorder="1" applyAlignment="1">
      <alignment horizontal="left" vertical="center"/>
    </xf>
    <xf numFmtId="173" fontId="7" fillId="0" borderId="36" xfId="0" applyNumberFormat="1" applyFont="1" applyBorder="1" applyAlignment="1">
      <alignment horizontal="left" vertical="center"/>
    </xf>
    <xf numFmtId="173" fontId="7" fillId="0" borderId="9" xfId="0" applyNumberFormat="1" applyFont="1" applyBorder="1" applyAlignment="1">
      <alignment horizontal="left" vertical="center"/>
    </xf>
    <xf numFmtId="173" fontId="7" fillId="0" borderId="38" xfId="0" applyNumberFormat="1" applyFont="1" applyBorder="1" applyAlignment="1">
      <alignment horizontal="left" vertical="center"/>
    </xf>
    <xf numFmtId="173" fontId="7" fillId="0" borderId="37" xfId="0" applyNumberFormat="1" applyFont="1" applyBorder="1" applyAlignment="1">
      <alignment horizontal="left" vertical="center"/>
    </xf>
    <xf numFmtId="0" fontId="6" fillId="4" borderId="52" xfId="0" applyFont="1" applyFill="1" applyBorder="1" applyAlignment="1">
      <alignment horizontal="left" vertical="center" wrapText="1"/>
    </xf>
    <xf numFmtId="173" fontId="7" fillId="0" borderId="57" xfId="0" applyNumberFormat="1" applyFont="1" applyBorder="1" applyAlignment="1">
      <alignment horizontal="left" vertical="center"/>
    </xf>
    <xf numFmtId="49" fontId="7" fillId="0" borderId="57" xfId="0" applyNumberFormat="1" applyFont="1" applyBorder="1" applyAlignment="1">
      <alignment horizontal="left" vertical="center"/>
    </xf>
    <xf numFmtId="49" fontId="7" fillId="0" borderId="35" xfId="0" quotePrefix="1" applyNumberFormat="1" applyFont="1" applyBorder="1" applyAlignment="1">
      <alignment horizontal="left" vertical="center"/>
    </xf>
    <xf numFmtId="49" fontId="7" fillId="0" borderId="37" xfId="0" quotePrefix="1" applyNumberFormat="1" applyFont="1" applyBorder="1" applyAlignment="1">
      <alignment horizontal="left" vertical="center"/>
    </xf>
    <xf numFmtId="0" fontId="7" fillId="0" borderId="57" xfId="0" applyFont="1" applyBorder="1" applyAlignment="1">
      <alignment horizontal="left"/>
    </xf>
    <xf numFmtId="0" fontId="7" fillId="0" borderId="35" xfId="0" applyFont="1" applyBorder="1" applyAlignment="1">
      <alignment horizontal="left"/>
    </xf>
    <xf numFmtId="0" fontId="7" fillId="0" borderId="3" xfId="0" applyFont="1" applyBorder="1" applyAlignment="1">
      <alignment horizontal="left"/>
    </xf>
    <xf numFmtId="0" fontId="7" fillId="0" borderId="38" xfId="0" applyFont="1" applyBorder="1" applyAlignment="1">
      <alignment horizontal="left"/>
    </xf>
    <xf numFmtId="0" fontId="7" fillId="0" borderId="19" xfId="0" applyFont="1" applyBorder="1" applyAlignment="1">
      <alignment horizontal="left"/>
    </xf>
    <xf numFmtId="0" fontId="7" fillId="0" borderId="51" xfId="0" applyFont="1" applyBorder="1" applyAlignment="1">
      <alignment horizontal="left"/>
    </xf>
    <xf numFmtId="0" fontId="7" fillId="0" borderId="0" xfId="0" applyFont="1" applyAlignment="1">
      <alignment horizontal="left"/>
    </xf>
    <xf numFmtId="2" fontId="6" fillId="6" borderId="18" xfId="0" applyNumberFormat="1" applyFont="1" applyFill="1" applyBorder="1" applyAlignment="1">
      <alignment horizontal="left" vertical="center"/>
    </xf>
    <xf numFmtId="2" fontId="7" fillId="0" borderId="24" xfId="0" applyNumberFormat="1" applyFont="1" applyBorder="1" applyAlignment="1">
      <alignment horizontal="left" vertical="center"/>
    </xf>
    <xf numFmtId="0" fontId="7" fillId="0" borderId="26" xfId="0" applyFont="1" applyBorder="1" applyAlignment="1">
      <alignment horizontal="left"/>
    </xf>
    <xf numFmtId="165" fontId="7" fillId="0" borderId="2" xfId="0" applyNumberFormat="1" applyFont="1" applyBorder="1" applyAlignment="1">
      <alignment horizontal="left" vertical="center" readingOrder="1"/>
    </xf>
    <xf numFmtId="2" fontId="7" fillId="0" borderId="71" xfId="0" applyNumberFormat="1" applyFont="1" applyBorder="1" applyAlignment="1">
      <alignment horizontal="left" vertical="center"/>
    </xf>
    <xf numFmtId="165" fontId="7" fillId="0" borderId="3" xfId="0" applyNumberFormat="1" applyFont="1" applyBorder="1" applyAlignment="1">
      <alignment horizontal="left" vertical="center" readingOrder="1"/>
    </xf>
    <xf numFmtId="2" fontId="7" fillId="0" borderId="44" xfId="0" applyNumberFormat="1" applyFont="1" applyBorder="1" applyAlignment="1">
      <alignment horizontal="left" vertical="center"/>
    </xf>
    <xf numFmtId="2" fontId="7" fillId="0" borderId="46" xfId="0" applyNumberFormat="1" applyFont="1" applyBorder="1" applyAlignment="1">
      <alignment horizontal="left" vertical="center"/>
    </xf>
    <xf numFmtId="49" fontId="7" fillId="0" borderId="39" xfId="0" quotePrefix="1" applyNumberFormat="1" applyFont="1" applyBorder="1" applyAlignment="1">
      <alignment horizontal="left" vertical="center"/>
    </xf>
    <xf numFmtId="165" fontId="7" fillId="0" borderId="48" xfId="0" applyNumberFormat="1" applyFont="1" applyBorder="1" applyAlignment="1">
      <alignment horizontal="left" vertical="center" readingOrder="1"/>
    </xf>
    <xf numFmtId="166" fontId="7" fillId="0" borderId="9" xfId="0" applyNumberFormat="1" applyFont="1" applyBorder="1" applyAlignment="1">
      <alignment horizontal="left" vertical="center"/>
    </xf>
    <xf numFmtId="166" fontId="7" fillId="0" borderId="27" xfId="0" applyNumberFormat="1" applyFont="1" applyBorder="1" applyAlignment="1">
      <alignment horizontal="left" vertical="center"/>
    </xf>
    <xf numFmtId="0" fontId="57" fillId="0" borderId="26" xfId="0" applyFont="1" applyBorder="1" applyAlignment="1">
      <alignment horizontal="left" vertical="center"/>
    </xf>
    <xf numFmtId="2" fontId="6" fillId="4" borderId="40" xfId="0" applyNumberFormat="1" applyFont="1" applyFill="1" applyBorder="1" applyAlignment="1">
      <alignment horizontal="left" vertical="center"/>
    </xf>
    <xf numFmtId="0" fontId="35" fillId="0" borderId="0" xfId="0" applyFont="1" applyAlignment="1">
      <alignment horizontal="left" vertical="center"/>
    </xf>
    <xf numFmtId="0" fontId="10" fillId="0" borderId="0" xfId="0" applyFont="1" applyAlignment="1">
      <alignment horizontal="left"/>
    </xf>
    <xf numFmtId="0" fontId="10" fillId="0" borderId="0" xfId="0" applyFont="1" applyAlignment="1">
      <alignment horizontal="left" vertical="center"/>
    </xf>
    <xf numFmtId="9" fontId="0" fillId="0" borderId="0" xfId="0" applyNumberFormat="1" applyAlignment="1">
      <alignment horizontal="left"/>
    </xf>
    <xf numFmtId="10" fontId="0" fillId="0" borderId="0" xfId="0" applyNumberFormat="1" applyAlignment="1">
      <alignment horizontal="left"/>
    </xf>
    <xf numFmtId="0" fontId="7" fillId="17" borderId="26" xfId="0" applyFont="1" applyFill="1" applyBorder="1" applyAlignment="1">
      <alignment horizontal="left" vertical="center"/>
    </xf>
    <xf numFmtId="0" fontId="7" fillId="17" borderId="9" xfId="0" applyFont="1" applyFill="1" applyBorder="1" applyAlignment="1">
      <alignment horizontal="left" vertical="center"/>
    </xf>
    <xf numFmtId="2" fontId="57" fillId="0" borderId="9" xfId="0" applyNumberFormat="1" applyFont="1" applyBorder="1" applyAlignment="1">
      <alignment horizontal="left" vertical="center"/>
    </xf>
    <xf numFmtId="2" fontId="57" fillId="0" borderId="27" xfId="0" applyNumberFormat="1" applyFont="1" applyBorder="1" applyAlignment="1">
      <alignment horizontal="left" vertical="center"/>
    </xf>
    <xf numFmtId="0" fontId="27" fillId="0" borderId="0" xfId="0" applyFont="1" applyAlignment="1">
      <alignment horizontal="left" vertical="center"/>
    </xf>
    <xf numFmtId="0" fontId="0" fillId="0" borderId="18" xfId="0" applyBorder="1" applyAlignment="1">
      <alignment horizontal="left" vertical="center"/>
    </xf>
    <xf numFmtId="0" fontId="0" fillId="0" borderId="27" xfId="0" applyBorder="1" applyAlignment="1">
      <alignment horizontal="left"/>
    </xf>
    <xf numFmtId="0" fontId="0" fillId="0" borderId="26" xfId="0" applyBorder="1" applyAlignment="1">
      <alignment horizontal="left"/>
    </xf>
    <xf numFmtId="167" fontId="7" fillId="0" borderId="0" xfId="0" applyNumberFormat="1" applyFont="1" applyAlignment="1">
      <alignment horizontal="left"/>
    </xf>
    <xf numFmtId="171" fontId="7" fillId="0" borderId="0" xfId="0" applyNumberFormat="1" applyFont="1" applyAlignment="1">
      <alignment horizontal="left"/>
    </xf>
    <xf numFmtId="0" fontId="57" fillId="0" borderId="33" xfId="0" applyFont="1" applyBorder="1" applyAlignment="1">
      <alignment horizontal="left" vertical="center"/>
    </xf>
    <xf numFmtId="166" fontId="7" fillId="0" borderId="33" xfId="0" applyNumberFormat="1" applyFont="1" applyBorder="1" applyAlignment="1">
      <alignment horizontal="left" vertical="center"/>
    </xf>
    <xf numFmtId="168" fontId="7" fillId="0" borderId="33" xfId="0" applyNumberFormat="1" applyFont="1" applyBorder="1" applyAlignment="1">
      <alignment horizontal="left" vertical="center"/>
    </xf>
    <xf numFmtId="0" fontId="0" fillId="0" borderId="33" xfId="0" applyBorder="1" applyAlignment="1">
      <alignment horizontal="left"/>
    </xf>
    <xf numFmtId="0" fontId="0" fillId="0" borderId="33" xfId="0" applyBorder="1" applyAlignment="1">
      <alignment horizontal="left" vertical="top"/>
    </xf>
    <xf numFmtId="169" fontId="7" fillId="0" borderId="33" xfId="0" applyNumberFormat="1" applyFont="1" applyBorder="1" applyAlignment="1">
      <alignment horizontal="left" vertical="center"/>
    </xf>
    <xf numFmtId="173" fontId="7" fillId="0" borderId="33" xfId="0" applyNumberFormat="1" applyFont="1" applyBorder="1" applyAlignment="1">
      <alignment horizontal="left" vertical="center"/>
    </xf>
    <xf numFmtId="166" fontId="7" fillId="0" borderId="20" xfId="0" applyNumberFormat="1" applyFont="1" applyBorder="1" applyAlignment="1">
      <alignment horizontal="left" vertical="center"/>
    </xf>
    <xf numFmtId="166" fontId="7" fillId="0" borderId="7" xfId="0" applyNumberFormat="1" applyFont="1" applyBorder="1" applyAlignment="1">
      <alignment horizontal="left" vertical="center"/>
    </xf>
    <xf numFmtId="168" fontId="7" fillId="0" borderId="7" xfId="0" applyNumberFormat="1" applyFont="1" applyBorder="1" applyAlignment="1">
      <alignment horizontal="left" vertical="center"/>
    </xf>
    <xf numFmtId="0" fontId="0" fillId="0" borderId="7" xfId="0" applyBorder="1" applyAlignment="1">
      <alignment horizontal="left"/>
    </xf>
    <xf numFmtId="169" fontId="0" fillId="0" borderId="7" xfId="0" applyNumberFormat="1" applyBorder="1" applyAlignment="1">
      <alignment horizontal="left"/>
    </xf>
    <xf numFmtId="1" fontId="0" fillId="0" borderId="36" xfId="0" applyNumberFormat="1" applyBorder="1" applyAlignment="1">
      <alignment horizontal="left"/>
    </xf>
    <xf numFmtId="167" fontId="7" fillId="0" borderId="7" xfId="0" applyNumberFormat="1" applyFont="1" applyBorder="1" applyAlignment="1">
      <alignment horizontal="left" vertical="center"/>
    </xf>
    <xf numFmtId="0" fontId="34" fillId="0" borderId="7" xfId="37" applyFont="1" applyFill="1" applyBorder="1" applyAlignment="1">
      <alignment horizontal="left" vertical="center"/>
    </xf>
    <xf numFmtId="0" fontId="57" fillId="0" borderId="50" xfId="0" applyFont="1" applyBorder="1" applyAlignment="1">
      <alignment horizontal="left" vertical="center"/>
    </xf>
    <xf numFmtId="0" fontId="57" fillId="0" borderId="36" xfId="0" applyFont="1" applyBorder="1" applyAlignment="1">
      <alignment horizontal="left" vertical="center"/>
    </xf>
    <xf numFmtId="0" fontId="57" fillId="0" borderId="7" xfId="0" applyFont="1" applyBorder="1" applyAlignment="1">
      <alignment horizontal="left" vertical="center"/>
    </xf>
    <xf numFmtId="169" fontId="57" fillId="0" borderId="7" xfId="0" applyNumberFormat="1" applyFont="1" applyBorder="1" applyAlignment="1">
      <alignment horizontal="left" vertical="center"/>
    </xf>
    <xf numFmtId="1" fontId="57" fillId="0" borderId="36" xfId="0" applyNumberFormat="1" applyFont="1" applyBorder="1" applyAlignment="1">
      <alignment horizontal="left" vertical="center"/>
    </xf>
    <xf numFmtId="2" fontId="18" fillId="0" borderId="7" xfId="0" applyNumberFormat="1" applyFont="1" applyBorder="1" applyAlignment="1">
      <alignment horizontal="left" vertical="center"/>
    </xf>
    <xf numFmtId="167" fontId="0" fillId="0" borderId="7" xfId="0" applyNumberFormat="1" applyBorder="1" applyAlignment="1">
      <alignment horizontal="left" vertical="top"/>
    </xf>
    <xf numFmtId="165" fontId="7" fillId="0" borderId="7" xfId="0" applyNumberFormat="1" applyFont="1" applyBorder="1" applyAlignment="1">
      <alignment horizontal="left" vertical="center"/>
    </xf>
    <xf numFmtId="0" fontId="7" fillId="0" borderId="37" xfId="0" applyFont="1" applyBorder="1" applyAlignment="1">
      <alignment horizontal="left"/>
    </xf>
    <xf numFmtId="0" fontId="0" fillId="20" borderId="0" xfId="0" applyFill="1" applyAlignment="1">
      <alignment horizontal="left" vertical="center"/>
    </xf>
    <xf numFmtId="0" fontId="7" fillId="26" borderId="0" xfId="0" applyFont="1" applyFill="1" applyAlignment="1">
      <alignment horizontal="left" vertical="center"/>
    </xf>
    <xf numFmtId="173" fontId="0" fillId="25" borderId="0" xfId="0" applyNumberFormat="1" applyFill="1" applyAlignment="1">
      <alignment horizontal="left" vertical="center"/>
    </xf>
    <xf numFmtId="0" fontId="7" fillId="20" borderId="0" xfId="0" applyFont="1" applyFill="1" applyAlignment="1">
      <alignment horizontal="left" vertical="center"/>
    </xf>
    <xf numFmtId="0" fontId="6" fillId="20" borderId="0" xfId="0" applyFont="1" applyFill="1" applyAlignment="1">
      <alignment horizontal="left" vertical="center"/>
    </xf>
    <xf numFmtId="2" fontId="0" fillId="20" borderId="0" xfId="0" applyNumberFormat="1" applyFill="1" applyAlignment="1">
      <alignment horizontal="left" vertical="center"/>
    </xf>
    <xf numFmtId="2" fontId="0" fillId="0" borderId="9" xfId="0" applyNumberFormat="1" applyBorder="1"/>
    <xf numFmtId="0" fontId="0" fillId="0" borderId="9" xfId="0" quotePrefix="1" applyBorder="1"/>
    <xf numFmtId="2" fontId="0" fillId="0" borderId="9" xfId="0" quotePrefix="1" applyNumberFormat="1" applyBorder="1"/>
    <xf numFmtId="0" fontId="0" fillId="0" borderId="17" xfId="0" applyBorder="1"/>
    <xf numFmtId="169" fontId="0" fillId="0" borderId="37" xfId="0" applyNumberFormat="1" applyBorder="1"/>
    <xf numFmtId="0" fontId="6" fillId="0" borderId="0" xfId="0" applyFont="1"/>
    <xf numFmtId="0" fontId="5" fillId="26" borderId="0" xfId="0" applyFont="1" applyFill="1" applyAlignment="1">
      <alignment horizontal="left" vertical="center"/>
    </xf>
    <xf numFmtId="166" fontId="7" fillId="25" borderId="0" xfId="0" applyNumberFormat="1" applyFont="1" applyFill="1" applyAlignment="1">
      <alignment horizontal="left" vertical="center"/>
    </xf>
    <xf numFmtId="0" fontId="0" fillId="26" borderId="0" xfId="0" applyFill="1" applyAlignment="1">
      <alignment horizontal="left" vertical="center"/>
    </xf>
    <xf numFmtId="165" fontId="0" fillId="25" borderId="0" xfId="0" applyNumberFormat="1" applyFill="1" applyAlignment="1">
      <alignment horizontal="left" vertical="center"/>
    </xf>
    <xf numFmtId="169" fontId="0" fillId="24" borderId="3" xfId="0" applyNumberFormat="1" applyFill="1" applyBorder="1" applyAlignment="1">
      <alignment horizontal="left" vertical="center"/>
    </xf>
    <xf numFmtId="1" fontId="0" fillId="0" borderId="3" xfId="0" applyNumberFormat="1" applyBorder="1" applyAlignment="1">
      <alignment horizontal="left" vertical="center"/>
    </xf>
    <xf numFmtId="0" fontId="7" fillId="0" borderId="75" xfId="0" applyFont="1" applyBorder="1" applyAlignment="1">
      <alignment vertical="center"/>
    </xf>
    <xf numFmtId="2" fontId="7" fillId="0" borderId="31" xfId="0" applyNumberFormat="1" applyFont="1" applyBorder="1" applyAlignment="1">
      <alignment horizontal="left" vertical="center"/>
    </xf>
    <xf numFmtId="0" fontId="54" fillId="57" borderId="0" xfId="0" applyFont="1" applyFill="1" applyAlignment="1">
      <alignment horizontal="left" vertical="center"/>
    </xf>
    <xf numFmtId="0" fontId="56" fillId="57" borderId="0" xfId="0" applyFont="1" applyFill="1"/>
    <xf numFmtId="0" fontId="0" fillId="57" borderId="9" xfId="0" applyFill="1" applyBorder="1"/>
    <xf numFmtId="0" fontId="7" fillId="57" borderId="9" xfId="0" applyFont="1" applyFill="1" applyBorder="1" applyAlignment="1">
      <alignment horizontal="left" vertical="center"/>
    </xf>
    <xf numFmtId="0" fontId="54" fillId="57" borderId="9" xfId="0" applyFont="1" applyFill="1" applyBorder="1"/>
    <xf numFmtId="0" fontId="54" fillId="57" borderId="2" xfId="0" applyFont="1" applyFill="1" applyBorder="1" applyAlignment="1">
      <alignment horizontal="left" vertical="center"/>
    </xf>
    <xf numFmtId="0" fontId="7" fillId="57" borderId="29" xfId="0" applyFont="1" applyFill="1" applyBorder="1" applyAlignment="1">
      <alignment horizontal="left" vertical="center"/>
    </xf>
    <xf numFmtId="0" fontId="54" fillId="57" borderId="29" xfId="0" applyFont="1" applyFill="1" applyBorder="1"/>
    <xf numFmtId="0" fontId="54" fillId="57" borderId="68" xfId="0" applyFont="1" applyFill="1" applyBorder="1" applyAlignment="1">
      <alignment horizontal="left" vertical="center"/>
    </xf>
    <xf numFmtId="0" fontId="54" fillId="0" borderId="17" xfId="0" applyFont="1" applyBorder="1"/>
    <xf numFmtId="0" fontId="54" fillId="0" borderId="24" xfId="0" applyFont="1" applyBorder="1"/>
    <xf numFmtId="0" fontId="54" fillId="0" borderId="58" xfId="0" applyFont="1" applyBorder="1" applyAlignment="1">
      <alignment horizontal="left" vertical="center"/>
    </xf>
    <xf numFmtId="0" fontId="54" fillId="57" borderId="9" xfId="0" applyFont="1" applyFill="1" applyBorder="1" applyAlignment="1">
      <alignment horizontal="left" vertical="center"/>
    </xf>
    <xf numFmtId="0" fontId="7" fillId="17" borderId="49" xfId="0" applyFont="1" applyFill="1" applyBorder="1" applyAlignment="1">
      <alignment horizontal="left" vertical="center"/>
    </xf>
    <xf numFmtId="2" fontId="7" fillId="17" borderId="36" xfId="0" applyNumberFormat="1" applyFont="1" applyFill="1" applyBorder="1" applyAlignment="1">
      <alignment vertical="center"/>
    </xf>
    <xf numFmtId="2" fontId="7" fillId="0" borderId="16" xfId="0" applyNumberFormat="1" applyFont="1" applyBorder="1" applyAlignment="1">
      <alignment horizontal="left" vertical="center"/>
    </xf>
    <xf numFmtId="166" fontId="0" fillId="0" borderId="9" xfId="0" applyNumberFormat="1" applyBorder="1" applyAlignment="1">
      <alignment horizontal="center" vertical="center"/>
    </xf>
    <xf numFmtId="0" fontId="0" fillId="0" borderId="0" xfId="0"/>
    <xf numFmtId="0" fontId="14" fillId="58" borderId="0" xfId="103" applyAlignment="1">
      <alignment horizontal="left" vertical="center"/>
    </xf>
    <xf numFmtId="0" fontId="0" fillId="0" borderId="67" xfId="0" applyBorder="1"/>
    <xf numFmtId="0" fontId="7" fillId="59" borderId="0" xfId="0" applyFont="1" applyFill="1" applyAlignment="1">
      <alignment horizontal="left" vertical="center"/>
    </xf>
    <xf numFmtId="0" fontId="0" fillId="59" borderId="0" xfId="0" applyFill="1" applyAlignment="1">
      <alignment horizontal="left"/>
    </xf>
    <xf numFmtId="0" fontId="5" fillId="0" borderId="21" xfId="0" applyFont="1" applyBorder="1"/>
    <xf numFmtId="0" fontId="0" fillId="0" borderId="69" xfId="0" applyFill="1" applyBorder="1"/>
    <xf numFmtId="0" fontId="5" fillId="0" borderId="23" xfId="0" applyFont="1" applyBorder="1"/>
    <xf numFmtId="0" fontId="14" fillId="58" borderId="73" xfId="103" applyBorder="1" applyAlignment="1">
      <alignment horizontal="left" vertical="center"/>
    </xf>
    <xf numFmtId="0" fontId="7" fillId="0" borderId="73" xfId="0" applyFont="1" applyBorder="1" applyAlignment="1">
      <alignment horizontal="left" vertical="center"/>
    </xf>
    <xf numFmtId="0" fontId="0" fillId="0" borderId="73" xfId="0" applyBorder="1" applyAlignment="1">
      <alignment horizontal="left"/>
    </xf>
    <xf numFmtId="0" fontId="0" fillId="0" borderId="83" xfId="0" applyFill="1" applyBorder="1" applyAlignment="1">
      <alignment horizontal="left"/>
    </xf>
    <xf numFmtId="0" fontId="46" fillId="8" borderId="0" xfId="51" applyAlignment="1">
      <alignment horizontal="left"/>
    </xf>
    <xf numFmtId="0" fontId="7" fillId="0" borderId="9" xfId="0" applyFont="1" applyBorder="1" applyAlignment="1">
      <alignment horizontal="left" vertical="center"/>
    </xf>
    <xf numFmtId="0" fontId="25" fillId="21" borderId="15" xfId="0" applyFont="1" applyFill="1" applyBorder="1" applyAlignment="1">
      <alignment horizontal="left" vertical="center" wrapText="1"/>
    </xf>
    <xf numFmtId="0" fontId="25" fillId="21" borderId="6" xfId="0" applyFont="1" applyFill="1" applyBorder="1" applyAlignment="1">
      <alignment horizontal="left" vertical="center" wrapText="1"/>
    </xf>
    <xf numFmtId="0" fontId="25" fillId="21" borderId="39" xfId="0" applyFont="1" applyFill="1" applyBorder="1" applyAlignment="1">
      <alignment horizontal="left" vertical="center" wrapText="1"/>
    </xf>
    <xf numFmtId="0" fontId="0" fillId="0" borderId="13" xfId="0" applyBorder="1" applyAlignment="1">
      <alignment horizontal="left" vertical="center" wrapText="1"/>
    </xf>
    <xf numFmtId="0" fontId="0" fillId="0" borderId="27" xfId="0" applyBorder="1" applyAlignment="1">
      <alignment horizontal="left" vertical="center" wrapText="1"/>
    </xf>
    <xf numFmtId="0" fontId="0" fillId="0" borderId="9" xfId="0" applyBorder="1" applyAlignment="1">
      <alignment horizontal="left" vertical="center" wrapText="1"/>
    </xf>
    <xf numFmtId="0" fontId="6" fillId="21" borderId="15" xfId="0" applyFont="1" applyFill="1" applyBorder="1" applyAlignment="1">
      <alignment horizontal="left" vertical="center" wrapText="1"/>
    </xf>
    <xf numFmtId="0" fontId="6" fillId="21" borderId="6" xfId="0" applyFont="1" applyFill="1" applyBorder="1" applyAlignment="1">
      <alignment horizontal="left" vertical="center" wrapText="1"/>
    </xf>
    <xf numFmtId="0" fontId="6" fillId="21" borderId="39" xfId="0" applyFont="1" applyFill="1" applyBorder="1" applyAlignment="1">
      <alignment horizontal="left" vertical="center" wrapText="1"/>
    </xf>
    <xf numFmtId="0" fontId="0" fillId="0" borderId="53" xfId="0" applyBorder="1" applyAlignment="1">
      <alignment horizontal="left" vertical="center" wrapText="1"/>
    </xf>
    <xf numFmtId="0" fontId="0" fillId="0" borderId="24" xfId="0" applyBorder="1" applyAlignment="1">
      <alignment horizontal="left" vertical="center" wrapText="1"/>
    </xf>
    <xf numFmtId="0" fontId="0" fillId="0" borderId="25" xfId="0" applyBorder="1" applyAlignment="1">
      <alignment horizontal="left" vertical="center" wrapText="1"/>
    </xf>
    <xf numFmtId="0" fontId="0" fillId="0" borderId="26" xfId="0" applyBorder="1" applyAlignment="1">
      <alignment horizontal="left" vertical="center" wrapText="1"/>
    </xf>
    <xf numFmtId="0" fontId="0" fillId="0" borderId="23" xfId="0" applyBorder="1" applyAlignment="1">
      <alignment horizontal="left" vertical="center" wrapText="1"/>
    </xf>
    <xf numFmtId="0" fontId="6" fillId="21" borderId="42" xfId="0" applyFont="1" applyFill="1" applyBorder="1" applyAlignment="1">
      <alignment horizontal="left" vertical="center" wrapText="1"/>
    </xf>
    <xf numFmtId="0" fontId="6" fillId="21" borderId="18" xfId="0" applyFont="1" applyFill="1" applyBorder="1" applyAlignment="1">
      <alignment horizontal="left" vertical="center" wrapText="1"/>
    </xf>
    <xf numFmtId="0" fontId="6" fillId="21" borderId="52" xfId="0" applyFont="1" applyFill="1" applyBorder="1" applyAlignment="1">
      <alignment horizontal="left" vertical="center" wrapText="1"/>
    </xf>
    <xf numFmtId="0" fontId="0" fillId="0" borderId="11" xfId="0" applyBorder="1" applyAlignment="1">
      <alignment horizontal="left" vertical="center" wrapText="1"/>
    </xf>
    <xf numFmtId="0" fontId="0" fillId="0" borderId="30" xfId="0" applyBorder="1" applyAlignment="1">
      <alignment horizontal="left" vertical="center" wrapText="1"/>
    </xf>
    <xf numFmtId="0" fontId="0" fillId="0" borderId="29" xfId="0" applyBorder="1" applyAlignment="1">
      <alignment horizontal="left" vertical="center" wrapText="1"/>
    </xf>
    <xf numFmtId="0" fontId="6" fillId="15" borderId="40" xfId="41" applyFont="1" applyFill="1" applyBorder="1" applyAlignment="1">
      <alignment horizontal="center" vertical="center" wrapText="1"/>
    </xf>
    <xf numFmtId="0" fontId="6" fillId="15" borderId="41" xfId="41" applyFont="1" applyFill="1" applyBorder="1" applyAlignment="1">
      <alignment horizontal="center" vertical="center" wrapText="1"/>
    </xf>
    <xf numFmtId="0" fontId="70" fillId="20" borderId="0" xfId="0" applyFont="1" applyFill="1" applyAlignment="1">
      <alignment horizontal="left"/>
    </xf>
    <xf numFmtId="0" fontId="15" fillId="20" borderId="0" xfId="0" applyFont="1" applyFill="1" applyAlignment="1">
      <alignment horizontal="left"/>
    </xf>
    <xf numFmtId="0" fontId="45" fillId="20" borderId="0" xfId="0" applyFont="1" applyFill="1" applyAlignment="1">
      <alignment horizontal="left"/>
    </xf>
    <xf numFmtId="0" fontId="0" fillId="20" borderId="0" xfId="0" applyFill="1" applyAlignment="1">
      <alignment horizontal="left"/>
    </xf>
    <xf numFmtId="0" fontId="45" fillId="54" borderId="0" xfId="0" applyFont="1" applyFill="1" applyAlignment="1">
      <alignment horizontal="left"/>
    </xf>
    <xf numFmtId="0" fontId="45" fillId="55" borderId="0" xfId="0" applyFont="1" applyFill="1" applyAlignment="1">
      <alignment horizontal="left"/>
    </xf>
    <xf numFmtId="0" fontId="32" fillId="20" borderId="0" xfId="0" applyFont="1" applyFill="1" applyAlignment="1">
      <alignment horizontal="left" vertical="center"/>
    </xf>
    <xf numFmtId="0" fontId="32" fillId="20" borderId="3" xfId="0" applyFont="1" applyFill="1" applyBorder="1" applyAlignment="1">
      <alignment horizontal="left" vertical="center"/>
    </xf>
    <xf numFmtId="0" fontId="0" fillId="0" borderId="9" xfId="0" applyBorder="1" applyAlignment="1">
      <alignment horizontal="left"/>
    </xf>
    <xf numFmtId="0" fontId="0" fillId="0" borderId="0" xfId="0"/>
    <xf numFmtId="0" fontId="19" fillId="0" borderId="9" xfId="37" applyBorder="1" applyAlignment="1">
      <alignment horizontal="left" vertical="center"/>
    </xf>
    <xf numFmtId="0" fontId="32" fillId="20" borderId="9" xfId="0" applyFont="1" applyFill="1" applyBorder="1" applyAlignment="1">
      <alignment horizontal="left" vertical="center"/>
    </xf>
    <xf numFmtId="49" fontId="6" fillId="16" borderId="59" xfId="0" applyNumberFormat="1" applyFont="1" applyFill="1" applyBorder="1" applyAlignment="1">
      <alignment horizontal="left" vertical="center"/>
    </xf>
    <xf numFmtId="49" fontId="6" fillId="16" borderId="7" xfId="0" applyNumberFormat="1" applyFont="1" applyFill="1" applyBorder="1" applyAlignment="1">
      <alignment horizontal="left" vertical="center"/>
    </xf>
    <xf numFmtId="49" fontId="6" fillId="16" borderId="13" xfId="0" applyNumberFormat="1" applyFont="1" applyFill="1" applyBorder="1" applyAlignment="1">
      <alignment horizontal="left" vertical="center"/>
    </xf>
    <xf numFmtId="49" fontId="7" fillId="0" borderId="59" xfId="0" quotePrefix="1" applyNumberFormat="1" applyFont="1" applyBorder="1" applyAlignment="1">
      <alignment horizontal="left" vertical="center"/>
    </xf>
    <xf numFmtId="49" fontId="7" fillId="0" borderId="7" xfId="0" quotePrefix="1" applyNumberFormat="1" applyFont="1" applyBorder="1" applyAlignment="1">
      <alignment horizontal="left" vertical="center"/>
    </xf>
    <xf numFmtId="49" fontId="7" fillId="0" borderId="13" xfId="0" quotePrefix="1" applyNumberFormat="1" applyFont="1" applyBorder="1" applyAlignment="1">
      <alignment horizontal="left" vertical="center"/>
    </xf>
    <xf numFmtId="0" fontId="17" fillId="52" borderId="59" xfId="0" applyFont="1" applyFill="1" applyBorder="1" applyAlignment="1">
      <alignment horizontal="left" vertical="center"/>
    </xf>
    <xf numFmtId="0" fontId="17" fillId="52" borderId="7" xfId="0" applyFont="1" applyFill="1" applyBorder="1" applyAlignment="1">
      <alignment horizontal="left" vertical="center"/>
    </xf>
    <xf numFmtId="0" fontId="17" fillId="52" borderId="13" xfId="0" applyFont="1" applyFill="1" applyBorder="1" applyAlignment="1">
      <alignment horizontal="left" vertical="center"/>
    </xf>
    <xf numFmtId="0" fontId="0" fillId="0" borderId="59" xfId="0" applyBorder="1" applyAlignment="1">
      <alignment horizontal="left"/>
    </xf>
    <xf numFmtId="0" fontId="0" fillId="0" borderId="13" xfId="0" applyBorder="1" applyAlignment="1">
      <alignment horizontal="left"/>
    </xf>
    <xf numFmtId="0" fontId="5" fillId="27" borderId="9" xfId="0" applyFont="1" applyFill="1" applyBorder="1" applyAlignment="1">
      <alignment horizontal="left" vertical="center" wrapText="1"/>
    </xf>
    <xf numFmtId="0" fontId="0" fillId="0" borderId="64" xfId="0" applyBorder="1" applyAlignment="1">
      <alignment horizontal="left" vertical="center" wrapText="1"/>
    </xf>
    <xf numFmtId="0" fontId="0" fillId="0" borderId="10" xfId="0" applyBorder="1" applyAlignment="1">
      <alignment horizontal="left" vertical="center" wrapText="1"/>
    </xf>
    <xf numFmtId="0" fontId="0" fillId="0" borderId="65" xfId="0" applyBorder="1" applyAlignment="1">
      <alignment horizontal="left" vertical="center" wrapText="1"/>
    </xf>
    <xf numFmtId="0" fontId="0" fillId="0" borderId="75" xfId="0" applyBorder="1" applyAlignment="1">
      <alignment horizontal="left" vertical="center" wrapText="1"/>
    </xf>
    <xf numFmtId="0" fontId="0" fillId="0" borderId="63" xfId="0" applyBorder="1" applyAlignment="1">
      <alignment horizontal="left" vertical="center" wrapText="1"/>
    </xf>
    <xf numFmtId="0" fontId="0" fillId="0" borderId="8" xfId="0" applyBorder="1" applyAlignment="1">
      <alignment horizontal="left" vertical="center" wrapText="1"/>
    </xf>
    <xf numFmtId="0" fontId="7" fillId="0" borderId="59" xfId="0" applyFont="1" applyBorder="1" applyAlignment="1">
      <alignment horizontal="left"/>
    </xf>
    <xf numFmtId="0" fontId="7" fillId="0" borderId="13" xfId="0" applyFont="1" applyBorder="1" applyAlignment="1">
      <alignment horizontal="left"/>
    </xf>
    <xf numFmtId="0" fontId="5" fillId="29" borderId="64" xfId="0" applyFont="1" applyFill="1" applyBorder="1" applyAlignment="1">
      <alignment horizontal="left" vertical="center"/>
    </xf>
    <xf numFmtId="0" fontId="5" fillId="29" borderId="2" xfId="0" applyFont="1" applyFill="1" applyBorder="1" applyAlignment="1">
      <alignment horizontal="left" vertical="center"/>
    </xf>
    <xf numFmtId="2" fontId="7" fillId="0" borderId="59" xfId="0" applyNumberFormat="1" applyFont="1" applyBorder="1" applyAlignment="1">
      <alignment horizontal="left" vertical="center"/>
    </xf>
    <xf numFmtId="2" fontId="7" fillId="0" borderId="13" xfId="0" applyNumberFormat="1" applyFont="1" applyBorder="1" applyAlignment="1">
      <alignment horizontal="left" vertical="center"/>
    </xf>
    <xf numFmtId="2" fontId="7" fillId="26" borderId="9" xfId="0" applyNumberFormat="1" applyFont="1" applyFill="1" applyBorder="1" applyAlignment="1">
      <alignment horizontal="left" vertical="center"/>
    </xf>
    <xf numFmtId="2" fontId="7" fillId="0" borderId="9" xfId="0" applyNumberFormat="1" applyFont="1" applyBorder="1" applyAlignment="1">
      <alignment horizontal="left" vertical="center"/>
    </xf>
    <xf numFmtId="2" fontId="7" fillId="26" borderId="59" xfId="0" applyNumberFormat="1" applyFont="1" applyFill="1" applyBorder="1" applyAlignment="1">
      <alignment horizontal="left" vertical="center"/>
    </xf>
    <xf numFmtId="2" fontId="7" fillId="26" borderId="13" xfId="0" applyNumberFormat="1" applyFont="1" applyFill="1" applyBorder="1" applyAlignment="1">
      <alignment horizontal="left" vertical="center"/>
    </xf>
    <xf numFmtId="2" fontId="6" fillId="27" borderId="9" xfId="0" applyNumberFormat="1" applyFont="1" applyFill="1" applyBorder="1" applyAlignment="1">
      <alignment horizontal="left" vertical="center"/>
    </xf>
    <xf numFmtId="0" fontId="5" fillId="27" borderId="9" xfId="0" applyFont="1" applyFill="1" applyBorder="1" applyAlignment="1">
      <alignment horizontal="left" vertical="center"/>
    </xf>
    <xf numFmtId="169" fontId="7" fillId="25" borderId="9" xfId="0" applyNumberFormat="1" applyFont="1" applyFill="1" applyBorder="1" applyAlignment="1">
      <alignment horizontal="center" vertical="center"/>
    </xf>
    <xf numFmtId="0" fontId="0" fillId="0" borderId="9" xfId="0" applyBorder="1" applyAlignment="1">
      <alignment horizontal="left" vertical="center"/>
    </xf>
    <xf numFmtId="169" fontId="7" fillId="25" borderId="59" xfId="0" applyNumberFormat="1" applyFont="1" applyFill="1" applyBorder="1" applyAlignment="1">
      <alignment horizontal="center" vertical="center"/>
    </xf>
    <xf numFmtId="169" fontId="7" fillId="25" borderId="13" xfId="0" applyNumberFormat="1" applyFont="1" applyFill="1" applyBorder="1" applyAlignment="1">
      <alignment horizontal="center" vertical="center"/>
    </xf>
    <xf numFmtId="2" fontId="6" fillId="27" borderId="59" xfId="0" applyNumberFormat="1" applyFont="1" applyFill="1" applyBorder="1" applyAlignment="1">
      <alignment horizontal="left" vertical="center"/>
    </xf>
    <xf numFmtId="2" fontId="6" fillId="27" borderId="13" xfId="0" applyNumberFormat="1" applyFont="1" applyFill="1" applyBorder="1" applyAlignment="1">
      <alignment horizontal="left" vertical="center"/>
    </xf>
    <xf numFmtId="0" fontId="0" fillId="26" borderId="9" xfId="0" applyFill="1" applyBorder="1" applyAlignment="1">
      <alignment horizontal="left" vertical="center"/>
    </xf>
    <xf numFmtId="0" fontId="0" fillId="5" borderId="9" xfId="0" applyFill="1" applyBorder="1" applyAlignment="1">
      <alignment horizontal="left" vertical="center"/>
    </xf>
    <xf numFmtId="0" fontId="5" fillId="27" borderId="59" xfId="0" applyFont="1" applyFill="1" applyBorder="1" applyAlignment="1">
      <alignment horizontal="left" vertical="center"/>
    </xf>
    <xf numFmtId="0" fontId="5" fillId="27" borderId="13" xfId="0" applyFont="1" applyFill="1" applyBorder="1" applyAlignment="1">
      <alignment horizontal="left" vertical="center"/>
    </xf>
    <xf numFmtId="2" fontId="7" fillId="0" borderId="9" xfId="0" quotePrefix="1" applyNumberFormat="1" applyFont="1" applyBorder="1" applyAlignment="1">
      <alignment horizontal="left" vertical="center" readingOrder="1"/>
    </xf>
    <xf numFmtId="2" fontId="0" fillId="25" borderId="59" xfId="0" applyNumberFormat="1" applyFill="1" applyBorder="1" applyAlignment="1">
      <alignment horizontal="left" vertical="center"/>
    </xf>
    <xf numFmtId="0" fontId="0" fillId="25" borderId="7" xfId="0" applyFill="1" applyBorder="1" applyAlignment="1">
      <alignment horizontal="left" vertical="center"/>
    </xf>
    <xf numFmtId="0" fontId="0" fillId="25" borderId="13" xfId="0" applyFill="1" applyBorder="1" applyAlignment="1">
      <alignment horizontal="left" vertical="center"/>
    </xf>
    <xf numFmtId="0" fontId="5" fillId="27" borderId="7" xfId="0" applyFont="1" applyFill="1" applyBorder="1" applyAlignment="1">
      <alignment horizontal="left" vertical="center"/>
    </xf>
    <xf numFmtId="2" fontId="7" fillId="0" borderId="59" xfId="0" quotePrefix="1" applyNumberFormat="1" applyFont="1" applyBorder="1" applyAlignment="1">
      <alignment horizontal="left" vertical="center" readingOrder="1"/>
    </xf>
    <xf numFmtId="2" fontId="7" fillId="0" borderId="7" xfId="0" quotePrefix="1" applyNumberFormat="1" applyFont="1" applyBorder="1" applyAlignment="1">
      <alignment horizontal="left" vertical="center" readingOrder="1"/>
    </xf>
    <xf numFmtId="2" fontId="7" fillId="0" borderId="13" xfId="0" quotePrefix="1" applyNumberFormat="1" applyFont="1" applyBorder="1" applyAlignment="1">
      <alignment horizontal="left" vertical="center" readingOrder="1"/>
    </xf>
    <xf numFmtId="166" fontId="0" fillId="25" borderId="59" xfId="0" applyNumberFormat="1" applyFill="1" applyBorder="1" applyAlignment="1">
      <alignment horizontal="left" vertical="center"/>
    </xf>
    <xf numFmtId="166" fontId="0" fillId="25" borderId="7" xfId="0" applyNumberFormat="1" applyFill="1" applyBorder="1" applyAlignment="1">
      <alignment horizontal="left" vertical="center"/>
    </xf>
    <xf numFmtId="166" fontId="0" fillId="25" borderId="13" xfId="0" applyNumberFormat="1" applyFill="1" applyBorder="1" applyAlignment="1">
      <alignment horizontal="left" vertical="center"/>
    </xf>
    <xf numFmtId="165" fontId="7" fillId="0" borderId="59" xfId="0" applyNumberFormat="1" applyFont="1" applyBorder="1" applyAlignment="1">
      <alignment horizontal="left" vertical="center" readingOrder="1"/>
    </xf>
    <xf numFmtId="165" fontId="7" fillId="0" borderId="7" xfId="0" applyNumberFormat="1" applyFont="1" applyBorder="1" applyAlignment="1">
      <alignment horizontal="left" vertical="center" readingOrder="1"/>
    </xf>
    <xf numFmtId="165" fontId="7" fillId="0" borderId="13" xfId="0" applyNumberFormat="1" applyFont="1" applyBorder="1" applyAlignment="1">
      <alignment horizontal="left" vertical="center" readingOrder="1"/>
    </xf>
    <xf numFmtId="0" fontId="5" fillId="27" borderId="63" xfId="0" applyFont="1" applyFill="1" applyBorder="1" applyAlignment="1">
      <alignment horizontal="left" vertical="center"/>
    </xf>
    <xf numFmtId="0" fontId="5" fillId="27" borderId="3" xfId="0" applyFont="1" applyFill="1" applyBorder="1" applyAlignment="1">
      <alignment horizontal="left" vertical="center"/>
    </xf>
    <xf numFmtId="0" fontId="5" fillId="27" borderId="8" xfId="0" applyFont="1" applyFill="1" applyBorder="1" applyAlignment="1">
      <alignment horizontal="left" vertical="center"/>
    </xf>
    <xf numFmtId="0" fontId="5" fillId="27" borderId="17" xfId="0" applyFont="1" applyFill="1" applyBorder="1" applyAlignment="1">
      <alignment horizontal="left" vertical="center"/>
    </xf>
    <xf numFmtId="0" fontId="7" fillId="0" borderId="9" xfId="0" applyFont="1" applyBorder="1" applyAlignment="1">
      <alignment horizontal="left" vertical="center" readingOrder="1"/>
    </xf>
    <xf numFmtId="165" fontId="7" fillId="0" borderId="9" xfId="0" applyNumberFormat="1" applyFont="1" applyBorder="1" applyAlignment="1">
      <alignment horizontal="left" vertical="center" readingOrder="1"/>
    </xf>
    <xf numFmtId="165" fontId="6" fillId="0" borderId="9" xfId="0" applyNumberFormat="1" applyFont="1" applyBorder="1" applyAlignment="1">
      <alignment horizontal="left" vertical="center" readingOrder="1"/>
    </xf>
    <xf numFmtId="0" fontId="7" fillId="0" borderId="9" xfId="37" applyFont="1" applyFill="1" applyBorder="1" applyAlignment="1">
      <alignment horizontal="left" vertical="center" readingOrder="1"/>
    </xf>
    <xf numFmtId="0" fontId="32" fillId="20" borderId="65" xfId="0" applyFont="1" applyFill="1" applyBorder="1" applyAlignment="1">
      <alignment horizontal="left" vertical="center"/>
    </xf>
    <xf numFmtId="0" fontId="34" fillId="0" borderId="9" xfId="37" applyFont="1" applyFill="1" applyBorder="1" applyAlignment="1">
      <alignment horizontal="left" vertical="center" readingOrder="1"/>
    </xf>
    <xf numFmtId="0" fontId="0" fillId="24" borderId="9" xfId="0" applyFill="1" applyBorder="1" applyAlignment="1">
      <alignment horizontal="left" vertical="center"/>
    </xf>
    <xf numFmtId="0" fontId="5" fillId="0" borderId="9" xfId="0" applyFont="1" applyBorder="1" applyAlignment="1">
      <alignment horizontal="left" vertical="center"/>
    </xf>
    <xf numFmtId="0" fontId="35" fillId="0" borderId="0" xfId="0" applyFont="1"/>
    <xf numFmtId="0" fontId="7" fillId="0" borderId="59" xfId="37" applyFont="1" applyBorder="1" applyAlignment="1">
      <alignment horizontal="left" vertical="center"/>
    </xf>
    <xf numFmtId="0" fontId="7" fillId="0" borderId="7" xfId="37" applyFont="1" applyBorder="1" applyAlignment="1">
      <alignment horizontal="left" vertical="center"/>
    </xf>
    <xf numFmtId="0" fontId="7" fillId="0" borderId="13" xfId="37" applyFont="1" applyBorder="1" applyAlignment="1">
      <alignment horizontal="left" vertical="center"/>
    </xf>
    <xf numFmtId="0" fontId="68" fillId="20" borderId="0" xfId="0" applyFont="1" applyFill="1" applyAlignment="1">
      <alignment horizontal="left" vertical="center"/>
    </xf>
    <xf numFmtId="0" fontId="69" fillId="20" borderId="0" xfId="0" applyFont="1" applyFill="1" applyAlignment="1">
      <alignment horizontal="left" vertical="center"/>
    </xf>
    <xf numFmtId="0" fontId="7" fillId="0" borderId="9" xfId="0" applyFont="1" applyBorder="1" applyAlignment="1">
      <alignment horizontal="left" vertical="center"/>
    </xf>
    <xf numFmtId="0" fontId="7" fillId="0" borderId="59" xfId="0" applyFont="1" applyBorder="1" applyAlignment="1">
      <alignment horizontal="left" vertical="center"/>
    </xf>
    <xf numFmtId="0" fontId="7" fillId="0" borderId="13" xfId="0" applyFont="1" applyBorder="1" applyAlignment="1">
      <alignment horizontal="left" vertical="center"/>
    </xf>
    <xf numFmtId="0" fontId="7" fillId="0" borderId="63" xfId="0" applyFont="1" applyBorder="1" applyAlignment="1">
      <alignment horizontal="left" vertical="center"/>
    </xf>
    <xf numFmtId="0" fontId="7" fillId="0" borderId="3" xfId="0" applyFont="1" applyBorder="1" applyAlignment="1">
      <alignment horizontal="left" vertical="center"/>
    </xf>
    <xf numFmtId="0" fontId="7" fillId="0" borderId="8" xfId="0" applyFont="1" applyBorder="1" applyAlignment="1">
      <alignment horizontal="left" vertical="center"/>
    </xf>
    <xf numFmtId="0" fontId="35" fillId="0" borderId="59" xfId="0" applyFont="1" applyBorder="1" applyAlignment="1">
      <alignment horizontal="left" vertical="center"/>
    </xf>
    <xf numFmtId="0" fontId="0" fillId="0" borderId="16" xfId="0" applyBorder="1" applyAlignment="1">
      <alignment horizontal="left" vertical="center"/>
    </xf>
    <xf numFmtId="0" fontId="0" fillId="0" borderId="17" xfId="0" applyBorder="1" applyAlignment="1">
      <alignment horizontal="left" vertical="center"/>
    </xf>
    <xf numFmtId="0" fontId="19" fillId="0" borderId="64" xfId="37" applyFill="1" applyBorder="1" applyAlignment="1">
      <alignment horizontal="left" vertical="center"/>
    </xf>
    <xf numFmtId="0" fontId="19" fillId="0" borderId="2" xfId="37" applyFill="1" applyBorder="1" applyAlignment="1">
      <alignment horizontal="left" vertical="center"/>
    </xf>
    <xf numFmtId="0" fontId="19" fillId="0" borderId="10" xfId="37" applyFill="1" applyBorder="1" applyAlignment="1">
      <alignment horizontal="left" vertical="center"/>
    </xf>
    <xf numFmtId="0" fontId="19" fillId="0" borderId="63" xfId="37" applyFill="1" applyBorder="1" applyAlignment="1">
      <alignment horizontal="left" vertical="center"/>
    </xf>
    <xf numFmtId="0" fontId="19" fillId="0" borderId="3" xfId="37" applyFill="1" applyBorder="1" applyAlignment="1">
      <alignment horizontal="left" vertical="center"/>
    </xf>
    <xf numFmtId="0" fontId="19" fillId="0" borderId="8" xfId="37" applyFill="1" applyBorder="1" applyAlignment="1">
      <alignment horizontal="left" vertical="center"/>
    </xf>
    <xf numFmtId="0" fontId="19" fillId="24" borderId="64" xfId="37" applyFill="1" applyBorder="1" applyAlignment="1">
      <alignment horizontal="left" vertical="center"/>
    </xf>
    <xf numFmtId="0" fontId="19" fillId="24" borderId="2" xfId="37" applyFill="1" applyBorder="1" applyAlignment="1">
      <alignment horizontal="left" vertical="center"/>
    </xf>
    <xf numFmtId="0" fontId="19" fillId="24" borderId="10" xfId="37" applyFill="1" applyBorder="1" applyAlignment="1">
      <alignment horizontal="left" vertical="center"/>
    </xf>
    <xf numFmtId="0" fontId="19" fillId="24" borderId="63" xfId="37" applyFill="1" applyBorder="1" applyAlignment="1">
      <alignment horizontal="left" vertical="center"/>
    </xf>
    <xf numFmtId="0" fontId="19" fillId="24" borderId="3" xfId="37" applyFill="1" applyBorder="1" applyAlignment="1">
      <alignment horizontal="left" vertical="center"/>
    </xf>
    <xf numFmtId="0" fontId="19" fillId="24" borderId="8" xfId="37" applyFill="1" applyBorder="1" applyAlignment="1">
      <alignment horizontal="left" vertical="center"/>
    </xf>
    <xf numFmtId="165" fontId="0" fillId="0" borderId="9" xfId="0" applyNumberFormat="1" applyBorder="1" applyAlignment="1">
      <alignment horizontal="left" vertical="center"/>
    </xf>
    <xf numFmtId="0" fontId="0" fillId="26" borderId="16" xfId="0" applyFill="1" applyBorder="1" applyAlignment="1">
      <alignment horizontal="left" vertical="center"/>
    </xf>
    <xf numFmtId="0" fontId="0" fillId="26" borderId="17" xfId="0" applyFill="1" applyBorder="1" applyAlignment="1">
      <alignment horizontal="left" vertical="center"/>
    </xf>
    <xf numFmtId="0" fontId="0" fillId="5" borderId="59" xfId="0" applyFill="1" applyBorder="1" applyAlignment="1">
      <alignment horizontal="left" vertical="center"/>
    </xf>
    <xf numFmtId="0" fontId="0" fillId="5" borderId="7" xfId="0" applyFill="1" applyBorder="1" applyAlignment="1">
      <alignment horizontal="left" vertical="center"/>
    </xf>
    <xf numFmtId="165" fontId="0" fillId="25" borderId="9" xfId="0" applyNumberFormat="1" applyFill="1" applyBorder="1" applyAlignment="1">
      <alignment horizontal="left" vertical="center"/>
    </xf>
    <xf numFmtId="0" fontId="45" fillId="20" borderId="0" xfId="0" applyFont="1" applyFill="1" applyAlignment="1">
      <alignment horizontal="left" vertical="center"/>
    </xf>
    <xf numFmtId="0" fontId="6" fillId="3" borderId="31" xfId="0" applyFont="1" applyFill="1" applyBorder="1" applyAlignment="1">
      <alignment horizontal="left" vertical="center"/>
    </xf>
    <xf numFmtId="0" fontId="6" fillId="3" borderId="17" xfId="0" applyFont="1" applyFill="1" applyBorder="1" applyAlignment="1">
      <alignment horizontal="left" vertical="center"/>
    </xf>
    <xf numFmtId="0" fontId="32" fillId="20" borderId="59" xfId="0" applyFont="1" applyFill="1" applyBorder="1" applyAlignment="1">
      <alignment horizontal="left" vertical="center"/>
    </xf>
    <xf numFmtId="0" fontId="32" fillId="20" borderId="7" xfId="0" applyFont="1" applyFill="1" applyBorder="1" applyAlignment="1">
      <alignment horizontal="left" vertical="center"/>
    </xf>
    <xf numFmtId="0" fontId="32" fillId="20" borderId="13" xfId="0" applyFont="1" applyFill="1" applyBorder="1" applyAlignment="1">
      <alignment horizontal="left" vertical="center"/>
    </xf>
    <xf numFmtId="0" fontId="19" fillId="0" borderId="9" xfId="37" applyFill="1" applyBorder="1" applyAlignment="1">
      <alignment horizontal="left" vertical="center"/>
    </xf>
    <xf numFmtId="0" fontId="5" fillId="27" borderId="16" xfId="0" applyFont="1" applyFill="1" applyBorder="1" applyAlignment="1">
      <alignment horizontal="left" vertical="center"/>
    </xf>
    <xf numFmtId="0" fontId="0" fillId="24" borderId="42" xfId="0" applyFill="1" applyBorder="1" applyAlignment="1">
      <alignment horizontal="left" vertical="center"/>
    </xf>
    <xf numFmtId="0" fontId="0" fillId="24" borderId="52" xfId="0" applyFill="1" applyBorder="1" applyAlignment="1">
      <alignment horizontal="left" vertical="center"/>
    </xf>
    <xf numFmtId="0" fontId="0" fillId="24" borderId="66" xfId="0" applyFill="1" applyBorder="1" applyAlignment="1">
      <alignment horizontal="left" vertical="center"/>
    </xf>
    <xf numFmtId="0" fontId="0" fillId="24" borderId="67" xfId="0" applyFill="1" applyBorder="1" applyAlignment="1">
      <alignment horizontal="left" vertical="center"/>
    </xf>
    <xf numFmtId="0" fontId="0" fillId="24" borderId="22" xfId="0" applyFill="1" applyBorder="1" applyAlignment="1">
      <alignment horizontal="left" vertical="center"/>
    </xf>
    <xf numFmtId="0" fontId="0" fillId="24" borderId="69" xfId="0" applyFill="1" applyBorder="1" applyAlignment="1">
      <alignment horizontal="left" vertical="center"/>
    </xf>
    <xf numFmtId="0" fontId="7" fillId="5" borderId="64" xfId="0" applyFont="1" applyFill="1" applyBorder="1" applyAlignment="1">
      <alignment horizontal="left" vertical="center"/>
    </xf>
    <xf numFmtId="0" fontId="7" fillId="5" borderId="2" xfId="0" applyFont="1" applyFill="1" applyBorder="1" applyAlignment="1">
      <alignment horizontal="left" vertical="center"/>
    </xf>
    <xf numFmtId="0" fontId="7" fillId="5" borderId="10" xfId="0" applyFont="1" applyFill="1" applyBorder="1" applyAlignment="1">
      <alignment horizontal="left" vertical="center"/>
    </xf>
    <xf numFmtId="0" fontId="6" fillId="4" borderId="31" xfId="0" applyFont="1" applyFill="1" applyBorder="1" applyAlignment="1">
      <alignment horizontal="left" vertical="center" wrapText="1"/>
    </xf>
    <xf numFmtId="0" fontId="6" fillId="4" borderId="17" xfId="0" applyFont="1" applyFill="1" applyBorder="1" applyAlignment="1">
      <alignment horizontal="left" vertical="center" wrapText="1"/>
    </xf>
    <xf numFmtId="0" fontId="5" fillId="27" borderId="31" xfId="0" applyFont="1" applyFill="1" applyBorder="1" applyAlignment="1">
      <alignment horizontal="left" vertical="center"/>
    </xf>
    <xf numFmtId="165" fontId="0" fillId="0" borderId="9" xfId="0" applyNumberFormat="1" applyBorder="1" applyAlignment="1">
      <alignment horizontal="center" vertical="center"/>
    </xf>
    <xf numFmtId="0" fontId="6" fillId="27" borderId="9" xfId="0" applyFont="1" applyFill="1" applyBorder="1" applyAlignment="1">
      <alignment horizontal="center" vertical="center"/>
    </xf>
    <xf numFmtId="0" fontId="6" fillId="27" borderId="9" xfId="0" applyFont="1" applyFill="1" applyBorder="1" applyAlignment="1">
      <alignment horizontal="left" vertical="center"/>
    </xf>
    <xf numFmtId="0" fontId="7" fillId="0" borderId="7" xfId="0" applyFont="1" applyBorder="1" applyAlignment="1">
      <alignment horizontal="left" vertical="center"/>
    </xf>
    <xf numFmtId="0" fontId="19" fillId="0" borderId="59" xfId="37" applyFill="1" applyBorder="1" applyAlignment="1">
      <alignment horizontal="left" vertical="center"/>
    </xf>
    <xf numFmtId="0" fontId="19" fillId="0" borderId="7" xfId="37" applyFill="1" applyBorder="1" applyAlignment="1">
      <alignment horizontal="left" vertical="center"/>
    </xf>
    <xf numFmtId="0" fontId="19" fillId="0" borderId="13" xfId="37" applyFill="1" applyBorder="1" applyAlignment="1">
      <alignment horizontal="left" vertical="center"/>
    </xf>
    <xf numFmtId="0" fontId="6" fillId="27" borderId="59" xfId="0" applyFont="1" applyFill="1" applyBorder="1" applyAlignment="1">
      <alignment horizontal="left" vertical="center"/>
    </xf>
    <xf numFmtId="0" fontId="6" fillId="27" borderId="7" xfId="0" applyFont="1" applyFill="1" applyBorder="1" applyAlignment="1">
      <alignment horizontal="left" vertical="center"/>
    </xf>
    <xf numFmtId="0" fontId="6" fillId="27" borderId="13" xfId="0" applyFont="1" applyFill="1" applyBorder="1" applyAlignment="1">
      <alignment horizontal="left" vertical="center"/>
    </xf>
    <xf numFmtId="0" fontId="41" fillId="31" borderId="79" xfId="29" applyFont="1" applyFill="1" applyBorder="1" applyAlignment="1">
      <alignment horizontal="left" vertical="center"/>
    </xf>
    <xf numFmtId="0" fontId="5" fillId="7" borderId="15" xfId="0" applyFont="1" applyFill="1" applyBorder="1" applyAlignment="1">
      <alignment horizontal="left" vertical="center"/>
    </xf>
    <xf numFmtId="0" fontId="5" fillId="7" borderId="39" xfId="0" applyFont="1" applyFill="1" applyBorder="1" applyAlignment="1">
      <alignment horizontal="left" vertical="center"/>
    </xf>
    <xf numFmtId="0" fontId="17" fillId="20" borderId="42" xfId="0" applyFont="1" applyFill="1" applyBorder="1" applyAlignment="1">
      <alignment horizontal="left" vertical="center"/>
    </xf>
    <xf numFmtId="0" fontId="17" fillId="20" borderId="18" xfId="0" applyFont="1" applyFill="1" applyBorder="1" applyAlignment="1">
      <alignment horizontal="left" vertical="center"/>
    </xf>
    <xf numFmtId="0" fontId="17" fillId="20" borderId="52" xfId="0" applyFont="1" applyFill="1" applyBorder="1" applyAlignment="1">
      <alignment horizontal="left" vertical="center"/>
    </xf>
    <xf numFmtId="0" fontId="17" fillId="20" borderId="55" xfId="0" applyFont="1" applyFill="1" applyBorder="1" applyAlignment="1">
      <alignment horizontal="left" vertical="center"/>
    </xf>
    <xf numFmtId="0" fontId="17" fillId="20" borderId="56" xfId="0" applyFont="1" applyFill="1" applyBorder="1" applyAlignment="1">
      <alignment horizontal="left" vertical="center"/>
    </xf>
    <xf numFmtId="0" fontId="17" fillId="20" borderId="54" xfId="0" applyFont="1" applyFill="1" applyBorder="1" applyAlignment="1">
      <alignment horizontal="left" vertical="center"/>
    </xf>
    <xf numFmtId="0" fontId="7" fillId="0" borderId="9" xfId="0" applyFont="1" applyFill="1" applyBorder="1" applyAlignment="1">
      <alignment horizontal="left" vertical="center"/>
    </xf>
  </cellXfs>
  <cellStyles count="104">
    <cellStyle name="20% - Accent2" xfId="42" builtinId="34"/>
    <cellStyle name="20% - Accent3" xfId="43" builtinId="38"/>
    <cellStyle name="20% - Accent5" xfId="44" builtinId="46"/>
    <cellStyle name="20% - Accent6" xfId="45" builtinId="50"/>
    <cellStyle name="40% - Accent4" xfId="103" builtinId="43"/>
    <cellStyle name="60% - Accent2" xfId="48" builtinId="36"/>
    <cellStyle name="60% - Accent4" xfId="49" builtinId="44"/>
    <cellStyle name="Accent1" xfId="50" builtinId="29"/>
    <cellStyle name="Bad 2" xfId="39" xr:uid="{999C7675-14EA-484B-B14F-118DFBF2E243}"/>
    <cellStyle name="Changed by RIVM" xfId="52" xr:uid="{0121584D-CBBB-4C96-8FF9-0183C72D5AAA}"/>
    <cellStyle name="Comma [0] 2" xfId="32" xr:uid="{62CC1D3C-E6DD-4FB3-86A4-51ECDCBE8EC1}"/>
    <cellStyle name="Currency 2" xfId="2" xr:uid="{00000000-0005-0000-0000-000000000000}"/>
    <cellStyle name="Currency 2 2" xfId="8" xr:uid="{00000000-0005-0000-0000-000001000000}"/>
    <cellStyle name="Currency 2 2 2" xfId="21" xr:uid="{00000000-0005-0000-0000-000002000000}"/>
    <cellStyle name="Currency 2 2 2 2" xfId="53" xr:uid="{4441205C-3B7A-495D-AFBE-4E2049E32149}"/>
    <cellStyle name="Currency 2 2 2 3" xfId="54" xr:uid="{60B32AEC-D421-4305-8D4A-A04B07998DF6}"/>
    <cellStyle name="Currency 2 2 3" xfId="55" xr:uid="{27E1AC30-1DC6-41C3-AB76-2398B6228A2F}"/>
    <cellStyle name="Currency 2 2 4" xfId="56" xr:uid="{CBC3413C-C3C1-45E2-9841-0A09983030F1}"/>
    <cellStyle name="Currency 2 3" xfId="15" xr:uid="{00000000-0005-0000-0000-000003000000}"/>
    <cellStyle name="Currency 2 3 2" xfId="57" xr:uid="{74DE03F8-22DD-40DC-AEAD-722AF3FB58FF}"/>
    <cellStyle name="Currency 2 3 3" xfId="58" xr:uid="{4984B169-95D6-48E5-91C9-B8E19198EE23}"/>
    <cellStyle name="Currency 2 4" xfId="59" xr:uid="{0959CB29-3440-4E89-86FF-5C40D6D7266A}"/>
    <cellStyle name="Currency 2 5" xfId="60" xr:uid="{F68C8184-8D59-4E32-B65F-D270B821B5F7}"/>
    <cellStyle name="Currency 3" xfId="4" xr:uid="{00000000-0005-0000-0000-000004000000}"/>
    <cellStyle name="Currency 3 2" xfId="10" xr:uid="{00000000-0005-0000-0000-000005000000}"/>
    <cellStyle name="Currency 3 2 2" xfId="23" xr:uid="{00000000-0005-0000-0000-000006000000}"/>
    <cellStyle name="Currency 3 2 2 2" xfId="61" xr:uid="{DDF48D6B-F1C0-460F-B791-E5EA31AA32F3}"/>
    <cellStyle name="Currency 3 2 2 3" xfId="62" xr:uid="{A7CE5E41-0174-44D8-965D-B43EA05B197C}"/>
    <cellStyle name="Currency 3 2 3" xfId="63" xr:uid="{03486E3C-0332-4131-8002-8D4E743E71C2}"/>
    <cellStyle name="Currency 3 2 4" xfId="64" xr:uid="{85BB50D6-2467-4946-A9A2-52AFD9AC33B6}"/>
    <cellStyle name="Currency 3 3" xfId="17" xr:uid="{00000000-0005-0000-0000-000007000000}"/>
    <cellStyle name="Currency 3 3 2" xfId="65" xr:uid="{E18267B4-0C12-4B1B-9BD2-69E3A5DF2ED7}"/>
    <cellStyle name="Currency 3 3 3" xfId="66" xr:uid="{B9F06E45-141F-492A-AE19-2D72202C687C}"/>
    <cellStyle name="Currency 3 4" xfId="67" xr:uid="{3CAAA311-4B1B-4177-9207-CCF0D17503BC}"/>
    <cellStyle name="Currency 3 5" xfId="68" xr:uid="{B23DEDAF-59F5-47B5-B174-A0F0D1FBEB9C}"/>
    <cellStyle name="Currency 4" xfId="6" xr:uid="{00000000-0005-0000-0000-000008000000}"/>
    <cellStyle name="Currency 4 2" xfId="12" xr:uid="{00000000-0005-0000-0000-000009000000}"/>
    <cellStyle name="Currency 4 2 2" xfId="25" xr:uid="{00000000-0005-0000-0000-00000A000000}"/>
    <cellStyle name="Currency 4 2 2 2" xfId="69" xr:uid="{0366D073-CB18-45D0-AEE3-BD9E914E56D3}"/>
    <cellStyle name="Currency 4 2 2 3" xfId="70" xr:uid="{3AD37EF5-5284-4151-9FC2-3E6E1E48CEBA}"/>
    <cellStyle name="Currency 4 2 3" xfId="71" xr:uid="{84BFB6E3-31CC-4FF8-B601-64C74C199081}"/>
    <cellStyle name="Currency 4 2 4" xfId="72" xr:uid="{4E891575-5A0C-4099-A05C-141B9B49841A}"/>
    <cellStyle name="Currency 4 3" xfId="19" xr:uid="{00000000-0005-0000-0000-00000B000000}"/>
    <cellStyle name="Currency 4 3 2" xfId="73" xr:uid="{193A46AC-5524-4F58-8F33-0F13CEDB3E76}"/>
    <cellStyle name="Currency 4 3 3" xfId="74" xr:uid="{5993F58F-307F-493C-935B-8D6BD365F461}"/>
    <cellStyle name="Currency 4 4" xfId="75" xr:uid="{82FE1CE1-743F-4EA1-87D0-623D97632C0D}"/>
    <cellStyle name="Currency 4 5" xfId="76" xr:uid="{E9C9E295-AD09-4BA6-8178-65E9D7B08B8F}"/>
    <cellStyle name="Currency 5" xfId="27" xr:uid="{00000000-0005-0000-0000-00000C000000}"/>
    <cellStyle name="Date" xfId="33" xr:uid="{13227656-C606-451B-8B04-9D8807AEEF1A}"/>
    <cellStyle name="Goed" xfId="46" builtinId="26"/>
    <cellStyle name="Heading 1 2" xfId="30" xr:uid="{876D29DD-4C64-4561-A70C-9CE8D1664B51}"/>
    <cellStyle name="Heading 3 2" xfId="35" xr:uid="{ED55513B-6757-4B3C-A9BA-E3C360FD61ED}"/>
    <cellStyle name="Hyperlink" xfId="37" builtinId="8"/>
    <cellStyle name="Input 2" xfId="38" xr:uid="{8234E3CA-C7DF-4E75-9602-9530D3E8936D}"/>
    <cellStyle name="Invoer" xfId="40" builtinId="20"/>
    <cellStyle name="Kop 3" xfId="41" builtinId="18"/>
    <cellStyle name="Normal 2" xfId="1" xr:uid="{00000000-0005-0000-0000-00000E000000}"/>
    <cellStyle name="Normal 2 2" xfId="7" xr:uid="{00000000-0005-0000-0000-00000F000000}"/>
    <cellStyle name="Normal 2 2 2" xfId="20" xr:uid="{00000000-0005-0000-0000-000010000000}"/>
    <cellStyle name="Normal 2 2 2 2" xfId="77" xr:uid="{E836C89C-45D5-445B-AB9A-615B358D42FE}"/>
    <cellStyle name="Normal 2 2 2 3" xfId="78" xr:uid="{18567EEB-6217-4532-B132-F0F2B2CAFE14}"/>
    <cellStyle name="Normal 2 2 3" xfId="79" xr:uid="{95ABDB91-3660-4DB5-8BA0-BA80D59FE0B7}"/>
    <cellStyle name="Normal 2 2 4" xfId="80" xr:uid="{8EF4B5A1-9792-4C8A-9ABB-0408691BB355}"/>
    <cellStyle name="Normal 2 3" xfId="14" xr:uid="{00000000-0005-0000-0000-000011000000}"/>
    <cellStyle name="Normal 2 3 2" xfId="81" xr:uid="{74117AA4-DDA2-475E-84C3-37CC1352F486}"/>
    <cellStyle name="Normal 2 3 3" xfId="82" xr:uid="{05DA02C7-89FE-4948-837F-ED0DC3A7B735}"/>
    <cellStyle name="Normal 2 4" xfId="83" xr:uid="{76F614EB-C017-4E58-B6E6-33EBB7B0B5AF}"/>
    <cellStyle name="Normal 2 5" xfId="84" xr:uid="{7BC5996F-3FE1-405A-80FE-A65F233C61A0}"/>
    <cellStyle name="Normal 3" xfId="3" xr:uid="{00000000-0005-0000-0000-000012000000}"/>
    <cellStyle name="Normal 3 2" xfId="9" xr:uid="{00000000-0005-0000-0000-000013000000}"/>
    <cellStyle name="Normal 3 2 2" xfId="22" xr:uid="{00000000-0005-0000-0000-000014000000}"/>
    <cellStyle name="Normal 3 2 2 2" xfId="85" xr:uid="{865AF574-C291-4933-B65D-984FF88818F0}"/>
    <cellStyle name="Normal 3 2 2 3" xfId="86" xr:uid="{02B8EA34-8B49-4724-8A15-CBEDF1DE82EB}"/>
    <cellStyle name="Normal 3 2 3" xfId="87" xr:uid="{469B2650-0A74-4A51-B7D9-D34FCF951FFD}"/>
    <cellStyle name="Normal 3 2 4" xfId="88" xr:uid="{E982FF70-C631-4BAE-91C9-84E44D2BD653}"/>
    <cellStyle name="Normal 3 3" xfId="16" xr:uid="{00000000-0005-0000-0000-000015000000}"/>
    <cellStyle name="Normal 3 3 2" xfId="89" xr:uid="{825ADFB2-E216-479C-AAFD-7A0DFA357924}"/>
    <cellStyle name="Normal 3 3 3" xfId="90" xr:uid="{EBCF7A3E-550A-4C56-A796-2089C76AD245}"/>
    <cellStyle name="Normal 3 4" xfId="91" xr:uid="{6652DF51-2510-48DB-8F87-FE44ECAD6D80}"/>
    <cellStyle name="Normal 3 5" xfId="92" xr:uid="{EEE6786F-A1C6-42AE-A090-48494A364C5C}"/>
    <cellStyle name="Normal 4" xfId="5" xr:uid="{00000000-0005-0000-0000-000016000000}"/>
    <cellStyle name="Normal 4 2" xfId="11" xr:uid="{00000000-0005-0000-0000-000017000000}"/>
    <cellStyle name="Normal 4 2 2" xfId="24" xr:uid="{00000000-0005-0000-0000-000018000000}"/>
    <cellStyle name="Normal 4 2 2 2" xfId="93" xr:uid="{13AF8EBC-B479-4878-A31F-19061B7E878D}"/>
    <cellStyle name="Normal 4 2 2 3" xfId="94" xr:uid="{7E251151-D736-4ABD-B2A1-5C0AB1B56D0E}"/>
    <cellStyle name="Normal 4 2 3" xfId="95" xr:uid="{EA1F5AA3-770F-476F-A773-C89FF900E622}"/>
    <cellStyle name="Normal 4 2 4" xfId="96" xr:uid="{FEA09008-00B8-4B1E-9C55-4E4C8A087C61}"/>
    <cellStyle name="Normal 4 3" xfId="18" xr:uid="{00000000-0005-0000-0000-000019000000}"/>
    <cellStyle name="Normal 4 3 2" xfId="97" xr:uid="{5520A197-3206-4DB1-BE82-443130DDA858}"/>
    <cellStyle name="Normal 4 3 3" xfId="98" xr:uid="{CE62EDDD-A5BC-4863-B705-58713BAFAB18}"/>
    <cellStyle name="Normal 4 4" xfId="99" xr:uid="{8F1D38D5-0E19-4412-B4D1-1A9F09120DC6}"/>
    <cellStyle name="Normal 4 5" xfId="100" xr:uid="{83B47DFA-4E31-45B4-9A2F-F84370CE9403}"/>
    <cellStyle name="Normal 5" xfId="13" xr:uid="{00000000-0005-0000-0000-00001A000000}"/>
    <cellStyle name="Normal 5 2" xfId="101" xr:uid="{9EFEC55F-3A26-48C7-A5F0-6DBBB5559648}"/>
    <cellStyle name="Normal 5 3" xfId="102" xr:uid="{7069C1FE-9643-4B92-ABDE-ADA7866002F8}"/>
    <cellStyle name="Normal 6" xfId="26" xr:uid="{00000000-0005-0000-0000-00001B000000}"/>
    <cellStyle name="Normal 7" xfId="28" xr:uid="{00000000-0005-0000-0000-00001C000000}"/>
    <cellStyle name="Normal 8" xfId="29" xr:uid="{00000000-0005-0000-0000-00001D000000}"/>
    <cellStyle name="Ongeldig" xfId="51" builtinId="27"/>
    <cellStyle name="Percent 2" xfId="34" xr:uid="{F57E4D53-A540-4A00-B516-07E1180C4A88}"/>
    <cellStyle name="Procent" xfId="47" builtinId="5"/>
    <cellStyle name="Standaard" xfId="0" builtinId="0"/>
    <cellStyle name="Title 2" xfId="36" xr:uid="{935189B4-4036-4BC7-A04A-71E74F62010F}"/>
    <cellStyle name="zHiddenText" xfId="31" xr:uid="{B105E5D3-1F8C-4131-A627-6C32EDDF3257}"/>
  </cellStyles>
  <dxfs count="199">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theme="7" tint="-0.499984740745262"/>
      </font>
      <fill>
        <patternFill>
          <bgColor theme="7"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theme="7" tint="-0.499984740745262"/>
      </font>
      <fill>
        <patternFill>
          <bgColor theme="7" tint="0.59996337778862885"/>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theme="7" tint="-0.499984740745262"/>
      </font>
      <fill>
        <patternFill>
          <bgColor theme="7" tint="0.79998168889431442"/>
        </patternFill>
      </fill>
    </dxf>
    <dxf>
      <font>
        <color rgb="FF006100"/>
      </font>
      <fill>
        <patternFill>
          <bgColor rgb="FFC6EFCE"/>
        </patternFill>
      </fill>
    </dxf>
    <dxf>
      <fill>
        <patternFill>
          <bgColor rgb="FFFF0000"/>
        </patternFill>
      </fill>
    </dxf>
    <dxf>
      <fill>
        <patternFill>
          <bgColor theme="0" tint="-0.24994659260841701"/>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patternFill>
      </fill>
    </dxf>
    <dxf>
      <fill>
        <patternFill>
          <bgColor theme="9"/>
        </patternFill>
      </fill>
    </dxf>
    <dxf>
      <fill>
        <patternFill>
          <bgColor theme="0" tint="-0.24994659260841701"/>
        </patternFill>
      </fill>
    </dxf>
    <dxf>
      <fill>
        <patternFill>
          <bgColor rgb="FFFF0000"/>
        </patternFill>
      </fill>
    </dxf>
    <dxf>
      <fill>
        <patternFill>
          <bgColor theme="9"/>
        </patternFill>
      </fill>
    </dxf>
    <dxf>
      <fill>
        <patternFill>
          <bgColor theme="9"/>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theme="0" tint="-0.24994659260841701"/>
        </patternFill>
      </fill>
    </dxf>
    <dxf>
      <fill>
        <patternFill>
          <bgColor rgb="FFFF0000"/>
        </patternFill>
      </fill>
    </dxf>
    <dxf>
      <fill>
        <patternFill>
          <bgColor rgb="FFFF0000"/>
        </patternFill>
      </fill>
    </dxf>
    <dxf>
      <fill>
        <patternFill>
          <bgColor theme="0" tint="-0.14996795556505021"/>
        </patternFill>
      </fill>
    </dxf>
    <dxf>
      <numFmt numFmtId="1" formatCode="0"/>
      <fill>
        <patternFill>
          <bgColor theme="0" tint="-0.14996795556505021"/>
        </patternFill>
      </fill>
    </dxf>
    <dxf>
      <numFmt numFmtId="1" formatCode="0"/>
      <fill>
        <patternFill>
          <bgColor theme="0" tint="-0.14996795556505021"/>
        </patternFill>
      </fill>
    </dxf>
    <dxf>
      <fill>
        <patternFill>
          <bgColor theme="9"/>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theme="0" tint="-0.24994659260841701"/>
        </patternFill>
      </fill>
    </dxf>
    <dxf>
      <numFmt numFmtId="0" formatCode="General"/>
    </dxf>
    <dxf>
      <numFmt numFmtId="175" formatCode="0.0E+00"/>
    </dxf>
    <dxf>
      <numFmt numFmtId="0" formatCode="General"/>
    </dxf>
    <dxf>
      <numFmt numFmtId="175" formatCode="0.0E+00"/>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rgb="FFFF0000"/>
        </patternFill>
      </fill>
    </dxf>
    <dxf>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9"/>
        </patternFill>
      </fill>
    </dxf>
    <dxf>
      <fill>
        <patternFill>
          <bgColor theme="9"/>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numFmt numFmtId="0" formatCode="General"/>
    </dxf>
    <dxf>
      <numFmt numFmtId="175" formatCode="0.0E+00"/>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theme="0" tint="-0.24994659260841701"/>
        </patternFill>
      </fill>
    </dxf>
    <dxf>
      <fill>
        <patternFill>
          <bgColor rgb="FFFF0000"/>
        </patternFill>
      </fill>
    </dxf>
    <dxf>
      <numFmt numFmtId="0" formatCode="General"/>
    </dxf>
    <dxf>
      <numFmt numFmtId="175" formatCode="0.0E+00"/>
    </dxf>
    <dxf>
      <fill>
        <patternFill>
          <bgColor theme="0" tint="-0.24994659260841701"/>
        </patternFill>
      </fill>
    </dxf>
    <dxf>
      <fill>
        <patternFill>
          <bgColor rgb="FFFF0000"/>
        </patternFill>
      </fill>
    </dxf>
    <dxf>
      <numFmt numFmtId="0" formatCode="General"/>
    </dxf>
    <dxf>
      <numFmt numFmtId="175" formatCode="0.0E+00"/>
    </dxf>
    <dxf>
      <numFmt numFmtId="0" formatCode="General"/>
    </dxf>
    <dxf>
      <numFmt numFmtId="175" formatCode="0.0E+00"/>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3" defaultTableStyle="TableStyleMedium2" defaultPivotStyle="PivotStyleMedium9">
    <tableStyle name="Gantt Table Style" pivot="0" count="4" xr9:uid="{F8DC52C3-8AC9-49BD-B488-7203B235AAFB}">
      <tableStyleElement type="wholeTable" dxfId="198"/>
      <tableStyleElement type="headerRow" dxfId="197"/>
      <tableStyleElement type="firstRowStripe" dxfId="196"/>
      <tableStyleElement type="secondRowStripe" dxfId="195"/>
    </tableStyle>
    <tableStyle name="ToDoList" pivot="0" count="9" xr9:uid="{2DF133CA-7C3F-4FCB-A221-9418C1D283ED}">
      <tableStyleElement type="wholeTable" dxfId="194"/>
      <tableStyleElement type="headerRow" dxfId="193"/>
      <tableStyleElement type="totalRow" dxfId="192"/>
      <tableStyleElement type="firstColumn" dxfId="191"/>
      <tableStyleElement type="lastColumn" dxfId="190"/>
      <tableStyleElement type="firstRowStripe" dxfId="189"/>
      <tableStyleElement type="secondRowStripe" dxfId="188"/>
      <tableStyleElement type="firstColumnStripe" dxfId="187"/>
      <tableStyleElement type="secondColumnStripe" dxfId="186"/>
    </tableStyle>
    <tableStyle name="ToDoList 2" pivot="0" count="9" xr9:uid="{9535B582-56B3-4FB6-A5DA-8DE3CB0C9DCB}">
      <tableStyleElement type="wholeTable" dxfId="185"/>
      <tableStyleElement type="headerRow" dxfId="184"/>
      <tableStyleElement type="totalRow" dxfId="183"/>
      <tableStyleElement type="firstColumn" dxfId="182"/>
      <tableStyleElement type="lastColumn" dxfId="181"/>
      <tableStyleElement type="firstRowStripe" dxfId="180"/>
      <tableStyleElement type="secondRowStripe" dxfId="179"/>
      <tableStyleElement type="firstColumnStripe" dxfId="178"/>
      <tableStyleElement type="secondColumnStripe" dxfId="177"/>
    </tableStyle>
  </tableStyles>
  <colors>
    <mruColors>
      <color rgb="FF123EB7"/>
      <color rgb="FFD8EEC0"/>
      <color rgb="FFFF0066"/>
      <color rgb="FF0066FF"/>
      <color rgb="FFFFA7A7"/>
      <color rgb="FF3FCDFF"/>
      <color rgb="FFF19DCB"/>
      <color rgb="FFE961AB"/>
      <color rgb="FFE0248B"/>
      <color rgb="FFFF8B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3</xdr:col>
      <xdr:colOff>87085</xdr:colOff>
      <xdr:row>3</xdr:row>
      <xdr:rowOff>97971</xdr:rowOff>
    </xdr:from>
    <xdr:to>
      <xdr:col>6</xdr:col>
      <xdr:colOff>411480</xdr:colOff>
      <xdr:row>3</xdr:row>
      <xdr:rowOff>2964180</xdr:rowOff>
    </xdr:to>
    <xdr:pic>
      <xdr:nvPicPr>
        <xdr:cNvPr id="3" name="Picture 2">
          <a:extLst>
            <a:ext uri="{FF2B5EF4-FFF2-40B4-BE49-F238E27FC236}">
              <a16:creationId xmlns:a16="http://schemas.microsoft.com/office/drawing/2014/main" id="{BCD9A301-CB43-44DF-BB3C-B7AD247EAC09}"/>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972" b="1371"/>
        <a:stretch/>
      </xdr:blipFill>
      <xdr:spPr bwMode="auto">
        <a:xfrm>
          <a:off x="7768045" y="1492431"/>
          <a:ext cx="3547655" cy="2866209"/>
        </a:xfrm>
        <a:prstGeom prst="rect">
          <a:avLst/>
        </a:prstGeom>
        <a:noFill/>
        <a:ln w="28575">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88899</xdr:colOff>
      <xdr:row>230</xdr:row>
      <xdr:rowOff>15874</xdr:rowOff>
    </xdr:from>
    <xdr:to>
      <xdr:col>6</xdr:col>
      <xdr:colOff>702316</xdr:colOff>
      <xdr:row>262</xdr:row>
      <xdr:rowOff>76198</xdr:rowOff>
    </xdr:to>
    <xdr:pic>
      <xdr:nvPicPr>
        <xdr:cNvPr id="4" name="Picture 1">
          <a:extLst>
            <a:ext uri="{FF2B5EF4-FFF2-40B4-BE49-F238E27FC236}">
              <a16:creationId xmlns:a16="http://schemas.microsoft.com/office/drawing/2014/main" id="{C013A948-D6A9-4434-B70A-E0D714D95C04}"/>
            </a:ext>
          </a:extLst>
        </xdr:cNvPr>
        <xdr:cNvPicPr>
          <a:picLocks noChangeAspect="1"/>
        </xdr:cNvPicPr>
      </xdr:nvPicPr>
      <xdr:blipFill>
        <a:blip xmlns:r="http://schemas.openxmlformats.org/officeDocument/2006/relationships" r:embed="rId1"/>
        <a:stretch>
          <a:fillRect/>
        </a:stretch>
      </xdr:blipFill>
      <xdr:spPr>
        <a:xfrm>
          <a:off x="88899" y="17877154"/>
          <a:ext cx="13727914" cy="5912485"/>
        </a:xfrm>
        <a:prstGeom prst="rect">
          <a:avLst/>
        </a:prstGeom>
      </xdr:spPr>
    </xdr:pic>
    <xdr:clientData/>
  </xdr:twoCellAnchor>
  <xdr:twoCellAnchor editAs="oneCell">
    <xdr:from>
      <xdr:col>0</xdr:col>
      <xdr:colOff>181771</xdr:colOff>
      <xdr:row>191</xdr:row>
      <xdr:rowOff>138175</xdr:rowOff>
    </xdr:from>
    <xdr:to>
      <xdr:col>4</xdr:col>
      <xdr:colOff>451310</xdr:colOff>
      <xdr:row>224</xdr:row>
      <xdr:rowOff>4104</xdr:rowOff>
    </xdr:to>
    <xdr:pic>
      <xdr:nvPicPr>
        <xdr:cNvPr id="2" name="Picture 1" descr="Chart&#10;&#10;Description automatically generated">
          <a:extLst>
            <a:ext uri="{FF2B5EF4-FFF2-40B4-BE49-F238E27FC236}">
              <a16:creationId xmlns:a16="http://schemas.microsoft.com/office/drawing/2014/main" id="{6106E21E-EE4D-0875-BE8D-4D3B9F25F6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1771" y="39821706"/>
          <a:ext cx="9175414" cy="61524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1308101</xdr:colOff>
      <xdr:row>191</xdr:row>
      <xdr:rowOff>76200</xdr:rowOff>
    </xdr:from>
    <xdr:to>
      <xdr:col>13</xdr:col>
      <xdr:colOff>856144</xdr:colOff>
      <xdr:row>223</xdr:row>
      <xdr:rowOff>130724</xdr:rowOff>
    </xdr:to>
    <xdr:pic>
      <xdr:nvPicPr>
        <xdr:cNvPr id="3" name="Picture 2" descr="Chart&#10;&#10;Description automatically generated">
          <a:extLst>
            <a:ext uri="{FF2B5EF4-FFF2-40B4-BE49-F238E27FC236}">
              <a16:creationId xmlns:a16="http://schemas.microsoft.com/office/drawing/2014/main" id="{D1A56E22-E608-94FC-9A99-114F5CA74C7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502901" y="3657600"/>
          <a:ext cx="9579773" cy="576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254001</xdr:colOff>
      <xdr:row>145</xdr:row>
      <xdr:rowOff>50800</xdr:rowOff>
    </xdr:from>
    <xdr:to>
      <xdr:col>4</xdr:col>
      <xdr:colOff>856257</xdr:colOff>
      <xdr:row>177</xdr:row>
      <xdr:rowOff>97071</xdr:rowOff>
    </xdr:to>
    <xdr:pic>
      <xdr:nvPicPr>
        <xdr:cNvPr id="7" name="Picture 6" descr="Chart, diagram&#10;&#10;Description automatically generated">
          <a:extLst>
            <a:ext uri="{FF2B5EF4-FFF2-40B4-BE49-F238E27FC236}">
              <a16:creationId xmlns:a16="http://schemas.microsoft.com/office/drawing/2014/main" id="{E567960D-425E-CD78-71EA-62307EFE664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4001" y="2006600"/>
          <a:ext cx="9829441" cy="576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1308100</xdr:colOff>
      <xdr:row>145</xdr:row>
      <xdr:rowOff>114300</xdr:rowOff>
    </xdr:from>
    <xdr:to>
      <xdr:col>13</xdr:col>
      <xdr:colOff>970096</xdr:colOff>
      <xdr:row>177</xdr:row>
      <xdr:rowOff>149141</xdr:rowOff>
    </xdr:to>
    <xdr:pic>
      <xdr:nvPicPr>
        <xdr:cNvPr id="8" name="Picture 7" descr="Chart, diagram&#10;&#10;Description automatically generated">
          <a:extLst>
            <a:ext uri="{FF2B5EF4-FFF2-40B4-BE49-F238E27FC236}">
              <a16:creationId xmlns:a16="http://schemas.microsoft.com/office/drawing/2014/main" id="{207CA739-1A90-FCF6-3F40-06000F00488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502900" y="2070100"/>
          <a:ext cx="9682296" cy="576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oris" id="{086CA0FF-D093-4D2E-ABCA-003CA36153C7}">
    <nsvFilter filterId="{DFD55F35-1BE8-491D-A5D1-66586526783F}" ref="A1:L829" tableId="0">
      <columnFilter colId="0">
        <filter colId="0">
          <x:filters>
            <x:filter val="Paint"/>
          </x:filters>
        </filter>
      </columnFilter>
    </nsvFilter>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oris" id="{28F81224-1022-4680-852E-C4B288397594}">
    <nsvFilter filterId="{E97B31CE-E6BF-4F52-9FA7-52F353BEC4BE}" ref="A1:L603"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oris" id="{B1F628DE-17B0-423E-ADEB-4320E999845F}">
    <nsvFilter filterId="{D17F49C5-045C-4C41-8133-90E2E1555C53}" ref="A1:P1225" tableId="0">
      <columnFilter colId="0">
        <filter colId="0">
          <x:filters>
            <x:filter val="Paint"/>
          </x:filters>
        </filter>
      </columnFilter>
    </nsvFilter>
  </namedSheetView>
  <namedSheetView name="Paint2" id="{498A777A-09E9-4967-9C2C-42FFFC8DBD09}">
    <nsvFilter filterId="{D17F49C5-045C-4C41-8133-90E2E1555C53}" ref="A1:P1225" tableId="0">
      <columnFilter colId="0">
        <filter colId="0">
          <x:filters>
            <x:filter val="Concrete paint (prof) outdoor (discarded)"/>
            <x:filter val="Concrete paint (prof) outdoor (in use)"/>
            <x:filter val="Lacquer (DIY) outdoor (discarded)"/>
            <x:filter val="Lacquer (DIY) outdoor (in use)"/>
            <x:filter val="Lacquer (prof) outdoor (discarded)"/>
            <x:filter val="Lacquer (prof) outdoor (in use)"/>
            <x:filter val="Other paint uses (DIY) outdoor (discarded)"/>
            <x:filter val="Other paint uses (DIY) outdoor (in use)"/>
            <x:filter val="Other paint uses (prof) outdoor (discarded)"/>
            <x:filter val="Other paint uses (prof) outdoor (in use)"/>
            <x:filter val="Paints used in pre-made wooden products outdoor (discarded)"/>
            <x:filter val="Paints used in pre-made wooden products outdoor (in use)"/>
            <x:filter val="Plaster (DIY) outdoor (discarded)"/>
            <x:filter val="Plaster (DIY) outdoor (in use)"/>
            <x:filter val="Plaster (prof) outdoor (discarded)"/>
            <x:filter val="Plaster (prof) outdoor (in use)"/>
            <x:filter val="Wall paint (DIY) outdoor (discarded)"/>
            <x:filter val="Wall paint (DIY) outdoor (in use)"/>
            <x:filter val="Wall paint (prof) outdoor (discarded)"/>
            <x:filter val="Wall paint (prof) outdoor (in use)"/>
          </x:filters>
        </filter>
      </columnFilter>
      <columnFilter colId="1">
        <filter colId="1">
          <x:filters>
            <x:filter val="Residential soil (micro)"/>
          </x:filters>
        </filter>
      </columnFilter>
      <sortRules>
        <sortRule colId="0">
          <sortCondition ref="A1:A1225"/>
        </sortRule>
      </sortRules>
    </nsvFilter>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oris" id="{F45675B1-5CA8-4DD2-8572-DA409B064D0F}"/>
</namedSheetView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printerSettings" Target="../printerSettings/printerSettings4.bin"/><Relationship Id="rId1" Type="http://schemas.openxmlformats.org/officeDocument/2006/relationships/hyperlink" Target="https://ec.europa.eu/eurostat/databrowser/view/DS-056120__custom_5851448/default/table"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ec.europa.eu/eurostat/databrowser/view/DS-056120__custom_6262207/default/table" TargetMode="External"/><Relationship Id="rId299" Type="http://schemas.openxmlformats.org/officeDocument/2006/relationships/hyperlink" Target="https://ec.europa.eu/eurostat/databrowser/view/DS-056120__custom_6262207/default/table" TargetMode="External"/><Relationship Id="rId21" Type="http://schemas.openxmlformats.org/officeDocument/2006/relationships/hyperlink" Target="https://ec.europa.eu/eurostat/databrowser/view/DS-056120__custom_6262207/default/table" TargetMode="External"/><Relationship Id="rId63" Type="http://schemas.openxmlformats.org/officeDocument/2006/relationships/hyperlink" Target="https://ec.europa.eu/eurostat/databrowser/view/DS-056120__custom_6262207/default/table" TargetMode="External"/><Relationship Id="rId159" Type="http://schemas.openxmlformats.org/officeDocument/2006/relationships/hyperlink" Target="https://ec.europa.eu/eurostat/databrowser/view/DS-056120__custom_6262207/default/table" TargetMode="External"/><Relationship Id="rId324" Type="http://schemas.openxmlformats.org/officeDocument/2006/relationships/hyperlink" Target="https://ec.europa.eu/eurostat/databrowser/view/DS-056120__custom_6262207/default/table" TargetMode="External"/><Relationship Id="rId366" Type="http://schemas.openxmlformats.org/officeDocument/2006/relationships/hyperlink" Target="https://ec.europa.eu/eurostat/databrowser/view/DS-056120__custom_6262207/default/table" TargetMode="External"/><Relationship Id="rId170" Type="http://schemas.openxmlformats.org/officeDocument/2006/relationships/hyperlink" Target="https://ec.europa.eu/eurostat/databrowser/view/DS-056120__custom_6262207/default/table" TargetMode="External"/><Relationship Id="rId226" Type="http://schemas.openxmlformats.org/officeDocument/2006/relationships/hyperlink" Target="https://ec.europa.eu/eurostat/databrowser/view/DS-056120__custom_6262207/default/table" TargetMode="External"/><Relationship Id="rId433" Type="http://schemas.openxmlformats.org/officeDocument/2006/relationships/hyperlink" Target="https://ec.europa.eu/eurostat/databrowser/view/DS-056120__custom_6262207/default/table" TargetMode="External"/><Relationship Id="rId268" Type="http://schemas.openxmlformats.org/officeDocument/2006/relationships/hyperlink" Target="https://ec.europa.eu/eurostat/databrowser/view/DS-056120__custom_6262207/default/table" TargetMode="External"/><Relationship Id="rId475" Type="http://schemas.openxmlformats.org/officeDocument/2006/relationships/hyperlink" Target="https://ec.europa.eu/eurostat/databrowser/view/DS-056120__custom_6262207/default/table" TargetMode="External"/><Relationship Id="rId32" Type="http://schemas.openxmlformats.org/officeDocument/2006/relationships/hyperlink" Target="https://ec.europa.eu/eurostat/databrowser/view/DS-056120__custom_6262207/default/table" TargetMode="External"/><Relationship Id="rId74" Type="http://schemas.openxmlformats.org/officeDocument/2006/relationships/hyperlink" Target="https://ec.europa.eu/eurostat/databrowser/view/DS-056120__custom_6262207/default/table" TargetMode="External"/><Relationship Id="rId128" Type="http://schemas.openxmlformats.org/officeDocument/2006/relationships/hyperlink" Target="https://ec.europa.eu/eurostat/databrowser/view/DS-056120__custom_6262207/default/table" TargetMode="External"/><Relationship Id="rId335" Type="http://schemas.openxmlformats.org/officeDocument/2006/relationships/hyperlink" Target="https://ec.europa.eu/eurostat/databrowser/view/DS-056120__custom_6262207/default/table" TargetMode="External"/><Relationship Id="rId377" Type="http://schemas.openxmlformats.org/officeDocument/2006/relationships/hyperlink" Target="https://ec.europa.eu/eurostat/databrowser/view/DS-056120__custom_6262207/default/table" TargetMode="External"/><Relationship Id="rId5" Type="http://schemas.openxmlformats.org/officeDocument/2006/relationships/hyperlink" Target="https://ec.europa.eu/eurostat/databrowser/view/DS-056120__custom_6262207/default/table" TargetMode="External"/><Relationship Id="rId181" Type="http://schemas.openxmlformats.org/officeDocument/2006/relationships/hyperlink" Target="https://ec.europa.eu/eurostat/databrowser/view/DS-056120__custom_6262207/default/table" TargetMode="External"/><Relationship Id="rId237" Type="http://schemas.openxmlformats.org/officeDocument/2006/relationships/hyperlink" Target="https://ec.europa.eu/eurostat/databrowser/view/DS-056120__custom_6262207/default/table" TargetMode="External"/><Relationship Id="rId402" Type="http://schemas.openxmlformats.org/officeDocument/2006/relationships/hyperlink" Target="https://ec.europa.eu/eurostat/databrowser/view/DS-056120__custom_6262207/default/table" TargetMode="External"/><Relationship Id="rId279" Type="http://schemas.openxmlformats.org/officeDocument/2006/relationships/hyperlink" Target="https://ec.europa.eu/eurostat/databrowser/view/DS-056120__custom_6262207/default/table" TargetMode="External"/><Relationship Id="rId444" Type="http://schemas.openxmlformats.org/officeDocument/2006/relationships/hyperlink" Target="https://ec.europa.eu/eurostat/databrowser/view/DS-056120__custom_6262207/default/table" TargetMode="External"/><Relationship Id="rId486" Type="http://schemas.openxmlformats.org/officeDocument/2006/relationships/hyperlink" Target="https://ec.europa.eu/eurostat/databrowser/view/DS-056120__custom_6262207/default/table" TargetMode="External"/><Relationship Id="rId43" Type="http://schemas.openxmlformats.org/officeDocument/2006/relationships/hyperlink" Target="https://ec.europa.eu/eurostat/databrowser/view/DS-056120__custom_6262207/default/table" TargetMode="External"/><Relationship Id="rId139" Type="http://schemas.openxmlformats.org/officeDocument/2006/relationships/hyperlink" Target="https://ec.europa.eu/eurostat/databrowser/view/DS-056120__custom_6262207/default/table" TargetMode="External"/><Relationship Id="rId290" Type="http://schemas.openxmlformats.org/officeDocument/2006/relationships/hyperlink" Target="https://ec.europa.eu/eurostat/databrowser/view/DS-056120__custom_6262207/default/table" TargetMode="External"/><Relationship Id="rId304" Type="http://schemas.openxmlformats.org/officeDocument/2006/relationships/hyperlink" Target="https://ec.europa.eu/eurostat/databrowser/view/DS-056120__custom_6262207/default/table" TargetMode="External"/><Relationship Id="rId346" Type="http://schemas.openxmlformats.org/officeDocument/2006/relationships/hyperlink" Target="https://ec.europa.eu/eurostat/databrowser/view/DS-056120__custom_6262207/default/table" TargetMode="External"/><Relationship Id="rId388" Type="http://schemas.openxmlformats.org/officeDocument/2006/relationships/hyperlink" Target="https://ec.europa.eu/eurostat/databrowser/view/DS-056120__custom_6262207/default/table" TargetMode="External"/><Relationship Id="rId85" Type="http://schemas.openxmlformats.org/officeDocument/2006/relationships/hyperlink" Target="https://ec.europa.eu/eurostat/databrowser/view/DS-056120__custom_6262207/default/table" TargetMode="External"/><Relationship Id="rId150" Type="http://schemas.openxmlformats.org/officeDocument/2006/relationships/hyperlink" Target="https://ec.europa.eu/eurostat/databrowser/view/DS-056120__custom_6262207/default/table" TargetMode="External"/><Relationship Id="rId192" Type="http://schemas.openxmlformats.org/officeDocument/2006/relationships/hyperlink" Target="https://ec.europa.eu/eurostat/databrowser/view/DS-056120__custom_6262207/default/table" TargetMode="External"/><Relationship Id="rId206" Type="http://schemas.openxmlformats.org/officeDocument/2006/relationships/hyperlink" Target="https://ec.europa.eu/eurostat/databrowser/view/DS-056120__custom_6262207/default/table" TargetMode="External"/><Relationship Id="rId413" Type="http://schemas.openxmlformats.org/officeDocument/2006/relationships/hyperlink" Target="https://ec.europa.eu/eurostat/databrowser/view/DS-056120__custom_6262207/default/table" TargetMode="External"/><Relationship Id="rId248" Type="http://schemas.openxmlformats.org/officeDocument/2006/relationships/hyperlink" Target="https://ec.europa.eu/eurostat/databrowser/view/DS-056120__custom_6262207/default/table" TargetMode="External"/><Relationship Id="rId455" Type="http://schemas.openxmlformats.org/officeDocument/2006/relationships/hyperlink" Target="https://ec.europa.eu/eurostat/databrowser/view/DS-056120__custom_6262207/default/table" TargetMode="External"/><Relationship Id="rId497" Type="http://schemas.microsoft.com/office/2019/04/relationships/namedSheetView" Target="../namedSheetViews/namedSheetView2.xml"/><Relationship Id="rId12" Type="http://schemas.openxmlformats.org/officeDocument/2006/relationships/hyperlink" Target="https://ec.europa.eu/eurostat/databrowser/view/DS-056120__custom_6262207/default/table" TargetMode="External"/><Relationship Id="rId108" Type="http://schemas.openxmlformats.org/officeDocument/2006/relationships/hyperlink" Target="https://ec.europa.eu/eurostat/databrowser/view/DS-056120__custom_6262207/default/table" TargetMode="External"/><Relationship Id="rId315" Type="http://schemas.openxmlformats.org/officeDocument/2006/relationships/hyperlink" Target="https://ec.europa.eu/eurostat/databrowser/view/DS-056120__custom_6262207/default/table" TargetMode="External"/><Relationship Id="rId357" Type="http://schemas.openxmlformats.org/officeDocument/2006/relationships/hyperlink" Target="https://ec.europa.eu/eurostat/databrowser/view/DS-056120__custom_6262207/default/table" TargetMode="External"/><Relationship Id="rId54" Type="http://schemas.openxmlformats.org/officeDocument/2006/relationships/hyperlink" Target="https://ec.europa.eu/eurostat/databrowser/view/DS-056120__custom_6262207/default/table" TargetMode="External"/><Relationship Id="rId96" Type="http://schemas.openxmlformats.org/officeDocument/2006/relationships/hyperlink" Target="https://ec.europa.eu/eurostat/databrowser/view/DS-056120__custom_6262207/default/table" TargetMode="External"/><Relationship Id="rId161" Type="http://schemas.openxmlformats.org/officeDocument/2006/relationships/hyperlink" Target="https://ec.europa.eu/eurostat/databrowser/view/DS-056120__custom_6262207/default/table" TargetMode="External"/><Relationship Id="rId217" Type="http://schemas.openxmlformats.org/officeDocument/2006/relationships/hyperlink" Target="https://ec.europa.eu/eurostat/databrowser/view/DS-056120__custom_6262207/default/table" TargetMode="External"/><Relationship Id="rId399" Type="http://schemas.openxmlformats.org/officeDocument/2006/relationships/hyperlink" Target="https://ec.europa.eu/eurostat/databrowser/view/DS-056120__custom_6262207/default/table" TargetMode="External"/><Relationship Id="rId259" Type="http://schemas.openxmlformats.org/officeDocument/2006/relationships/hyperlink" Target="https://ec.europa.eu/eurostat/databrowser/view/DS-056120__custom_6262207/default/table" TargetMode="External"/><Relationship Id="rId424" Type="http://schemas.openxmlformats.org/officeDocument/2006/relationships/hyperlink" Target="https://ec.europa.eu/eurostat/databrowser/view/DS-056120__custom_6262207/default/table" TargetMode="External"/><Relationship Id="rId466" Type="http://schemas.openxmlformats.org/officeDocument/2006/relationships/hyperlink" Target="https://ec.europa.eu/eurostat/databrowser/view/DS-056120__custom_6262207/default/table" TargetMode="External"/><Relationship Id="rId23" Type="http://schemas.openxmlformats.org/officeDocument/2006/relationships/hyperlink" Target="https://ec.europa.eu/eurostat/databrowser/view/DS-056120__custom_6262207/default/table" TargetMode="External"/><Relationship Id="rId119" Type="http://schemas.openxmlformats.org/officeDocument/2006/relationships/hyperlink" Target="https://ec.europa.eu/eurostat/databrowser/view/DS-056120__custom_6262207/default/table" TargetMode="External"/><Relationship Id="rId270" Type="http://schemas.openxmlformats.org/officeDocument/2006/relationships/hyperlink" Target="https://ec.europa.eu/eurostat/databrowser/view/DS-056120__custom_6262207/default/table" TargetMode="External"/><Relationship Id="rId326" Type="http://schemas.openxmlformats.org/officeDocument/2006/relationships/hyperlink" Target="https://ec.europa.eu/eurostat/databrowser/view/DS-056120__custom_6262207/default/table" TargetMode="External"/><Relationship Id="rId65" Type="http://schemas.openxmlformats.org/officeDocument/2006/relationships/hyperlink" Target="https://ec.europa.eu/eurostat/databrowser/view/DS-056120__custom_6262207/default/table" TargetMode="External"/><Relationship Id="rId130" Type="http://schemas.openxmlformats.org/officeDocument/2006/relationships/hyperlink" Target="https://ec.europa.eu/eurostat/databrowser/view/DS-056120__custom_6262207/default/table" TargetMode="External"/><Relationship Id="rId368" Type="http://schemas.openxmlformats.org/officeDocument/2006/relationships/hyperlink" Target="https://ec.europa.eu/eurostat/databrowser/view/DS-056120__custom_6262207/default/table" TargetMode="External"/><Relationship Id="rId172" Type="http://schemas.openxmlformats.org/officeDocument/2006/relationships/hyperlink" Target="https://ec.europa.eu/eurostat/databrowser/view/DS-056120__custom_6262207/default/table" TargetMode="External"/><Relationship Id="rId228" Type="http://schemas.openxmlformats.org/officeDocument/2006/relationships/hyperlink" Target="https://ec.europa.eu/eurostat/databrowser/view/DS-056120__custom_6262207/default/table" TargetMode="External"/><Relationship Id="rId435" Type="http://schemas.openxmlformats.org/officeDocument/2006/relationships/hyperlink" Target="https://ec.europa.eu/eurostat/databrowser/view/DS-056120__custom_6262207/default/table" TargetMode="External"/><Relationship Id="rId477" Type="http://schemas.openxmlformats.org/officeDocument/2006/relationships/hyperlink" Target="https://ec.europa.eu/eurostat/databrowser/view/DS-056120__custom_6262207/default/table" TargetMode="External"/><Relationship Id="rId281" Type="http://schemas.openxmlformats.org/officeDocument/2006/relationships/hyperlink" Target="https://ec.europa.eu/eurostat/databrowser/view/DS-056120__custom_6262207/default/table" TargetMode="External"/><Relationship Id="rId337" Type="http://schemas.openxmlformats.org/officeDocument/2006/relationships/hyperlink" Target="https://ec.europa.eu/eurostat/databrowser/view/DS-056120__custom_6262207/default/table" TargetMode="External"/><Relationship Id="rId34" Type="http://schemas.openxmlformats.org/officeDocument/2006/relationships/hyperlink" Target="https://ec.europa.eu/eurostat/databrowser/view/DS-056120__custom_6262207/default/table" TargetMode="External"/><Relationship Id="rId76" Type="http://schemas.openxmlformats.org/officeDocument/2006/relationships/hyperlink" Target="https://ec.europa.eu/eurostat/databrowser/view/DS-056120__custom_6262207/default/table" TargetMode="External"/><Relationship Id="rId141" Type="http://schemas.openxmlformats.org/officeDocument/2006/relationships/hyperlink" Target="https://ec.europa.eu/eurostat/databrowser/view/DS-056120__custom_6262207/default/table" TargetMode="External"/><Relationship Id="rId379" Type="http://schemas.openxmlformats.org/officeDocument/2006/relationships/hyperlink" Target="https://ec.europa.eu/eurostat/databrowser/view/DS-056120__custom_6262207/default/table" TargetMode="External"/><Relationship Id="rId7" Type="http://schemas.openxmlformats.org/officeDocument/2006/relationships/hyperlink" Target="https://ec.europa.eu/eurostat/databrowser/view/DS-056120__custom_6262207/default/table" TargetMode="External"/><Relationship Id="rId183" Type="http://schemas.openxmlformats.org/officeDocument/2006/relationships/hyperlink" Target="https://ec.europa.eu/eurostat/databrowser/view/DS-056120__custom_6262207/default/table" TargetMode="External"/><Relationship Id="rId239" Type="http://schemas.openxmlformats.org/officeDocument/2006/relationships/hyperlink" Target="https://ec.europa.eu/eurostat/databrowser/view/DS-056120__custom_6262207/default/table" TargetMode="External"/><Relationship Id="rId390" Type="http://schemas.openxmlformats.org/officeDocument/2006/relationships/hyperlink" Target="https://ec.europa.eu/eurostat/databrowser/view/DS-056120__custom_6262207/default/table" TargetMode="External"/><Relationship Id="rId404" Type="http://schemas.openxmlformats.org/officeDocument/2006/relationships/hyperlink" Target="https://ec.europa.eu/eurostat/databrowser/view/DS-056120__custom_6262207/default/table" TargetMode="External"/><Relationship Id="rId446" Type="http://schemas.openxmlformats.org/officeDocument/2006/relationships/hyperlink" Target="https://ec.europa.eu/eurostat/databrowser/view/DS-056120__custom_6262207/default/table" TargetMode="External"/><Relationship Id="rId250" Type="http://schemas.openxmlformats.org/officeDocument/2006/relationships/hyperlink" Target="https://ec.europa.eu/eurostat/databrowser/view/DS-056120__custom_6262207/default/table" TargetMode="External"/><Relationship Id="rId292" Type="http://schemas.openxmlformats.org/officeDocument/2006/relationships/hyperlink" Target="https://ec.europa.eu/eurostat/databrowser/view/DS-056120__custom_6262207/default/table" TargetMode="External"/><Relationship Id="rId306" Type="http://schemas.openxmlformats.org/officeDocument/2006/relationships/hyperlink" Target="https://ec.europa.eu/eurostat/databrowser/view/DS-056120__custom_6262207/default/table" TargetMode="External"/><Relationship Id="rId488" Type="http://schemas.openxmlformats.org/officeDocument/2006/relationships/hyperlink" Target="https://ec.europa.eu/eurostat/databrowser/view/DS-056120__custom_6262207/default/table" TargetMode="External"/><Relationship Id="rId45" Type="http://schemas.openxmlformats.org/officeDocument/2006/relationships/hyperlink" Target="https://ec.europa.eu/eurostat/databrowser/view/DS-056120__custom_6262207/default/table" TargetMode="External"/><Relationship Id="rId87" Type="http://schemas.openxmlformats.org/officeDocument/2006/relationships/hyperlink" Target="https://ec.europa.eu/eurostat/databrowser/view/DS-056120__custom_6262207/default/table" TargetMode="External"/><Relationship Id="rId110" Type="http://schemas.openxmlformats.org/officeDocument/2006/relationships/hyperlink" Target="https://ec.europa.eu/eurostat/databrowser/view/DS-056120__custom_6262207/default/table" TargetMode="External"/><Relationship Id="rId348" Type="http://schemas.openxmlformats.org/officeDocument/2006/relationships/hyperlink" Target="https://ec.europa.eu/eurostat/databrowser/view/DS-056120__custom_6262207/default/table" TargetMode="External"/><Relationship Id="rId152" Type="http://schemas.openxmlformats.org/officeDocument/2006/relationships/hyperlink" Target="https://ec.europa.eu/eurostat/databrowser/view/DS-056120__custom_6262207/default/table" TargetMode="External"/><Relationship Id="rId194" Type="http://schemas.openxmlformats.org/officeDocument/2006/relationships/hyperlink" Target="https://ec.europa.eu/eurostat/databrowser/view/DS-056120__custom_6262207/default/table" TargetMode="External"/><Relationship Id="rId208" Type="http://schemas.openxmlformats.org/officeDocument/2006/relationships/hyperlink" Target="https://ec.europa.eu/eurostat/databrowser/view/DS-056120__custom_6262207/default/table" TargetMode="External"/><Relationship Id="rId415" Type="http://schemas.openxmlformats.org/officeDocument/2006/relationships/hyperlink" Target="https://ec.europa.eu/eurostat/databrowser/view/DS-056120__custom_6262207/default/table" TargetMode="External"/><Relationship Id="rId457" Type="http://schemas.openxmlformats.org/officeDocument/2006/relationships/hyperlink" Target="https://ec.europa.eu/eurostat/databrowser/view/DS-056120__custom_6262207/default/table" TargetMode="External"/><Relationship Id="rId261" Type="http://schemas.openxmlformats.org/officeDocument/2006/relationships/hyperlink" Target="https://ec.europa.eu/eurostat/databrowser/view/DS-056120__custom_6262207/default/table" TargetMode="External"/><Relationship Id="rId14" Type="http://schemas.openxmlformats.org/officeDocument/2006/relationships/hyperlink" Target="https://ec.europa.eu/eurostat/databrowser/view/DS-056120__custom_6262207/default/table" TargetMode="External"/><Relationship Id="rId56" Type="http://schemas.openxmlformats.org/officeDocument/2006/relationships/hyperlink" Target="https://ec.europa.eu/eurostat/databrowser/view/DS-056120__custom_6262207/default/table" TargetMode="External"/><Relationship Id="rId317" Type="http://schemas.openxmlformats.org/officeDocument/2006/relationships/hyperlink" Target="https://ec.europa.eu/eurostat/databrowser/view/DS-056120__custom_6262207/default/table" TargetMode="External"/><Relationship Id="rId359" Type="http://schemas.openxmlformats.org/officeDocument/2006/relationships/hyperlink" Target="https://ec.europa.eu/eurostat/databrowser/view/DS-056120__custom_6262207/default/table" TargetMode="External"/><Relationship Id="rId98" Type="http://schemas.openxmlformats.org/officeDocument/2006/relationships/hyperlink" Target="https://ec.europa.eu/eurostat/databrowser/view/DS-056120__custom_6262207/default/table" TargetMode="External"/><Relationship Id="rId121" Type="http://schemas.openxmlformats.org/officeDocument/2006/relationships/hyperlink" Target="https://ec.europa.eu/eurostat/databrowser/view/DS-056120__custom_6262207/default/table" TargetMode="External"/><Relationship Id="rId163" Type="http://schemas.openxmlformats.org/officeDocument/2006/relationships/hyperlink" Target="https://ec.europa.eu/eurostat/databrowser/view/DS-056120__custom_6262207/default/table" TargetMode="External"/><Relationship Id="rId219" Type="http://schemas.openxmlformats.org/officeDocument/2006/relationships/hyperlink" Target="https://ec.europa.eu/eurostat/databrowser/view/DS-056120__custom_6262207/default/table" TargetMode="External"/><Relationship Id="rId370" Type="http://schemas.openxmlformats.org/officeDocument/2006/relationships/hyperlink" Target="https://ec.europa.eu/eurostat/databrowser/view/DS-056120__custom_6262207/default/table" TargetMode="External"/><Relationship Id="rId426" Type="http://schemas.openxmlformats.org/officeDocument/2006/relationships/hyperlink" Target="https://ec.europa.eu/eurostat/databrowser/view/DS-056120__custom_6262207/default/table" TargetMode="External"/><Relationship Id="rId230" Type="http://schemas.openxmlformats.org/officeDocument/2006/relationships/hyperlink" Target="https://ec.europa.eu/eurostat/databrowser/view/DS-056120__custom_6262207/default/table" TargetMode="External"/><Relationship Id="rId468" Type="http://schemas.openxmlformats.org/officeDocument/2006/relationships/hyperlink" Target="https://ec.europa.eu/eurostat/databrowser/view/DS-056120__custom_6262207/default/table" TargetMode="External"/><Relationship Id="rId25" Type="http://schemas.openxmlformats.org/officeDocument/2006/relationships/hyperlink" Target="https://ec.europa.eu/eurostat/databrowser/view/DS-056120__custom_6262207/default/table" TargetMode="External"/><Relationship Id="rId67" Type="http://schemas.openxmlformats.org/officeDocument/2006/relationships/hyperlink" Target="https://ec.europa.eu/eurostat/databrowser/view/DS-056120__custom_6262207/default/table" TargetMode="External"/><Relationship Id="rId272" Type="http://schemas.openxmlformats.org/officeDocument/2006/relationships/hyperlink" Target="https://ec.europa.eu/eurostat/databrowser/view/DS-056120__custom_6262207/default/table" TargetMode="External"/><Relationship Id="rId328" Type="http://schemas.openxmlformats.org/officeDocument/2006/relationships/hyperlink" Target="https://ec.europa.eu/eurostat/databrowser/view/DS-056120__custom_6262207/default/table" TargetMode="External"/><Relationship Id="rId132" Type="http://schemas.openxmlformats.org/officeDocument/2006/relationships/hyperlink" Target="https://ec.europa.eu/eurostat/databrowser/view/DS-056120__custom_6262207/default/table" TargetMode="External"/><Relationship Id="rId174" Type="http://schemas.openxmlformats.org/officeDocument/2006/relationships/hyperlink" Target="https://ec.europa.eu/eurostat/databrowser/view/DS-056120__custom_6262207/default/table" TargetMode="External"/><Relationship Id="rId381" Type="http://schemas.openxmlformats.org/officeDocument/2006/relationships/hyperlink" Target="https://ec.europa.eu/eurostat/databrowser/view/DS-056120__custom_6262207/default/table" TargetMode="External"/><Relationship Id="rId241" Type="http://schemas.openxmlformats.org/officeDocument/2006/relationships/hyperlink" Target="https://ec.europa.eu/eurostat/databrowser/view/DS-056120__custom_6262207/default/table" TargetMode="External"/><Relationship Id="rId437" Type="http://schemas.openxmlformats.org/officeDocument/2006/relationships/hyperlink" Target="https://ec.europa.eu/eurostat/databrowser/view/DS-056120__custom_6262207/default/table" TargetMode="External"/><Relationship Id="rId479" Type="http://schemas.openxmlformats.org/officeDocument/2006/relationships/hyperlink" Target="https://ec.europa.eu/eurostat/databrowser/view/DS-056120__custom_6262207/default/table" TargetMode="External"/><Relationship Id="rId36" Type="http://schemas.openxmlformats.org/officeDocument/2006/relationships/hyperlink" Target="https://ec.europa.eu/eurostat/databrowser/view/DS-056120__custom_6262207/default/table" TargetMode="External"/><Relationship Id="rId283" Type="http://schemas.openxmlformats.org/officeDocument/2006/relationships/hyperlink" Target="https://ec.europa.eu/eurostat/databrowser/view/DS-056120__custom_6262207/default/table" TargetMode="External"/><Relationship Id="rId339" Type="http://schemas.openxmlformats.org/officeDocument/2006/relationships/hyperlink" Target="https://ec.europa.eu/eurostat/databrowser/view/DS-056120__custom_6262207/default/table" TargetMode="External"/><Relationship Id="rId490" Type="http://schemas.openxmlformats.org/officeDocument/2006/relationships/hyperlink" Target="https://ec.europa.eu/eurostat/databrowser/view/DS-056120__custom_6262207/default/table" TargetMode="External"/><Relationship Id="rId78" Type="http://schemas.openxmlformats.org/officeDocument/2006/relationships/hyperlink" Target="https://ec.europa.eu/eurostat/databrowser/view/DS-056120__custom_6262207/default/table" TargetMode="External"/><Relationship Id="rId101" Type="http://schemas.openxmlformats.org/officeDocument/2006/relationships/hyperlink" Target="https://ec.europa.eu/eurostat/databrowser/view/DS-056120__custom_6262207/default/table" TargetMode="External"/><Relationship Id="rId143" Type="http://schemas.openxmlformats.org/officeDocument/2006/relationships/hyperlink" Target="https://ec.europa.eu/eurostat/databrowser/view/DS-056120__custom_6262207/default/table" TargetMode="External"/><Relationship Id="rId185" Type="http://schemas.openxmlformats.org/officeDocument/2006/relationships/hyperlink" Target="https://ec.europa.eu/eurostat/databrowser/view/DS-056120__custom_6262207/default/table" TargetMode="External"/><Relationship Id="rId350" Type="http://schemas.openxmlformats.org/officeDocument/2006/relationships/hyperlink" Target="https://ec.europa.eu/eurostat/databrowser/view/DS-056120__custom_6262207/default/table" TargetMode="External"/><Relationship Id="rId406" Type="http://schemas.openxmlformats.org/officeDocument/2006/relationships/hyperlink" Target="https://ec.europa.eu/eurostat/databrowser/view/DS-056120__custom_6262207/default/table" TargetMode="External"/><Relationship Id="rId9" Type="http://schemas.openxmlformats.org/officeDocument/2006/relationships/hyperlink" Target="https://ec.europa.eu/eurostat/databrowser/view/DS-056120__custom_6262207/default/table" TargetMode="External"/><Relationship Id="rId210" Type="http://schemas.openxmlformats.org/officeDocument/2006/relationships/hyperlink" Target="https://ec.europa.eu/eurostat/databrowser/view/DS-056120__custom_6262207/default/table" TargetMode="External"/><Relationship Id="rId392" Type="http://schemas.openxmlformats.org/officeDocument/2006/relationships/hyperlink" Target="https://ec.europa.eu/eurostat/databrowser/view/DS-056120__custom_6262207/default/table" TargetMode="External"/><Relationship Id="rId448" Type="http://schemas.openxmlformats.org/officeDocument/2006/relationships/hyperlink" Target="https://ec.europa.eu/eurostat/databrowser/view/DS-056120__custom_6262207/default/table" TargetMode="External"/><Relationship Id="rId252" Type="http://schemas.openxmlformats.org/officeDocument/2006/relationships/hyperlink" Target="https://ec.europa.eu/eurostat/databrowser/view/DS-056120__custom_6262207/default/table" TargetMode="External"/><Relationship Id="rId294" Type="http://schemas.openxmlformats.org/officeDocument/2006/relationships/hyperlink" Target="https://ec.europa.eu/eurostat/databrowser/view/DS-056120__custom_6262207/default/table" TargetMode="External"/><Relationship Id="rId308" Type="http://schemas.openxmlformats.org/officeDocument/2006/relationships/hyperlink" Target="https://ec.europa.eu/eurostat/databrowser/view/DS-056120__custom_6262207/default/table" TargetMode="External"/><Relationship Id="rId47" Type="http://schemas.openxmlformats.org/officeDocument/2006/relationships/hyperlink" Target="https://ec.europa.eu/eurostat/databrowser/view/DS-056120__custom_6262207/default/table" TargetMode="External"/><Relationship Id="rId89" Type="http://schemas.openxmlformats.org/officeDocument/2006/relationships/hyperlink" Target="https://ec.europa.eu/eurostat/databrowser/view/DS-056120__custom_6262207/default/table" TargetMode="External"/><Relationship Id="rId112" Type="http://schemas.openxmlformats.org/officeDocument/2006/relationships/hyperlink" Target="https://ec.europa.eu/eurostat/databrowser/view/DS-056120__custom_6262207/default/table" TargetMode="External"/><Relationship Id="rId154" Type="http://schemas.openxmlformats.org/officeDocument/2006/relationships/hyperlink" Target="https://ec.europa.eu/eurostat/databrowser/view/DS-056120__custom_6262207/default/table" TargetMode="External"/><Relationship Id="rId361" Type="http://schemas.openxmlformats.org/officeDocument/2006/relationships/hyperlink" Target="https://ec.europa.eu/eurostat/databrowser/view/DS-056120__custom_6262207/default/table" TargetMode="External"/><Relationship Id="rId196" Type="http://schemas.openxmlformats.org/officeDocument/2006/relationships/hyperlink" Target="https://ec.europa.eu/eurostat/databrowser/view/DS-056120__custom_6262207/default/table" TargetMode="External"/><Relationship Id="rId417" Type="http://schemas.openxmlformats.org/officeDocument/2006/relationships/hyperlink" Target="https://ec.europa.eu/eurostat/databrowser/view/DS-056120__custom_6262207/default/table" TargetMode="External"/><Relationship Id="rId459" Type="http://schemas.openxmlformats.org/officeDocument/2006/relationships/hyperlink" Target="https://ec.europa.eu/eurostat/databrowser/view/DS-056120__custom_6262207/default/table" TargetMode="External"/><Relationship Id="rId16" Type="http://schemas.openxmlformats.org/officeDocument/2006/relationships/hyperlink" Target="https://ec.europa.eu/eurostat/databrowser/view/DS-056120__custom_6262207/default/table" TargetMode="External"/><Relationship Id="rId221" Type="http://schemas.openxmlformats.org/officeDocument/2006/relationships/hyperlink" Target="https://ec.europa.eu/eurostat/databrowser/view/DS-056120__custom_6262207/default/table" TargetMode="External"/><Relationship Id="rId263" Type="http://schemas.openxmlformats.org/officeDocument/2006/relationships/hyperlink" Target="https://ec.europa.eu/eurostat/databrowser/view/DS-056120__custom_6262207/default/table" TargetMode="External"/><Relationship Id="rId319" Type="http://schemas.openxmlformats.org/officeDocument/2006/relationships/hyperlink" Target="https://ec.europa.eu/eurostat/databrowser/view/DS-056120__custom_6262207/default/table" TargetMode="External"/><Relationship Id="rId470" Type="http://schemas.openxmlformats.org/officeDocument/2006/relationships/hyperlink" Target="https://ec.europa.eu/eurostat/databrowser/view/DS-056120__custom_6262207/default/table" TargetMode="External"/><Relationship Id="rId58" Type="http://schemas.openxmlformats.org/officeDocument/2006/relationships/hyperlink" Target="https://ec.europa.eu/eurostat/databrowser/view/DS-056120__custom_6262207/default/table" TargetMode="External"/><Relationship Id="rId123" Type="http://schemas.openxmlformats.org/officeDocument/2006/relationships/hyperlink" Target="https://ec.europa.eu/eurostat/databrowser/view/DS-056120__custom_6262207/default/table" TargetMode="External"/><Relationship Id="rId330" Type="http://schemas.openxmlformats.org/officeDocument/2006/relationships/hyperlink" Target="https://ec.europa.eu/eurostat/databrowser/view/DS-056120__custom_6262207/default/table" TargetMode="External"/><Relationship Id="rId165" Type="http://schemas.openxmlformats.org/officeDocument/2006/relationships/hyperlink" Target="https://ec.europa.eu/eurostat/databrowser/view/DS-056120__custom_6262207/default/table" TargetMode="External"/><Relationship Id="rId372" Type="http://schemas.openxmlformats.org/officeDocument/2006/relationships/hyperlink" Target="https://ec.europa.eu/eurostat/databrowser/view/DS-056120__custom_6262207/default/table" TargetMode="External"/><Relationship Id="rId428" Type="http://schemas.openxmlformats.org/officeDocument/2006/relationships/hyperlink" Target="https://ec.europa.eu/eurostat/databrowser/view/DS-056120__custom_6262207/default/table" TargetMode="External"/><Relationship Id="rId232" Type="http://schemas.openxmlformats.org/officeDocument/2006/relationships/hyperlink" Target="https://ec.europa.eu/eurostat/databrowser/view/DS-056120__custom_6262207/default/table" TargetMode="External"/><Relationship Id="rId274" Type="http://schemas.openxmlformats.org/officeDocument/2006/relationships/hyperlink" Target="https://ec.europa.eu/eurostat/databrowser/view/DS-056120__custom_6262207/default/table" TargetMode="External"/><Relationship Id="rId481" Type="http://schemas.openxmlformats.org/officeDocument/2006/relationships/hyperlink" Target="https://ec.europa.eu/eurostat/databrowser/view/DS-056120__custom_6262207/default/table" TargetMode="External"/><Relationship Id="rId27" Type="http://schemas.openxmlformats.org/officeDocument/2006/relationships/hyperlink" Target="https://ec.europa.eu/eurostat/databrowser/view/DS-056120__custom_6262207/default/table" TargetMode="External"/><Relationship Id="rId69" Type="http://schemas.openxmlformats.org/officeDocument/2006/relationships/hyperlink" Target="https://ec.europa.eu/eurostat/databrowser/view/DS-056120__custom_6262207/default/table" TargetMode="External"/><Relationship Id="rId134" Type="http://schemas.openxmlformats.org/officeDocument/2006/relationships/hyperlink" Target="https://ec.europa.eu/eurostat/databrowser/view/DS-056120__custom_6262207/default/table" TargetMode="External"/><Relationship Id="rId80" Type="http://schemas.openxmlformats.org/officeDocument/2006/relationships/hyperlink" Target="https://ec.europa.eu/eurostat/databrowser/view/DS-056120__custom_6262207/default/table" TargetMode="External"/><Relationship Id="rId176" Type="http://schemas.openxmlformats.org/officeDocument/2006/relationships/hyperlink" Target="https://ec.europa.eu/eurostat/databrowser/view/DS-056120__custom_6262207/default/table" TargetMode="External"/><Relationship Id="rId341" Type="http://schemas.openxmlformats.org/officeDocument/2006/relationships/hyperlink" Target="https://ec.europa.eu/eurostat/databrowser/view/DS-056120__custom_6262207/default/table" TargetMode="External"/><Relationship Id="rId383" Type="http://schemas.openxmlformats.org/officeDocument/2006/relationships/hyperlink" Target="https://ec.europa.eu/eurostat/databrowser/view/DS-056120__custom_6262207/default/table" TargetMode="External"/><Relationship Id="rId439" Type="http://schemas.openxmlformats.org/officeDocument/2006/relationships/hyperlink" Target="https://ec.europa.eu/eurostat/databrowser/view/DS-056120__custom_6262207/default/table" TargetMode="External"/><Relationship Id="rId201" Type="http://schemas.openxmlformats.org/officeDocument/2006/relationships/hyperlink" Target="https://ec.europa.eu/eurostat/databrowser/view/DS-056120__custom_6262207/default/table" TargetMode="External"/><Relationship Id="rId243" Type="http://schemas.openxmlformats.org/officeDocument/2006/relationships/hyperlink" Target="https://ec.europa.eu/eurostat/databrowser/view/DS-056120__custom_6262207/default/table" TargetMode="External"/><Relationship Id="rId285" Type="http://schemas.openxmlformats.org/officeDocument/2006/relationships/hyperlink" Target="https://ec.europa.eu/eurostat/databrowser/view/DS-056120__custom_6262207/default/table" TargetMode="External"/><Relationship Id="rId450" Type="http://schemas.openxmlformats.org/officeDocument/2006/relationships/hyperlink" Target="https://ec.europa.eu/eurostat/databrowser/view/DS-056120__custom_6262207/default/table" TargetMode="External"/><Relationship Id="rId38" Type="http://schemas.openxmlformats.org/officeDocument/2006/relationships/hyperlink" Target="https://ec.europa.eu/eurostat/databrowser/view/DS-056120__custom_6262207/default/table" TargetMode="External"/><Relationship Id="rId103" Type="http://schemas.openxmlformats.org/officeDocument/2006/relationships/hyperlink" Target="https://ec.europa.eu/eurostat/databrowser/view/DS-056120__custom_6262207/default/table" TargetMode="External"/><Relationship Id="rId310" Type="http://schemas.openxmlformats.org/officeDocument/2006/relationships/hyperlink" Target="https://ec.europa.eu/eurostat/databrowser/view/DS-056120__custom_6262207/default/table" TargetMode="External"/><Relationship Id="rId492" Type="http://schemas.openxmlformats.org/officeDocument/2006/relationships/hyperlink" Target="https://ec.europa.eu/eurostat/databrowser/view/DS-056120__custom_6262207/default/table" TargetMode="External"/><Relationship Id="rId91" Type="http://schemas.openxmlformats.org/officeDocument/2006/relationships/hyperlink" Target="https://ec.europa.eu/eurostat/databrowser/view/DS-056120__custom_6262207/default/table" TargetMode="External"/><Relationship Id="rId145" Type="http://schemas.openxmlformats.org/officeDocument/2006/relationships/hyperlink" Target="https://ec.europa.eu/eurostat/databrowser/view/DS-056120__custom_6262207/default/table" TargetMode="External"/><Relationship Id="rId187" Type="http://schemas.openxmlformats.org/officeDocument/2006/relationships/hyperlink" Target="https://ec.europa.eu/eurostat/databrowser/view/DS-056120__custom_6262207/default/table" TargetMode="External"/><Relationship Id="rId352" Type="http://schemas.openxmlformats.org/officeDocument/2006/relationships/hyperlink" Target="https://ec.europa.eu/eurostat/databrowser/view/DS-056120__custom_6262207/default/table" TargetMode="External"/><Relationship Id="rId394" Type="http://schemas.openxmlformats.org/officeDocument/2006/relationships/hyperlink" Target="https://ec.europa.eu/eurostat/databrowser/view/DS-056120__custom_6262207/default/table" TargetMode="External"/><Relationship Id="rId408" Type="http://schemas.openxmlformats.org/officeDocument/2006/relationships/hyperlink" Target="https://ec.europa.eu/eurostat/databrowser/view/DS-056120__custom_6262207/default/table" TargetMode="External"/><Relationship Id="rId212" Type="http://schemas.openxmlformats.org/officeDocument/2006/relationships/hyperlink" Target="https://ec.europa.eu/eurostat/databrowser/view/DS-056120__custom_6262207/default/table" TargetMode="External"/><Relationship Id="rId254" Type="http://schemas.openxmlformats.org/officeDocument/2006/relationships/hyperlink" Target="https://ec.europa.eu/eurostat/databrowser/view/DS-056120__custom_6262207/default/table" TargetMode="External"/><Relationship Id="rId49" Type="http://schemas.openxmlformats.org/officeDocument/2006/relationships/hyperlink" Target="https://ec.europa.eu/eurostat/databrowser/view/DS-056120__custom_6262207/default/table" TargetMode="External"/><Relationship Id="rId114" Type="http://schemas.openxmlformats.org/officeDocument/2006/relationships/hyperlink" Target="https://ec.europa.eu/eurostat/databrowser/view/DS-056120__custom_6262207/default/table" TargetMode="External"/><Relationship Id="rId296" Type="http://schemas.openxmlformats.org/officeDocument/2006/relationships/hyperlink" Target="https://ec.europa.eu/eurostat/databrowser/view/DS-056120__custom_6262207/default/table" TargetMode="External"/><Relationship Id="rId461" Type="http://schemas.openxmlformats.org/officeDocument/2006/relationships/hyperlink" Target="https://ec.europa.eu/eurostat/databrowser/view/DS-056120__custom_6262207/default/table" TargetMode="External"/><Relationship Id="rId60" Type="http://schemas.openxmlformats.org/officeDocument/2006/relationships/hyperlink" Target="https://ec.europa.eu/eurostat/databrowser/view/DS-056120__custom_6262207/default/table" TargetMode="External"/><Relationship Id="rId156" Type="http://schemas.openxmlformats.org/officeDocument/2006/relationships/hyperlink" Target="https://ec.europa.eu/eurostat/databrowser/view/DS-056120__custom_6262207/default/table" TargetMode="External"/><Relationship Id="rId198" Type="http://schemas.openxmlformats.org/officeDocument/2006/relationships/hyperlink" Target="https://ec.europa.eu/eurostat/databrowser/view/DS-056120__custom_6262207/default/table" TargetMode="External"/><Relationship Id="rId321" Type="http://schemas.openxmlformats.org/officeDocument/2006/relationships/hyperlink" Target="https://ec.europa.eu/eurostat/databrowser/view/DS-056120__custom_6262207/default/table" TargetMode="External"/><Relationship Id="rId363" Type="http://schemas.openxmlformats.org/officeDocument/2006/relationships/hyperlink" Target="https://ec.europa.eu/eurostat/databrowser/view/DS-056120__custom_6262207/default/table" TargetMode="External"/><Relationship Id="rId419" Type="http://schemas.openxmlformats.org/officeDocument/2006/relationships/hyperlink" Target="https://ec.europa.eu/eurostat/databrowser/view/DS-056120__custom_6262207/default/table" TargetMode="External"/><Relationship Id="rId223" Type="http://schemas.openxmlformats.org/officeDocument/2006/relationships/hyperlink" Target="https://ec.europa.eu/eurostat/databrowser/view/DS-056120__custom_6262207/default/table" TargetMode="External"/><Relationship Id="rId430" Type="http://schemas.openxmlformats.org/officeDocument/2006/relationships/hyperlink" Target="https://ec.europa.eu/eurostat/databrowser/view/DS-056120__custom_6262207/default/table" TargetMode="External"/><Relationship Id="rId18" Type="http://schemas.openxmlformats.org/officeDocument/2006/relationships/hyperlink" Target="https://ec.europa.eu/eurostat/databrowser/view/DS-056120__custom_6262207/default/table" TargetMode="External"/><Relationship Id="rId265" Type="http://schemas.openxmlformats.org/officeDocument/2006/relationships/hyperlink" Target="https://ec.europa.eu/eurostat/databrowser/view/DS-056120__custom_6262207/default/table" TargetMode="External"/><Relationship Id="rId472" Type="http://schemas.openxmlformats.org/officeDocument/2006/relationships/hyperlink" Target="https://ec.europa.eu/eurostat/databrowser/view/DS-056120__custom_6262207/default/table" TargetMode="External"/><Relationship Id="rId125" Type="http://schemas.openxmlformats.org/officeDocument/2006/relationships/hyperlink" Target="https://ec.europa.eu/eurostat/databrowser/view/DS-056120__custom_6262207/default/table" TargetMode="External"/><Relationship Id="rId167" Type="http://schemas.openxmlformats.org/officeDocument/2006/relationships/hyperlink" Target="https://ec.europa.eu/eurostat/databrowser/view/DS-056120__custom_6262207/default/table" TargetMode="External"/><Relationship Id="rId332" Type="http://schemas.openxmlformats.org/officeDocument/2006/relationships/hyperlink" Target="https://ec.europa.eu/eurostat/databrowser/view/DS-056120__custom_6262207/default/table" TargetMode="External"/><Relationship Id="rId374" Type="http://schemas.openxmlformats.org/officeDocument/2006/relationships/hyperlink" Target="https://ec.europa.eu/eurostat/databrowser/view/DS-056120__custom_6262207/default/table" TargetMode="External"/><Relationship Id="rId71" Type="http://schemas.openxmlformats.org/officeDocument/2006/relationships/hyperlink" Target="https://ec.europa.eu/eurostat/databrowser/view/DS-056120__custom_6262207/default/table" TargetMode="External"/><Relationship Id="rId234" Type="http://schemas.openxmlformats.org/officeDocument/2006/relationships/hyperlink" Target="https://ec.europa.eu/eurostat/databrowser/view/DS-056120__custom_6262207/default/table" TargetMode="External"/><Relationship Id="rId2" Type="http://schemas.openxmlformats.org/officeDocument/2006/relationships/hyperlink" Target="https://ec.europa.eu/eurostat/databrowser/view/DS-056120__custom_6262207/default/table" TargetMode="External"/><Relationship Id="rId29" Type="http://schemas.openxmlformats.org/officeDocument/2006/relationships/hyperlink" Target="https://ec.europa.eu/eurostat/databrowser/view/DS-056120__custom_6262207/default/table" TargetMode="External"/><Relationship Id="rId276" Type="http://schemas.openxmlformats.org/officeDocument/2006/relationships/hyperlink" Target="https://ec.europa.eu/eurostat/databrowser/view/DS-056120__custom_6262207/default/table" TargetMode="External"/><Relationship Id="rId441" Type="http://schemas.openxmlformats.org/officeDocument/2006/relationships/hyperlink" Target="https://ec.europa.eu/eurostat/databrowser/view/DS-056120__custom_6262207/default/table" TargetMode="External"/><Relationship Id="rId483" Type="http://schemas.openxmlformats.org/officeDocument/2006/relationships/hyperlink" Target="https://ec.europa.eu/eurostat/databrowser/view/DS-056120__custom_6262207/default/table" TargetMode="External"/><Relationship Id="rId40" Type="http://schemas.openxmlformats.org/officeDocument/2006/relationships/hyperlink" Target="https://ec.europa.eu/eurostat/databrowser/view/DS-056120__custom_6262207/default/table" TargetMode="External"/><Relationship Id="rId136" Type="http://schemas.openxmlformats.org/officeDocument/2006/relationships/hyperlink" Target="https://ec.europa.eu/eurostat/databrowser/view/DS-056120__custom_6262207/default/table" TargetMode="External"/><Relationship Id="rId178" Type="http://schemas.openxmlformats.org/officeDocument/2006/relationships/hyperlink" Target="https://ec.europa.eu/eurostat/databrowser/view/DS-056120__custom_6262207/default/table" TargetMode="External"/><Relationship Id="rId301" Type="http://schemas.openxmlformats.org/officeDocument/2006/relationships/hyperlink" Target="https://ec.europa.eu/eurostat/databrowser/view/DS-056120__custom_6262207/default/table" TargetMode="External"/><Relationship Id="rId343" Type="http://schemas.openxmlformats.org/officeDocument/2006/relationships/hyperlink" Target="https://ec.europa.eu/eurostat/databrowser/view/DS-056120__custom_6262207/default/table" TargetMode="External"/><Relationship Id="rId82" Type="http://schemas.openxmlformats.org/officeDocument/2006/relationships/hyperlink" Target="https://ec.europa.eu/eurostat/databrowser/view/DS-056120__custom_6262207/default/table" TargetMode="External"/><Relationship Id="rId203" Type="http://schemas.openxmlformats.org/officeDocument/2006/relationships/hyperlink" Target="https://ec.europa.eu/eurostat/databrowser/view/DS-056120__custom_6262207/default/table" TargetMode="External"/><Relationship Id="rId385" Type="http://schemas.openxmlformats.org/officeDocument/2006/relationships/hyperlink" Target="https://ec.europa.eu/eurostat/databrowser/view/DS-056120__custom_6262207/default/table" TargetMode="External"/><Relationship Id="rId245" Type="http://schemas.openxmlformats.org/officeDocument/2006/relationships/hyperlink" Target="https://ec.europa.eu/eurostat/databrowser/view/DS-056120__custom_6262207/default/table" TargetMode="External"/><Relationship Id="rId287" Type="http://schemas.openxmlformats.org/officeDocument/2006/relationships/hyperlink" Target="https://ec.europa.eu/eurostat/databrowser/view/DS-056120__custom_6262207/default/table" TargetMode="External"/><Relationship Id="rId410" Type="http://schemas.openxmlformats.org/officeDocument/2006/relationships/hyperlink" Target="https://ec.europa.eu/eurostat/databrowser/view/DS-056120__custom_6262207/default/table" TargetMode="External"/><Relationship Id="rId452" Type="http://schemas.openxmlformats.org/officeDocument/2006/relationships/hyperlink" Target="https://ec.europa.eu/eurostat/databrowser/view/DS-056120__custom_6262207/default/table" TargetMode="External"/><Relationship Id="rId494" Type="http://schemas.openxmlformats.org/officeDocument/2006/relationships/hyperlink" Target="https://ec.europa.eu/eurostat/databrowser/view/DS-056120__custom_6262207/default/table" TargetMode="External"/><Relationship Id="rId105" Type="http://schemas.openxmlformats.org/officeDocument/2006/relationships/hyperlink" Target="https://ec.europa.eu/eurostat/databrowser/view/DS-056120__custom_6262207/default/table" TargetMode="External"/><Relationship Id="rId147" Type="http://schemas.openxmlformats.org/officeDocument/2006/relationships/hyperlink" Target="https://ec.europa.eu/eurostat/databrowser/view/DS-056120__custom_6262207/default/table" TargetMode="External"/><Relationship Id="rId312" Type="http://schemas.openxmlformats.org/officeDocument/2006/relationships/hyperlink" Target="https://ec.europa.eu/eurostat/databrowser/view/DS-056120__custom_6262207/default/table" TargetMode="External"/><Relationship Id="rId354" Type="http://schemas.openxmlformats.org/officeDocument/2006/relationships/hyperlink" Target="https://ec.europa.eu/eurostat/databrowser/view/DS-056120__custom_6262207/default/table" TargetMode="External"/><Relationship Id="rId51" Type="http://schemas.openxmlformats.org/officeDocument/2006/relationships/hyperlink" Target="https://ec.europa.eu/eurostat/databrowser/view/DS-056120__custom_6262207/default/table" TargetMode="External"/><Relationship Id="rId93" Type="http://schemas.openxmlformats.org/officeDocument/2006/relationships/hyperlink" Target="https://ec.europa.eu/eurostat/databrowser/view/DS-056120__custom_6262207/default/table" TargetMode="External"/><Relationship Id="rId189" Type="http://schemas.openxmlformats.org/officeDocument/2006/relationships/hyperlink" Target="https://ec.europa.eu/eurostat/databrowser/view/DS-056120__custom_6262207/default/table" TargetMode="External"/><Relationship Id="rId396" Type="http://schemas.openxmlformats.org/officeDocument/2006/relationships/hyperlink" Target="https://ec.europa.eu/eurostat/databrowser/view/DS-056120__custom_6262207/default/table" TargetMode="External"/><Relationship Id="rId214" Type="http://schemas.openxmlformats.org/officeDocument/2006/relationships/hyperlink" Target="https://ec.europa.eu/eurostat/databrowser/view/DS-056120__custom_6262207/default/table" TargetMode="External"/><Relationship Id="rId256" Type="http://schemas.openxmlformats.org/officeDocument/2006/relationships/hyperlink" Target="https://ec.europa.eu/eurostat/databrowser/view/DS-056120__custom_6262207/default/table" TargetMode="External"/><Relationship Id="rId298" Type="http://schemas.openxmlformats.org/officeDocument/2006/relationships/hyperlink" Target="https://ec.europa.eu/eurostat/databrowser/view/DS-056120__custom_6262207/default/table" TargetMode="External"/><Relationship Id="rId421" Type="http://schemas.openxmlformats.org/officeDocument/2006/relationships/hyperlink" Target="https://ec.europa.eu/eurostat/databrowser/view/DS-056120__custom_6262207/default/table" TargetMode="External"/><Relationship Id="rId463" Type="http://schemas.openxmlformats.org/officeDocument/2006/relationships/hyperlink" Target="https://ec.europa.eu/eurostat/databrowser/view/DS-056120__custom_6262207/default/table" TargetMode="External"/><Relationship Id="rId116" Type="http://schemas.openxmlformats.org/officeDocument/2006/relationships/hyperlink" Target="https://ec.europa.eu/eurostat/databrowser/view/DS-056120__custom_6262207/default/table" TargetMode="External"/><Relationship Id="rId158" Type="http://schemas.openxmlformats.org/officeDocument/2006/relationships/hyperlink" Target="https://ec.europa.eu/eurostat/databrowser/view/DS-056120__custom_6262207/default/table" TargetMode="External"/><Relationship Id="rId323" Type="http://schemas.openxmlformats.org/officeDocument/2006/relationships/hyperlink" Target="https://ec.europa.eu/eurostat/databrowser/view/DS-056120__custom_6262207/default/table" TargetMode="External"/><Relationship Id="rId20" Type="http://schemas.openxmlformats.org/officeDocument/2006/relationships/hyperlink" Target="https://ec.europa.eu/eurostat/databrowser/view/DS-056120__custom_6262207/default/table" TargetMode="External"/><Relationship Id="rId62" Type="http://schemas.openxmlformats.org/officeDocument/2006/relationships/hyperlink" Target="https://ec.europa.eu/eurostat/databrowser/view/DS-056120__custom_6262207/default/table" TargetMode="External"/><Relationship Id="rId365" Type="http://schemas.openxmlformats.org/officeDocument/2006/relationships/hyperlink" Target="https://ec.europa.eu/eurostat/databrowser/view/DS-056120__custom_6262207/default/table" TargetMode="External"/><Relationship Id="rId225" Type="http://schemas.openxmlformats.org/officeDocument/2006/relationships/hyperlink" Target="https://ec.europa.eu/eurostat/databrowser/view/DS-056120__custom_6262207/default/table" TargetMode="External"/><Relationship Id="rId267" Type="http://schemas.openxmlformats.org/officeDocument/2006/relationships/hyperlink" Target="https://ec.europa.eu/eurostat/databrowser/view/DS-056120__custom_6262207/default/table" TargetMode="External"/><Relationship Id="rId432" Type="http://schemas.openxmlformats.org/officeDocument/2006/relationships/hyperlink" Target="https://ec.europa.eu/eurostat/databrowser/view/DS-056120__custom_6262207/default/table" TargetMode="External"/><Relationship Id="rId474" Type="http://schemas.openxmlformats.org/officeDocument/2006/relationships/hyperlink" Target="https://ec.europa.eu/eurostat/databrowser/view/DS-056120__custom_6262207/default/table" TargetMode="External"/><Relationship Id="rId106" Type="http://schemas.openxmlformats.org/officeDocument/2006/relationships/hyperlink" Target="https://ec.europa.eu/eurostat/databrowser/view/DS-056120__custom_6262207/default/table" TargetMode="External"/><Relationship Id="rId127" Type="http://schemas.openxmlformats.org/officeDocument/2006/relationships/hyperlink" Target="https://ec.europa.eu/eurostat/databrowser/view/DS-056120__custom_6262207/default/table" TargetMode="External"/><Relationship Id="rId313" Type="http://schemas.openxmlformats.org/officeDocument/2006/relationships/hyperlink" Target="https://ec.europa.eu/eurostat/databrowser/view/DS-056120__custom_6262207/default/table" TargetMode="External"/><Relationship Id="rId495" Type="http://schemas.openxmlformats.org/officeDocument/2006/relationships/hyperlink" Target="https://ec.europa.eu/eurostat/databrowser/view/DS-056120__custom_6262207/default/table" TargetMode="External"/><Relationship Id="rId10" Type="http://schemas.openxmlformats.org/officeDocument/2006/relationships/hyperlink" Target="https://ec.europa.eu/eurostat/databrowser/view/DS-056120__custom_6262207/default/table" TargetMode="External"/><Relationship Id="rId31" Type="http://schemas.openxmlformats.org/officeDocument/2006/relationships/hyperlink" Target="https://ec.europa.eu/eurostat/databrowser/view/DS-056120__custom_6262207/default/table" TargetMode="External"/><Relationship Id="rId52" Type="http://schemas.openxmlformats.org/officeDocument/2006/relationships/hyperlink" Target="https://ec.europa.eu/eurostat/databrowser/view/DS-056120__custom_6262207/default/table" TargetMode="External"/><Relationship Id="rId73" Type="http://schemas.openxmlformats.org/officeDocument/2006/relationships/hyperlink" Target="https://ec.europa.eu/eurostat/databrowser/view/DS-056120__custom_6262207/default/table" TargetMode="External"/><Relationship Id="rId94" Type="http://schemas.openxmlformats.org/officeDocument/2006/relationships/hyperlink" Target="https://ec.europa.eu/eurostat/databrowser/view/DS-056120__custom_6262207/default/table" TargetMode="External"/><Relationship Id="rId148" Type="http://schemas.openxmlformats.org/officeDocument/2006/relationships/hyperlink" Target="https://ec.europa.eu/eurostat/databrowser/view/DS-056120__custom_6262207/default/table" TargetMode="External"/><Relationship Id="rId169" Type="http://schemas.openxmlformats.org/officeDocument/2006/relationships/hyperlink" Target="https://ec.europa.eu/eurostat/databrowser/view/DS-056120__custom_6262207/default/table" TargetMode="External"/><Relationship Id="rId334" Type="http://schemas.openxmlformats.org/officeDocument/2006/relationships/hyperlink" Target="https://ec.europa.eu/eurostat/databrowser/view/DS-056120__custom_6262207/default/table" TargetMode="External"/><Relationship Id="rId355" Type="http://schemas.openxmlformats.org/officeDocument/2006/relationships/hyperlink" Target="https://ec.europa.eu/eurostat/databrowser/view/DS-056120__custom_6262207/default/table" TargetMode="External"/><Relationship Id="rId376" Type="http://schemas.openxmlformats.org/officeDocument/2006/relationships/hyperlink" Target="https://ec.europa.eu/eurostat/databrowser/view/DS-056120__custom_6262207/default/table" TargetMode="External"/><Relationship Id="rId397" Type="http://schemas.openxmlformats.org/officeDocument/2006/relationships/hyperlink" Target="https://ec.europa.eu/eurostat/databrowser/view/DS-056120__custom_6262207/default/table" TargetMode="External"/><Relationship Id="rId4" Type="http://schemas.openxmlformats.org/officeDocument/2006/relationships/hyperlink" Target="https://ec.europa.eu/eurostat/databrowser/view/DS-056120__custom_6262207/default/table" TargetMode="External"/><Relationship Id="rId180" Type="http://schemas.openxmlformats.org/officeDocument/2006/relationships/hyperlink" Target="https://ec.europa.eu/eurostat/databrowser/view/DS-056120__custom_6262207/default/table" TargetMode="External"/><Relationship Id="rId215" Type="http://schemas.openxmlformats.org/officeDocument/2006/relationships/hyperlink" Target="https://ec.europa.eu/eurostat/databrowser/view/DS-056120__custom_6262207/default/table" TargetMode="External"/><Relationship Id="rId236" Type="http://schemas.openxmlformats.org/officeDocument/2006/relationships/hyperlink" Target="https://ec.europa.eu/eurostat/databrowser/view/DS-056120__custom_6262207/default/table" TargetMode="External"/><Relationship Id="rId257" Type="http://schemas.openxmlformats.org/officeDocument/2006/relationships/hyperlink" Target="https://ec.europa.eu/eurostat/databrowser/view/DS-056120__custom_6262207/default/table" TargetMode="External"/><Relationship Id="rId278" Type="http://schemas.openxmlformats.org/officeDocument/2006/relationships/hyperlink" Target="https://ec.europa.eu/eurostat/databrowser/view/DS-056120__custom_6262207/default/table" TargetMode="External"/><Relationship Id="rId401" Type="http://schemas.openxmlformats.org/officeDocument/2006/relationships/hyperlink" Target="https://ec.europa.eu/eurostat/databrowser/view/DS-056120__custom_6262207/default/table" TargetMode="External"/><Relationship Id="rId422" Type="http://schemas.openxmlformats.org/officeDocument/2006/relationships/hyperlink" Target="https://ec.europa.eu/eurostat/databrowser/view/DS-056120__custom_6262207/default/table" TargetMode="External"/><Relationship Id="rId443" Type="http://schemas.openxmlformats.org/officeDocument/2006/relationships/hyperlink" Target="https://ec.europa.eu/eurostat/databrowser/view/DS-056120__custom_6262207/default/table" TargetMode="External"/><Relationship Id="rId464" Type="http://schemas.openxmlformats.org/officeDocument/2006/relationships/hyperlink" Target="https://ec.europa.eu/eurostat/databrowser/view/DS-056120__custom_6262207/default/table" TargetMode="External"/><Relationship Id="rId303" Type="http://schemas.openxmlformats.org/officeDocument/2006/relationships/hyperlink" Target="https://ec.europa.eu/eurostat/databrowser/view/DS-056120__custom_6262207/default/table" TargetMode="External"/><Relationship Id="rId485" Type="http://schemas.openxmlformats.org/officeDocument/2006/relationships/hyperlink" Target="https://ec.europa.eu/eurostat/databrowser/view/DS-056120__custom_6262207/default/table" TargetMode="External"/><Relationship Id="rId42" Type="http://schemas.openxmlformats.org/officeDocument/2006/relationships/hyperlink" Target="https://ec.europa.eu/eurostat/databrowser/view/DS-056120__custom_6262207/default/table" TargetMode="External"/><Relationship Id="rId84" Type="http://schemas.openxmlformats.org/officeDocument/2006/relationships/hyperlink" Target="https://ec.europa.eu/eurostat/databrowser/view/DS-056120__custom_6262207/default/table" TargetMode="External"/><Relationship Id="rId138" Type="http://schemas.openxmlformats.org/officeDocument/2006/relationships/hyperlink" Target="https://ec.europa.eu/eurostat/databrowser/view/DS-056120__custom_6262207/default/table" TargetMode="External"/><Relationship Id="rId345" Type="http://schemas.openxmlformats.org/officeDocument/2006/relationships/hyperlink" Target="https://ec.europa.eu/eurostat/databrowser/view/DS-056120__custom_6262207/default/table" TargetMode="External"/><Relationship Id="rId387" Type="http://schemas.openxmlformats.org/officeDocument/2006/relationships/hyperlink" Target="https://ec.europa.eu/eurostat/databrowser/view/DS-056120__custom_6262207/default/table" TargetMode="External"/><Relationship Id="rId191" Type="http://schemas.openxmlformats.org/officeDocument/2006/relationships/hyperlink" Target="https://ec.europa.eu/eurostat/databrowser/view/DS-056120__custom_6262207/default/table" TargetMode="External"/><Relationship Id="rId205" Type="http://schemas.openxmlformats.org/officeDocument/2006/relationships/hyperlink" Target="https://ec.europa.eu/eurostat/databrowser/view/DS-056120__custom_6262207/default/table" TargetMode="External"/><Relationship Id="rId247" Type="http://schemas.openxmlformats.org/officeDocument/2006/relationships/hyperlink" Target="https://ec.europa.eu/eurostat/databrowser/view/DS-056120__custom_6262207/default/table" TargetMode="External"/><Relationship Id="rId412" Type="http://schemas.openxmlformats.org/officeDocument/2006/relationships/hyperlink" Target="https://ec.europa.eu/eurostat/databrowser/view/DS-056120__custom_6262207/default/table" TargetMode="External"/><Relationship Id="rId107" Type="http://schemas.openxmlformats.org/officeDocument/2006/relationships/hyperlink" Target="https://ec.europa.eu/eurostat/databrowser/view/DS-056120__custom_6262207/default/table" TargetMode="External"/><Relationship Id="rId289" Type="http://schemas.openxmlformats.org/officeDocument/2006/relationships/hyperlink" Target="https://ec.europa.eu/eurostat/databrowser/view/DS-056120__custom_6262207/default/table" TargetMode="External"/><Relationship Id="rId454" Type="http://schemas.openxmlformats.org/officeDocument/2006/relationships/hyperlink" Target="https://ec.europa.eu/eurostat/databrowser/view/DS-056120__custom_6262207/default/table" TargetMode="External"/><Relationship Id="rId496" Type="http://schemas.openxmlformats.org/officeDocument/2006/relationships/printerSettings" Target="../printerSettings/printerSettings5.bin"/><Relationship Id="rId11" Type="http://schemas.openxmlformats.org/officeDocument/2006/relationships/hyperlink" Target="https://ec.europa.eu/eurostat/databrowser/view/DS-056120__custom_6262207/default/table" TargetMode="External"/><Relationship Id="rId53" Type="http://schemas.openxmlformats.org/officeDocument/2006/relationships/hyperlink" Target="https://ec.europa.eu/eurostat/databrowser/view/DS-056120__custom_6262207/default/table" TargetMode="External"/><Relationship Id="rId149" Type="http://schemas.openxmlformats.org/officeDocument/2006/relationships/hyperlink" Target="https://ec.europa.eu/eurostat/databrowser/view/DS-056120__custom_6262207/default/table" TargetMode="External"/><Relationship Id="rId314" Type="http://schemas.openxmlformats.org/officeDocument/2006/relationships/hyperlink" Target="https://ec.europa.eu/eurostat/databrowser/view/DS-056120__custom_6262207/default/table" TargetMode="External"/><Relationship Id="rId356" Type="http://schemas.openxmlformats.org/officeDocument/2006/relationships/hyperlink" Target="https://ec.europa.eu/eurostat/databrowser/view/DS-056120__custom_6262207/default/table" TargetMode="External"/><Relationship Id="rId398" Type="http://schemas.openxmlformats.org/officeDocument/2006/relationships/hyperlink" Target="https://ec.europa.eu/eurostat/databrowser/view/DS-056120__custom_6262207/default/table" TargetMode="External"/><Relationship Id="rId95" Type="http://schemas.openxmlformats.org/officeDocument/2006/relationships/hyperlink" Target="https://ec.europa.eu/eurostat/databrowser/view/DS-056120__custom_6262207/default/table" TargetMode="External"/><Relationship Id="rId160" Type="http://schemas.openxmlformats.org/officeDocument/2006/relationships/hyperlink" Target="https://ec.europa.eu/eurostat/databrowser/view/DS-056120__custom_6262207/default/table" TargetMode="External"/><Relationship Id="rId216" Type="http://schemas.openxmlformats.org/officeDocument/2006/relationships/hyperlink" Target="https://ec.europa.eu/eurostat/databrowser/view/DS-056120__custom_6262207/default/table" TargetMode="External"/><Relationship Id="rId423" Type="http://schemas.openxmlformats.org/officeDocument/2006/relationships/hyperlink" Target="https://ec.europa.eu/eurostat/databrowser/view/DS-056120__custom_6262207/default/table" TargetMode="External"/><Relationship Id="rId258" Type="http://schemas.openxmlformats.org/officeDocument/2006/relationships/hyperlink" Target="https://ec.europa.eu/eurostat/databrowser/view/DS-056120__custom_6262207/default/table" TargetMode="External"/><Relationship Id="rId465" Type="http://schemas.openxmlformats.org/officeDocument/2006/relationships/hyperlink" Target="https://ec.europa.eu/eurostat/databrowser/view/DS-056120__custom_6262207/default/table" TargetMode="External"/><Relationship Id="rId22" Type="http://schemas.openxmlformats.org/officeDocument/2006/relationships/hyperlink" Target="https://ec.europa.eu/eurostat/databrowser/view/DS-056120__custom_6262207/default/table" TargetMode="External"/><Relationship Id="rId64" Type="http://schemas.openxmlformats.org/officeDocument/2006/relationships/hyperlink" Target="https://ec.europa.eu/eurostat/databrowser/view/DS-056120__custom_6262207/default/table" TargetMode="External"/><Relationship Id="rId118" Type="http://schemas.openxmlformats.org/officeDocument/2006/relationships/hyperlink" Target="https://ec.europa.eu/eurostat/databrowser/view/DS-056120__custom_6262207/default/table" TargetMode="External"/><Relationship Id="rId325" Type="http://schemas.openxmlformats.org/officeDocument/2006/relationships/hyperlink" Target="https://ec.europa.eu/eurostat/databrowser/view/DS-056120__custom_6262207/default/table" TargetMode="External"/><Relationship Id="rId367" Type="http://schemas.openxmlformats.org/officeDocument/2006/relationships/hyperlink" Target="https://ec.europa.eu/eurostat/databrowser/view/DS-056120__custom_6262207/default/table" TargetMode="External"/><Relationship Id="rId171" Type="http://schemas.openxmlformats.org/officeDocument/2006/relationships/hyperlink" Target="https://ec.europa.eu/eurostat/databrowser/view/DS-056120__custom_6262207/default/table" TargetMode="External"/><Relationship Id="rId227" Type="http://schemas.openxmlformats.org/officeDocument/2006/relationships/hyperlink" Target="https://ec.europa.eu/eurostat/databrowser/view/DS-056120__custom_6262207/default/table" TargetMode="External"/><Relationship Id="rId269" Type="http://schemas.openxmlformats.org/officeDocument/2006/relationships/hyperlink" Target="https://ec.europa.eu/eurostat/databrowser/view/DS-056120__custom_6262207/default/table" TargetMode="External"/><Relationship Id="rId434" Type="http://schemas.openxmlformats.org/officeDocument/2006/relationships/hyperlink" Target="https://ec.europa.eu/eurostat/databrowser/view/DS-056120__custom_6262207/default/table" TargetMode="External"/><Relationship Id="rId476" Type="http://schemas.openxmlformats.org/officeDocument/2006/relationships/hyperlink" Target="https://ec.europa.eu/eurostat/databrowser/view/DS-056120__custom_6262207/default/table" TargetMode="External"/><Relationship Id="rId33" Type="http://schemas.openxmlformats.org/officeDocument/2006/relationships/hyperlink" Target="https://ec.europa.eu/eurostat/databrowser/view/DS-056120__custom_6262207/default/table" TargetMode="External"/><Relationship Id="rId129" Type="http://schemas.openxmlformats.org/officeDocument/2006/relationships/hyperlink" Target="https://ec.europa.eu/eurostat/databrowser/view/DS-056120__custom_6262207/default/table" TargetMode="External"/><Relationship Id="rId280" Type="http://schemas.openxmlformats.org/officeDocument/2006/relationships/hyperlink" Target="https://ec.europa.eu/eurostat/databrowser/view/DS-056120__custom_6262207/default/table" TargetMode="External"/><Relationship Id="rId336" Type="http://schemas.openxmlformats.org/officeDocument/2006/relationships/hyperlink" Target="https://ec.europa.eu/eurostat/databrowser/view/DS-056120__custom_6262207/default/table" TargetMode="External"/><Relationship Id="rId75" Type="http://schemas.openxmlformats.org/officeDocument/2006/relationships/hyperlink" Target="https://ec.europa.eu/eurostat/databrowser/view/DS-056120__custom_6262207/default/table" TargetMode="External"/><Relationship Id="rId140" Type="http://schemas.openxmlformats.org/officeDocument/2006/relationships/hyperlink" Target="https://ec.europa.eu/eurostat/databrowser/view/DS-056120__custom_6262207/default/table" TargetMode="External"/><Relationship Id="rId182" Type="http://schemas.openxmlformats.org/officeDocument/2006/relationships/hyperlink" Target="https://ec.europa.eu/eurostat/databrowser/view/DS-056120__custom_6262207/default/table" TargetMode="External"/><Relationship Id="rId378" Type="http://schemas.openxmlformats.org/officeDocument/2006/relationships/hyperlink" Target="https://ec.europa.eu/eurostat/databrowser/view/DS-056120__custom_6262207/default/table" TargetMode="External"/><Relationship Id="rId403" Type="http://schemas.openxmlformats.org/officeDocument/2006/relationships/hyperlink" Target="https://ec.europa.eu/eurostat/databrowser/view/DS-056120__custom_6262207/default/table" TargetMode="External"/><Relationship Id="rId6" Type="http://schemas.openxmlformats.org/officeDocument/2006/relationships/hyperlink" Target="https://ec.europa.eu/eurostat/databrowser/view/DS-056120__custom_6262207/default/table" TargetMode="External"/><Relationship Id="rId238" Type="http://schemas.openxmlformats.org/officeDocument/2006/relationships/hyperlink" Target="https://ec.europa.eu/eurostat/databrowser/view/DS-056120__custom_6262207/default/table" TargetMode="External"/><Relationship Id="rId445" Type="http://schemas.openxmlformats.org/officeDocument/2006/relationships/hyperlink" Target="https://ec.europa.eu/eurostat/databrowser/view/DS-056120__custom_6262207/default/table" TargetMode="External"/><Relationship Id="rId487" Type="http://schemas.openxmlformats.org/officeDocument/2006/relationships/hyperlink" Target="https://ec.europa.eu/eurostat/databrowser/view/DS-056120__custom_6262207/default/table" TargetMode="External"/><Relationship Id="rId291" Type="http://schemas.openxmlformats.org/officeDocument/2006/relationships/hyperlink" Target="https://ec.europa.eu/eurostat/databrowser/view/DS-056120__custom_6262207/default/table" TargetMode="External"/><Relationship Id="rId305" Type="http://schemas.openxmlformats.org/officeDocument/2006/relationships/hyperlink" Target="https://ec.europa.eu/eurostat/databrowser/view/DS-056120__custom_6262207/default/table" TargetMode="External"/><Relationship Id="rId347" Type="http://schemas.openxmlformats.org/officeDocument/2006/relationships/hyperlink" Target="https://ec.europa.eu/eurostat/databrowser/view/DS-056120__custom_6262207/default/table" TargetMode="External"/><Relationship Id="rId44" Type="http://schemas.openxmlformats.org/officeDocument/2006/relationships/hyperlink" Target="https://ec.europa.eu/eurostat/databrowser/view/DS-056120__custom_6262207/default/table" TargetMode="External"/><Relationship Id="rId86" Type="http://schemas.openxmlformats.org/officeDocument/2006/relationships/hyperlink" Target="https://ec.europa.eu/eurostat/databrowser/view/DS-056120__custom_6262207/default/table" TargetMode="External"/><Relationship Id="rId151" Type="http://schemas.openxmlformats.org/officeDocument/2006/relationships/hyperlink" Target="https://ec.europa.eu/eurostat/databrowser/view/DS-056120__custom_6262207/default/table" TargetMode="External"/><Relationship Id="rId389" Type="http://schemas.openxmlformats.org/officeDocument/2006/relationships/hyperlink" Target="https://ec.europa.eu/eurostat/databrowser/view/DS-056120__custom_6262207/default/table" TargetMode="External"/><Relationship Id="rId193" Type="http://schemas.openxmlformats.org/officeDocument/2006/relationships/hyperlink" Target="https://ec.europa.eu/eurostat/databrowser/view/DS-056120__custom_6262207/default/table" TargetMode="External"/><Relationship Id="rId207" Type="http://schemas.openxmlformats.org/officeDocument/2006/relationships/hyperlink" Target="https://ec.europa.eu/eurostat/databrowser/view/DS-056120__custom_6262207/default/table" TargetMode="External"/><Relationship Id="rId249" Type="http://schemas.openxmlformats.org/officeDocument/2006/relationships/hyperlink" Target="https://ec.europa.eu/eurostat/databrowser/view/DS-056120__custom_6262207/default/table" TargetMode="External"/><Relationship Id="rId414" Type="http://schemas.openxmlformats.org/officeDocument/2006/relationships/hyperlink" Target="https://ec.europa.eu/eurostat/databrowser/view/DS-056120__custom_6262207/default/table" TargetMode="External"/><Relationship Id="rId456" Type="http://schemas.openxmlformats.org/officeDocument/2006/relationships/hyperlink" Target="https://ec.europa.eu/eurostat/databrowser/view/DS-056120__custom_6262207/default/table" TargetMode="External"/><Relationship Id="rId13" Type="http://schemas.openxmlformats.org/officeDocument/2006/relationships/hyperlink" Target="https://ec.europa.eu/eurostat/databrowser/view/DS-056120__custom_6262207/default/table" TargetMode="External"/><Relationship Id="rId109" Type="http://schemas.openxmlformats.org/officeDocument/2006/relationships/hyperlink" Target="https://ec.europa.eu/eurostat/databrowser/view/DS-056120__custom_6262207/default/table" TargetMode="External"/><Relationship Id="rId260" Type="http://schemas.openxmlformats.org/officeDocument/2006/relationships/hyperlink" Target="https://ec.europa.eu/eurostat/databrowser/view/DS-056120__custom_6262207/default/table" TargetMode="External"/><Relationship Id="rId316" Type="http://schemas.openxmlformats.org/officeDocument/2006/relationships/hyperlink" Target="https://ec.europa.eu/eurostat/databrowser/view/DS-056120__custom_6262207/default/table" TargetMode="External"/><Relationship Id="rId55" Type="http://schemas.openxmlformats.org/officeDocument/2006/relationships/hyperlink" Target="https://ec.europa.eu/eurostat/databrowser/view/DS-056120__custom_6262207/default/table" TargetMode="External"/><Relationship Id="rId97" Type="http://schemas.openxmlformats.org/officeDocument/2006/relationships/hyperlink" Target="https://ec.europa.eu/eurostat/databrowser/view/DS-056120__custom_6262207/default/table" TargetMode="External"/><Relationship Id="rId120" Type="http://schemas.openxmlformats.org/officeDocument/2006/relationships/hyperlink" Target="https://ec.europa.eu/eurostat/databrowser/view/DS-056120__custom_6262207/default/table" TargetMode="External"/><Relationship Id="rId358" Type="http://schemas.openxmlformats.org/officeDocument/2006/relationships/hyperlink" Target="https://ec.europa.eu/eurostat/databrowser/view/DS-056120__custom_6262207/default/table" TargetMode="External"/><Relationship Id="rId162" Type="http://schemas.openxmlformats.org/officeDocument/2006/relationships/hyperlink" Target="https://ec.europa.eu/eurostat/databrowser/view/DS-056120__custom_6262207/default/table" TargetMode="External"/><Relationship Id="rId218" Type="http://schemas.openxmlformats.org/officeDocument/2006/relationships/hyperlink" Target="https://ec.europa.eu/eurostat/databrowser/view/DS-056120__custom_6262207/default/table" TargetMode="External"/><Relationship Id="rId425" Type="http://schemas.openxmlformats.org/officeDocument/2006/relationships/hyperlink" Target="https://ec.europa.eu/eurostat/databrowser/view/DS-056120__custom_6262207/default/table" TargetMode="External"/><Relationship Id="rId467" Type="http://schemas.openxmlformats.org/officeDocument/2006/relationships/hyperlink" Target="https://ec.europa.eu/eurostat/databrowser/view/DS-056120__custom_6262207/default/table" TargetMode="External"/><Relationship Id="rId271" Type="http://schemas.openxmlformats.org/officeDocument/2006/relationships/hyperlink" Target="https://ec.europa.eu/eurostat/databrowser/view/DS-056120__custom_6262207/default/table" TargetMode="External"/><Relationship Id="rId24" Type="http://schemas.openxmlformats.org/officeDocument/2006/relationships/hyperlink" Target="https://ec.europa.eu/eurostat/databrowser/view/DS-056120__custom_6262207/default/table" TargetMode="External"/><Relationship Id="rId66" Type="http://schemas.openxmlformats.org/officeDocument/2006/relationships/hyperlink" Target="https://ec.europa.eu/eurostat/databrowser/view/DS-056120__custom_6262207/default/table" TargetMode="External"/><Relationship Id="rId131" Type="http://schemas.openxmlformats.org/officeDocument/2006/relationships/hyperlink" Target="https://ec.europa.eu/eurostat/databrowser/view/DS-056120__custom_6262207/default/table" TargetMode="External"/><Relationship Id="rId327" Type="http://schemas.openxmlformats.org/officeDocument/2006/relationships/hyperlink" Target="https://ec.europa.eu/eurostat/databrowser/view/DS-056120__custom_6262207/default/table" TargetMode="External"/><Relationship Id="rId369" Type="http://schemas.openxmlformats.org/officeDocument/2006/relationships/hyperlink" Target="https://ec.europa.eu/eurostat/databrowser/view/DS-056120__custom_6262207/default/table" TargetMode="External"/><Relationship Id="rId173" Type="http://schemas.openxmlformats.org/officeDocument/2006/relationships/hyperlink" Target="https://ec.europa.eu/eurostat/databrowser/view/DS-056120__custom_6262207/default/table" TargetMode="External"/><Relationship Id="rId229" Type="http://schemas.openxmlformats.org/officeDocument/2006/relationships/hyperlink" Target="https://ec.europa.eu/eurostat/databrowser/view/DS-056120__custom_6262207/default/table" TargetMode="External"/><Relationship Id="rId380" Type="http://schemas.openxmlformats.org/officeDocument/2006/relationships/hyperlink" Target="https://ec.europa.eu/eurostat/databrowser/view/DS-056120__custom_6262207/default/table" TargetMode="External"/><Relationship Id="rId436" Type="http://schemas.openxmlformats.org/officeDocument/2006/relationships/hyperlink" Target="https://ec.europa.eu/eurostat/databrowser/view/DS-056120__custom_6262207/default/table" TargetMode="External"/><Relationship Id="rId240" Type="http://schemas.openxmlformats.org/officeDocument/2006/relationships/hyperlink" Target="https://ec.europa.eu/eurostat/databrowser/view/DS-056120__custom_6262207/default/table" TargetMode="External"/><Relationship Id="rId478" Type="http://schemas.openxmlformats.org/officeDocument/2006/relationships/hyperlink" Target="https://ec.europa.eu/eurostat/databrowser/view/DS-056120__custom_6262207/default/table" TargetMode="External"/><Relationship Id="rId35" Type="http://schemas.openxmlformats.org/officeDocument/2006/relationships/hyperlink" Target="https://ec.europa.eu/eurostat/databrowser/view/DS-056120__custom_6262207/default/table" TargetMode="External"/><Relationship Id="rId77" Type="http://schemas.openxmlformats.org/officeDocument/2006/relationships/hyperlink" Target="https://ec.europa.eu/eurostat/databrowser/view/DS-056120__custom_6262207/default/table" TargetMode="External"/><Relationship Id="rId100" Type="http://schemas.openxmlformats.org/officeDocument/2006/relationships/hyperlink" Target="https://ec.europa.eu/eurostat/databrowser/view/DS-056120__custom_6262207/default/table" TargetMode="External"/><Relationship Id="rId282" Type="http://schemas.openxmlformats.org/officeDocument/2006/relationships/hyperlink" Target="https://ec.europa.eu/eurostat/databrowser/view/DS-056120__custom_6262207/default/table" TargetMode="External"/><Relationship Id="rId338" Type="http://schemas.openxmlformats.org/officeDocument/2006/relationships/hyperlink" Target="https://ec.europa.eu/eurostat/databrowser/view/DS-056120__custom_6262207/default/table" TargetMode="External"/><Relationship Id="rId8" Type="http://schemas.openxmlformats.org/officeDocument/2006/relationships/hyperlink" Target="https://ec.europa.eu/eurostat/databrowser/view/DS-056120__custom_6262207/default/table" TargetMode="External"/><Relationship Id="rId142" Type="http://schemas.openxmlformats.org/officeDocument/2006/relationships/hyperlink" Target="https://ec.europa.eu/eurostat/databrowser/view/DS-056120__custom_6262207/default/table" TargetMode="External"/><Relationship Id="rId184" Type="http://schemas.openxmlformats.org/officeDocument/2006/relationships/hyperlink" Target="https://ec.europa.eu/eurostat/databrowser/view/DS-056120__custom_6262207/default/table" TargetMode="External"/><Relationship Id="rId391" Type="http://schemas.openxmlformats.org/officeDocument/2006/relationships/hyperlink" Target="https://ec.europa.eu/eurostat/databrowser/view/DS-056120__custom_6262207/default/table" TargetMode="External"/><Relationship Id="rId405" Type="http://schemas.openxmlformats.org/officeDocument/2006/relationships/hyperlink" Target="https://ec.europa.eu/eurostat/databrowser/view/DS-056120__custom_6262207/default/table" TargetMode="External"/><Relationship Id="rId447" Type="http://schemas.openxmlformats.org/officeDocument/2006/relationships/hyperlink" Target="https://ec.europa.eu/eurostat/databrowser/view/DS-056120__custom_6262207/default/table" TargetMode="External"/><Relationship Id="rId251" Type="http://schemas.openxmlformats.org/officeDocument/2006/relationships/hyperlink" Target="https://ec.europa.eu/eurostat/databrowser/view/DS-056120__custom_6262207/default/table" TargetMode="External"/><Relationship Id="rId489" Type="http://schemas.openxmlformats.org/officeDocument/2006/relationships/hyperlink" Target="https://ec.europa.eu/eurostat/databrowser/view/DS-056120__custom_6262207/default/table" TargetMode="External"/><Relationship Id="rId46" Type="http://schemas.openxmlformats.org/officeDocument/2006/relationships/hyperlink" Target="https://ec.europa.eu/eurostat/databrowser/view/DS-056120__custom_6262207/default/table" TargetMode="External"/><Relationship Id="rId293" Type="http://schemas.openxmlformats.org/officeDocument/2006/relationships/hyperlink" Target="https://ec.europa.eu/eurostat/databrowser/view/DS-056120__custom_6262207/default/table" TargetMode="External"/><Relationship Id="rId307" Type="http://schemas.openxmlformats.org/officeDocument/2006/relationships/hyperlink" Target="https://ec.europa.eu/eurostat/databrowser/view/DS-056120__custom_6262207/default/table" TargetMode="External"/><Relationship Id="rId349" Type="http://schemas.openxmlformats.org/officeDocument/2006/relationships/hyperlink" Target="https://ec.europa.eu/eurostat/databrowser/view/DS-056120__custom_6262207/default/table" TargetMode="External"/><Relationship Id="rId88" Type="http://schemas.openxmlformats.org/officeDocument/2006/relationships/hyperlink" Target="https://ec.europa.eu/eurostat/databrowser/view/DS-056120__custom_6262207/default/table" TargetMode="External"/><Relationship Id="rId111" Type="http://schemas.openxmlformats.org/officeDocument/2006/relationships/hyperlink" Target="https://ec.europa.eu/eurostat/databrowser/view/DS-056120__custom_6262207/default/table" TargetMode="External"/><Relationship Id="rId153" Type="http://schemas.openxmlformats.org/officeDocument/2006/relationships/hyperlink" Target="https://ec.europa.eu/eurostat/databrowser/view/DS-056120__custom_6262207/default/table" TargetMode="External"/><Relationship Id="rId195" Type="http://schemas.openxmlformats.org/officeDocument/2006/relationships/hyperlink" Target="https://ec.europa.eu/eurostat/databrowser/view/DS-056120__custom_6262207/default/table" TargetMode="External"/><Relationship Id="rId209" Type="http://schemas.openxmlformats.org/officeDocument/2006/relationships/hyperlink" Target="https://ec.europa.eu/eurostat/databrowser/view/DS-056120__custom_6262207/default/table" TargetMode="External"/><Relationship Id="rId360" Type="http://schemas.openxmlformats.org/officeDocument/2006/relationships/hyperlink" Target="https://ec.europa.eu/eurostat/databrowser/view/DS-056120__custom_6262207/default/table" TargetMode="External"/><Relationship Id="rId416" Type="http://schemas.openxmlformats.org/officeDocument/2006/relationships/hyperlink" Target="https://ec.europa.eu/eurostat/databrowser/view/DS-056120__custom_6262207/default/table" TargetMode="External"/><Relationship Id="rId220" Type="http://schemas.openxmlformats.org/officeDocument/2006/relationships/hyperlink" Target="https://ec.europa.eu/eurostat/databrowser/view/DS-056120__custom_6262207/default/table" TargetMode="External"/><Relationship Id="rId458" Type="http://schemas.openxmlformats.org/officeDocument/2006/relationships/hyperlink" Target="https://ec.europa.eu/eurostat/databrowser/view/DS-056120__custom_6262207/default/table" TargetMode="External"/><Relationship Id="rId15" Type="http://schemas.openxmlformats.org/officeDocument/2006/relationships/hyperlink" Target="https://ec.europa.eu/eurostat/databrowser/view/DS-056120__custom_6262207/default/table" TargetMode="External"/><Relationship Id="rId57" Type="http://schemas.openxmlformats.org/officeDocument/2006/relationships/hyperlink" Target="https://ec.europa.eu/eurostat/databrowser/view/DS-056120__custom_6262207/default/table" TargetMode="External"/><Relationship Id="rId262" Type="http://schemas.openxmlformats.org/officeDocument/2006/relationships/hyperlink" Target="https://ec.europa.eu/eurostat/databrowser/view/DS-056120__custom_6262207/default/table" TargetMode="External"/><Relationship Id="rId318" Type="http://schemas.openxmlformats.org/officeDocument/2006/relationships/hyperlink" Target="https://ec.europa.eu/eurostat/databrowser/view/DS-056120__custom_6262207/default/table" TargetMode="External"/><Relationship Id="rId99" Type="http://schemas.openxmlformats.org/officeDocument/2006/relationships/hyperlink" Target="https://ec.europa.eu/eurostat/databrowser/view/DS-056120__custom_6262207/default/table" TargetMode="External"/><Relationship Id="rId122" Type="http://schemas.openxmlformats.org/officeDocument/2006/relationships/hyperlink" Target="https://ec.europa.eu/eurostat/databrowser/view/DS-056120__custom_6262207/default/table" TargetMode="External"/><Relationship Id="rId164" Type="http://schemas.openxmlformats.org/officeDocument/2006/relationships/hyperlink" Target="https://ec.europa.eu/eurostat/databrowser/view/DS-056120__custom_6262207/default/table" TargetMode="External"/><Relationship Id="rId371" Type="http://schemas.openxmlformats.org/officeDocument/2006/relationships/hyperlink" Target="https://ec.europa.eu/eurostat/databrowser/view/DS-056120__custom_6262207/default/table" TargetMode="External"/><Relationship Id="rId427" Type="http://schemas.openxmlformats.org/officeDocument/2006/relationships/hyperlink" Target="https://ec.europa.eu/eurostat/databrowser/view/DS-056120__custom_6262207/default/table" TargetMode="External"/><Relationship Id="rId469" Type="http://schemas.openxmlformats.org/officeDocument/2006/relationships/hyperlink" Target="https://ec.europa.eu/eurostat/databrowser/view/DS-056120__custom_6262207/default/table" TargetMode="External"/><Relationship Id="rId26" Type="http://schemas.openxmlformats.org/officeDocument/2006/relationships/hyperlink" Target="https://ec.europa.eu/eurostat/databrowser/view/DS-056120__custom_6262207/default/table" TargetMode="External"/><Relationship Id="rId231" Type="http://schemas.openxmlformats.org/officeDocument/2006/relationships/hyperlink" Target="https://ec.europa.eu/eurostat/databrowser/view/DS-056120__custom_6262207/default/table" TargetMode="External"/><Relationship Id="rId273" Type="http://schemas.openxmlformats.org/officeDocument/2006/relationships/hyperlink" Target="https://ec.europa.eu/eurostat/databrowser/view/DS-056120__custom_6262207/default/table" TargetMode="External"/><Relationship Id="rId329" Type="http://schemas.openxmlformats.org/officeDocument/2006/relationships/hyperlink" Target="https://ec.europa.eu/eurostat/databrowser/view/DS-056120__custom_6262207/default/table" TargetMode="External"/><Relationship Id="rId480" Type="http://schemas.openxmlformats.org/officeDocument/2006/relationships/hyperlink" Target="https://ec.europa.eu/eurostat/databrowser/view/DS-056120__custom_6262207/default/table" TargetMode="External"/><Relationship Id="rId68" Type="http://schemas.openxmlformats.org/officeDocument/2006/relationships/hyperlink" Target="https://ec.europa.eu/eurostat/databrowser/view/DS-056120__custom_6262207/default/table" TargetMode="External"/><Relationship Id="rId133" Type="http://schemas.openxmlformats.org/officeDocument/2006/relationships/hyperlink" Target="https://ec.europa.eu/eurostat/databrowser/view/DS-056120__custom_6262207/default/table" TargetMode="External"/><Relationship Id="rId175" Type="http://schemas.openxmlformats.org/officeDocument/2006/relationships/hyperlink" Target="https://ec.europa.eu/eurostat/databrowser/view/DS-056120__custom_6262207/default/table" TargetMode="External"/><Relationship Id="rId340" Type="http://schemas.openxmlformats.org/officeDocument/2006/relationships/hyperlink" Target="https://ec.europa.eu/eurostat/databrowser/view/DS-056120__custom_6262207/default/table" TargetMode="External"/><Relationship Id="rId200" Type="http://schemas.openxmlformats.org/officeDocument/2006/relationships/hyperlink" Target="https://ec.europa.eu/eurostat/databrowser/view/DS-056120__custom_6262207/default/table" TargetMode="External"/><Relationship Id="rId382" Type="http://schemas.openxmlformats.org/officeDocument/2006/relationships/hyperlink" Target="https://ec.europa.eu/eurostat/databrowser/view/DS-056120__custom_6262207/default/table" TargetMode="External"/><Relationship Id="rId438" Type="http://schemas.openxmlformats.org/officeDocument/2006/relationships/hyperlink" Target="https://ec.europa.eu/eurostat/databrowser/view/DS-056120__custom_6262207/default/table" TargetMode="External"/><Relationship Id="rId242" Type="http://schemas.openxmlformats.org/officeDocument/2006/relationships/hyperlink" Target="https://ec.europa.eu/eurostat/databrowser/view/DS-056120__custom_6262207/default/table" TargetMode="External"/><Relationship Id="rId284" Type="http://schemas.openxmlformats.org/officeDocument/2006/relationships/hyperlink" Target="https://ec.europa.eu/eurostat/databrowser/view/DS-056120__custom_6262207/default/table" TargetMode="External"/><Relationship Id="rId491" Type="http://schemas.openxmlformats.org/officeDocument/2006/relationships/hyperlink" Target="https://ec.europa.eu/eurostat/databrowser/view/DS-056120__custom_6262207/default/table" TargetMode="External"/><Relationship Id="rId37" Type="http://schemas.openxmlformats.org/officeDocument/2006/relationships/hyperlink" Target="https://ec.europa.eu/eurostat/databrowser/view/DS-056120__custom_6262207/default/table" TargetMode="External"/><Relationship Id="rId79" Type="http://schemas.openxmlformats.org/officeDocument/2006/relationships/hyperlink" Target="https://ec.europa.eu/eurostat/databrowser/view/DS-056120__custom_6262207/default/table" TargetMode="External"/><Relationship Id="rId102" Type="http://schemas.openxmlformats.org/officeDocument/2006/relationships/hyperlink" Target="https://ec.europa.eu/eurostat/databrowser/view/DS-056120__custom_6262207/default/table" TargetMode="External"/><Relationship Id="rId144" Type="http://schemas.openxmlformats.org/officeDocument/2006/relationships/hyperlink" Target="https://ec.europa.eu/eurostat/databrowser/view/DS-056120__custom_6262207/default/table" TargetMode="External"/><Relationship Id="rId90" Type="http://schemas.openxmlformats.org/officeDocument/2006/relationships/hyperlink" Target="https://ec.europa.eu/eurostat/databrowser/view/DS-056120__custom_6262207/default/table" TargetMode="External"/><Relationship Id="rId186" Type="http://schemas.openxmlformats.org/officeDocument/2006/relationships/hyperlink" Target="https://ec.europa.eu/eurostat/databrowser/view/DS-056120__custom_6262207/default/table" TargetMode="External"/><Relationship Id="rId351" Type="http://schemas.openxmlformats.org/officeDocument/2006/relationships/hyperlink" Target="https://ec.europa.eu/eurostat/databrowser/view/DS-056120__custom_6262207/default/table" TargetMode="External"/><Relationship Id="rId393" Type="http://schemas.openxmlformats.org/officeDocument/2006/relationships/hyperlink" Target="https://ec.europa.eu/eurostat/databrowser/view/DS-056120__custom_6262207/default/table" TargetMode="External"/><Relationship Id="rId407" Type="http://schemas.openxmlformats.org/officeDocument/2006/relationships/hyperlink" Target="https://ec.europa.eu/eurostat/databrowser/view/DS-056120__custom_6262207/default/table" TargetMode="External"/><Relationship Id="rId449" Type="http://schemas.openxmlformats.org/officeDocument/2006/relationships/hyperlink" Target="https://ec.europa.eu/eurostat/databrowser/view/DS-056120__custom_6262207/default/table" TargetMode="External"/><Relationship Id="rId211" Type="http://schemas.openxmlformats.org/officeDocument/2006/relationships/hyperlink" Target="https://ec.europa.eu/eurostat/databrowser/view/DS-056120__custom_6262207/default/table" TargetMode="External"/><Relationship Id="rId253" Type="http://schemas.openxmlformats.org/officeDocument/2006/relationships/hyperlink" Target="https://ec.europa.eu/eurostat/databrowser/view/DS-056120__custom_6262207/default/table" TargetMode="External"/><Relationship Id="rId295" Type="http://schemas.openxmlformats.org/officeDocument/2006/relationships/hyperlink" Target="https://ec.europa.eu/eurostat/databrowser/view/DS-056120__custom_6262207/default/table" TargetMode="External"/><Relationship Id="rId309" Type="http://schemas.openxmlformats.org/officeDocument/2006/relationships/hyperlink" Target="https://ec.europa.eu/eurostat/databrowser/view/DS-056120__custom_6262207/default/table" TargetMode="External"/><Relationship Id="rId460" Type="http://schemas.openxmlformats.org/officeDocument/2006/relationships/hyperlink" Target="https://ec.europa.eu/eurostat/databrowser/view/DS-056120__custom_6262207/default/table" TargetMode="External"/><Relationship Id="rId48" Type="http://schemas.openxmlformats.org/officeDocument/2006/relationships/hyperlink" Target="https://ec.europa.eu/eurostat/databrowser/view/DS-056120__custom_6262207/default/table" TargetMode="External"/><Relationship Id="rId113" Type="http://schemas.openxmlformats.org/officeDocument/2006/relationships/hyperlink" Target="https://ec.europa.eu/eurostat/databrowser/view/DS-056120__custom_6262207/default/table" TargetMode="External"/><Relationship Id="rId320" Type="http://schemas.openxmlformats.org/officeDocument/2006/relationships/hyperlink" Target="https://ec.europa.eu/eurostat/databrowser/view/DS-056120__custom_6262207/default/table" TargetMode="External"/><Relationship Id="rId155" Type="http://schemas.openxmlformats.org/officeDocument/2006/relationships/hyperlink" Target="https://ec.europa.eu/eurostat/databrowser/view/DS-056120__custom_6262207/default/table" TargetMode="External"/><Relationship Id="rId197" Type="http://schemas.openxmlformats.org/officeDocument/2006/relationships/hyperlink" Target="https://ec.europa.eu/eurostat/databrowser/view/DS-056120__custom_6262207/default/table" TargetMode="External"/><Relationship Id="rId362" Type="http://schemas.openxmlformats.org/officeDocument/2006/relationships/hyperlink" Target="https://ec.europa.eu/eurostat/databrowser/view/DS-056120__custom_6262207/default/table" TargetMode="External"/><Relationship Id="rId418" Type="http://schemas.openxmlformats.org/officeDocument/2006/relationships/hyperlink" Target="https://ec.europa.eu/eurostat/databrowser/view/DS-056120__custom_6262207/default/table" TargetMode="External"/><Relationship Id="rId222" Type="http://schemas.openxmlformats.org/officeDocument/2006/relationships/hyperlink" Target="https://ec.europa.eu/eurostat/databrowser/view/DS-056120__custom_6262207/default/table" TargetMode="External"/><Relationship Id="rId264" Type="http://schemas.openxmlformats.org/officeDocument/2006/relationships/hyperlink" Target="https://ec.europa.eu/eurostat/databrowser/view/DS-056120__custom_6262207/default/table" TargetMode="External"/><Relationship Id="rId471" Type="http://schemas.openxmlformats.org/officeDocument/2006/relationships/hyperlink" Target="https://ec.europa.eu/eurostat/databrowser/view/DS-056120__custom_6262207/default/table" TargetMode="External"/><Relationship Id="rId17" Type="http://schemas.openxmlformats.org/officeDocument/2006/relationships/hyperlink" Target="https://ec.europa.eu/eurostat/databrowser/view/DS-056120__custom_6262207/default/table" TargetMode="External"/><Relationship Id="rId59" Type="http://schemas.openxmlformats.org/officeDocument/2006/relationships/hyperlink" Target="https://ec.europa.eu/eurostat/databrowser/view/DS-056120__custom_6262207/default/table" TargetMode="External"/><Relationship Id="rId124" Type="http://schemas.openxmlformats.org/officeDocument/2006/relationships/hyperlink" Target="https://ec.europa.eu/eurostat/databrowser/view/DS-056120__custom_6262207/default/table" TargetMode="External"/><Relationship Id="rId70" Type="http://schemas.openxmlformats.org/officeDocument/2006/relationships/hyperlink" Target="https://ec.europa.eu/eurostat/databrowser/view/DS-056120__custom_6262207/default/table" TargetMode="External"/><Relationship Id="rId166" Type="http://schemas.openxmlformats.org/officeDocument/2006/relationships/hyperlink" Target="https://ec.europa.eu/eurostat/databrowser/view/DS-056120__custom_6262207/default/table" TargetMode="External"/><Relationship Id="rId331" Type="http://schemas.openxmlformats.org/officeDocument/2006/relationships/hyperlink" Target="https://ec.europa.eu/eurostat/databrowser/view/DS-056120__custom_6262207/default/table" TargetMode="External"/><Relationship Id="rId373" Type="http://schemas.openxmlformats.org/officeDocument/2006/relationships/hyperlink" Target="https://ec.europa.eu/eurostat/databrowser/view/DS-056120__custom_6262207/default/table" TargetMode="External"/><Relationship Id="rId429" Type="http://schemas.openxmlformats.org/officeDocument/2006/relationships/hyperlink" Target="https://ec.europa.eu/eurostat/databrowser/view/DS-056120__custom_6262207/default/table" TargetMode="External"/><Relationship Id="rId1" Type="http://schemas.openxmlformats.org/officeDocument/2006/relationships/hyperlink" Target="https://ec.europa.eu/eurostat/databrowser/view/DS-056120__custom_6262207/default/table" TargetMode="External"/><Relationship Id="rId233" Type="http://schemas.openxmlformats.org/officeDocument/2006/relationships/hyperlink" Target="https://ec.europa.eu/eurostat/databrowser/view/DS-056120__custom_6262207/default/table" TargetMode="External"/><Relationship Id="rId440" Type="http://schemas.openxmlformats.org/officeDocument/2006/relationships/hyperlink" Target="https://ec.europa.eu/eurostat/databrowser/view/DS-056120__custom_6262207/default/table" TargetMode="External"/><Relationship Id="rId28" Type="http://schemas.openxmlformats.org/officeDocument/2006/relationships/hyperlink" Target="https://ec.europa.eu/eurostat/databrowser/view/DS-056120__custom_6262207/default/table" TargetMode="External"/><Relationship Id="rId275" Type="http://schemas.openxmlformats.org/officeDocument/2006/relationships/hyperlink" Target="https://ec.europa.eu/eurostat/databrowser/view/DS-056120__custom_6262207/default/table" TargetMode="External"/><Relationship Id="rId300" Type="http://schemas.openxmlformats.org/officeDocument/2006/relationships/hyperlink" Target="https://ec.europa.eu/eurostat/databrowser/view/DS-056120__custom_6262207/default/table" TargetMode="External"/><Relationship Id="rId482" Type="http://schemas.openxmlformats.org/officeDocument/2006/relationships/hyperlink" Target="https://ec.europa.eu/eurostat/databrowser/view/DS-056120__custom_6262207/default/table" TargetMode="External"/><Relationship Id="rId81" Type="http://schemas.openxmlformats.org/officeDocument/2006/relationships/hyperlink" Target="https://ec.europa.eu/eurostat/databrowser/view/DS-056120__custom_6262207/default/table" TargetMode="External"/><Relationship Id="rId135" Type="http://schemas.openxmlformats.org/officeDocument/2006/relationships/hyperlink" Target="https://ec.europa.eu/eurostat/databrowser/view/DS-056120__custom_6262207/default/table" TargetMode="External"/><Relationship Id="rId177" Type="http://schemas.openxmlformats.org/officeDocument/2006/relationships/hyperlink" Target="https://ec.europa.eu/eurostat/databrowser/view/DS-056120__custom_6262207/default/table" TargetMode="External"/><Relationship Id="rId342" Type="http://schemas.openxmlformats.org/officeDocument/2006/relationships/hyperlink" Target="https://ec.europa.eu/eurostat/databrowser/view/DS-056120__custom_6262207/default/table" TargetMode="External"/><Relationship Id="rId384" Type="http://schemas.openxmlformats.org/officeDocument/2006/relationships/hyperlink" Target="https://ec.europa.eu/eurostat/databrowser/view/DS-056120__custom_6262207/default/table" TargetMode="External"/><Relationship Id="rId202" Type="http://schemas.openxmlformats.org/officeDocument/2006/relationships/hyperlink" Target="https://ec.europa.eu/eurostat/databrowser/view/DS-056120__custom_6262207/default/table" TargetMode="External"/><Relationship Id="rId244" Type="http://schemas.openxmlformats.org/officeDocument/2006/relationships/hyperlink" Target="https://ec.europa.eu/eurostat/databrowser/view/DS-056120__custom_6262207/default/table" TargetMode="External"/><Relationship Id="rId39" Type="http://schemas.openxmlformats.org/officeDocument/2006/relationships/hyperlink" Target="https://ec.europa.eu/eurostat/databrowser/view/DS-056120__custom_6262207/default/table" TargetMode="External"/><Relationship Id="rId286" Type="http://schemas.openxmlformats.org/officeDocument/2006/relationships/hyperlink" Target="https://ec.europa.eu/eurostat/databrowser/view/DS-056120__custom_6262207/default/table" TargetMode="External"/><Relationship Id="rId451" Type="http://schemas.openxmlformats.org/officeDocument/2006/relationships/hyperlink" Target="https://ec.europa.eu/eurostat/databrowser/view/DS-056120__custom_6262207/default/table" TargetMode="External"/><Relationship Id="rId493" Type="http://schemas.openxmlformats.org/officeDocument/2006/relationships/hyperlink" Target="https://ec.europa.eu/eurostat/databrowser/view/DS-056120__custom_6262207/default/table" TargetMode="External"/><Relationship Id="rId50" Type="http://schemas.openxmlformats.org/officeDocument/2006/relationships/hyperlink" Target="https://ec.europa.eu/eurostat/databrowser/view/DS-056120__custom_6262207/default/table" TargetMode="External"/><Relationship Id="rId104" Type="http://schemas.openxmlformats.org/officeDocument/2006/relationships/hyperlink" Target="https://ec.europa.eu/eurostat/databrowser/view/DS-056120__custom_6262207/default/table" TargetMode="External"/><Relationship Id="rId146" Type="http://schemas.openxmlformats.org/officeDocument/2006/relationships/hyperlink" Target="https://ec.europa.eu/eurostat/databrowser/view/DS-056120__custom_6262207/default/table" TargetMode="External"/><Relationship Id="rId188" Type="http://schemas.openxmlformats.org/officeDocument/2006/relationships/hyperlink" Target="https://ec.europa.eu/eurostat/databrowser/view/DS-056120__custom_6262207/default/table" TargetMode="External"/><Relationship Id="rId311" Type="http://schemas.openxmlformats.org/officeDocument/2006/relationships/hyperlink" Target="https://ec.europa.eu/eurostat/databrowser/view/DS-056120__custom_6262207/default/table" TargetMode="External"/><Relationship Id="rId353" Type="http://schemas.openxmlformats.org/officeDocument/2006/relationships/hyperlink" Target="https://ec.europa.eu/eurostat/databrowser/view/DS-056120__custom_6262207/default/table" TargetMode="External"/><Relationship Id="rId395" Type="http://schemas.openxmlformats.org/officeDocument/2006/relationships/hyperlink" Target="https://ec.europa.eu/eurostat/databrowser/view/DS-056120__custom_6262207/default/table" TargetMode="External"/><Relationship Id="rId409" Type="http://schemas.openxmlformats.org/officeDocument/2006/relationships/hyperlink" Target="https://ec.europa.eu/eurostat/databrowser/view/DS-056120__custom_6262207/default/table" TargetMode="External"/><Relationship Id="rId92" Type="http://schemas.openxmlformats.org/officeDocument/2006/relationships/hyperlink" Target="https://ec.europa.eu/eurostat/databrowser/view/DS-056120__custom_6262207/default/table" TargetMode="External"/><Relationship Id="rId213" Type="http://schemas.openxmlformats.org/officeDocument/2006/relationships/hyperlink" Target="https://ec.europa.eu/eurostat/databrowser/view/DS-056120__custom_6262207/default/table" TargetMode="External"/><Relationship Id="rId420" Type="http://schemas.openxmlformats.org/officeDocument/2006/relationships/hyperlink" Target="https://ec.europa.eu/eurostat/databrowser/view/DS-056120__custom_6262207/default/table" TargetMode="External"/><Relationship Id="rId255" Type="http://schemas.openxmlformats.org/officeDocument/2006/relationships/hyperlink" Target="https://ec.europa.eu/eurostat/databrowser/view/DS-056120__custom_6262207/default/table" TargetMode="External"/><Relationship Id="rId297" Type="http://schemas.openxmlformats.org/officeDocument/2006/relationships/hyperlink" Target="https://ec.europa.eu/eurostat/databrowser/view/DS-056120__custom_6262207/default/table" TargetMode="External"/><Relationship Id="rId462" Type="http://schemas.openxmlformats.org/officeDocument/2006/relationships/hyperlink" Target="https://ec.europa.eu/eurostat/databrowser/view/DS-056120__custom_6262207/default/table" TargetMode="External"/><Relationship Id="rId115" Type="http://schemas.openxmlformats.org/officeDocument/2006/relationships/hyperlink" Target="https://ec.europa.eu/eurostat/databrowser/view/DS-056120__custom_6262207/default/table" TargetMode="External"/><Relationship Id="rId157" Type="http://schemas.openxmlformats.org/officeDocument/2006/relationships/hyperlink" Target="https://ec.europa.eu/eurostat/databrowser/view/DS-056120__custom_6262207/default/table" TargetMode="External"/><Relationship Id="rId322" Type="http://schemas.openxmlformats.org/officeDocument/2006/relationships/hyperlink" Target="https://ec.europa.eu/eurostat/databrowser/view/DS-056120__custom_6262207/default/table" TargetMode="External"/><Relationship Id="rId364" Type="http://schemas.openxmlformats.org/officeDocument/2006/relationships/hyperlink" Target="https://ec.europa.eu/eurostat/databrowser/view/DS-056120__custom_6262207/default/table" TargetMode="External"/><Relationship Id="rId61" Type="http://schemas.openxmlformats.org/officeDocument/2006/relationships/hyperlink" Target="https://ec.europa.eu/eurostat/databrowser/view/DS-056120__custom_6262207/default/table" TargetMode="External"/><Relationship Id="rId199" Type="http://schemas.openxmlformats.org/officeDocument/2006/relationships/hyperlink" Target="https://ec.europa.eu/eurostat/databrowser/view/DS-056120__custom_6262207/default/table" TargetMode="External"/><Relationship Id="rId19" Type="http://schemas.openxmlformats.org/officeDocument/2006/relationships/hyperlink" Target="https://ec.europa.eu/eurostat/databrowser/view/DS-056120__custom_6262207/default/table" TargetMode="External"/><Relationship Id="rId224" Type="http://schemas.openxmlformats.org/officeDocument/2006/relationships/hyperlink" Target="https://ec.europa.eu/eurostat/databrowser/view/DS-056120__custom_6262207/default/table" TargetMode="External"/><Relationship Id="rId266" Type="http://schemas.openxmlformats.org/officeDocument/2006/relationships/hyperlink" Target="https://ec.europa.eu/eurostat/databrowser/view/DS-056120__custom_6262207/default/table" TargetMode="External"/><Relationship Id="rId431" Type="http://schemas.openxmlformats.org/officeDocument/2006/relationships/hyperlink" Target="https://ec.europa.eu/eurostat/databrowser/view/DS-056120__custom_6262207/default/table" TargetMode="External"/><Relationship Id="rId473" Type="http://schemas.openxmlformats.org/officeDocument/2006/relationships/hyperlink" Target="https://ec.europa.eu/eurostat/databrowser/view/DS-056120__custom_6262207/default/table" TargetMode="External"/><Relationship Id="rId30" Type="http://schemas.openxmlformats.org/officeDocument/2006/relationships/hyperlink" Target="https://ec.europa.eu/eurostat/databrowser/view/DS-056120__custom_6262207/default/table" TargetMode="External"/><Relationship Id="rId126" Type="http://schemas.openxmlformats.org/officeDocument/2006/relationships/hyperlink" Target="https://ec.europa.eu/eurostat/databrowser/view/DS-056120__custom_6262207/default/table" TargetMode="External"/><Relationship Id="rId168" Type="http://schemas.openxmlformats.org/officeDocument/2006/relationships/hyperlink" Target="https://ec.europa.eu/eurostat/databrowser/view/DS-056120__custom_6262207/default/table" TargetMode="External"/><Relationship Id="rId333" Type="http://schemas.openxmlformats.org/officeDocument/2006/relationships/hyperlink" Target="https://ec.europa.eu/eurostat/databrowser/view/DS-056120__custom_6262207/default/table" TargetMode="External"/><Relationship Id="rId72" Type="http://schemas.openxmlformats.org/officeDocument/2006/relationships/hyperlink" Target="https://ec.europa.eu/eurostat/databrowser/view/DS-056120__custom_6262207/default/table" TargetMode="External"/><Relationship Id="rId375" Type="http://schemas.openxmlformats.org/officeDocument/2006/relationships/hyperlink" Target="https://ec.europa.eu/eurostat/databrowser/view/DS-056120__custom_6262207/default/table" TargetMode="External"/><Relationship Id="rId3" Type="http://schemas.openxmlformats.org/officeDocument/2006/relationships/hyperlink" Target="https://ec.europa.eu/eurostat/databrowser/view/DS-056120__custom_6262207/default/table" TargetMode="External"/><Relationship Id="rId235" Type="http://schemas.openxmlformats.org/officeDocument/2006/relationships/hyperlink" Target="https://ec.europa.eu/eurostat/databrowser/view/DS-056120__custom_6262207/default/table" TargetMode="External"/><Relationship Id="rId277" Type="http://schemas.openxmlformats.org/officeDocument/2006/relationships/hyperlink" Target="https://ec.europa.eu/eurostat/databrowser/view/DS-056120__custom_6262207/default/table" TargetMode="External"/><Relationship Id="rId400" Type="http://schemas.openxmlformats.org/officeDocument/2006/relationships/hyperlink" Target="https://ec.europa.eu/eurostat/databrowser/view/DS-056120__custom_6262207/default/table" TargetMode="External"/><Relationship Id="rId442" Type="http://schemas.openxmlformats.org/officeDocument/2006/relationships/hyperlink" Target="https://ec.europa.eu/eurostat/databrowser/view/DS-056120__custom_6262207/default/table" TargetMode="External"/><Relationship Id="rId484" Type="http://schemas.openxmlformats.org/officeDocument/2006/relationships/hyperlink" Target="https://ec.europa.eu/eurostat/databrowser/view/DS-056120__custom_6262207/default/table" TargetMode="External"/><Relationship Id="rId137" Type="http://schemas.openxmlformats.org/officeDocument/2006/relationships/hyperlink" Target="https://ec.europa.eu/eurostat/databrowser/view/DS-056120__custom_6262207/default/table" TargetMode="External"/><Relationship Id="rId302" Type="http://schemas.openxmlformats.org/officeDocument/2006/relationships/hyperlink" Target="https://ec.europa.eu/eurostat/databrowser/view/DS-056120__custom_6262207/default/table" TargetMode="External"/><Relationship Id="rId344" Type="http://schemas.openxmlformats.org/officeDocument/2006/relationships/hyperlink" Target="https://ec.europa.eu/eurostat/databrowser/view/DS-056120__custom_6262207/default/table" TargetMode="External"/><Relationship Id="rId41" Type="http://schemas.openxmlformats.org/officeDocument/2006/relationships/hyperlink" Target="https://ec.europa.eu/eurostat/databrowser/view/DS-056120__custom_6262207/default/table" TargetMode="External"/><Relationship Id="rId83" Type="http://schemas.openxmlformats.org/officeDocument/2006/relationships/hyperlink" Target="https://ec.europa.eu/eurostat/databrowser/view/DS-056120__custom_6262207/default/table" TargetMode="External"/><Relationship Id="rId179" Type="http://schemas.openxmlformats.org/officeDocument/2006/relationships/hyperlink" Target="https://ec.europa.eu/eurostat/databrowser/view/DS-056120__custom_6262207/default/table" TargetMode="External"/><Relationship Id="rId386" Type="http://schemas.openxmlformats.org/officeDocument/2006/relationships/hyperlink" Target="https://ec.europa.eu/eurostat/databrowser/view/DS-056120__custom_6262207/default/table" TargetMode="External"/><Relationship Id="rId190" Type="http://schemas.openxmlformats.org/officeDocument/2006/relationships/hyperlink" Target="https://ec.europa.eu/eurostat/databrowser/view/DS-056120__custom_6262207/default/table" TargetMode="External"/><Relationship Id="rId204" Type="http://schemas.openxmlformats.org/officeDocument/2006/relationships/hyperlink" Target="https://ec.europa.eu/eurostat/databrowser/view/DS-056120__custom_6262207/default/table" TargetMode="External"/><Relationship Id="rId246" Type="http://schemas.openxmlformats.org/officeDocument/2006/relationships/hyperlink" Target="https://ec.europa.eu/eurostat/databrowser/view/DS-056120__custom_6262207/default/table" TargetMode="External"/><Relationship Id="rId288" Type="http://schemas.openxmlformats.org/officeDocument/2006/relationships/hyperlink" Target="https://ec.europa.eu/eurostat/databrowser/view/DS-056120__custom_6262207/default/table" TargetMode="External"/><Relationship Id="rId411" Type="http://schemas.openxmlformats.org/officeDocument/2006/relationships/hyperlink" Target="https://ec.europa.eu/eurostat/databrowser/view/DS-056120__custom_6262207/default/table" TargetMode="External"/><Relationship Id="rId453" Type="http://schemas.openxmlformats.org/officeDocument/2006/relationships/hyperlink" Target="https://ec.europa.eu/eurostat/databrowser/view/DS-056120__custom_6262207/default/table"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ec.europa.eu/eurostat/databrowser/view/DS-056120__custom_5851448/default/table" TargetMode="External"/><Relationship Id="rId3" Type="http://schemas.openxmlformats.org/officeDocument/2006/relationships/hyperlink" Target="https://doi.org/10.1016/j.resconrec.2023.107389" TargetMode="External"/><Relationship Id="rId7" Type="http://schemas.openxmlformats.org/officeDocument/2006/relationships/hyperlink" Target="https://ec.europa.eu/eurostat/databrowser/view/DS-056120__custom_6262207/default/table" TargetMode="External"/><Relationship Id="rId2" Type="http://schemas.openxmlformats.org/officeDocument/2006/relationships/hyperlink" Target="https://ec.europa.eu/eurostat/databrowser/view/DS-056120__custom_5851448/default/table" TargetMode="External"/><Relationship Id="rId1" Type="http://schemas.openxmlformats.org/officeDocument/2006/relationships/hyperlink" Target="https://ec.europa.eu/eurostat/databrowser/view/DS-056120__custom_6262207/default/table" TargetMode="External"/><Relationship Id="rId6" Type="http://schemas.openxmlformats.org/officeDocument/2006/relationships/hyperlink" Target="https://doi.org/10.1016/j.resconrec.2023.107389" TargetMode="External"/><Relationship Id="rId5" Type="http://schemas.openxmlformats.org/officeDocument/2006/relationships/hyperlink" Target="https://doi.org/10.1016/j.resconrec.2023.107389" TargetMode="External"/><Relationship Id="rId10" Type="http://schemas.microsoft.com/office/2019/04/relationships/namedSheetView" Target="../namedSheetViews/namedSheetView3.xml"/><Relationship Id="rId4" Type="http://schemas.openxmlformats.org/officeDocument/2006/relationships/hyperlink" Target="https://doi.org/10.1016/j.resconrec.2023.107389" TargetMode="External"/><Relationship Id="rId9"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17" Type="http://schemas.openxmlformats.org/officeDocument/2006/relationships/hyperlink" Target="https://ec.europa.eu/eurostat/databrowser/view/DS-056120__custom_6262207/default/table" TargetMode="External"/><Relationship Id="rId21" Type="http://schemas.openxmlformats.org/officeDocument/2006/relationships/hyperlink" Target="https://ec.europa.eu/eurostat/databrowser/view/DS-056120__custom_6262207/default/table" TargetMode="External"/><Relationship Id="rId42" Type="http://schemas.openxmlformats.org/officeDocument/2006/relationships/hyperlink" Target="https://ec.europa.eu/eurostat/databrowser/view/DS-056120__custom_6262207/default/table" TargetMode="External"/><Relationship Id="rId63" Type="http://schemas.openxmlformats.org/officeDocument/2006/relationships/hyperlink" Target="https://ec.europa.eu/eurostat/databrowser/view/DS-056120__custom_6262207/default/table" TargetMode="External"/><Relationship Id="rId84" Type="http://schemas.openxmlformats.org/officeDocument/2006/relationships/hyperlink" Target="https://ec.europa.eu/eurostat/databrowser/view/DS-056120__custom_6262207/default/table" TargetMode="External"/><Relationship Id="rId138" Type="http://schemas.openxmlformats.org/officeDocument/2006/relationships/hyperlink" Target="https://ec.europa.eu/eurostat/databrowser/view/DS-056120__custom_6262207/default/table" TargetMode="External"/><Relationship Id="rId159" Type="http://schemas.openxmlformats.org/officeDocument/2006/relationships/hyperlink" Target="https://ec.europa.eu/eurostat/databrowser/view/DS-056120__custom_6262207/default/table" TargetMode="External"/><Relationship Id="rId170" Type="http://schemas.openxmlformats.org/officeDocument/2006/relationships/hyperlink" Target="https://ec.europa.eu/eurostat/databrowser/view/DS-056120__custom_6262207/default/table" TargetMode="External"/><Relationship Id="rId191" Type="http://schemas.openxmlformats.org/officeDocument/2006/relationships/hyperlink" Target="https://ec.europa.eu/eurostat/databrowser/view/DS-056120__custom_6262207/default/table" TargetMode="External"/><Relationship Id="rId205" Type="http://schemas.openxmlformats.org/officeDocument/2006/relationships/hyperlink" Target="https://ec.europa.eu/eurostat/databrowser/view/DS-056120__custom_6262207/default/table" TargetMode="External"/><Relationship Id="rId226" Type="http://schemas.openxmlformats.org/officeDocument/2006/relationships/hyperlink" Target="https://ec.europa.eu/eurostat/databrowser/view/DS-056120__custom_6262207/default/table" TargetMode="External"/><Relationship Id="rId247" Type="http://schemas.openxmlformats.org/officeDocument/2006/relationships/hyperlink" Target="https://ec.europa.eu/eurostat/databrowser/view/DS-056120__custom_6262207/default/table" TargetMode="External"/><Relationship Id="rId107" Type="http://schemas.openxmlformats.org/officeDocument/2006/relationships/hyperlink" Target="https://ec.europa.eu/eurostat/databrowser/view/DS-056120__custom_6262207/default/table" TargetMode="External"/><Relationship Id="rId11" Type="http://schemas.openxmlformats.org/officeDocument/2006/relationships/hyperlink" Target="https://ec.europa.eu/eurostat/databrowser/view/DS-056120__custom_6262207/default/table" TargetMode="External"/><Relationship Id="rId32" Type="http://schemas.openxmlformats.org/officeDocument/2006/relationships/hyperlink" Target="https://ec.europa.eu/eurostat/databrowser/view/DS-056120__custom_6262207/default/table" TargetMode="External"/><Relationship Id="rId53" Type="http://schemas.openxmlformats.org/officeDocument/2006/relationships/hyperlink" Target="https://ec.europa.eu/eurostat/databrowser/view/DS-056120__custom_6262207/default/table" TargetMode="External"/><Relationship Id="rId74" Type="http://schemas.openxmlformats.org/officeDocument/2006/relationships/hyperlink" Target="https://ec.europa.eu/eurostat/databrowser/view/DS-056120__custom_6262207/default/table" TargetMode="External"/><Relationship Id="rId128" Type="http://schemas.openxmlformats.org/officeDocument/2006/relationships/hyperlink" Target="https://ec.europa.eu/eurostat/databrowser/view/DS-056120__custom_6262207/default/table" TargetMode="External"/><Relationship Id="rId149" Type="http://schemas.openxmlformats.org/officeDocument/2006/relationships/hyperlink" Target="https://ec.europa.eu/eurostat/databrowser/view/DS-056120__custom_6262207/default/table" TargetMode="External"/><Relationship Id="rId5" Type="http://schemas.openxmlformats.org/officeDocument/2006/relationships/hyperlink" Target="https://ec.europa.eu/eurostat/databrowser/view/DS-056120__custom_6262207/default/table" TargetMode="External"/><Relationship Id="rId95" Type="http://schemas.openxmlformats.org/officeDocument/2006/relationships/hyperlink" Target="https://ec.europa.eu/eurostat/databrowser/view/DS-056120__custom_6262207/default/table" TargetMode="External"/><Relationship Id="rId160" Type="http://schemas.openxmlformats.org/officeDocument/2006/relationships/hyperlink" Target="https://ec.europa.eu/eurostat/databrowser/view/DS-056120__custom_6262207/default/table" TargetMode="External"/><Relationship Id="rId181" Type="http://schemas.openxmlformats.org/officeDocument/2006/relationships/hyperlink" Target="https://ec.europa.eu/eurostat/databrowser/view/DS-056120__custom_6262207/default/table" TargetMode="External"/><Relationship Id="rId216" Type="http://schemas.openxmlformats.org/officeDocument/2006/relationships/hyperlink" Target="https://ec.europa.eu/eurostat/databrowser/view/DS-056120__custom_6262207/default/table" TargetMode="External"/><Relationship Id="rId237" Type="http://schemas.openxmlformats.org/officeDocument/2006/relationships/hyperlink" Target="https://ec.europa.eu/eurostat/databrowser/view/DS-056120__custom_6262207/default/table" TargetMode="External"/><Relationship Id="rId22" Type="http://schemas.openxmlformats.org/officeDocument/2006/relationships/hyperlink" Target="https://ec.europa.eu/eurostat/databrowser/view/DS-056120__custom_6262207/default/table" TargetMode="External"/><Relationship Id="rId43" Type="http://schemas.openxmlformats.org/officeDocument/2006/relationships/hyperlink" Target="https://ec.europa.eu/eurostat/databrowser/view/DS-056120__custom_6262207/default/table" TargetMode="External"/><Relationship Id="rId64" Type="http://schemas.openxmlformats.org/officeDocument/2006/relationships/hyperlink" Target="https://ec.europa.eu/eurostat/databrowser/view/DS-056120__custom_6262207/default/table" TargetMode="External"/><Relationship Id="rId118" Type="http://schemas.openxmlformats.org/officeDocument/2006/relationships/hyperlink" Target="https://ec.europa.eu/eurostat/databrowser/view/DS-056120__custom_6262207/default/table" TargetMode="External"/><Relationship Id="rId139" Type="http://schemas.openxmlformats.org/officeDocument/2006/relationships/hyperlink" Target="https://ec.europa.eu/eurostat/databrowser/view/DS-056120__custom_6262207/default/table" TargetMode="External"/><Relationship Id="rId85" Type="http://schemas.openxmlformats.org/officeDocument/2006/relationships/hyperlink" Target="https://ec.europa.eu/eurostat/databrowser/view/DS-056120__custom_6262207/default/table" TargetMode="External"/><Relationship Id="rId150" Type="http://schemas.openxmlformats.org/officeDocument/2006/relationships/hyperlink" Target="https://ec.europa.eu/eurostat/databrowser/view/DS-056120__custom_6262207/default/table" TargetMode="External"/><Relationship Id="rId171" Type="http://schemas.openxmlformats.org/officeDocument/2006/relationships/hyperlink" Target="https://ec.europa.eu/eurostat/databrowser/view/DS-056120__custom_6262207/default/table" TargetMode="External"/><Relationship Id="rId192" Type="http://schemas.openxmlformats.org/officeDocument/2006/relationships/hyperlink" Target="https://ec.europa.eu/eurostat/databrowser/view/DS-056120__custom_6262207/default/table" TargetMode="External"/><Relationship Id="rId206" Type="http://schemas.openxmlformats.org/officeDocument/2006/relationships/hyperlink" Target="https://ec.europa.eu/eurostat/databrowser/view/DS-056120__custom_6262207/default/table" TargetMode="External"/><Relationship Id="rId227" Type="http://schemas.openxmlformats.org/officeDocument/2006/relationships/hyperlink" Target="https://ec.europa.eu/eurostat/databrowser/view/DS-056120__custom_6262207/default/table" TargetMode="External"/><Relationship Id="rId248" Type="http://schemas.openxmlformats.org/officeDocument/2006/relationships/printerSettings" Target="../printerSettings/printerSettings7.bin"/><Relationship Id="rId12" Type="http://schemas.openxmlformats.org/officeDocument/2006/relationships/hyperlink" Target="https://ec.europa.eu/eurostat/databrowser/view/DS-056120__custom_6262207/default/table" TargetMode="External"/><Relationship Id="rId33" Type="http://schemas.openxmlformats.org/officeDocument/2006/relationships/hyperlink" Target="https://ec.europa.eu/eurostat/databrowser/view/DS-056120__custom_6262207/default/table" TargetMode="External"/><Relationship Id="rId108" Type="http://schemas.openxmlformats.org/officeDocument/2006/relationships/hyperlink" Target="https://ec.europa.eu/eurostat/databrowser/view/DS-056120__custom_6262207/default/table" TargetMode="External"/><Relationship Id="rId129" Type="http://schemas.openxmlformats.org/officeDocument/2006/relationships/hyperlink" Target="https://ec.europa.eu/eurostat/databrowser/view/DS-056120__custom_6262207/default/table" TargetMode="External"/><Relationship Id="rId54" Type="http://schemas.openxmlformats.org/officeDocument/2006/relationships/hyperlink" Target="https://ec.europa.eu/eurostat/databrowser/view/DS-056120__custom_6262207/default/table" TargetMode="External"/><Relationship Id="rId75" Type="http://schemas.openxmlformats.org/officeDocument/2006/relationships/hyperlink" Target="https://ec.europa.eu/eurostat/databrowser/view/DS-056120__custom_6262207/default/table" TargetMode="External"/><Relationship Id="rId96" Type="http://schemas.openxmlformats.org/officeDocument/2006/relationships/hyperlink" Target="https://ec.europa.eu/eurostat/databrowser/view/DS-056120__custom_6262207/default/table" TargetMode="External"/><Relationship Id="rId140" Type="http://schemas.openxmlformats.org/officeDocument/2006/relationships/hyperlink" Target="https://ec.europa.eu/eurostat/databrowser/view/DS-056120__custom_6262207/default/table" TargetMode="External"/><Relationship Id="rId161" Type="http://schemas.openxmlformats.org/officeDocument/2006/relationships/hyperlink" Target="https://ec.europa.eu/eurostat/databrowser/view/DS-056120__custom_6262207/default/table" TargetMode="External"/><Relationship Id="rId182" Type="http://schemas.openxmlformats.org/officeDocument/2006/relationships/hyperlink" Target="https://ec.europa.eu/eurostat/databrowser/view/DS-056120__custom_6262207/default/table" TargetMode="External"/><Relationship Id="rId217" Type="http://schemas.openxmlformats.org/officeDocument/2006/relationships/hyperlink" Target="https://ec.europa.eu/eurostat/databrowser/view/DS-056120__custom_6262207/default/table" TargetMode="External"/><Relationship Id="rId6" Type="http://schemas.openxmlformats.org/officeDocument/2006/relationships/hyperlink" Target="https://ec.europa.eu/eurostat/databrowser/view/DS-056120__custom_6262207/default/table" TargetMode="External"/><Relationship Id="rId238" Type="http://schemas.openxmlformats.org/officeDocument/2006/relationships/hyperlink" Target="https://ec.europa.eu/eurostat/databrowser/view/DS-056120__custom_6262207/default/table" TargetMode="External"/><Relationship Id="rId23" Type="http://schemas.openxmlformats.org/officeDocument/2006/relationships/hyperlink" Target="https://ec.europa.eu/eurostat/databrowser/view/DS-056120__custom_6262207/default/table" TargetMode="External"/><Relationship Id="rId119" Type="http://schemas.openxmlformats.org/officeDocument/2006/relationships/hyperlink" Target="https://ec.europa.eu/eurostat/databrowser/view/DS-056120__custom_6262207/default/table" TargetMode="External"/><Relationship Id="rId44" Type="http://schemas.openxmlformats.org/officeDocument/2006/relationships/hyperlink" Target="https://ec.europa.eu/eurostat/databrowser/view/DS-056120__custom_6262207/default/table" TargetMode="External"/><Relationship Id="rId65" Type="http://schemas.openxmlformats.org/officeDocument/2006/relationships/hyperlink" Target="https://ec.europa.eu/eurostat/databrowser/view/DS-056120__custom_6262207/default/table" TargetMode="External"/><Relationship Id="rId86" Type="http://schemas.openxmlformats.org/officeDocument/2006/relationships/hyperlink" Target="https://ec.europa.eu/eurostat/databrowser/view/DS-056120__custom_6262207/default/table" TargetMode="External"/><Relationship Id="rId130" Type="http://schemas.openxmlformats.org/officeDocument/2006/relationships/hyperlink" Target="https://ec.europa.eu/eurostat/databrowser/view/DS-056120__custom_6262207/default/table" TargetMode="External"/><Relationship Id="rId151" Type="http://schemas.openxmlformats.org/officeDocument/2006/relationships/hyperlink" Target="https://ec.europa.eu/eurostat/databrowser/view/DS-056120__custom_6262207/default/table" TargetMode="External"/><Relationship Id="rId172" Type="http://schemas.openxmlformats.org/officeDocument/2006/relationships/hyperlink" Target="https://ec.europa.eu/eurostat/databrowser/view/DS-056120__custom_6262207/default/table" TargetMode="External"/><Relationship Id="rId193" Type="http://schemas.openxmlformats.org/officeDocument/2006/relationships/hyperlink" Target="https://ec.europa.eu/eurostat/databrowser/view/DS-056120__custom_6262207/default/table" TargetMode="External"/><Relationship Id="rId207" Type="http://schemas.openxmlformats.org/officeDocument/2006/relationships/hyperlink" Target="https://ec.europa.eu/eurostat/databrowser/view/DS-056120__custom_6262207/default/table" TargetMode="External"/><Relationship Id="rId228" Type="http://schemas.openxmlformats.org/officeDocument/2006/relationships/hyperlink" Target="https://ec.europa.eu/eurostat/databrowser/view/DS-056120__custom_6262207/default/table" TargetMode="External"/><Relationship Id="rId13" Type="http://schemas.openxmlformats.org/officeDocument/2006/relationships/hyperlink" Target="https://ec.europa.eu/eurostat/databrowser/view/DS-056120__custom_6262207/default/table" TargetMode="External"/><Relationship Id="rId109" Type="http://schemas.openxmlformats.org/officeDocument/2006/relationships/hyperlink" Target="https://ec.europa.eu/eurostat/databrowser/view/DS-056120__custom_6262207/default/table" TargetMode="External"/><Relationship Id="rId34" Type="http://schemas.openxmlformats.org/officeDocument/2006/relationships/hyperlink" Target="https://ec.europa.eu/eurostat/databrowser/view/DS-056120__custom_6262207/default/table" TargetMode="External"/><Relationship Id="rId55" Type="http://schemas.openxmlformats.org/officeDocument/2006/relationships/hyperlink" Target="https://ec.europa.eu/eurostat/databrowser/view/DS-056120__custom_6262207/default/table" TargetMode="External"/><Relationship Id="rId76" Type="http://schemas.openxmlformats.org/officeDocument/2006/relationships/hyperlink" Target="https://ec.europa.eu/eurostat/databrowser/view/DS-056120__custom_6262207/default/table" TargetMode="External"/><Relationship Id="rId97" Type="http://schemas.openxmlformats.org/officeDocument/2006/relationships/hyperlink" Target="https://ec.europa.eu/eurostat/databrowser/view/DS-056120__custom_6262207/default/table" TargetMode="External"/><Relationship Id="rId120" Type="http://schemas.openxmlformats.org/officeDocument/2006/relationships/hyperlink" Target="https://ec.europa.eu/eurostat/databrowser/view/DS-056120__custom_6262207/default/table" TargetMode="External"/><Relationship Id="rId141" Type="http://schemas.openxmlformats.org/officeDocument/2006/relationships/hyperlink" Target="https://ec.europa.eu/eurostat/databrowser/view/DS-056120__custom_6262207/default/table" TargetMode="External"/><Relationship Id="rId7" Type="http://schemas.openxmlformats.org/officeDocument/2006/relationships/hyperlink" Target="https://ec.europa.eu/eurostat/databrowser/view/DS-056120__custom_6262207/default/table" TargetMode="External"/><Relationship Id="rId162" Type="http://schemas.openxmlformats.org/officeDocument/2006/relationships/hyperlink" Target="https://ec.europa.eu/eurostat/databrowser/view/DS-056120__custom_6262207/default/table" TargetMode="External"/><Relationship Id="rId183" Type="http://schemas.openxmlformats.org/officeDocument/2006/relationships/hyperlink" Target="https://ec.europa.eu/eurostat/databrowser/view/DS-056120__custom_6262207/default/table" TargetMode="External"/><Relationship Id="rId218" Type="http://schemas.openxmlformats.org/officeDocument/2006/relationships/hyperlink" Target="https://ec.europa.eu/eurostat/databrowser/view/DS-056120__custom_6262207/default/table" TargetMode="External"/><Relationship Id="rId239" Type="http://schemas.openxmlformats.org/officeDocument/2006/relationships/hyperlink" Target="https://ec.europa.eu/eurostat/databrowser/view/DS-056120__custom_6262207/default/table" TargetMode="External"/><Relationship Id="rId24" Type="http://schemas.openxmlformats.org/officeDocument/2006/relationships/hyperlink" Target="https://ec.europa.eu/eurostat/databrowser/view/DS-056120__custom_6262207/default/table" TargetMode="External"/><Relationship Id="rId45" Type="http://schemas.openxmlformats.org/officeDocument/2006/relationships/hyperlink" Target="https://ec.europa.eu/eurostat/databrowser/view/DS-056120__custom_6262207/default/table" TargetMode="External"/><Relationship Id="rId66" Type="http://schemas.openxmlformats.org/officeDocument/2006/relationships/hyperlink" Target="https://ec.europa.eu/eurostat/databrowser/view/DS-056120__custom_6262207/default/table" TargetMode="External"/><Relationship Id="rId87" Type="http://schemas.openxmlformats.org/officeDocument/2006/relationships/hyperlink" Target="https://ec.europa.eu/eurostat/databrowser/view/DS-056120__custom_6262207/default/table" TargetMode="External"/><Relationship Id="rId110" Type="http://schemas.openxmlformats.org/officeDocument/2006/relationships/hyperlink" Target="https://ec.europa.eu/eurostat/databrowser/view/DS-056120__custom_6262207/default/table" TargetMode="External"/><Relationship Id="rId131" Type="http://schemas.openxmlformats.org/officeDocument/2006/relationships/hyperlink" Target="https://ec.europa.eu/eurostat/databrowser/view/DS-056120__custom_6262207/default/table" TargetMode="External"/><Relationship Id="rId152" Type="http://schemas.openxmlformats.org/officeDocument/2006/relationships/hyperlink" Target="https://ec.europa.eu/eurostat/databrowser/view/DS-056120__custom_6262207/default/table" TargetMode="External"/><Relationship Id="rId173" Type="http://schemas.openxmlformats.org/officeDocument/2006/relationships/hyperlink" Target="https://ec.europa.eu/eurostat/databrowser/view/DS-056120__custom_6262207/default/table" TargetMode="External"/><Relationship Id="rId194" Type="http://schemas.openxmlformats.org/officeDocument/2006/relationships/hyperlink" Target="https://ec.europa.eu/eurostat/databrowser/view/DS-056120__custom_6262207/default/table" TargetMode="External"/><Relationship Id="rId208" Type="http://schemas.openxmlformats.org/officeDocument/2006/relationships/hyperlink" Target="https://ec.europa.eu/eurostat/databrowser/view/DS-056120__custom_6262207/default/table" TargetMode="External"/><Relationship Id="rId229" Type="http://schemas.openxmlformats.org/officeDocument/2006/relationships/hyperlink" Target="https://ec.europa.eu/eurostat/databrowser/view/DS-056120__custom_6262207/default/table" TargetMode="External"/><Relationship Id="rId240" Type="http://schemas.openxmlformats.org/officeDocument/2006/relationships/hyperlink" Target="https://ec.europa.eu/eurostat/databrowser/view/DS-056120__custom_6262207/default/table" TargetMode="External"/><Relationship Id="rId14" Type="http://schemas.openxmlformats.org/officeDocument/2006/relationships/hyperlink" Target="https://ec.europa.eu/eurostat/databrowser/view/DS-056120__custom_6262207/default/table" TargetMode="External"/><Relationship Id="rId35" Type="http://schemas.openxmlformats.org/officeDocument/2006/relationships/hyperlink" Target="https://ec.europa.eu/eurostat/databrowser/view/DS-056120__custom_6262207/default/table" TargetMode="External"/><Relationship Id="rId56" Type="http://schemas.openxmlformats.org/officeDocument/2006/relationships/hyperlink" Target="https://ec.europa.eu/eurostat/databrowser/view/DS-056120__custom_6262207/default/table" TargetMode="External"/><Relationship Id="rId77" Type="http://schemas.openxmlformats.org/officeDocument/2006/relationships/hyperlink" Target="https://ec.europa.eu/eurostat/databrowser/view/DS-056120__custom_6262207/default/table" TargetMode="External"/><Relationship Id="rId100" Type="http://schemas.openxmlformats.org/officeDocument/2006/relationships/hyperlink" Target="https://ec.europa.eu/eurostat/databrowser/view/DS-056120__custom_6262207/default/table" TargetMode="External"/><Relationship Id="rId8" Type="http://schemas.openxmlformats.org/officeDocument/2006/relationships/hyperlink" Target="https://ec.europa.eu/eurostat/databrowser/view/DS-056120__custom_6262207/default/table" TargetMode="External"/><Relationship Id="rId98" Type="http://schemas.openxmlformats.org/officeDocument/2006/relationships/hyperlink" Target="https://ec.europa.eu/eurostat/databrowser/view/DS-056120__custom_6262207/default/table" TargetMode="External"/><Relationship Id="rId121" Type="http://schemas.openxmlformats.org/officeDocument/2006/relationships/hyperlink" Target="https://ec.europa.eu/eurostat/databrowser/view/DS-056120__custom_6262207/default/table" TargetMode="External"/><Relationship Id="rId142" Type="http://schemas.openxmlformats.org/officeDocument/2006/relationships/hyperlink" Target="https://ec.europa.eu/eurostat/databrowser/view/DS-056120__custom_6262207/default/table" TargetMode="External"/><Relationship Id="rId163" Type="http://schemas.openxmlformats.org/officeDocument/2006/relationships/hyperlink" Target="https://ec.europa.eu/eurostat/databrowser/view/DS-056120__custom_6262207/default/table" TargetMode="External"/><Relationship Id="rId184" Type="http://schemas.openxmlformats.org/officeDocument/2006/relationships/hyperlink" Target="https://ec.europa.eu/eurostat/databrowser/view/DS-056120__custom_6262207/default/table" TargetMode="External"/><Relationship Id="rId219" Type="http://schemas.openxmlformats.org/officeDocument/2006/relationships/hyperlink" Target="https://ec.europa.eu/eurostat/databrowser/view/DS-056120__custom_6262207/default/table" TargetMode="External"/><Relationship Id="rId230" Type="http://schemas.openxmlformats.org/officeDocument/2006/relationships/hyperlink" Target="https://ec.europa.eu/eurostat/databrowser/view/DS-056120__custom_6262207/default/table" TargetMode="External"/><Relationship Id="rId25" Type="http://schemas.openxmlformats.org/officeDocument/2006/relationships/hyperlink" Target="https://ec.europa.eu/eurostat/databrowser/view/DS-056120__custom_6262207/default/table" TargetMode="External"/><Relationship Id="rId46" Type="http://schemas.openxmlformats.org/officeDocument/2006/relationships/hyperlink" Target="https://ec.europa.eu/eurostat/databrowser/view/DS-056120__custom_6262207/default/table" TargetMode="External"/><Relationship Id="rId67" Type="http://schemas.openxmlformats.org/officeDocument/2006/relationships/hyperlink" Target="https://ec.europa.eu/eurostat/databrowser/view/DS-056120__custom_6262207/default/table" TargetMode="External"/><Relationship Id="rId88" Type="http://schemas.openxmlformats.org/officeDocument/2006/relationships/hyperlink" Target="https://ec.europa.eu/eurostat/databrowser/view/DS-056120__custom_6262207/default/table" TargetMode="External"/><Relationship Id="rId111" Type="http://schemas.openxmlformats.org/officeDocument/2006/relationships/hyperlink" Target="https://ec.europa.eu/eurostat/databrowser/view/DS-056120__custom_6262207/default/table" TargetMode="External"/><Relationship Id="rId132" Type="http://schemas.openxmlformats.org/officeDocument/2006/relationships/hyperlink" Target="https://ec.europa.eu/eurostat/databrowser/view/DS-056120__custom_6262207/default/table" TargetMode="External"/><Relationship Id="rId153" Type="http://schemas.openxmlformats.org/officeDocument/2006/relationships/hyperlink" Target="https://ec.europa.eu/eurostat/databrowser/view/DS-056120__custom_6262207/default/table" TargetMode="External"/><Relationship Id="rId174" Type="http://schemas.openxmlformats.org/officeDocument/2006/relationships/hyperlink" Target="https://ec.europa.eu/eurostat/databrowser/view/DS-056120__custom_6262207/default/table" TargetMode="External"/><Relationship Id="rId195" Type="http://schemas.openxmlformats.org/officeDocument/2006/relationships/hyperlink" Target="https://ec.europa.eu/eurostat/databrowser/view/DS-056120__custom_6262207/default/table" TargetMode="External"/><Relationship Id="rId209" Type="http://schemas.openxmlformats.org/officeDocument/2006/relationships/hyperlink" Target="https://ec.europa.eu/eurostat/databrowser/view/DS-056120__custom_6262207/default/table" TargetMode="External"/><Relationship Id="rId220" Type="http://schemas.openxmlformats.org/officeDocument/2006/relationships/hyperlink" Target="https://ec.europa.eu/eurostat/databrowser/view/DS-056120__custom_6262207/default/table" TargetMode="External"/><Relationship Id="rId241" Type="http://schemas.openxmlformats.org/officeDocument/2006/relationships/hyperlink" Target="https://ec.europa.eu/eurostat/databrowser/view/DS-056120__custom_6262207/default/table" TargetMode="External"/><Relationship Id="rId15" Type="http://schemas.openxmlformats.org/officeDocument/2006/relationships/hyperlink" Target="https://ec.europa.eu/eurostat/databrowser/view/DS-056120__custom_6262207/default/table" TargetMode="External"/><Relationship Id="rId36" Type="http://schemas.openxmlformats.org/officeDocument/2006/relationships/hyperlink" Target="https://ec.europa.eu/eurostat/databrowser/view/DS-056120__custom_6262207/default/table" TargetMode="External"/><Relationship Id="rId57" Type="http://schemas.openxmlformats.org/officeDocument/2006/relationships/hyperlink" Target="https://ec.europa.eu/eurostat/databrowser/view/DS-056120__custom_6262207/default/table" TargetMode="External"/><Relationship Id="rId10" Type="http://schemas.openxmlformats.org/officeDocument/2006/relationships/hyperlink" Target="https://ec.europa.eu/eurostat/databrowser/view/DS-056120__custom_6262207/default/table" TargetMode="External"/><Relationship Id="rId31" Type="http://schemas.openxmlformats.org/officeDocument/2006/relationships/hyperlink" Target="https://ec.europa.eu/eurostat/databrowser/view/DS-056120__custom_6262207/default/table" TargetMode="External"/><Relationship Id="rId52" Type="http://schemas.openxmlformats.org/officeDocument/2006/relationships/hyperlink" Target="https://ec.europa.eu/eurostat/databrowser/view/DS-056120__custom_6262207/default/table" TargetMode="External"/><Relationship Id="rId73" Type="http://schemas.openxmlformats.org/officeDocument/2006/relationships/hyperlink" Target="https://ec.europa.eu/eurostat/databrowser/view/DS-056120__custom_6262207/default/table" TargetMode="External"/><Relationship Id="rId78" Type="http://schemas.openxmlformats.org/officeDocument/2006/relationships/hyperlink" Target="https://ec.europa.eu/eurostat/databrowser/view/DS-056120__custom_6262207/default/table" TargetMode="External"/><Relationship Id="rId94" Type="http://schemas.openxmlformats.org/officeDocument/2006/relationships/hyperlink" Target="https://ec.europa.eu/eurostat/databrowser/view/DS-056120__custom_6262207/default/table" TargetMode="External"/><Relationship Id="rId99" Type="http://schemas.openxmlformats.org/officeDocument/2006/relationships/hyperlink" Target="https://ec.europa.eu/eurostat/databrowser/view/DS-056120__custom_6262207/default/table" TargetMode="External"/><Relationship Id="rId101" Type="http://schemas.openxmlformats.org/officeDocument/2006/relationships/hyperlink" Target="https://ec.europa.eu/eurostat/databrowser/view/DS-056120__custom_6262207/default/table" TargetMode="External"/><Relationship Id="rId122" Type="http://schemas.openxmlformats.org/officeDocument/2006/relationships/hyperlink" Target="https://ec.europa.eu/eurostat/databrowser/view/DS-056120__custom_6262207/default/table" TargetMode="External"/><Relationship Id="rId143" Type="http://schemas.openxmlformats.org/officeDocument/2006/relationships/hyperlink" Target="https://ec.europa.eu/eurostat/databrowser/view/DS-056120__custom_6262207/default/table" TargetMode="External"/><Relationship Id="rId148" Type="http://schemas.openxmlformats.org/officeDocument/2006/relationships/hyperlink" Target="https://ec.europa.eu/eurostat/databrowser/view/DS-056120__custom_6262207/default/table" TargetMode="External"/><Relationship Id="rId164" Type="http://schemas.openxmlformats.org/officeDocument/2006/relationships/hyperlink" Target="https://ec.europa.eu/eurostat/databrowser/view/DS-056120__custom_6262207/default/table" TargetMode="External"/><Relationship Id="rId169" Type="http://schemas.openxmlformats.org/officeDocument/2006/relationships/hyperlink" Target="https://ec.europa.eu/eurostat/databrowser/view/DS-056120__custom_6262207/default/table" TargetMode="External"/><Relationship Id="rId185" Type="http://schemas.openxmlformats.org/officeDocument/2006/relationships/hyperlink" Target="https://ec.europa.eu/eurostat/databrowser/view/DS-056120__custom_6262207/default/table" TargetMode="External"/><Relationship Id="rId4" Type="http://schemas.openxmlformats.org/officeDocument/2006/relationships/hyperlink" Target="https://ec.europa.eu/eurostat/databrowser/view/DS-056120__custom_6262207/default/table" TargetMode="External"/><Relationship Id="rId9" Type="http://schemas.openxmlformats.org/officeDocument/2006/relationships/hyperlink" Target="https://ec.europa.eu/eurostat/databrowser/view/DS-056120__custom_6262207/default/table" TargetMode="External"/><Relationship Id="rId180" Type="http://schemas.openxmlformats.org/officeDocument/2006/relationships/hyperlink" Target="https://ec.europa.eu/eurostat/databrowser/view/DS-056120__custom_6262207/default/table" TargetMode="External"/><Relationship Id="rId210" Type="http://schemas.openxmlformats.org/officeDocument/2006/relationships/hyperlink" Target="https://ec.europa.eu/eurostat/databrowser/view/DS-056120__custom_6262207/default/table" TargetMode="External"/><Relationship Id="rId215" Type="http://schemas.openxmlformats.org/officeDocument/2006/relationships/hyperlink" Target="https://ec.europa.eu/eurostat/databrowser/view/DS-056120__custom_6262207/default/table" TargetMode="External"/><Relationship Id="rId236" Type="http://schemas.openxmlformats.org/officeDocument/2006/relationships/hyperlink" Target="https://ec.europa.eu/eurostat/databrowser/view/DS-056120__custom_6262207/default/table" TargetMode="External"/><Relationship Id="rId26" Type="http://schemas.openxmlformats.org/officeDocument/2006/relationships/hyperlink" Target="https://ec.europa.eu/eurostat/databrowser/view/DS-056120__custom_6262207/default/table" TargetMode="External"/><Relationship Id="rId231" Type="http://schemas.openxmlformats.org/officeDocument/2006/relationships/hyperlink" Target="https://ec.europa.eu/eurostat/databrowser/view/DS-056120__custom_6262207/default/table" TargetMode="External"/><Relationship Id="rId47" Type="http://schemas.openxmlformats.org/officeDocument/2006/relationships/hyperlink" Target="https://ec.europa.eu/eurostat/databrowser/view/DS-056120__custom_6262207/default/table" TargetMode="External"/><Relationship Id="rId68" Type="http://schemas.openxmlformats.org/officeDocument/2006/relationships/hyperlink" Target="https://ec.europa.eu/eurostat/databrowser/view/DS-056120__custom_6262207/default/table" TargetMode="External"/><Relationship Id="rId89" Type="http://schemas.openxmlformats.org/officeDocument/2006/relationships/hyperlink" Target="https://ec.europa.eu/eurostat/databrowser/view/DS-056120__custom_6262207/default/table" TargetMode="External"/><Relationship Id="rId112" Type="http://schemas.openxmlformats.org/officeDocument/2006/relationships/hyperlink" Target="https://ec.europa.eu/eurostat/databrowser/view/DS-056120__custom_6262207/default/table" TargetMode="External"/><Relationship Id="rId133" Type="http://schemas.openxmlformats.org/officeDocument/2006/relationships/hyperlink" Target="https://ec.europa.eu/eurostat/databrowser/view/DS-056120__custom_6262207/default/table" TargetMode="External"/><Relationship Id="rId154" Type="http://schemas.openxmlformats.org/officeDocument/2006/relationships/hyperlink" Target="https://ec.europa.eu/eurostat/databrowser/view/DS-056120__custom_6262207/default/table" TargetMode="External"/><Relationship Id="rId175" Type="http://schemas.openxmlformats.org/officeDocument/2006/relationships/hyperlink" Target="https://ec.europa.eu/eurostat/databrowser/view/DS-056120__custom_6262207/default/table" TargetMode="External"/><Relationship Id="rId196" Type="http://schemas.openxmlformats.org/officeDocument/2006/relationships/hyperlink" Target="https://ec.europa.eu/eurostat/databrowser/view/DS-056120__custom_6262207/default/table" TargetMode="External"/><Relationship Id="rId200" Type="http://schemas.openxmlformats.org/officeDocument/2006/relationships/hyperlink" Target="https://ec.europa.eu/eurostat/databrowser/view/DS-056120__custom_6262207/default/table" TargetMode="External"/><Relationship Id="rId16" Type="http://schemas.openxmlformats.org/officeDocument/2006/relationships/hyperlink" Target="https://ec.europa.eu/eurostat/databrowser/view/DS-056120__custom_6262207/default/table" TargetMode="External"/><Relationship Id="rId221" Type="http://schemas.openxmlformats.org/officeDocument/2006/relationships/hyperlink" Target="https://ec.europa.eu/eurostat/databrowser/view/DS-056120__custom_6262207/default/table" TargetMode="External"/><Relationship Id="rId242" Type="http://schemas.openxmlformats.org/officeDocument/2006/relationships/hyperlink" Target="https://ec.europa.eu/eurostat/databrowser/view/DS-056120__custom_6262207/default/table" TargetMode="External"/><Relationship Id="rId37" Type="http://schemas.openxmlformats.org/officeDocument/2006/relationships/hyperlink" Target="https://ec.europa.eu/eurostat/databrowser/view/DS-056120__custom_6262207/default/table" TargetMode="External"/><Relationship Id="rId58" Type="http://schemas.openxmlformats.org/officeDocument/2006/relationships/hyperlink" Target="https://ec.europa.eu/eurostat/databrowser/view/DS-056120__custom_6262207/default/table" TargetMode="External"/><Relationship Id="rId79" Type="http://schemas.openxmlformats.org/officeDocument/2006/relationships/hyperlink" Target="https://ec.europa.eu/eurostat/databrowser/view/DS-056120__custom_6262207/default/table" TargetMode="External"/><Relationship Id="rId102" Type="http://schemas.openxmlformats.org/officeDocument/2006/relationships/hyperlink" Target="https://ec.europa.eu/eurostat/databrowser/view/DS-056120__custom_6262207/default/table" TargetMode="External"/><Relationship Id="rId123" Type="http://schemas.openxmlformats.org/officeDocument/2006/relationships/hyperlink" Target="https://ec.europa.eu/eurostat/databrowser/view/DS-056120__custom_6262207/default/table" TargetMode="External"/><Relationship Id="rId144" Type="http://schemas.openxmlformats.org/officeDocument/2006/relationships/hyperlink" Target="https://ec.europa.eu/eurostat/databrowser/view/DS-056120__custom_6262207/default/table" TargetMode="External"/><Relationship Id="rId90" Type="http://schemas.openxmlformats.org/officeDocument/2006/relationships/hyperlink" Target="https://ec.europa.eu/eurostat/databrowser/view/DS-056120__custom_6262207/default/table" TargetMode="External"/><Relationship Id="rId165" Type="http://schemas.openxmlformats.org/officeDocument/2006/relationships/hyperlink" Target="https://ec.europa.eu/eurostat/databrowser/view/DS-056120__custom_6262207/default/table" TargetMode="External"/><Relationship Id="rId186" Type="http://schemas.openxmlformats.org/officeDocument/2006/relationships/hyperlink" Target="https://ec.europa.eu/eurostat/databrowser/view/DS-056120__custom_6262207/default/table" TargetMode="External"/><Relationship Id="rId211" Type="http://schemas.openxmlformats.org/officeDocument/2006/relationships/hyperlink" Target="https://ec.europa.eu/eurostat/databrowser/view/DS-056120__custom_6262207/default/table" TargetMode="External"/><Relationship Id="rId232" Type="http://schemas.openxmlformats.org/officeDocument/2006/relationships/hyperlink" Target="https://ec.europa.eu/eurostat/databrowser/view/DS-056120__custom_6262207/default/table" TargetMode="External"/><Relationship Id="rId27" Type="http://schemas.openxmlformats.org/officeDocument/2006/relationships/hyperlink" Target="https://ec.europa.eu/eurostat/databrowser/view/DS-056120__custom_6262207/default/table" TargetMode="External"/><Relationship Id="rId48" Type="http://schemas.openxmlformats.org/officeDocument/2006/relationships/hyperlink" Target="https://ec.europa.eu/eurostat/databrowser/view/DS-056120__custom_6262207/default/table" TargetMode="External"/><Relationship Id="rId69" Type="http://schemas.openxmlformats.org/officeDocument/2006/relationships/hyperlink" Target="https://ec.europa.eu/eurostat/databrowser/view/DS-056120__custom_6262207/default/table" TargetMode="External"/><Relationship Id="rId113" Type="http://schemas.openxmlformats.org/officeDocument/2006/relationships/hyperlink" Target="https://ec.europa.eu/eurostat/databrowser/view/DS-056120__custom_6262207/default/table" TargetMode="External"/><Relationship Id="rId134" Type="http://schemas.openxmlformats.org/officeDocument/2006/relationships/hyperlink" Target="https://ec.europa.eu/eurostat/databrowser/view/DS-056120__custom_6262207/default/table" TargetMode="External"/><Relationship Id="rId80" Type="http://schemas.openxmlformats.org/officeDocument/2006/relationships/hyperlink" Target="https://ec.europa.eu/eurostat/databrowser/view/DS-056120__custom_6262207/default/table" TargetMode="External"/><Relationship Id="rId155" Type="http://schemas.openxmlformats.org/officeDocument/2006/relationships/hyperlink" Target="https://ec.europa.eu/eurostat/databrowser/view/DS-056120__custom_6262207/default/table" TargetMode="External"/><Relationship Id="rId176" Type="http://schemas.openxmlformats.org/officeDocument/2006/relationships/hyperlink" Target="https://ec.europa.eu/eurostat/databrowser/view/DS-056120__custom_6262207/default/table" TargetMode="External"/><Relationship Id="rId197" Type="http://schemas.openxmlformats.org/officeDocument/2006/relationships/hyperlink" Target="https://ec.europa.eu/eurostat/databrowser/view/DS-056120__custom_6262207/default/table" TargetMode="External"/><Relationship Id="rId201" Type="http://schemas.openxmlformats.org/officeDocument/2006/relationships/hyperlink" Target="https://ec.europa.eu/eurostat/databrowser/view/DS-056120__custom_6262207/default/table" TargetMode="External"/><Relationship Id="rId222" Type="http://schemas.openxmlformats.org/officeDocument/2006/relationships/hyperlink" Target="https://ec.europa.eu/eurostat/databrowser/view/DS-056120__custom_6262207/default/table" TargetMode="External"/><Relationship Id="rId243" Type="http://schemas.openxmlformats.org/officeDocument/2006/relationships/hyperlink" Target="https://ec.europa.eu/eurostat/databrowser/view/DS-056120__custom_6262207/default/table" TargetMode="External"/><Relationship Id="rId17" Type="http://schemas.openxmlformats.org/officeDocument/2006/relationships/hyperlink" Target="https://ec.europa.eu/eurostat/databrowser/view/DS-056120__custom_6262207/default/table" TargetMode="External"/><Relationship Id="rId38" Type="http://schemas.openxmlformats.org/officeDocument/2006/relationships/hyperlink" Target="https://ec.europa.eu/eurostat/databrowser/view/DS-056120__custom_6262207/default/table" TargetMode="External"/><Relationship Id="rId59" Type="http://schemas.openxmlformats.org/officeDocument/2006/relationships/hyperlink" Target="https://ec.europa.eu/eurostat/databrowser/view/DS-056120__custom_6262207/default/table" TargetMode="External"/><Relationship Id="rId103" Type="http://schemas.openxmlformats.org/officeDocument/2006/relationships/hyperlink" Target="https://ec.europa.eu/eurostat/databrowser/view/DS-056120__custom_6262207/default/table" TargetMode="External"/><Relationship Id="rId124" Type="http://schemas.openxmlformats.org/officeDocument/2006/relationships/hyperlink" Target="https://ec.europa.eu/eurostat/databrowser/view/DS-056120__custom_6262207/default/table" TargetMode="External"/><Relationship Id="rId70" Type="http://schemas.openxmlformats.org/officeDocument/2006/relationships/hyperlink" Target="https://ec.europa.eu/eurostat/databrowser/view/DS-056120__custom_6262207/default/table" TargetMode="External"/><Relationship Id="rId91" Type="http://schemas.openxmlformats.org/officeDocument/2006/relationships/hyperlink" Target="https://ec.europa.eu/eurostat/databrowser/view/DS-056120__custom_6262207/default/table" TargetMode="External"/><Relationship Id="rId145" Type="http://schemas.openxmlformats.org/officeDocument/2006/relationships/hyperlink" Target="https://ec.europa.eu/eurostat/databrowser/view/DS-056120__custom_6262207/default/table" TargetMode="External"/><Relationship Id="rId166" Type="http://schemas.openxmlformats.org/officeDocument/2006/relationships/hyperlink" Target="https://ec.europa.eu/eurostat/databrowser/view/DS-056120__custom_6262207/default/table" TargetMode="External"/><Relationship Id="rId187" Type="http://schemas.openxmlformats.org/officeDocument/2006/relationships/hyperlink" Target="https://ec.europa.eu/eurostat/databrowser/view/DS-056120__custom_6262207/default/table" TargetMode="External"/><Relationship Id="rId1" Type="http://schemas.openxmlformats.org/officeDocument/2006/relationships/hyperlink" Target="https://ec.europa.eu/eurostat/databrowser/view/DS-056120__custom_6262207/default/table" TargetMode="External"/><Relationship Id="rId212" Type="http://schemas.openxmlformats.org/officeDocument/2006/relationships/hyperlink" Target="https://ec.europa.eu/eurostat/databrowser/view/DS-056120__custom_6262207/default/table" TargetMode="External"/><Relationship Id="rId233" Type="http://schemas.openxmlformats.org/officeDocument/2006/relationships/hyperlink" Target="https://ec.europa.eu/eurostat/databrowser/view/DS-056120__custom_6262207/default/table" TargetMode="External"/><Relationship Id="rId28" Type="http://schemas.openxmlformats.org/officeDocument/2006/relationships/hyperlink" Target="https://ec.europa.eu/eurostat/databrowser/view/DS-056120__custom_6262207/default/table" TargetMode="External"/><Relationship Id="rId49" Type="http://schemas.openxmlformats.org/officeDocument/2006/relationships/hyperlink" Target="https://ec.europa.eu/eurostat/databrowser/view/DS-056120__custom_6262207/default/table" TargetMode="External"/><Relationship Id="rId114" Type="http://schemas.openxmlformats.org/officeDocument/2006/relationships/hyperlink" Target="https://ec.europa.eu/eurostat/databrowser/view/DS-056120__custom_6262207/default/table" TargetMode="External"/><Relationship Id="rId60" Type="http://schemas.openxmlformats.org/officeDocument/2006/relationships/hyperlink" Target="https://ec.europa.eu/eurostat/databrowser/view/DS-056120__custom_6262207/default/table" TargetMode="External"/><Relationship Id="rId81" Type="http://schemas.openxmlformats.org/officeDocument/2006/relationships/hyperlink" Target="https://ec.europa.eu/eurostat/databrowser/view/DS-056120__custom_6262207/default/table" TargetMode="External"/><Relationship Id="rId135" Type="http://schemas.openxmlformats.org/officeDocument/2006/relationships/hyperlink" Target="https://ec.europa.eu/eurostat/databrowser/view/DS-056120__custom_6262207/default/table" TargetMode="External"/><Relationship Id="rId156" Type="http://schemas.openxmlformats.org/officeDocument/2006/relationships/hyperlink" Target="https://ec.europa.eu/eurostat/databrowser/view/DS-056120__custom_6262207/default/table" TargetMode="External"/><Relationship Id="rId177" Type="http://schemas.openxmlformats.org/officeDocument/2006/relationships/hyperlink" Target="https://ec.europa.eu/eurostat/databrowser/view/DS-056120__custom_6262207/default/table" TargetMode="External"/><Relationship Id="rId198" Type="http://schemas.openxmlformats.org/officeDocument/2006/relationships/hyperlink" Target="https://ec.europa.eu/eurostat/databrowser/view/DS-056120__custom_6262207/default/table" TargetMode="External"/><Relationship Id="rId202" Type="http://schemas.openxmlformats.org/officeDocument/2006/relationships/hyperlink" Target="https://ec.europa.eu/eurostat/databrowser/view/DS-056120__custom_6262207/default/table" TargetMode="External"/><Relationship Id="rId223" Type="http://schemas.openxmlformats.org/officeDocument/2006/relationships/hyperlink" Target="https://ec.europa.eu/eurostat/databrowser/view/DS-056120__custom_6262207/default/table" TargetMode="External"/><Relationship Id="rId244" Type="http://schemas.openxmlformats.org/officeDocument/2006/relationships/hyperlink" Target="https://ec.europa.eu/eurostat/databrowser/view/DS-056120__custom_6262207/default/table" TargetMode="External"/><Relationship Id="rId18" Type="http://schemas.openxmlformats.org/officeDocument/2006/relationships/hyperlink" Target="https://ec.europa.eu/eurostat/databrowser/view/DS-056120__custom_6262207/default/table" TargetMode="External"/><Relationship Id="rId39" Type="http://schemas.openxmlformats.org/officeDocument/2006/relationships/hyperlink" Target="https://ec.europa.eu/eurostat/databrowser/view/DS-056120__custom_6262207/default/table" TargetMode="External"/><Relationship Id="rId50" Type="http://schemas.openxmlformats.org/officeDocument/2006/relationships/hyperlink" Target="https://ec.europa.eu/eurostat/databrowser/view/DS-056120__custom_6262207/default/table" TargetMode="External"/><Relationship Id="rId104" Type="http://schemas.openxmlformats.org/officeDocument/2006/relationships/hyperlink" Target="https://ec.europa.eu/eurostat/databrowser/view/DS-056120__custom_6262207/default/table" TargetMode="External"/><Relationship Id="rId125" Type="http://schemas.openxmlformats.org/officeDocument/2006/relationships/hyperlink" Target="https://ec.europa.eu/eurostat/databrowser/view/DS-056120__custom_6262207/default/table" TargetMode="External"/><Relationship Id="rId146" Type="http://schemas.openxmlformats.org/officeDocument/2006/relationships/hyperlink" Target="https://ec.europa.eu/eurostat/databrowser/view/DS-056120__custom_6262207/default/table" TargetMode="External"/><Relationship Id="rId167" Type="http://schemas.openxmlformats.org/officeDocument/2006/relationships/hyperlink" Target="https://ec.europa.eu/eurostat/databrowser/view/DS-056120__custom_6262207/default/table" TargetMode="External"/><Relationship Id="rId188" Type="http://schemas.openxmlformats.org/officeDocument/2006/relationships/hyperlink" Target="https://ec.europa.eu/eurostat/databrowser/view/DS-056120__custom_6262207/default/table" TargetMode="External"/><Relationship Id="rId71" Type="http://schemas.openxmlformats.org/officeDocument/2006/relationships/hyperlink" Target="https://ec.europa.eu/eurostat/databrowser/view/DS-056120__custom_6262207/default/table" TargetMode="External"/><Relationship Id="rId92" Type="http://schemas.openxmlformats.org/officeDocument/2006/relationships/hyperlink" Target="https://ec.europa.eu/eurostat/databrowser/view/DS-056120__custom_6262207/default/table" TargetMode="External"/><Relationship Id="rId213" Type="http://schemas.openxmlformats.org/officeDocument/2006/relationships/hyperlink" Target="https://ec.europa.eu/eurostat/databrowser/view/DS-056120__custom_6262207/default/table" TargetMode="External"/><Relationship Id="rId234" Type="http://schemas.openxmlformats.org/officeDocument/2006/relationships/hyperlink" Target="https://ec.europa.eu/eurostat/databrowser/view/DS-056120__custom_6262207/default/table" TargetMode="External"/><Relationship Id="rId2" Type="http://schemas.openxmlformats.org/officeDocument/2006/relationships/hyperlink" Target="https://ec.europa.eu/eurostat/databrowser/view/DS-056120__custom_6262207/default/table" TargetMode="External"/><Relationship Id="rId29" Type="http://schemas.openxmlformats.org/officeDocument/2006/relationships/hyperlink" Target="https://ec.europa.eu/eurostat/databrowser/view/DS-056120__custom_6262207/default/table" TargetMode="External"/><Relationship Id="rId40" Type="http://schemas.openxmlformats.org/officeDocument/2006/relationships/hyperlink" Target="https://ec.europa.eu/eurostat/databrowser/view/DS-056120__custom_6262207/default/table" TargetMode="External"/><Relationship Id="rId115" Type="http://schemas.openxmlformats.org/officeDocument/2006/relationships/hyperlink" Target="https://ec.europa.eu/eurostat/databrowser/view/DS-056120__custom_6262207/default/table" TargetMode="External"/><Relationship Id="rId136" Type="http://schemas.openxmlformats.org/officeDocument/2006/relationships/hyperlink" Target="https://ec.europa.eu/eurostat/databrowser/view/DS-056120__custom_6262207/default/table" TargetMode="External"/><Relationship Id="rId157" Type="http://schemas.openxmlformats.org/officeDocument/2006/relationships/hyperlink" Target="https://ec.europa.eu/eurostat/databrowser/view/DS-056120__custom_6262207/default/table" TargetMode="External"/><Relationship Id="rId178" Type="http://schemas.openxmlformats.org/officeDocument/2006/relationships/hyperlink" Target="https://ec.europa.eu/eurostat/databrowser/view/DS-056120__custom_6262207/default/table" TargetMode="External"/><Relationship Id="rId61" Type="http://schemas.openxmlformats.org/officeDocument/2006/relationships/hyperlink" Target="https://ec.europa.eu/eurostat/databrowser/view/DS-056120__custom_6262207/default/table" TargetMode="External"/><Relationship Id="rId82" Type="http://schemas.openxmlformats.org/officeDocument/2006/relationships/hyperlink" Target="https://ec.europa.eu/eurostat/databrowser/view/DS-056120__custom_6262207/default/table" TargetMode="External"/><Relationship Id="rId199" Type="http://schemas.openxmlformats.org/officeDocument/2006/relationships/hyperlink" Target="https://ec.europa.eu/eurostat/databrowser/view/DS-056120__custom_6262207/default/table" TargetMode="External"/><Relationship Id="rId203" Type="http://schemas.openxmlformats.org/officeDocument/2006/relationships/hyperlink" Target="https://ec.europa.eu/eurostat/databrowser/view/DS-056120__custom_6262207/default/table" TargetMode="External"/><Relationship Id="rId19" Type="http://schemas.openxmlformats.org/officeDocument/2006/relationships/hyperlink" Target="https://ec.europa.eu/eurostat/databrowser/view/DS-056120__custom_6262207/default/table" TargetMode="External"/><Relationship Id="rId224" Type="http://schemas.openxmlformats.org/officeDocument/2006/relationships/hyperlink" Target="https://ec.europa.eu/eurostat/databrowser/view/DS-056120__custom_6262207/default/table" TargetMode="External"/><Relationship Id="rId245" Type="http://schemas.openxmlformats.org/officeDocument/2006/relationships/hyperlink" Target="https://ec.europa.eu/eurostat/databrowser/view/DS-056120__custom_6262207/default/table" TargetMode="External"/><Relationship Id="rId30" Type="http://schemas.openxmlformats.org/officeDocument/2006/relationships/hyperlink" Target="https://ec.europa.eu/eurostat/databrowser/view/DS-056120__custom_6262207/default/table" TargetMode="External"/><Relationship Id="rId105" Type="http://schemas.openxmlformats.org/officeDocument/2006/relationships/hyperlink" Target="https://ec.europa.eu/eurostat/databrowser/view/DS-056120__custom_6262207/default/table" TargetMode="External"/><Relationship Id="rId126" Type="http://schemas.openxmlformats.org/officeDocument/2006/relationships/hyperlink" Target="https://ec.europa.eu/eurostat/databrowser/view/DS-056120__custom_6262207/default/table" TargetMode="External"/><Relationship Id="rId147" Type="http://schemas.openxmlformats.org/officeDocument/2006/relationships/hyperlink" Target="https://ec.europa.eu/eurostat/databrowser/view/DS-056120__custom_6262207/default/table" TargetMode="External"/><Relationship Id="rId168" Type="http://schemas.openxmlformats.org/officeDocument/2006/relationships/hyperlink" Target="https://ec.europa.eu/eurostat/databrowser/view/DS-056120__custom_6262207/default/table" TargetMode="External"/><Relationship Id="rId51" Type="http://schemas.openxmlformats.org/officeDocument/2006/relationships/hyperlink" Target="https://ec.europa.eu/eurostat/databrowser/view/DS-056120__custom_6262207/default/table" TargetMode="External"/><Relationship Id="rId72" Type="http://schemas.openxmlformats.org/officeDocument/2006/relationships/hyperlink" Target="https://ec.europa.eu/eurostat/databrowser/view/DS-056120__custom_6262207/default/table" TargetMode="External"/><Relationship Id="rId93" Type="http://schemas.openxmlformats.org/officeDocument/2006/relationships/hyperlink" Target="https://ec.europa.eu/eurostat/databrowser/view/DS-056120__custom_6262207/default/table" TargetMode="External"/><Relationship Id="rId189" Type="http://schemas.openxmlformats.org/officeDocument/2006/relationships/hyperlink" Target="https://ec.europa.eu/eurostat/databrowser/view/DS-056120__custom_6262207/default/table" TargetMode="External"/><Relationship Id="rId3" Type="http://schemas.openxmlformats.org/officeDocument/2006/relationships/hyperlink" Target="https://ec.europa.eu/eurostat/databrowser/view/DS-056120__custom_6262207/default/table" TargetMode="External"/><Relationship Id="rId214" Type="http://schemas.openxmlformats.org/officeDocument/2006/relationships/hyperlink" Target="https://ec.europa.eu/eurostat/databrowser/view/DS-056120__custom_6262207/default/table" TargetMode="External"/><Relationship Id="rId235" Type="http://schemas.openxmlformats.org/officeDocument/2006/relationships/hyperlink" Target="https://ec.europa.eu/eurostat/databrowser/view/DS-056120__custom_6262207/default/table" TargetMode="External"/><Relationship Id="rId116" Type="http://schemas.openxmlformats.org/officeDocument/2006/relationships/hyperlink" Target="https://ec.europa.eu/eurostat/databrowser/view/DS-056120__custom_6262207/default/table" TargetMode="External"/><Relationship Id="rId137" Type="http://schemas.openxmlformats.org/officeDocument/2006/relationships/hyperlink" Target="https://ec.europa.eu/eurostat/databrowser/view/DS-056120__custom_6262207/default/table" TargetMode="External"/><Relationship Id="rId158" Type="http://schemas.openxmlformats.org/officeDocument/2006/relationships/hyperlink" Target="https://ec.europa.eu/eurostat/databrowser/view/DS-056120__custom_6262207/default/table" TargetMode="External"/><Relationship Id="rId20" Type="http://schemas.openxmlformats.org/officeDocument/2006/relationships/hyperlink" Target="https://ec.europa.eu/eurostat/databrowser/view/DS-056120__custom_6262207/default/table" TargetMode="External"/><Relationship Id="rId41" Type="http://schemas.openxmlformats.org/officeDocument/2006/relationships/hyperlink" Target="https://ec.europa.eu/eurostat/databrowser/view/DS-056120__custom_6262207/default/table" TargetMode="External"/><Relationship Id="rId62" Type="http://schemas.openxmlformats.org/officeDocument/2006/relationships/hyperlink" Target="https://ec.europa.eu/eurostat/databrowser/view/DS-056120__custom_6262207/default/table" TargetMode="External"/><Relationship Id="rId83" Type="http://schemas.openxmlformats.org/officeDocument/2006/relationships/hyperlink" Target="https://ec.europa.eu/eurostat/databrowser/view/DS-056120__custom_6262207/default/table" TargetMode="External"/><Relationship Id="rId179" Type="http://schemas.openxmlformats.org/officeDocument/2006/relationships/hyperlink" Target="https://ec.europa.eu/eurostat/databrowser/view/DS-056120__custom_6262207/default/table" TargetMode="External"/><Relationship Id="rId190" Type="http://schemas.openxmlformats.org/officeDocument/2006/relationships/hyperlink" Target="https://ec.europa.eu/eurostat/databrowser/view/DS-056120__custom_6262207/default/table" TargetMode="External"/><Relationship Id="rId204" Type="http://schemas.openxmlformats.org/officeDocument/2006/relationships/hyperlink" Target="https://ec.europa.eu/eurostat/databrowser/view/DS-056120__custom_6262207/default/table" TargetMode="External"/><Relationship Id="rId225" Type="http://schemas.openxmlformats.org/officeDocument/2006/relationships/hyperlink" Target="https://ec.europa.eu/eurostat/databrowser/view/DS-056120__custom_6262207/default/table" TargetMode="External"/><Relationship Id="rId246" Type="http://schemas.openxmlformats.org/officeDocument/2006/relationships/hyperlink" Target="https://ec.europa.eu/eurostat/databrowser/view/DS-056120__custom_6262207/default/table" TargetMode="External"/><Relationship Id="rId106" Type="http://schemas.openxmlformats.org/officeDocument/2006/relationships/hyperlink" Target="https://ec.europa.eu/eurostat/databrowser/view/DS-056120__custom_6262207/default/table" TargetMode="External"/><Relationship Id="rId127" Type="http://schemas.openxmlformats.org/officeDocument/2006/relationships/hyperlink" Target="https://ec.europa.eu/eurostat/databrowser/view/DS-056120__custom_6262207/default/table"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doi.org/10.1016/j.resconrec.2023.107389" TargetMode="External"/><Relationship Id="rId2" Type="http://schemas.openxmlformats.org/officeDocument/2006/relationships/hyperlink" Target="https://doi.org/10.1016/j.resconrec.2023.107389" TargetMode="External"/><Relationship Id="rId1" Type="http://schemas.openxmlformats.org/officeDocument/2006/relationships/hyperlink" Target="https://doi.org/10.1016/j.resconrec.2023.107389" TargetMode="External"/><Relationship Id="rId5" Type="http://schemas.openxmlformats.org/officeDocument/2006/relationships/printerSettings" Target="../printerSettings/printerSettings8.bin"/><Relationship Id="rId4" Type="http://schemas.openxmlformats.org/officeDocument/2006/relationships/hyperlink" Target="https://doi.org/10.1016/j.resconrec.2023.107389"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www.vvvf.nl/stream/jaaroverzicht-vvvf-in-2022" TargetMode="External"/><Relationship Id="rId3" Type="http://schemas.openxmlformats.org/officeDocument/2006/relationships/hyperlink" Target="https://docplayer.nl/138278287-Vvvf-jaaroverzicht-2018.html" TargetMode="External"/><Relationship Id="rId7" Type="http://schemas.openxmlformats.org/officeDocument/2006/relationships/hyperlink" Target="https://www.vvvf.nl/stream/jaaroverzicht-vvvf-in-2022" TargetMode="External"/><Relationship Id="rId2" Type="http://schemas.openxmlformats.org/officeDocument/2006/relationships/hyperlink" Target="https://issuu.com/vvvf/docs/vvvf_jaaroverzicht2017_webversie" TargetMode="External"/><Relationship Id="rId1" Type="http://schemas.openxmlformats.org/officeDocument/2006/relationships/hyperlink" Target="https://issuu.com/vvvf/docs/vvvf_jaaroverzicht2017_webversie" TargetMode="External"/><Relationship Id="rId6" Type="http://schemas.openxmlformats.org/officeDocument/2006/relationships/hyperlink" Target="https://www.vvvf.nl/stream/jaaroverzicht-vvvf-in-2022" TargetMode="External"/><Relationship Id="rId5" Type="http://schemas.openxmlformats.org/officeDocument/2006/relationships/hyperlink" Target="https://docplayer.nl/189357972-2019-verf-en-drukinktindustrie-sector-ketens.html" TargetMode="External"/><Relationship Id="rId4" Type="http://schemas.openxmlformats.org/officeDocument/2006/relationships/hyperlink" Target="https://docplayer.nl/138278287-Vvvf-jaaroverzicht-2018.html" TargetMode="External"/><Relationship Id="rId9"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3" Type="http://schemas.openxmlformats.org/officeDocument/2006/relationships/hyperlink" Target="https://polymerdatabase.com/Fibers/Carpets.html" TargetMode="External"/><Relationship Id="rId2" Type="http://schemas.openxmlformats.org/officeDocument/2006/relationships/hyperlink" Target="https://polymerdatabase.com/Fibers/Fibers.html" TargetMode="External"/><Relationship Id="rId1" Type="http://schemas.openxmlformats.org/officeDocument/2006/relationships/hyperlink" Target="https://polymerdatabase.com/Fibers/Fibers.html" TargetMode="External"/><Relationship Id="rId4"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8" Type="http://schemas.openxmlformats.org/officeDocument/2006/relationships/hyperlink" Target="https://web.archive.org/web/20230930160250/https:/apeeurope.eu/statistics/" TargetMode="External"/><Relationship Id="rId13" Type="http://schemas.openxmlformats.org/officeDocument/2006/relationships/hyperlink" Target="https://web.archive.org/web/20230930160250/https:/apeeurope.eu/statistics/" TargetMode="External"/><Relationship Id="rId18" Type="http://schemas.openxmlformats.org/officeDocument/2006/relationships/hyperlink" Target="https://web.archive.org/web/20230930160250/https:/apeeurope.eu/statistics/" TargetMode="External"/><Relationship Id="rId3" Type="http://schemas.openxmlformats.org/officeDocument/2006/relationships/hyperlink" Target="https://web.archive.org/web/20230930160250/https:/apeeurope.eu/statistics/" TargetMode="External"/><Relationship Id="rId7" Type="http://schemas.openxmlformats.org/officeDocument/2006/relationships/hyperlink" Target="https://web.archive.org/web/20230930160250/https:/apeeurope.eu/statistics/" TargetMode="External"/><Relationship Id="rId12" Type="http://schemas.openxmlformats.org/officeDocument/2006/relationships/hyperlink" Target="https://web.archive.org/web/20230930160250/https:/apeeurope.eu/statistics/" TargetMode="External"/><Relationship Id="rId17" Type="http://schemas.openxmlformats.org/officeDocument/2006/relationships/hyperlink" Target="https://web.archive.org/web/20230930160250/https:/apeeurope.eu/statistics/" TargetMode="External"/><Relationship Id="rId2" Type="http://schemas.openxmlformats.org/officeDocument/2006/relationships/hyperlink" Target="https://web.archive.org/web/20230930160250/https:/apeeurope.eu/statistics/" TargetMode="External"/><Relationship Id="rId16" Type="http://schemas.openxmlformats.org/officeDocument/2006/relationships/hyperlink" Target="https://web.archive.org/web/20230930160250/https:/apeeurope.eu/statistics/" TargetMode="External"/><Relationship Id="rId20" Type="http://schemas.openxmlformats.org/officeDocument/2006/relationships/printerSettings" Target="../printerSettings/printerSettings11.bin"/><Relationship Id="rId1" Type="http://schemas.openxmlformats.org/officeDocument/2006/relationships/hyperlink" Target="https://web.archive.org/web/20230930160250/https:/apeeurope.eu/statistics/" TargetMode="External"/><Relationship Id="rId6" Type="http://schemas.openxmlformats.org/officeDocument/2006/relationships/hyperlink" Target="https://web.archive.org/web/20230930160250/https:/apeeurope.eu/statistics/" TargetMode="External"/><Relationship Id="rId11" Type="http://schemas.openxmlformats.org/officeDocument/2006/relationships/hyperlink" Target="https://web.archive.org/web/20230930160250/https:/apeeurope.eu/statistics/" TargetMode="External"/><Relationship Id="rId5" Type="http://schemas.openxmlformats.org/officeDocument/2006/relationships/hyperlink" Target="https://web.archive.org/web/20230930160250/https:/apeeurope.eu/statistics/" TargetMode="External"/><Relationship Id="rId15" Type="http://schemas.openxmlformats.org/officeDocument/2006/relationships/hyperlink" Target="https://web.archive.org/web/20230930160250/https:/apeeurope.eu/statistics/" TargetMode="External"/><Relationship Id="rId10" Type="http://schemas.openxmlformats.org/officeDocument/2006/relationships/hyperlink" Target="https://web.archive.org/web/20230930160250/https:/apeeurope.eu/statistics/" TargetMode="External"/><Relationship Id="rId19" Type="http://schemas.openxmlformats.org/officeDocument/2006/relationships/hyperlink" Target="https://ec.europa.eu/eurostat/databrowser/bookmark/ad869a47-4196-4282-b054-0a75caf9373f?lang=en" TargetMode="External"/><Relationship Id="rId4" Type="http://schemas.openxmlformats.org/officeDocument/2006/relationships/hyperlink" Target="https://web.archive.org/web/20230930160250/https:/apeeurope.eu/statistics/" TargetMode="External"/><Relationship Id="rId9" Type="http://schemas.openxmlformats.org/officeDocument/2006/relationships/hyperlink" Target="https://web.archive.org/web/20230930160250/https:/apeeurope.eu/statistics/" TargetMode="External"/><Relationship Id="rId14" Type="http://schemas.openxmlformats.org/officeDocument/2006/relationships/hyperlink" Target="https://web.archive.org/web/20230930160250/https:/apeeurope.eu/statistics/"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echa.europa.eu/documents/10162/827ab66d-8f59-9076-e000-064274ba5b5e" TargetMode="External"/><Relationship Id="rId3" Type="http://schemas.openxmlformats.org/officeDocument/2006/relationships/hyperlink" Target="https://echa.europa.eu/documents/10162/827ab66d-8f59-9076-e000-064274ba5b5e" TargetMode="External"/><Relationship Id="rId7" Type="http://schemas.openxmlformats.org/officeDocument/2006/relationships/hyperlink" Target="https://echa.europa.eu/documents/10162/827ab66d-8f59-9076-e000-064274ba5b5e" TargetMode="External"/><Relationship Id="rId2" Type="http://schemas.openxmlformats.org/officeDocument/2006/relationships/hyperlink" Target="https://ec.europa.eu/eurostat/databrowser/bookmark/ad869a47-4196-4282-b054-0a75caf9373f?lang=en" TargetMode="External"/><Relationship Id="rId1" Type="http://schemas.openxmlformats.org/officeDocument/2006/relationships/hyperlink" Target="https://ec.europa.eu/eurostat/databrowser/view/DEMO_GIND__custom_2733962/bookmark/table?lang=en&amp;bookmarkId=7084ed24-6b91-4cf3-b90d-d47565593505" TargetMode="External"/><Relationship Id="rId6" Type="http://schemas.openxmlformats.org/officeDocument/2006/relationships/hyperlink" Target="https://echa.europa.eu/documents/10162/827ab66d-8f59-9076-e000-064274ba5b5e" TargetMode="External"/><Relationship Id="rId11" Type="http://schemas.openxmlformats.org/officeDocument/2006/relationships/printerSettings" Target="../printerSettings/printerSettings12.bin"/><Relationship Id="rId5" Type="http://schemas.openxmlformats.org/officeDocument/2006/relationships/hyperlink" Target="https://echa.europa.eu/documents/10162/827ab66d-8f59-9076-e000-064274ba5b5e" TargetMode="External"/><Relationship Id="rId10" Type="http://schemas.openxmlformats.org/officeDocument/2006/relationships/hyperlink" Target="https://www.eerstekamer.nl/overig/20190220/verwerking_van_kunstgras_huidige/document" TargetMode="External"/><Relationship Id="rId4" Type="http://schemas.openxmlformats.org/officeDocument/2006/relationships/hyperlink" Target="https://ec.europa.eu/eurostat/databrowser/bookmark/2e211686-43a6-4cb8-90f4-401aa9ef8d81?lang=en" TargetMode="External"/><Relationship Id="rId9" Type="http://schemas.openxmlformats.org/officeDocument/2006/relationships/hyperlink" Target="https://echa.europa.eu/documents/10162/827ab66d-8f59-9076-e000-064274ba5b5e"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onlinelibrary.wiley.com/doi/full/10.1111/jiec.13175" TargetMode="External"/><Relationship Id="rId13" Type="http://schemas.openxmlformats.org/officeDocument/2006/relationships/hyperlink" Target="https://ec.europa.eu/eurostat/databrowser/bookmark/19fb9122-d657-402c-9caf-78be4e0aa7ea?lang=en" TargetMode="External"/><Relationship Id="rId18" Type="http://schemas.openxmlformats.org/officeDocument/2006/relationships/hyperlink" Target="https://ec.europa.eu/eurostat/databrowser/bookmark/19fb9122-d657-402c-9caf-78be4e0aa7ea?lang=en" TargetMode="External"/><Relationship Id="rId3" Type="http://schemas.openxmlformats.org/officeDocument/2006/relationships/hyperlink" Target="https://onlinelibrary.wiley.com/doi/full/10.1111/jiec.13175" TargetMode="External"/><Relationship Id="rId21" Type="http://schemas.openxmlformats.org/officeDocument/2006/relationships/printerSettings" Target="../printerSettings/printerSettings13.bin"/><Relationship Id="rId7" Type="http://schemas.openxmlformats.org/officeDocument/2006/relationships/hyperlink" Target="https://onlinelibrary.wiley.com/doi/full/10.1111/jiec.13175" TargetMode="External"/><Relationship Id="rId12" Type="http://schemas.openxmlformats.org/officeDocument/2006/relationships/hyperlink" Target="https://ec.europa.eu/eurostat/databrowser/bookmark/19fb9122-d657-402c-9caf-78be4e0aa7ea?lang=en" TargetMode="External"/><Relationship Id="rId17" Type="http://schemas.openxmlformats.org/officeDocument/2006/relationships/hyperlink" Target="https://ec.europa.eu/eurostat/databrowser/bookmark/19fb9122-d657-402c-9caf-78be4e0aa7ea?lang=en" TargetMode="External"/><Relationship Id="rId2" Type="http://schemas.openxmlformats.org/officeDocument/2006/relationships/hyperlink" Target="https://onlinelibrary.wiley.com/doi/full/10.1111/jiec.13175" TargetMode="External"/><Relationship Id="rId16" Type="http://schemas.openxmlformats.org/officeDocument/2006/relationships/hyperlink" Target="https://ec.europa.eu/eurostat/databrowser/bookmark/19fb9122-d657-402c-9caf-78be4e0aa7ea?lang=en" TargetMode="External"/><Relationship Id="rId20" Type="http://schemas.openxmlformats.org/officeDocument/2006/relationships/hyperlink" Target="https://ec.europa.eu/eurostat/databrowser/bookmark/19fb9122-d657-402c-9caf-78be4e0aa7ea?lang=en" TargetMode="External"/><Relationship Id="rId1" Type="http://schemas.openxmlformats.org/officeDocument/2006/relationships/hyperlink" Target="https://onlinelibrary.wiley.com/doi/full/10.1111/jiec.13175" TargetMode="External"/><Relationship Id="rId6" Type="http://schemas.openxmlformats.org/officeDocument/2006/relationships/hyperlink" Target="https://onlinelibrary.wiley.com/doi/full/10.1111/jiec.13175" TargetMode="External"/><Relationship Id="rId11" Type="http://schemas.openxmlformats.org/officeDocument/2006/relationships/hyperlink" Target="https://ec.europa.eu/eurostat/databrowser/bookmark/19fb9122-d657-402c-9caf-78be4e0aa7ea?lang=en" TargetMode="External"/><Relationship Id="rId5" Type="http://schemas.openxmlformats.org/officeDocument/2006/relationships/hyperlink" Target="https://onlinelibrary.wiley.com/doi/full/10.1111/jiec.13175" TargetMode="External"/><Relationship Id="rId15" Type="http://schemas.openxmlformats.org/officeDocument/2006/relationships/hyperlink" Target="https://ec.europa.eu/eurostat/databrowser/bookmark/19fb9122-d657-402c-9caf-78be4e0aa7ea?lang=en" TargetMode="External"/><Relationship Id="rId10" Type="http://schemas.openxmlformats.org/officeDocument/2006/relationships/hyperlink" Target="https://ec.europa.eu/eurostat/databrowser/bookmark/19fb9122-d657-402c-9caf-78be4e0aa7ea?lang=en" TargetMode="External"/><Relationship Id="rId19" Type="http://schemas.openxmlformats.org/officeDocument/2006/relationships/hyperlink" Target="https://ec.europa.eu/eurostat/databrowser/bookmark/19fb9122-d657-402c-9caf-78be4e0aa7ea?lang=en" TargetMode="External"/><Relationship Id="rId4" Type="http://schemas.openxmlformats.org/officeDocument/2006/relationships/hyperlink" Target="https://onlinelibrary.wiley.com/doi/full/10.1111/jiec.13175" TargetMode="External"/><Relationship Id="rId9" Type="http://schemas.openxmlformats.org/officeDocument/2006/relationships/hyperlink" Target="https://ec.europa.eu/eurostat/databrowser/view/env_waspac/default/table?lang=en" TargetMode="External"/><Relationship Id="rId14" Type="http://schemas.openxmlformats.org/officeDocument/2006/relationships/hyperlink" Target="https://ec.europa.eu/eurostat/databrowser/bookmark/19fb9122-d657-402c-9caf-78be4e0aa7ea?lang=en" TargetMode="External"/><Relationship Id="rId22"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3" Type="http://schemas.openxmlformats.org/officeDocument/2006/relationships/hyperlink" Target="https://nos.nl/artikel/2193860-plastic-afval-recyclen-heeft-weinig-effect-op-milieu" TargetMode="External"/><Relationship Id="rId2" Type="http://schemas.openxmlformats.org/officeDocument/2006/relationships/hyperlink" Target="https://www.verenigingafvalbedrijven.nl/userfiles/files/VA_Meer_waarde_uit_gft-afval_Jaarverslag_Afdeling_Bioconversie.pdf" TargetMode="External"/><Relationship Id="rId1" Type="http://schemas.openxmlformats.org/officeDocument/2006/relationships/hyperlink" Target="https://www.verenigingafvalbedrijven.nl/userfiles/files/VA_Meer_waarde_uit_gft-afval_Jaarverslag_Afdeling_Bioconversie.pdf" TargetMode="External"/><Relationship Id="rId4"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ec.europa.eu/eurostat/databrowser/bookmark/63ebb7a5-64ae-4556-b52f-89336b710a52?lang=en" TargetMode="Externa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www.oecd-ilibrary.org/environment/global-plastics-outlook_aa1edf33-en" TargetMode="External"/><Relationship Id="rId1" Type="http://schemas.openxmlformats.org/officeDocument/2006/relationships/hyperlink" Target="https://www.oecd-ilibrary.org/environment/global-plastics-outlook_aa1edf33-en"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8" Type="http://schemas.openxmlformats.org/officeDocument/2006/relationships/hyperlink" Target="https://elitepropainting.com/how-long-does-paint-last-lifespan-of-paint/" TargetMode="External"/><Relationship Id="rId13" Type="http://schemas.openxmlformats.org/officeDocument/2006/relationships/hyperlink" Target="https://www.verfwinkel.nl/blog/hoe-vaak-is-buitenschilderwerk-en-kozijnen-schilderen-nodig/" TargetMode="External"/><Relationship Id="rId18" Type="http://schemas.openxmlformats.org/officeDocument/2006/relationships/hyperlink" Target="https://woodmodo.com/blogs/style-blog/how-long-does-wood-furniture-last-a-comprehensive-guide" TargetMode="External"/><Relationship Id="rId3" Type="http://schemas.openxmlformats.org/officeDocument/2006/relationships/hyperlink" Target="https://elitepropainting.com/how-long-does-paint-last-lifespan-of-paint/" TargetMode="External"/><Relationship Id="rId7" Type="http://schemas.openxmlformats.org/officeDocument/2006/relationships/hyperlink" Target="https://elitepropainting.com/how-long-does-paint-last-lifespan-of-paint/" TargetMode="External"/><Relationship Id="rId12" Type="http://schemas.openxmlformats.org/officeDocument/2006/relationships/hyperlink" Target="https://www.verfwinkel.nl/blog/hoe-vaak-is-buitenschilderwerk-en-kozijnen-schilderen-nodig/" TargetMode="External"/><Relationship Id="rId17" Type="http://schemas.openxmlformats.org/officeDocument/2006/relationships/hyperlink" Target="https://woodmodo.com/blogs/style-blog/how-long-does-wood-furniture-last-a-comprehensive-guide" TargetMode="External"/><Relationship Id="rId2" Type="http://schemas.openxmlformats.org/officeDocument/2006/relationships/hyperlink" Target="https://verfhandelnatte.nl/tip-4-wanneer-zijn-deuren-en-kozijnen-toe-aan-nieuwe-buitenlak/" TargetMode="External"/><Relationship Id="rId16" Type="http://schemas.openxmlformats.org/officeDocument/2006/relationships/hyperlink" Target="https://www.verfwinkel.nl/blog/hoe-vaak-je-huis-schilderen-binnen-and-buiten/" TargetMode="External"/><Relationship Id="rId1" Type="http://schemas.openxmlformats.org/officeDocument/2006/relationships/hyperlink" Target="https://verfhandelnatte.nl/tip-4-wanneer-zijn-deuren-en-kozijnen-toe-aan-nieuwe-buitenlak/" TargetMode="External"/><Relationship Id="rId6" Type="http://schemas.openxmlformats.org/officeDocument/2006/relationships/hyperlink" Target="https://elitepropainting.com/how-long-does-paint-last-lifespan-of-paint/" TargetMode="External"/><Relationship Id="rId11" Type="http://schemas.openxmlformats.org/officeDocument/2006/relationships/hyperlink" Target="https://www.wovar.be/betonverf-voor-buiten/" TargetMode="External"/><Relationship Id="rId5" Type="http://schemas.openxmlformats.org/officeDocument/2006/relationships/hyperlink" Target="https://elitepropainting.com/how-long-does-paint-last-lifespan-of-paint/" TargetMode="External"/><Relationship Id="rId15" Type="http://schemas.openxmlformats.org/officeDocument/2006/relationships/hyperlink" Target="https://www.verfwinkel.nl/blog/hoe-vaak-je-huis-schilderen-binnen-and-buiten/" TargetMode="External"/><Relationship Id="rId10" Type="http://schemas.openxmlformats.org/officeDocument/2006/relationships/hyperlink" Target="https://elitepropainting.com/how-long-does-paint-last-lifespan-of-paint/" TargetMode="External"/><Relationship Id="rId19" Type="http://schemas.openxmlformats.org/officeDocument/2006/relationships/printerSettings" Target="../printerSettings/printerSettings20.bin"/><Relationship Id="rId4" Type="http://schemas.openxmlformats.org/officeDocument/2006/relationships/hyperlink" Target="https://elitepropainting.com/how-long-does-paint-last-lifespan-of-paint/" TargetMode="External"/><Relationship Id="rId9" Type="http://schemas.openxmlformats.org/officeDocument/2006/relationships/hyperlink" Target="https://elitepropainting.com/how-long-does-paint-last-lifespan-of-paint/" TargetMode="External"/><Relationship Id="rId14" Type="http://schemas.openxmlformats.org/officeDocument/2006/relationships/hyperlink" Target="https://www.verfwinkel.nl/blog/hoe-vaak-je-huis-schilderen-binnen-and-buiten/" TargetMode="Externa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0208F-94C3-4BF0-A904-2C3110BBB34F}">
  <sheetPr>
    <tabColor rgb="FFFF8BD8"/>
  </sheetPr>
  <dimension ref="A1:P23"/>
  <sheetViews>
    <sheetView topLeftCell="A4" zoomScaleNormal="100" workbookViewId="0">
      <selection activeCell="A11" sqref="A11"/>
    </sheetView>
  </sheetViews>
  <sheetFormatPr defaultColWidth="9.28515625" defaultRowHeight="15"/>
  <cols>
    <col min="1" max="1" width="50.7109375" style="76" customWidth="1"/>
    <col min="2" max="2" width="30.7109375" style="19" customWidth="1"/>
    <col min="3" max="3" width="30.7109375" style="3" customWidth="1"/>
    <col min="4" max="16" width="15.7109375" style="3" customWidth="1"/>
    <col min="17" max="16384" width="9.28515625" style="3"/>
  </cols>
  <sheetData>
    <row r="1" spans="1:16" ht="30" customHeight="1" thickBot="1">
      <c r="A1" s="933" t="s">
        <v>0</v>
      </c>
      <c r="B1" s="934"/>
      <c r="C1" s="934"/>
      <c r="D1" s="934"/>
      <c r="E1" s="934"/>
      <c r="F1" s="934"/>
      <c r="G1" s="934"/>
      <c r="H1" s="934"/>
      <c r="I1" s="934"/>
      <c r="J1" s="934"/>
      <c r="K1" s="934"/>
      <c r="L1" s="934"/>
      <c r="M1" s="934"/>
      <c r="N1" s="934"/>
      <c r="O1" s="934"/>
      <c r="P1" s="935"/>
    </row>
    <row r="2" spans="1:16" s="18" customFormat="1" ht="30" customHeight="1" thickBot="1">
      <c r="A2" s="102" t="s">
        <v>1</v>
      </c>
      <c r="B2" s="939" t="s">
        <v>2</v>
      </c>
      <c r="C2" s="940"/>
      <c r="D2" s="939" t="s">
        <v>3</v>
      </c>
      <c r="E2" s="940"/>
      <c r="F2" s="940"/>
      <c r="G2" s="940"/>
      <c r="H2" s="940"/>
      <c r="I2" s="940"/>
      <c r="J2" s="940"/>
      <c r="K2" s="940"/>
      <c r="L2" s="940"/>
      <c r="M2" s="940"/>
      <c r="N2" s="940"/>
      <c r="O2" s="940"/>
      <c r="P2" s="941"/>
    </row>
    <row r="3" spans="1:16" s="18" customFormat="1" ht="49.9" customHeight="1">
      <c r="A3" s="103" t="s">
        <v>4</v>
      </c>
      <c r="B3" s="942" t="s">
        <v>5</v>
      </c>
      <c r="C3" s="944"/>
      <c r="D3" s="942" t="s">
        <v>6</v>
      </c>
      <c r="E3" s="943"/>
      <c r="F3" s="943"/>
      <c r="G3" s="943"/>
      <c r="H3" s="943"/>
      <c r="I3" s="943"/>
      <c r="J3" s="943"/>
      <c r="K3" s="943"/>
      <c r="L3" s="943"/>
      <c r="M3" s="943"/>
      <c r="N3" s="943"/>
      <c r="O3" s="943"/>
      <c r="P3" s="944"/>
    </row>
    <row r="4" spans="1:16" s="18" customFormat="1" ht="250.15" customHeight="1">
      <c r="A4" s="104" t="s">
        <v>7</v>
      </c>
      <c r="B4" s="936" t="s">
        <v>8</v>
      </c>
      <c r="C4" s="937"/>
      <c r="D4" s="936"/>
      <c r="E4" s="938"/>
      <c r="F4" s="938"/>
      <c r="G4" s="938"/>
      <c r="H4" s="938"/>
      <c r="I4" s="938"/>
      <c r="J4" s="938"/>
      <c r="K4" s="938"/>
      <c r="L4" s="938"/>
      <c r="M4" s="938"/>
      <c r="N4" s="938"/>
      <c r="O4" s="938"/>
      <c r="P4" s="937"/>
    </row>
    <row r="5" spans="1:16" s="18" customFormat="1" ht="49.9" customHeight="1">
      <c r="A5" s="104" t="s">
        <v>9</v>
      </c>
      <c r="B5" s="936" t="s">
        <v>10</v>
      </c>
      <c r="C5" s="937"/>
      <c r="D5" s="936" t="s">
        <v>11</v>
      </c>
      <c r="E5" s="938"/>
      <c r="F5" s="938"/>
      <c r="G5" s="938"/>
      <c r="H5" s="938"/>
      <c r="I5" s="938"/>
      <c r="J5" s="938"/>
      <c r="K5" s="938"/>
      <c r="L5" s="938"/>
      <c r="M5" s="938"/>
      <c r="N5" s="938"/>
      <c r="O5" s="938"/>
      <c r="P5" s="937"/>
    </row>
    <row r="6" spans="1:16" s="18" customFormat="1" ht="49.9" customHeight="1">
      <c r="A6" s="104" t="s">
        <v>12</v>
      </c>
      <c r="B6" s="936" t="s">
        <v>13</v>
      </c>
      <c r="C6" s="937"/>
      <c r="D6" s="936" t="s">
        <v>14</v>
      </c>
      <c r="E6" s="938"/>
      <c r="F6" s="938"/>
      <c r="G6" s="938"/>
      <c r="H6" s="938"/>
      <c r="I6" s="938"/>
      <c r="J6" s="938"/>
      <c r="K6" s="938"/>
      <c r="L6" s="938"/>
      <c r="M6" s="938"/>
      <c r="N6" s="938"/>
      <c r="O6" s="938"/>
      <c r="P6" s="937"/>
    </row>
    <row r="7" spans="1:16" s="18" customFormat="1" ht="49.9" customHeight="1">
      <c r="A7" s="104" t="s">
        <v>15</v>
      </c>
      <c r="B7" s="936" t="s">
        <v>16</v>
      </c>
      <c r="C7" s="937"/>
      <c r="D7" s="936" t="s">
        <v>17</v>
      </c>
      <c r="E7" s="938"/>
      <c r="F7" s="938"/>
      <c r="G7" s="938"/>
      <c r="H7" s="938"/>
      <c r="I7" s="938"/>
      <c r="J7" s="938"/>
      <c r="K7" s="938"/>
      <c r="L7" s="938"/>
      <c r="M7" s="938"/>
      <c r="N7" s="938"/>
      <c r="O7" s="938"/>
      <c r="P7" s="937"/>
    </row>
    <row r="8" spans="1:16" s="18" customFormat="1" ht="49.9" customHeight="1">
      <c r="A8" s="104" t="s">
        <v>18</v>
      </c>
      <c r="B8" s="936" t="s">
        <v>19</v>
      </c>
      <c r="C8" s="937"/>
      <c r="D8" s="936" t="s">
        <v>20</v>
      </c>
      <c r="E8" s="938"/>
      <c r="F8" s="938"/>
      <c r="G8" s="938"/>
      <c r="H8" s="938"/>
      <c r="I8" s="938"/>
      <c r="J8" s="938"/>
      <c r="K8" s="938"/>
      <c r="L8" s="938"/>
      <c r="M8" s="938"/>
      <c r="N8" s="938"/>
      <c r="O8" s="938"/>
      <c r="P8" s="937"/>
    </row>
    <row r="9" spans="1:16" s="18" customFormat="1" ht="49.9" customHeight="1">
      <c r="A9" s="104" t="s">
        <v>21</v>
      </c>
      <c r="B9" s="936" t="s">
        <v>22</v>
      </c>
      <c r="C9" s="937"/>
      <c r="D9" s="936" t="s">
        <v>23</v>
      </c>
      <c r="E9" s="938"/>
      <c r="F9" s="938"/>
      <c r="G9" s="938"/>
      <c r="H9" s="938"/>
      <c r="I9" s="938"/>
      <c r="J9" s="938"/>
      <c r="K9" s="938"/>
      <c r="L9" s="938"/>
      <c r="M9" s="938"/>
      <c r="N9" s="938"/>
      <c r="O9" s="938"/>
      <c r="P9" s="937"/>
    </row>
    <row r="10" spans="1:16" s="18" customFormat="1" ht="49.9" customHeight="1">
      <c r="A10" s="104" t="s">
        <v>24</v>
      </c>
      <c r="B10" s="936" t="s">
        <v>25</v>
      </c>
      <c r="C10" s="937"/>
      <c r="D10" s="936" t="s">
        <v>26</v>
      </c>
      <c r="E10" s="938"/>
      <c r="F10" s="938"/>
      <c r="G10" s="938"/>
      <c r="H10" s="938"/>
      <c r="I10" s="938"/>
      <c r="J10" s="938"/>
      <c r="K10" s="938"/>
      <c r="L10" s="938"/>
      <c r="M10" s="938"/>
      <c r="N10" s="938"/>
      <c r="O10" s="938"/>
      <c r="P10" s="937"/>
    </row>
    <row r="11" spans="1:16" s="18" customFormat="1" ht="49.9" customHeight="1">
      <c r="A11" s="104" t="s">
        <v>27</v>
      </c>
      <c r="B11" s="936" t="s">
        <v>28</v>
      </c>
      <c r="C11" s="937"/>
      <c r="D11" s="936" t="s">
        <v>26</v>
      </c>
      <c r="E11" s="938"/>
      <c r="F11" s="938"/>
      <c r="G11" s="938"/>
      <c r="H11" s="938"/>
      <c r="I11" s="938"/>
      <c r="J11" s="938"/>
      <c r="K11" s="938"/>
      <c r="L11" s="938"/>
      <c r="M11" s="938"/>
      <c r="N11" s="938"/>
      <c r="O11" s="938"/>
      <c r="P11" s="937"/>
    </row>
    <row r="12" spans="1:16" s="18" customFormat="1" ht="49.9" customHeight="1">
      <c r="A12" s="104" t="s">
        <v>29</v>
      </c>
      <c r="B12" s="936" t="s">
        <v>30</v>
      </c>
      <c r="C12" s="937"/>
      <c r="D12" s="936" t="s">
        <v>26</v>
      </c>
      <c r="E12" s="938"/>
      <c r="F12" s="938"/>
      <c r="G12" s="938"/>
      <c r="H12" s="938"/>
      <c r="I12" s="938"/>
      <c r="J12" s="938"/>
      <c r="K12" s="938"/>
      <c r="L12" s="938"/>
      <c r="M12" s="938"/>
      <c r="N12" s="938"/>
      <c r="O12" s="938"/>
      <c r="P12" s="937"/>
    </row>
    <row r="13" spans="1:16" s="18" customFormat="1" ht="49.9" customHeight="1">
      <c r="A13" s="104" t="s">
        <v>31</v>
      </c>
      <c r="B13" s="936" t="s">
        <v>32</v>
      </c>
      <c r="C13" s="937"/>
      <c r="D13" s="936" t="s">
        <v>33</v>
      </c>
      <c r="E13" s="938"/>
      <c r="F13" s="938"/>
      <c r="G13" s="938"/>
      <c r="H13" s="938"/>
      <c r="I13" s="938"/>
      <c r="J13" s="938"/>
      <c r="K13" s="938"/>
      <c r="L13" s="938"/>
      <c r="M13" s="938"/>
      <c r="N13" s="938"/>
      <c r="O13" s="938"/>
      <c r="P13" s="937"/>
    </row>
    <row r="14" spans="1:16" s="18" customFormat="1" ht="49.9" customHeight="1">
      <c r="A14" s="104" t="s">
        <v>34</v>
      </c>
      <c r="B14" s="936" t="s">
        <v>35</v>
      </c>
      <c r="C14" s="937"/>
      <c r="D14" s="936" t="s">
        <v>36</v>
      </c>
      <c r="E14" s="938"/>
      <c r="F14" s="938"/>
      <c r="G14" s="938"/>
      <c r="H14" s="938"/>
      <c r="I14" s="938"/>
      <c r="J14" s="938"/>
      <c r="K14" s="938"/>
      <c r="L14" s="938"/>
      <c r="M14" s="938"/>
      <c r="N14" s="938"/>
      <c r="O14" s="938"/>
      <c r="P14" s="937"/>
    </row>
    <row r="15" spans="1:16" s="18" customFormat="1" ht="49.9" customHeight="1">
      <c r="A15" s="104" t="s">
        <v>37</v>
      </c>
      <c r="B15" s="936" t="s">
        <v>38</v>
      </c>
      <c r="C15" s="937"/>
      <c r="D15" s="936" t="s">
        <v>36</v>
      </c>
      <c r="E15" s="938"/>
      <c r="F15" s="938"/>
      <c r="G15" s="938"/>
      <c r="H15" s="938"/>
      <c r="I15" s="938"/>
      <c r="J15" s="938"/>
      <c r="K15" s="938"/>
      <c r="L15" s="938"/>
      <c r="M15" s="938"/>
      <c r="N15" s="938"/>
      <c r="O15" s="938"/>
      <c r="P15" s="937"/>
    </row>
    <row r="16" spans="1:16" s="18" customFormat="1" ht="49.9" customHeight="1" thickBot="1">
      <c r="A16" s="105" t="s">
        <v>39</v>
      </c>
      <c r="B16" s="950" t="s">
        <v>40</v>
      </c>
      <c r="C16" s="951"/>
      <c r="D16" s="950" t="s">
        <v>36</v>
      </c>
      <c r="E16" s="952"/>
      <c r="F16" s="952"/>
      <c r="G16" s="952"/>
      <c r="H16" s="952"/>
      <c r="I16" s="952"/>
      <c r="J16" s="952"/>
      <c r="K16" s="952"/>
      <c r="L16" s="952"/>
      <c r="M16" s="952"/>
      <c r="N16" s="952"/>
      <c r="O16" s="952"/>
      <c r="P16" s="951"/>
    </row>
    <row r="17" spans="1:16">
      <c r="A17" s="78"/>
      <c r="B17" s="20"/>
      <c r="C17" s="21"/>
    </row>
    <row r="18" spans="1:16" ht="15.75" thickBot="1"/>
    <row r="19" spans="1:16" ht="30" customHeight="1" thickBot="1">
      <c r="A19" s="102" t="s">
        <v>41</v>
      </c>
      <c r="B19" s="947" t="s">
        <v>42</v>
      </c>
      <c r="C19" s="948"/>
      <c r="D19" s="948"/>
      <c r="E19" s="948"/>
      <c r="F19" s="948"/>
      <c r="G19" s="948"/>
      <c r="H19" s="948"/>
      <c r="I19" s="948"/>
      <c r="J19" s="948"/>
      <c r="K19" s="948"/>
      <c r="L19" s="948"/>
      <c r="M19" s="948"/>
      <c r="N19" s="948"/>
      <c r="O19" s="948"/>
      <c r="P19" s="949"/>
    </row>
    <row r="20" spans="1:16" ht="30" customHeight="1">
      <c r="A20" s="103" t="s">
        <v>43</v>
      </c>
      <c r="B20" s="946" t="s">
        <v>44</v>
      </c>
      <c r="C20" s="943"/>
      <c r="D20" s="943"/>
      <c r="E20" s="943"/>
      <c r="F20" s="943"/>
      <c r="G20" s="943"/>
      <c r="H20" s="943"/>
      <c r="I20" s="943"/>
      <c r="J20" s="943"/>
      <c r="K20" s="943"/>
      <c r="L20" s="943"/>
      <c r="M20" s="943"/>
      <c r="N20" s="943"/>
      <c r="O20" s="943"/>
      <c r="P20" s="944"/>
    </row>
    <row r="21" spans="1:16" ht="30" customHeight="1">
      <c r="A21" s="104" t="s">
        <v>45</v>
      </c>
      <c r="B21" s="945" t="s">
        <v>46</v>
      </c>
      <c r="C21" s="938"/>
      <c r="D21" s="938"/>
      <c r="E21" s="938"/>
      <c r="F21" s="938"/>
      <c r="G21" s="938"/>
      <c r="H21" s="938"/>
      <c r="I21" s="938"/>
      <c r="J21" s="938"/>
      <c r="K21" s="938"/>
      <c r="L21" s="938"/>
      <c r="M21" s="938"/>
      <c r="N21" s="938"/>
      <c r="O21" s="938"/>
      <c r="P21" s="937"/>
    </row>
    <row r="23" spans="1:16" ht="14.45" customHeight="1"/>
  </sheetData>
  <mergeCells count="34">
    <mergeCell ref="D13:P13"/>
    <mergeCell ref="B21:P21"/>
    <mergeCell ref="B20:P20"/>
    <mergeCell ref="B13:C13"/>
    <mergeCell ref="B14:C14"/>
    <mergeCell ref="B19:P19"/>
    <mergeCell ref="D14:P14"/>
    <mergeCell ref="B15:C15"/>
    <mergeCell ref="B16:C16"/>
    <mergeCell ref="D15:P15"/>
    <mergeCell ref="D16:P16"/>
    <mergeCell ref="B3:C3"/>
    <mergeCell ref="B6:C6"/>
    <mergeCell ref="B7:C7"/>
    <mergeCell ref="D11:P11"/>
    <mergeCell ref="B12:C12"/>
    <mergeCell ref="D12:P12"/>
    <mergeCell ref="B11:C11"/>
    <mergeCell ref="A1:P1"/>
    <mergeCell ref="B9:C9"/>
    <mergeCell ref="B8:C8"/>
    <mergeCell ref="D10:P10"/>
    <mergeCell ref="D9:P9"/>
    <mergeCell ref="D8:P8"/>
    <mergeCell ref="B4:C4"/>
    <mergeCell ref="D4:P4"/>
    <mergeCell ref="B10:C10"/>
    <mergeCell ref="B2:C2"/>
    <mergeCell ref="D2:P2"/>
    <mergeCell ref="D3:P3"/>
    <mergeCell ref="B5:C5"/>
    <mergeCell ref="D5:P5"/>
    <mergeCell ref="D7:P7"/>
    <mergeCell ref="D6:P6"/>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F19CA-D7F8-449F-9DD8-B13619B8E501}">
  <sheetPr>
    <tabColor theme="0" tint="-0.499984740745262"/>
  </sheetPr>
  <dimension ref="A1:B2"/>
  <sheetViews>
    <sheetView workbookViewId="0">
      <selection activeCell="A3" sqref="A3"/>
    </sheetView>
  </sheetViews>
  <sheetFormatPr defaultRowHeight="15"/>
  <cols>
    <col min="2" max="2" width="82.85546875" bestFit="1" customWidth="1"/>
  </cols>
  <sheetData>
    <row r="1" spans="1:2">
      <c r="A1" s="225" t="s">
        <v>47</v>
      </c>
      <c r="B1" s="225" t="s">
        <v>48</v>
      </c>
    </row>
    <row r="2" spans="1:2">
      <c r="A2" t="s">
        <v>49</v>
      </c>
      <c r="B2" t="s">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04245-AD2A-4701-BD36-F6E5844609B2}">
  <sheetPr>
    <tabColor theme="8"/>
  </sheetPr>
  <dimension ref="A1:F7"/>
  <sheetViews>
    <sheetView zoomScale="80" zoomScaleNormal="80" workbookViewId="0">
      <selection activeCell="E23" sqref="E23"/>
    </sheetView>
  </sheetViews>
  <sheetFormatPr defaultRowHeight="15"/>
  <cols>
    <col min="1" max="1" width="40.7109375" customWidth="1"/>
    <col min="2" max="2" width="15.7109375" customWidth="1"/>
    <col min="3" max="6" width="50.7109375" customWidth="1"/>
  </cols>
  <sheetData>
    <row r="1" spans="1:6" ht="30" customHeight="1">
      <c r="A1" s="267" t="s">
        <v>51</v>
      </c>
      <c r="B1" s="953" t="s">
        <v>52</v>
      </c>
      <c r="C1" s="274" t="s">
        <v>53</v>
      </c>
      <c r="D1" s="272" t="s">
        <v>54</v>
      </c>
      <c r="E1" s="274" t="s">
        <v>55</v>
      </c>
      <c r="F1" s="282" t="s">
        <v>56</v>
      </c>
    </row>
    <row r="2" spans="1:6" ht="30" customHeight="1" thickBot="1">
      <c r="A2" s="268" t="s">
        <v>57</v>
      </c>
      <c r="B2" s="954"/>
      <c r="C2" s="275" t="s">
        <v>58</v>
      </c>
      <c r="D2" s="273" t="s">
        <v>59</v>
      </c>
      <c r="E2" s="275" t="s">
        <v>60</v>
      </c>
      <c r="F2" s="283" t="s">
        <v>61</v>
      </c>
    </row>
    <row r="3" spans="1:6" ht="39.950000000000003" customHeight="1">
      <c r="A3" s="22" t="s">
        <v>62</v>
      </c>
      <c r="B3" s="269" t="s">
        <v>63</v>
      </c>
      <c r="C3" s="276" t="s">
        <v>64</v>
      </c>
      <c r="D3" s="279" t="s">
        <v>65</v>
      </c>
      <c r="E3" s="287" t="s">
        <v>66</v>
      </c>
      <c r="F3" s="284" t="s">
        <v>67</v>
      </c>
    </row>
    <row r="4" spans="1:6" ht="39.950000000000003" customHeight="1">
      <c r="A4" s="23" t="s">
        <v>68</v>
      </c>
      <c r="B4" s="270" t="s">
        <v>69</v>
      </c>
      <c r="C4" s="277" t="s">
        <v>70</v>
      </c>
      <c r="D4" s="280" t="s">
        <v>71</v>
      </c>
      <c r="E4" s="288" t="s">
        <v>72</v>
      </c>
      <c r="F4" s="285" t="s">
        <v>73</v>
      </c>
    </row>
    <row r="5" spans="1:6" ht="39.950000000000003" customHeight="1">
      <c r="A5" s="23" t="s">
        <v>74</v>
      </c>
      <c r="B5" s="270" t="s">
        <v>75</v>
      </c>
      <c r="C5" s="277" t="s">
        <v>76</v>
      </c>
      <c r="D5" s="280" t="s">
        <v>77</v>
      </c>
      <c r="E5" s="288" t="s">
        <v>78</v>
      </c>
      <c r="F5" s="285" t="s">
        <v>79</v>
      </c>
    </row>
    <row r="6" spans="1:6" ht="39.950000000000003" customHeight="1">
      <c r="A6" s="23" t="s">
        <v>80</v>
      </c>
      <c r="B6" s="270" t="s">
        <v>81</v>
      </c>
      <c r="C6" s="277" t="s">
        <v>82</v>
      </c>
      <c r="D6" s="280" t="s">
        <v>83</v>
      </c>
      <c r="E6" s="288" t="s">
        <v>84</v>
      </c>
      <c r="F6" s="285" t="s">
        <v>85</v>
      </c>
    </row>
    <row r="7" spans="1:6" ht="39.950000000000003" customHeight="1" thickBot="1">
      <c r="A7" s="24" t="s">
        <v>86</v>
      </c>
      <c r="B7" s="271" t="s">
        <v>87</v>
      </c>
      <c r="C7" s="278" t="s">
        <v>88</v>
      </c>
      <c r="D7" s="281" t="s">
        <v>89</v>
      </c>
      <c r="E7" s="289" t="s">
        <v>90</v>
      </c>
      <c r="F7" s="286" t="s">
        <v>91</v>
      </c>
    </row>
  </sheetData>
  <mergeCells count="1">
    <mergeCell ref="B1:B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5C3CD-72F7-4756-90FD-AE51EAF88EA1}">
  <sheetPr>
    <tabColor theme="7"/>
  </sheetPr>
  <dimension ref="A1:A16"/>
  <sheetViews>
    <sheetView zoomScale="80" zoomScaleNormal="80" workbookViewId="0">
      <selection sqref="A1:A16"/>
    </sheetView>
  </sheetViews>
  <sheetFormatPr defaultRowHeight="15"/>
  <cols>
    <col min="1" max="1" width="15.7109375" customWidth="1"/>
    <col min="2" max="2" width="10.28515625" customWidth="1"/>
  </cols>
  <sheetData>
    <row r="1" spans="1:1" ht="30" customHeight="1" thickBot="1">
      <c r="A1" s="146" t="s">
        <v>92</v>
      </c>
    </row>
    <row r="2" spans="1:1">
      <c r="A2" s="147" t="s">
        <v>93</v>
      </c>
    </row>
    <row r="3" spans="1:1">
      <c r="A3" s="148" t="s">
        <v>94</v>
      </c>
    </row>
    <row r="4" spans="1:1">
      <c r="A4" s="148" t="s">
        <v>95</v>
      </c>
    </row>
    <row r="5" spans="1:1">
      <c r="A5" s="148" t="s">
        <v>96</v>
      </c>
    </row>
    <row r="6" spans="1:1">
      <c r="A6" s="148" t="s">
        <v>97</v>
      </c>
    </row>
    <row r="7" spans="1:1">
      <c r="A7" s="148" t="s">
        <v>98</v>
      </c>
    </row>
    <row r="8" spans="1:1">
      <c r="A8" s="148" t="s">
        <v>99</v>
      </c>
    </row>
    <row r="9" spans="1:1">
      <c r="A9" s="148" t="s">
        <v>100</v>
      </c>
    </row>
    <row r="10" spans="1:1">
      <c r="A10" s="148" t="s">
        <v>101</v>
      </c>
    </row>
    <row r="11" spans="1:1">
      <c r="A11" s="148" t="s">
        <v>102</v>
      </c>
    </row>
    <row r="12" spans="1:1">
      <c r="A12" s="148" t="s">
        <v>103</v>
      </c>
    </row>
    <row r="13" spans="1:1">
      <c r="A13" s="148" t="s">
        <v>104</v>
      </c>
    </row>
    <row r="14" spans="1:1">
      <c r="A14" s="148" t="s">
        <v>105</v>
      </c>
    </row>
    <row r="15" spans="1:1">
      <c r="A15" s="148" t="s">
        <v>106</v>
      </c>
    </row>
    <row r="16" spans="1:1" ht="15.75" thickBot="1">
      <c r="A16" s="149" t="s">
        <v>107</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55F35-1BE8-491D-A5D1-66586526783F}">
  <sheetPr>
    <tabColor rgb="FFFFC000"/>
  </sheetPr>
  <dimension ref="A1:L829"/>
  <sheetViews>
    <sheetView zoomScale="90" zoomScaleNormal="90" workbookViewId="0">
      <pane ySplit="1" topLeftCell="A805" activePane="bottomLeft" state="frozen"/>
      <selection pane="bottomLeft" activeCell="B832" sqref="B832"/>
    </sheetView>
  </sheetViews>
  <sheetFormatPr defaultColWidth="9.28515625" defaultRowHeight="15"/>
  <cols>
    <col min="1" max="1" width="52.7109375" style="25" customWidth="1"/>
    <col min="2" max="2" width="15.7109375" style="25" customWidth="1"/>
    <col min="3" max="3" width="15.7109375" style="26" customWidth="1"/>
    <col min="4" max="4" width="15.7109375" style="7" customWidth="1"/>
    <col min="5" max="5" width="38.140625" style="27" customWidth="1"/>
    <col min="6" max="10" width="10.7109375" style="7" customWidth="1"/>
    <col min="11" max="11" width="9.42578125" style="7" bestFit="1" customWidth="1"/>
    <col min="12" max="12" width="94" style="57" customWidth="1"/>
    <col min="13" max="16384" width="9.28515625" style="2"/>
  </cols>
  <sheetData>
    <row r="1" spans="1:12" s="5" customFormat="1" ht="30" customHeight="1" thickBot="1">
      <c r="A1" s="65" t="s">
        <v>108</v>
      </c>
      <c r="B1" s="107" t="s">
        <v>109</v>
      </c>
      <c r="C1" s="108" t="s">
        <v>110</v>
      </c>
      <c r="D1" s="109" t="s">
        <v>111</v>
      </c>
      <c r="E1" s="108" t="s">
        <v>112</v>
      </c>
      <c r="F1" s="425" t="s">
        <v>113</v>
      </c>
      <c r="G1" s="426" t="s">
        <v>69</v>
      </c>
      <c r="H1" s="426" t="s">
        <v>75</v>
      </c>
      <c r="I1" s="426" t="s">
        <v>81</v>
      </c>
      <c r="J1" s="427" t="s">
        <v>87</v>
      </c>
      <c r="K1" s="817" t="s">
        <v>114</v>
      </c>
      <c r="L1" s="429" t="s">
        <v>115</v>
      </c>
    </row>
    <row r="2" spans="1:12">
      <c r="A2" s="33" t="str">
        <f>Agriculture!A47</f>
        <v>Agriculture</v>
      </c>
      <c r="B2" s="39">
        <f>Agriculture!C47</f>
        <v>2019</v>
      </c>
      <c r="C2" s="33" t="str">
        <f>Agriculture!D47</f>
        <v>LDPE</v>
      </c>
      <c r="D2" s="812">
        <f>Agriculture!E47</f>
        <v>40.881766363330044</v>
      </c>
      <c r="E2" s="151" t="str">
        <f>Agriculture!F47</f>
        <v>Combined from TNO Sieger Henke and Statistics - APE Europe [WWW Document], n.d. URL https://web.archive.org/web/20230930160250/https://apeeurope.eu/statistics/ (accessed 3.27.24). Using 6.7% conversion to NL</v>
      </c>
      <c r="F2" s="28">
        <v>2</v>
      </c>
      <c r="G2" s="11">
        <v>1</v>
      </c>
      <c r="H2" s="11">
        <v>2</v>
      </c>
      <c r="I2" s="11">
        <v>1</v>
      </c>
      <c r="J2" s="42">
        <v>2</v>
      </c>
      <c r="K2" s="264">
        <f t="shared" ref="K2:K65" si="0">IF( OR( ISBLANK(F2),ISBLANK(G2), ISBLANK(H2), ISBLANK(I2), ISBLANK(J2) ), "", 1.5*SQRT(   EXP(2.21*(F2-1)) + EXP(2.21*(G2-1)) + EXP(2.21*(H2-1)) + EXP(2.21*(I2-1)) + EXP(2.21*J2)   )/100*2.45 )</f>
        <v>0.37356464144298934</v>
      </c>
      <c r="L2" s="440" t="str">
        <f>Agriculture!M47</f>
        <v>Estimation using 6.7% conversion to NL (https://ec.europa.eu/eurostat/databrowser/bookmark/ad869a47-4196-4282-b054-0a75caf9373f?lang=en)</v>
      </c>
    </row>
    <row r="3" spans="1:12">
      <c r="A3" s="34" t="str">
        <f>Agriculture!A37</f>
        <v>Agriculture</v>
      </c>
      <c r="B3" s="40">
        <f>Agriculture!C37</f>
        <v>2018</v>
      </c>
      <c r="C3" s="34" t="str">
        <f>Agriculture!D37</f>
        <v>LDPE</v>
      </c>
      <c r="D3" s="813">
        <f>Agriculture!E37</f>
        <v>40.723723573663108</v>
      </c>
      <c r="E3" s="152" t="str">
        <f>Agriculture!F37</f>
        <v>Combined from TNO Sieger Henke and Statistics - APE Europe [WWW Document], n.d. URL https://web.archive.org/web/20230930160250/https://apeeurope.eu/statistics/ (accessed 3.27.24). Using 6.7% conversion to NL</v>
      </c>
      <c r="F3" s="29">
        <v>2</v>
      </c>
      <c r="G3" s="9">
        <v>1</v>
      </c>
      <c r="H3" s="9">
        <v>2</v>
      </c>
      <c r="I3" s="9">
        <v>1</v>
      </c>
      <c r="J3" s="43">
        <v>2</v>
      </c>
      <c r="K3" s="265">
        <f t="shared" si="0"/>
        <v>0.37356464144298934</v>
      </c>
      <c r="L3" s="370" t="str">
        <f>Agriculture!M37</f>
        <v>Estimation using 6.7% conversion to NL (https://ec.europa.eu/eurostat/databrowser/bookmark/ad869a47-4196-4282-b054-0a75caf9373f?lang=en)</v>
      </c>
    </row>
    <row r="4" spans="1:12">
      <c r="A4" s="34" t="str">
        <f>Agriculture!A42</f>
        <v>Agriculture</v>
      </c>
      <c r="B4" s="40">
        <f>Agriculture!C42</f>
        <v>2019</v>
      </c>
      <c r="C4" s="34" t="str">
        <f>Agriculture!D42</f>
        <v>LDPE</v>
      </c>
      <c r="D4" s="813">
        <f>Agriculture!E42</f>
        <v>20.034143869664984</v>
      </c>
      <c r="E4" s="152" t="str">
        <f>Agriculture!F42</f>
        <v>Combined from TNO Sieger Henke and Statistics - APE Europe [WWW Document], n.d. URL https://web.archive.org/web/20230930160250/https://apeeurope.eu/statistics/ (accessed 3.27.24). Using 3.36% conversion to NL</v>
      </c>
      <c r="F4" s="29">
        <v>2</v>
      </c>
      <c r="G4" s="9">
        <v>1</v>
      </c>
      <c r="H4" s="9">
        <v>2</v>
      </c>
      <c r="I4" s="9">
        <v>1</v>
      </c>
      <c r="J4" s="43">
        <v>2</v>
      </c>
      <c r="K4" s="265">
        <f t="shared" si="0"/>
        <v>0.37356464144298934</v>
      </c>
      <c r="L4" s="370" t="str">
        <f>Agriculture!M42</f>
        <v>Estimation using 3.36% conversion to NL (Plastics Europe, 2014)</v>
      </c>
    </row>
    <row r="5" spans="1:12">
      <c r="A5" s="34" t="str">
        <f>Agriculture!A32</f>
        <v>Agriculture</v>
      </c>
      <c r="B5" s="40">
        <f>Agriculture!C32</f>
        <v>2018</v>
      </c>
      <c r="C5" s="34" t="str">
        <f>Agriculture!D32</f>
        <v>LDPE</v>
      </c>
      <c r="D5" s="813">
        <f>Agriculture!E32</f>
        <v>19.95503155784176</v>
      </c>
      <c r="E5" s="152" t="str">
        <f>Agriculture!F32</f>
        <v>Combined from TNO Sieger Henke and Statistics - APE Europe [WWW Document], n.d. URL https://web.archive.org/web/20230930160250/https://apeeurope.eu/statistics/ (accessed 3.27.24). Using 3.36% conversion to NL</v>
      </c>
      <c r="F5" s="29">
        <v>2</v>
      </c>
      <c r="G5" s="9">
        <v>1</v>
      </c>
      <c r="H5" s="9">
        <v>2</v>
      </c>
      <c r="I5" s="9">
        <v>1</v>
      </c>
      <c r="J5" s="43">
        <v>2</v>
      </c>
      <c r="K5" s="265">
        <f t="shared" si="0"/>
        <v>0.37356464144298934</v>
      </c>
      <c r="L5" s="370" t="str">
        <f>Agriculture!M32</f>
        <v>Estimation using 3.36% conversion to NL (Plastics Europe, 2014)</v>
      </c>
    </row>
    <row r="6" spans="1:12">
      <c r="A6" s="34" t="str">
        <f>Agriculture!A44</f>
        <v>Agriculture</v>
      </c>
      <c r="B6" s="40">
        <f>Agriculture!C44</f>
        <v>2019</v>
      </c>
      <c r="C6" s="34" t="str">
        <f>Agriculture!D44</f>
        <v>PVC</v>
      </c>
      <c r="D6" s="813">
        <f>Agriculture!E44</f>
        <v>4.7909395374181711</v>
      </c>
      <c r="E6" s="152" t="str">
        <f>Agriculture!F44</f>
        <v>Combined from TNO Sieger Henke and Statistics - APE Europe [WWW Document], n.d. URL https://web.archive.org/web/20230930160250/https://apeeurope.eu/statistics/ (accessed 3.27.24). Using 6.7% conversion to NL</v>
      </c>
      <c r="F6" s="29">
        <v>2</v>
      </c>
      <c r="G6" s="9">
        <v>1</v>
      </c>
      <c r="H6" s="9">
        <v>2</v>
      </c>
      <c r="I6" s="9">
        <v>1</v>
      </c>
      <c r="J6" s="43">
        <v>2</v>
      </c>
      <c r="K6" s="265">
        <f t="shared" si="0"/>
        <v>0.37356464144298934</v>
      </c>
      <c r="L6" s="370" t="str">
        <f>Agriculture!M44</f>
        <v>Estimation using 6.7% conversion to NL (https://ec.europa.eu/eurostat/databrowser/bookmark/ad869a47-4196-4282-b054-0a75caf9373f?lang=en)</v>
      </c>
    </row>
    <row r="7" spans="1:12">
      <c r="A7" s="34" t="str">
        <f>Agriculture!A34</f>
        <v>Agriculture</v>
      </c>
      <c r="B7" s="40">
        <f>Agriculture!C34</f>
        <v>2018</v>
      </c>
      <c r="C7" s="34" t="str">
        <f>Agriculture!D34</f>
        <v>PVC</v>
      </c>
      <c r="D7" s="813">
        <f>Agriculture!E34</f>
        <v>4.7724184822639018</v>
      </c>
      <c r="E7" s="152" t="str">
        <f>Agriculture!F34</f>
        <v>Combined from TNO Sieger Henke and Statistics - APE Europe [WWW Document], n.d. URL https://web.archive.org/web/20230930160250/https://apeeurope.eu/statistics/ (accessed 3.27.24). Using 6.7% conversion to NL</v>
      </c>
      <c r="F7" s="29">
        <v>2</v>
      </c>
      <c r="G7" s="9">
        <v>1</v>
      </c>
      <c r="H7" s="9">
        <v>2</v>
      </c>
      <c r="I7" s="9">
        <v>1</v>
      </c>
      <c r="J7" s="43">
        <v>2</v>
      </c>
      <c r="K7" s="265">
        <f t="shared" si="0"/>
        <v>0.37356464144298934</v>
      </c>
      <c r="L7" s="370" t="str">
        <f>Agriculture!M34</f>
        <v>Estimation using 6.7% conversion to NL (https://ec.europa.eu/eurostat/databrowser/bookmark/ad869a47-4196-4282-b054-0a75caf9373f?lang=en)</v>
      </c>
    </row>
    <row r="8" spans="1:12">
      <c r="A8" s="34" t="str">
        <f>Agriculture!A39</f>
        <v>Agriculture</v>
      </c>
      <c r="B8" s="40">
        <f>Agriculture!C39</f>
        <v>2019</v>
      </c>
      <c r="C8" s="34" t="str">
        <f>Agriculture!D39</f>
        <v>PVC</v>
      </c>
      <c r="D8" s="813">
        <f>Agriculture!E39</f>
        <v>2.3478039356341438</v>
      </c>
      <c r="E8" s="152" t="str">
        <f>Agriculture!F39</f>
        <v>Combined from TNO Sieger Henke and Statistics - APE Europe [WWW Document], n.d. URL https://web.archive.org/web/20230930160250/https://apeeurope.eu/statistics/ (accessed 3.27.24). Using 3.36% conversion to NL</v>
      </c>
      <c r="F8" s="29">
        <v>2</v>
      </c>
      <c r="G8" s="9">
        <v>1</v>
      </c>
      <c r="H8" s="9">
        <v>2</v>
      </c>
      <c r="I8" s="9">
        <v>1</v>
      </c>
      <c r="J8" s="43">
        <v>2</v>
      </c>
      <c r="K8" s="265">
        <f t="shared" si="0"/>
        <v>0.37356464144298934</v>
      </c>
      <c r="L8" s="370" t="str">
        <f>Agriculture!M39</f>
        <v>Estimation using 3.36% conversion to NL (Plastics Europe, 2014)</v>
      </c>
    </row>
    <row r="9" spans="1:12">
      <c r="A9" s="34" t="str">
        <f>Agriculture!A29</f>
        <v>Agriculture</v>
      </c>
      <c r="B9" s="40">
        <f>Agriculture!C29</f>
        <v>2018</v>
      </c>
      <c r="C9" s="34" t="str">
        <f>Agriculture!D29</f>
        <v>PVC</v>
      </c>
      <c r="D9" s="813">
        <f>Agriculture!E29</f>
        <v>2.3385327534831104</v>
      </c>
      <c r="E9" s="152" t="str">
        <f>Agriculture!F29</f>
        <v>Combined from TNO Sieger Henke and Statistics - APE Europe [WWW Document], n.d. URL https://web.archive.org/web/20230930160250/https://apeeurope.eu/statistics/ (accessed 3.27.24). Using 3.36% conversion to NL</v>
      </c>
      <c r="F9" s="29">
        <v>2</v>
      </c>
      <c r="G9" s="9">
        <v>1</v>
      </c>
      <c r="H9" s="9">
        <v>2</v>
      </c>
      <c r="I9" s="9">
        <v>1</v>
      </c>
      <c r="J9" s="43">
        <v>2</v>
      </c>
      <c r="K9" s="265">
        <f t="shared" si="0"/>
        <v>0.37356464144298934</v>
      </c>
      <c r="L9" s="370" t="str">
        <f>Agriculture!M29</f>
        <v>Estimation using 3.36% conversion to NL (Plastics Europe, 2014)</v>
      </c>
    </row>
    <row r="10" spans="1:12">
      <c r="A10" s="34" t="str">
        <f>Agriculture!A48</f>
        <v>Agriculture</v>
      </c>
      <c r="B10" s="40">
        <f>Agriculture!C48</f>
        <v>2019</v>
      </c>
      <c r="C10" s="34" t="str">
        <f>Agriculture!D48</f>
        <v>HDPE</v>
      </c>
      <c r="D10" s="813">
        <f>Agriculture!E48</f>
        <v>0.57869313747088835</v>
      </c>
      <c r="E10" s="152" t="str">
        <f>Agriculture!F48</f>
        <v>Combined from TNO Sieger Henke and Statistics - APE Europe [WWW Document], n.d. URL https://web.archive.org/web/20230930160250/https://apeeurope.eu/statistics/ (accessed 3.27.24). Using 6.7% conversion to NL</v>
      </c>
      <c r="F10" s="29">
        <v>2</v>
      </c>
      <c r="G10" s="9">
        <v>1</v>
      </c>
      <c r="H10" s="9">
        <v>2</v>
      </c>
      <c r="I10" s="9">
        <v>1</v>
      </c>
      <c r="J10" s="43">
        <v>2</v>
      </c>
      <c r="K10" s="265">
        <f t="shared" si="0"/>
        <v>0.37356464144298934</v>
      </c>
      <c r="L10" s="370" t="str">
        <f>Agriculture!M48</f>
        <v>Estimation using 6.7% conversion to NL (https://ec.europa.eu/eurostat/databrowser/bookmark/ad869a47-4196-4282-b054-0a75caf9373f?lang=en)</v>
      </c>
    </row>
    <row r="11" spans="1:12">
      <c r="A11" s="34" t="str">
        <f>Agriculture!A38</f>
        <v>Agriculture</v>
      </c>
      <c r="B11" s="40">
        <f>Agriculture!C38</f>
        <v>2018</v>
      </c>
      <c r="C11" s="34" t="str">
        <f>Agriculture!D38</f>
        <v>HDPE</v>
      </c>
      <c r="D11" s="813">
        <f>Agriculture!E38</f>
        <v>0.57645599641895362</v>
      </c>
      <c r="E11" s="152" t="str">
        <f>Agriculture!F38</f>
        <v>Combined from TNO Sieger Henke and Statistics - APE Europe [WWW Document], n.d. URL https://web.archive.org/web/20230930160250/https://apeeurope.eu/statistics/ (accessed 3.27.24). Using 6.7% conversion to NL</v>
      </c>
      <c r="F11" s="29">
        <v>2</v>
      </c>
      <c r="G11" s="9">
        <v>1</v>
      </c>
      <c r="H11" s="9">
        <v>2</v>
      </c>
      <c r="I11" s="9">
        <v>1</v>
      </c>
      <c r="J11" s="43">
        <v>2</v>
      </c>
      <c r="K11" s="265">
        <f t="shared" si="0"/>
        <v>0.37356464144298934</v>
      </c>
      <c r="L11" s="370" t="str">
        <f>Agriculture!M38</f>
        <v>Estimation using 6.7% conversion to NL (https://ec.europa.eu/eurostat/databrowser/bookmark/ad869a47-4196-4282-b054-0a75caf9373f?lang=en)</v>
      </c>
    </row>
    <row r="12" spans="1:12">
      <c r="A12" s="34" t="str">
        <f>Agriculture!A43</f>
        <v>Agriculture</v>
      </c>
      <c r="B12" s="40">
        <f>Agriculture!C43</f>
        <v>2019</v>
      </c>
      <c r="C12" s="34" t="str">
        <f>Agriculture!D43</f>
        <v>HDPE</v>
      </c>
      <c r="D12" s="813">
        <f>Agriculture!E43</f>
        <v>0.28358905702466886</v>
      </c>
      <c r="E12" s="152" t="str">
        <f>Agriculture!F43</f>
        <v>Combined from TNO Sieger Henke and Statistics - APE Europe [WWW Document], n.d. URL https://web.archive.org/web/20230930160250/https://apeeurope.eu/statistics/ (accessed 3.27.24). Using 3.36% conversion to NL</v>
      </c>
      <c r="F12" s="29">
        <v>2</v>
      </c>
      <c r="G12" s="9">
        <v>1</v>
      </c>
      <c r="H12" s="9">
        <v>2</v>
      </c>
      <c r="I12" s="9">
        <v>1</v>
      </c>
      <c r="J12" s="43">
        <v>2</v>
      </c>
      <c r="K12" s="265">
        <f t="shared" si="0"/>
        <v>0.37356464144298934</v>
      </c>
      <c r="L12" s="370" t="str">
        <f>Agriculture!M43</f>
        <v>Estimation using 3.36% conversion to NL (Plastics Europe, 2014)</v>
      </c>
    </row>
    <row r="13" spans="1:12">
      <c r="A13" s="34" t="str">
        <f>Agriculture!A33</f>
        <v>Agriculture</v>
      </c>
      <c r="B13" s="40">
        <f>Agriculture!C33</f>
        <v>2018</v>
      </c>
      <c r="C13" s="34" t="str">
        <f>Agriculture!D33</f>
        <v>HDPE</v>
      </c>
      <c r="D13" s="813">
        <f>Agriculture!E33</f>
        <v>0.2824691995426149</v>
      </c>
      <c r="E13" s="152" t="str">
        <f>Agriculture!F33</f>
        <v>Combined from TNO Sieger Henke and Statistics - APE Europe [WWW Document], n.d. URL https://web.archive.org/web/20230930160250/https://apeeurope.eu/statistics/ (accessed 3.27.24). Using 3.36% conversion to NL</v>
      </c>
      <c r="F13" s="29">
        <v>2</v>
      </c>
      <c r="G13" s="9">
        <v>1</v>
      </c>
      <c r="H13" s="9">
        <v>2</v>
      </c>
      <c r="I13" s="9">
        <v>1</v>
      </c>
      <c r="J13" s="43">
        <v>2</v>
      </c>
      <c r="K13" s="265">
        <f t="shared" si="0"/>
        <v>0.37356464144298934</v>
      </c>
      <c r="L13" s="370" t="str">
        <f>Agriculture!M33</f>
        <v>Estimation using 3.36% conversion to NL (Plastics Europe, 2014)</v>
      </c>
    </row>
    <row r="14" spans="1:12">
      <c r="A14" s="34" t="str">
        <f>Agriculture!A45</f>
        <v>Agriculture</v>
      </c>
      <c r="B14" s="40">
        <f>Agriculture!C45</f>
        <v>2019</v>
      </c>
      <c r="C14" s="34" t="str">
        <f>Agriculture!D45</f>
        <v>PS</v>
      </c>
      <c r="D14" s="813">
        <f>Agriculture!E45</f>
        <v>0.22754023477239763</v>
      </c>
      <c r="E14" s="152" t="str">
        <f>Agriculture!F45</f>
        <v>Combined from TNO Sieger Henke and Statistics - APE Europe [WWW Document], n.d. URL https://web.archive.org/web/20230930160250/https://apeeurope.eu/statistics/ (accessed 3.27.24). Using 6.7% conversion to NL</v>
      </c>
      <c r="F14" s="29">
        <v>2</v>
      </c>
      <c r="G14" s="9">
        <v>1</v>
      </c>
      <c r="H14" s="9">
        <v>2</v>
      </c>
      <c r="I14" s="9">
        <v>1</v>
      </c>
      <c r="J14" s="43">
        <v>2</v>
      </c>
      <c r="K14" s="265">
        <f t="shared" si="0"/>
        <v>0.37356464144298934</v>
      </c>
      <c r="L14" s="370" t="str">
        <f>Agriculture!M45</f>
        <v>Estimation using 6.7% conversion to NL (https://ec.europa.eu/eurostat/databrowser/bookmark/ad869a47-4196-4282-b054-0a75caf9373f?lang=en)</v>
      </c>
    </row>
    <row r="15" spans="1:12">
      <c r="A15" s="34" t="str">
        <f>Agriculture!A46</f>
        <v>Agriculture</v>
      </c>
      <c r="B15" s="40">
        <f>Agriculture!C46</f>
        <v>2019</v>
      </c>
      <c r="C15" s="34" t="str">
        <f>Agriculture!D46</f>
        <v>PP</v>
      </c>
      <c r="D15" s="813">
        <f>Agriculture!E46</f>
        <v>0.22754023477239763</v>
      </c>
      <c r="E15" s="152" t="str">
        <f>Agriculture!F46</f>
        <v>Combined from TNO Sieger Henke and Statistics - APE Europe [WWW Document], n.d. URL https://web.archive.org/web/20230930160250/https://apeeurope.eu/statistics/ (accessed 3.27.24). Using 6.7% conversion to NL</v>
      </c>
      <c r="F15" s="29">
        <v>2</v>
      </c>
      <c r="G15" s="9">
        <v>1</v>
      </c>
      <c r="H15" s="9">
        <v>2</v>
      </c>
      <c r="I15" s="9">
        <v>1</v>
      </c>
      <c r="J15" s="43">
        <v>2</v>
      </c>
      <c r="K15" s="265">
        <f t="shared" si="0"/>
        <v>0.37356464144298934</v>
      </c>
      <c r="L15" s="370" t="str">
        <f>Agriculture!M46</f>
        <v>Estimation using 6.7% conversion to NL (https://ec.europa.eu/eurostat/databrowser/bookmark/ad869a47-4196-4282-b054-0a75caf9373f?lang=en)</v>
      </c>
    </row>
    <row r="16" spans="1:12">
      <c r="A16" s="34" t="str">
        <f>Agriculture!A35</f>
        <v>Agriculture</v>
      </c>
      <c r="B16" s="40">
        <f>Agriculture!C35</f>
        <v>2018</v>
      </c>
      <c r="C16" s="34" t="str">
        <f>Agriculture!D35</f>
        <v>PS</v>
      </c>
      <c r="D16" s="813">
        <f>Agriculture!E35</f>
        <v>0.22666059828249402</v>
      </c>
      <c r="E16" s="152" t="str">
        <f>Agriculture!F35</f>
        <v>Combined from TNO Sieger Henke and Statistics - APE Europe [WWW Document], n.d. URL https://web.archive.org/web/20230930160250/https://apeeurope.eu/statistics/ (accessed 3.27.24). Using 6.7% conversion to NL</v>
      </c>
      <c r="F16" s="29">
        <v>2</v>
      </c>
      <c r="G16" s="9">
        <v>1</v>
      </c>
      <c r="H16" s="9">
        <v>2</v>
      </c>
      <c r="I16" s="9">
        <v>1</v>
      </c>
      <c r="J16" s="43">
        <v>2</v>
      </c>
      <c r="K16" s="265">
        <f t="shared" si="0"/>
        <v>0.37356464144298934</v>
      </c>
      <c r="L16" s="370" t="str">
        <f>Agriculture!M35</f>
        <v>Estimation using 6.7% conversion to NL (https://ec.europa.eu/eurostat/databrowser/bookmark/ad869a47-4196-4282-b054-0a75caf9373f?lang=en)</v>
      </c>
    </row>
    <row r="17" spans="1:12">
      <c r="A17" s="34" t="str">
        <f>Agriculture!A36</f>
        <v>Agriculture</v>
      </c>
      <c r="B17" s="40">
        <f>Agriculture!C36</f>
        <v>2018</v>
      </c>
      <c r="C17" s="34" t="str">
        <f>Agriculture!D36</f>
        <v>PP</v>
      </c>
      <c r="D17" s="813">
        <f>Agriculture!E36</f>
        <v>0.22666059828249402</v>
      </c>
      <c r="E17" s="152" t="str">
        <f>Agriculture!F36</f>
        <v>Combined from TNO Sieger Henke and Statistics - APE Europe [WWW Document], n.d. URL https://web.archive.org/web/20230930160250/https://apeeurope.eu/statistics/ (accessed 3.27.24). Using 6.7% conversion to NL</v>
      </c>
      <c r="F17" s="29">
        <v>2</v>
      </c>
      <c r="G17" s="9">
        <v>1</v>
      </c>
      <c r="H17" s="9">
        <v>2</v>
      </c>
      <c r="I17" s="9">
        <v>1</v>
      </c>
      <c r="J17" s="43">
        <v>2</v>
      </c>
      <c r="K17" s="265">
        <f t="shared" si="0"/>
        <v>0.37356464144298934</v>
      </c>
      <c r="L17" s="370" t="str">
        <f>Agriculture!M36</f>
        <v>Estimation using 6.7% conversion to NL (https://ec.europa.eu/eurostat/databrowser/bookmark/ad869a47-4196-4282-b054-0a75caf9373f?lang=en)</v>
      </c>
    </row>
    <row r="18" spans="1:12">
      <c r="A18" s="34" t="str">
        <f>Agriculture!A40</f>
        <v>Agriculture</v>
      </c>
      <c r="B18" s="40">
        <f>Agriculture!C40</f>
        <v>2019</v>
      </c>
      <c r="C18" s="34" t="str">
        <f>Agriculture!D40</f>
        <v>PS</v>
      </c>
      <c r="D18" s="813">
        <f>Agriculture!E40</f>
        <v>0.11150628275339129</v>
      </c>
      <c r="E18" s="152" t="str">
        <f>Agriculture!F40</f>
        <v>Combined from TNO Sieger Henke and Statistics - APE Europe [WWW Document], n.d. URL https://web.archive.org/web/20230930160250/https://apeeurope.eu/statistics/ (accessed 3.27.24). Using 3.36% conversion to NL</v>
      </c>
      <c r="F18" s="29">
        <v>2</v>
      </c>
      <c r="G18" s="9">
        <v>1</v>
      </c>
      <c r="H18" s="9">
        <v>2</v>
      </c>
      <c r="I18" s="9">
        <v>1</v>
      </c>
      <c r="J18" s="43">
        <v>2</v>
      </c>
      <c r="K18" s="265">
        <f t="shared" si="0"/>
        <v>0.37356464144298934</v>
      </c>
      <c r="L18" s="370" t="str">
        <f>Agriculture!M40</f>
        <v>Estimation using 3.36% conversion to NL (Plastics Europe, 2014)</v>
      </c>
    </row>
    <row r="19" spans="1:12">
      <c r="A19" s="34" t="str">
        <f>Agriculture!A41</f>
        <v>Agriculture</v>
      </c>
      <c r="B19" s="40">
        <f>Agriculture!C41</f>
        <v>2019</v>
      </c>
      <c r="C19" s="34" t="str">
        <f>Agriculture!D41</f>
        <v>PP</v>
      </c>
      <c r="D19" s="813">
        <f>Agriculture!E41</f>
        <v>0.11150628275339129</v>
      </c>
      <c r="E19" s="152" t="str">
        <f>Agriculture!F41</f>
        <v>Combined from TNO Sieger Henke and Statistics - APE Europe [WWW Document], n.d. URL https://web.archive.org/web/20230930160250/https://apeeurope.eu/statistics/ (accessed 3.27.24). Using 3.36% conversion to NL</v>
      </c>
      <c r="F19" s="29">
        <v>2</v>
      </c>
      <c r="G19" s="9">
        <v>1</v>
      </c>
      <c r="H19" s="9">
        <v>2</v>
      </c>
      <c r="I19" s="9">
        <v>1</v>
      </c>
      <c r="J19" s="43">
        <v>2</v>
      </c>
      <c r="K19" s="265">
        <f t="shared" si="0"/>
        <v>0.37356464144298934</v>
      </c>
      <c r="L19" s="370" t="str">
        <f>Agriculture!M41</f>
        <v>Estimation using 3.36% conversion to NL (Plastics Europe, 2014)</v>
      </c>
    </row>
    <row r="20" spans="1:12">
      <c r="A20" s="34" t="str">
        <f>Agriculture!A30</f>
        <v>Agriculture</v>
      </c>
      <c r="B20" s="40">
        <f>Agriculture!C30</f>
        <v>2018</v>
      </c>
      <c r="C20" s="34" t="str">
        <f>Agriculture!D30</f>
        <v>PS</v>
      </c>
      <c r="D20" s="813">
        <f>Agriculture!E30</f>
        <v>0.11106595848154695</v>
      </c>
      <c r="E20" s="152" t="str">
        <f>Agriculture!F30</f>
        <v>Combined from TNO Sieger Henke and Statistics - APE Europe [WWW Document], n.d. URL https://web.archive.org/web/20230930160250/https://apeeurope.eu/statistics/ (accessed 3.27.24). Using 3.36% conversion to NL</v>
      </c>
      <c r="F20" s="29">
        <v>2</v>
      </c>
      <c r="G20" s="9">
        <v>1</v>
      </c>
      <c r="H20" s="9">
        <v>2</v>
      </c>
      <c r="I20" s="9">
        <v>1</v>
      </c>
      <c r="J20" s="43">
        <v>2</v>
      </c>
      <c r="K20" s="265">
        <f t="shared" si="0"/>
        <v>0.37356464144298934</v>
      </c>
      <c r="L20" s="370" t="str">
        <f>Agriculture!M30</f>
        <v>Estimation using 3.36% conversion to NL (Plastics Europe, 2014)</v>
      </c>
    </row>
    <row r="21" spans="1:12" ht="15.75" thickBot="1">
      <c r="A21" s="35" t="str">
        <f>Agriculture!A31</f>
        <v>Agriculture</v>
      </c>
      <c r="B21" s="41">
        <f>Agriculture!C31</f>
        <v>2018</v>
      </c>
      <c r="C21" s="35" t="str">
        <f>Agriculture!D31</f>
        <v>PP</v>
      </c>
      <c r="D21" s="816">
        <f>Agriculture!E31</f>
        <v>0.11106595848154695</v>
      </c>
      <c r="E21" s="153" t="str">
        <f>Agriculture!F31</f>
        <v>Combined from TNO Sieger Henke and Statistics - APE Europe [WWW Document], n.d. URL https://web.archive.org/web/20230930160250/https://apeeurope.eu/statistics/ (accessed 3.27.24). Using 3.36% conversion to NL</v>
      </c>
      <c r="F21" s="30">
        <v>2</v>
      </c>
      <c r="G21" s="12">
        <v>1</v>
      </c>
      <c r="H21" s="12">
        <v>2</v>
      </c>
      <c r="I21" s="12">
        <v>1</v>
      </c>
      <c r="J21" s="44">
        <v>2</v>
      </c>
      <c r="K21" s="266">
        <f t="shared" si="0"/>
        <v>0.37356464144298934</v>
      </c>
      <c r="L21" s="441" t="str">
        <f>Agriculture!M31</f>
        <v>Estimation using 3.36% conversion to NL (Plastics Europe, 2014)</v>
      </c>
    </row>
    <row r="22" spans="1:12">
      <c r="A22" s="33" t="s">
        <v>116</v>
      </c>
      <c r="B22" s="39">
        <v>2019</v>
      </c>
      <c r="C22" s="33" t="s">
        <v>99</v>
      </c>
      <c r="D22" s="812">
        <v>22.768900000000002</v>
      </c>
      <c r="E22" s="151" t="s">
        <v>117</v>
      </c>
      <c r="F22" s="28">
        <v>1</v>
      </c>
      <c r="G22" s="11">
        <v>1</v>
      </c>
      <c r="H22" s="11">
        <v>2</v>
      </c>
      <c r="I22" s="11">
        <v>3</v>
      </c>
      <c r="J22" s="42">
        <v>2</v>
      </c>
      <c r="K22" s="264">
        <f t="shared" si="0"/>
        <v>0.48935255543384243</v>
      </c>
      <c r="L22" s="163"/>
    </row>
    <row r="23" spans="1:12">
      <c r="A23" s="34" t="s">
        <v>116</v>
      </c>
      <c r="B23" s="40">
        <v>2019</v>
      </c>
      <c r="C23" s="34" t="s">
        <v>103</v>
      </c>
      <c r="D23" s="813">
        <v>3.5484</v>
      </c>
      <c r="E23" s="152" t="s">
        <v>117</v>
      </c>
      <c r="F23" s="29">
        <v>1</v>
      </c>
      <c r="G23" s="9">
        <v>1</v>
      </c>
      <c r="H23" s="9">
        <v>2</v>
      </c>
      <c r="I23" s="9">
        <v>3</v>
      </c>
      <c r="J23" s="43">
        <v>2</v>
      </c>
      <c r="K23" s="265">
        <f t="shared" si="0"/>
        <v>0.48935255543384243</v>
      </c>
      <c r="L23" s="164"/>
    </row>
    <row r="24" spans="1:12">
      <c r="A24" s="34" t="s">
        <v>116</v>
      </c>
      <c r="B24" s="40">
        <v>2019</v>
      </c>
      <c r="C24" s="34" t="s">
        <v>107</v>
      </c>
      <c r="D24" s="813">
        <v>2.6612999999999998</v>
      </c>
      <c r="E24" s="152" t="s">
        <v>117</v>
      </c>
      <c r="F24" s="29">
        <v>1</v>
      </c>
      <c r="G24" s="9">
        <v>1</v>
      </c>
      <c r="H24" s="9">
        <v>2</v>
      </c>
      <c r="I24" s="9">
        <v>3</v>
      </c>
      <c r="J24" s="43">
        <v>2</v>
      </c>
      <c r="K24" s="265">
        <f t="shared" si="0"/>
        <v>0.48935255543384243</v>
      </c>
      <c r="L24" s="164"/>
    </row>
    <row r="25" spans="1:12">
      <c r="A25" s="34" t="s">
        <v>116</v>
      </c>
      <c r="B25" s="40">
        <v>2019</v>
      </c>
      <c r="C25" s="34" t="s">
        <v>94</v>
      </c>
      <c r="D25" s="813">
        <v>0.29570000000000002</v>
      </c>
      <c r="E25" s="152" t="s">
        <v>117</v>
      </c>
      <c r="F25" s="29">
        <v>1</v>
      </c>
      <c r="G25" s="9">
        <v>1</v>
      </c>
      <c r="H25" s="9">
        <v>2</v>
      </c>
      <c r="I25" s="9">
        <v>3</v>
      </c>
      <c r="J25" s="43">
        <v>2</v>
      </c>
      <c r="K25" s="265">
        <f t="shared" si="0"/>
        <v>0.48935255543384243</v>
      </c>
      <c r="L25" s="164"/>
    </row>
    <row r="26" spans="1:12" ht="15.75" thickBot="1">
      <c r="A26" s="35" t="s">
        <v>116</v>
      </c>
      <c r="B26" s="41">
        <v>2019</v>
      </c>
      <c r="C26" s="35" t="s">
        <v>95</v>
      </c>
      <c r="D26" s="816">
        <v>0.29570000000000002</v>
      </c>
      <c r="E26" s="153" t="s">
        <v>117</v>
      </c>
      <c r="F26" s="30">
        <v>1</v>
      </c>
      <c r="G26" s="12">
        <v>1</v>
      </c>
      <c r="H26" s="12">
        <v>2</v>
      </c>
      <c r="I26" s="12">
        <v>3</v>
      </c>
      <c r="J26" s="44">
        <v>2</v>
      </c>
      <c r="K26" s="266">
        <f t="shared" si="0"/>
        <v>0.48935255543384243</v>
      </c>
      <c r="L26" s="165"/>
    </row>
    <row r="27" spans="1:12">
      <c r="A27" s="60" t="s">
        <v>118</v>
      </c>
      <c r="B27" s="824">
        <v>1995</v>
      </c>
      <c r="C27" s="825" t="s">
        <v>93</v>
      </c>
      <c r="D27" s="825">
        <v>1435</v>
      </c>
      <c r="E27" s="442" t="s">
        <v>119</v>
      </c>
      <c r="F27" s="631">
        <v>1</v>
      </c>
      <c r="G27" s="118">
        <v>1</v>
      </c>
      <c r="H27" s="118">
        <v>1</v>
      </c>
      <c r="I27" s="118">
        <v>2</v>
      </c>
      <c r="J27" s="678">
        <v>2</v>
      </c>
      <c r="K27" s="589">
        <f t="shared" si="0"/>
        <v>0.35859414261160716</v>
      </c>
      <c r="L27" s="670" t="s">
        <v>120</v>
      </c>
    </row>
    <row r="28" spans="1:12">
      <c r="A28" s="34" t="s">
        <v>118</v>
      </c>
      <c r="B28" s="344">
        <v>1995</v>
      </c>
      <c r="C28" s="59" t="s">
        <v>94</v>
      </c>
      <c r="D28" s="59">
        <v>290</v>
      </c>
      <c r="E28" s="370" t="s">
        <v>119</v>
      </c>
      <c r="F28" s="122">
        <v>1</v>
      </c>
      <c r="G28" s="9">
        <v>1</v>
      </c>
      <c r="H28" s="9">
        <v>1</v>
      </c>
      <c r="I28" s="9">
        <v>2</v>
      </c>
      <c r="J28" s="43">
        <v>2</v>
      </c>
      <c r="K28" s="265">
        <f t="shared" si="0"/>
        <v>0.35859414261160716</v>
      </c>
      <c r="L28" s="164" t="s">
        <v>120</v>
      </c>
    </row>
    <row r="29" spans="1:12">
      <c r="A29" s="34" t="s">
        <v>118</v>
      </c>
      <c r="B29" s="344">
        <v>1995</v>
      </c>
      <c r="C29" s="59" t="s">
        <v>95</v>
      </c>
      <c r="D29" s="59">
        <v>852</v>
      </c>
      <c r="E29" s="370" t="s">
        <v>119</v>
      </c>
      <c r="F29" s="122">
        <v>1</v>
      </c>
      <c r="G29" s="9">
        <v>1</v>
      </c>
      <c r="H29" s="9">
        <v>1</v>
      </c>
      <c r="I29" s="9">
        <v>2</v>
      </c>
      <c r="J29" s="43">
        <v>2</v>
      </c>
      <c r="K29" s="265">
        <f t="shared" si="0"/>
        <v>0.35859414261160716</v>
      </c>
      <c r="L29" s="164" t="s">
        <v>120</v>
      </c>
    </row>
    <row r="30" spans="1:12">
      <c r="A30" s="34" t="s">
        <v>118</v>
      </c>
      <c r="B30" s="344">
        <v>1995</v>
      </c>
      <c r="C30" s="59" t="s">
        <v>96</v>
      </c>
      <c r="D30" s="59">
        <v>4</v>
      </c>
      <c r="E30" s="370" t="s">
        <v>119</v>
      </c>
      <c r="F30" s="122">
        <v>1</v>
      </c>
      <c r="G30" s="9">
        <v>1</v>
      </c>
      <c r="H30" s="9">
        <v>1</v>
      </c>
      <c r="I30" s="9">
        <v>2</v>
      </c>
      <c r="J30" s="43">
        <v>2</v>
      </c>
      <c r="K30" s="265">
        <f t="shared" si="0"/>
        <v>0.35859414261160716</v>
      </c>
      <c r="L30" s="164" t="s">
        <v>120</v>
      </c>
    </row>
    <row r="31" spans="1:12">
      <c r="A31" s="34" t="s">
        <v>118</v>
      </c>
      <c r="B31" s="344">
        <v>1995</v>
      </c>
      <c r="C31" s="59" t="s">
        <v>97</v>
      </c>
      <c r="D31" s="59">
        <v>191</v>
      </c>
      <c r="E31" s="370" t="s">
        <v>119</v>
      </c>
      <c r="F31" s="122">
        <v>1</v>
      </c>
      <c r="G31" s="9">
        <v>1</v>
      </c>
      <c r="H31" s="9">
        <v>1</v>
      </c>
      <c r="I31" s="9">
        <v>2</v>
      </c>
      <c r="J31" s="43">
        <v>2</v>
      </c>
      <c r="K31" s="265">
        <f t="shared" si="0"/>
        <v>0.35859414261160716</v>
      </c>
      <c r="L31" s="164" t="s">
        <v>120</v>
      </c>
    </row>
    <row r="32" spans="1:12">
      <c r="A32" s="34" t="s">
        <v>118</v>
      </c>
      <c r="B32" s="344">
        <v>1995</v>
      </c>
      <c r="C32" s="59" t="s">
        <v>98</v>
      </c>
      <c r="D32" s="59">
        <v>610</v>
      </c>
      <c r="E32" s="370" t="s">
        <v>119</v>
      </c>
      <c r="F32" s="122">
        <v>1</v>
      </c>
      <c r="G32" s="9">
        <v>1</v>
      </c>
      <c r="H32" s="9">
        <v>1</v>
      </c>
      <c r="I32" s="9">
        <v>2</v>
      </c>
      <c r="J32" s="43">
        <v>2</v>
      </c>
      <c r="K32" s="265">
        <f t="shared" si="0"/>
        <v>0.35859414261160716</v>
      </c>
      <c r="L32" s="164" t="s">
        <v>120</v>
      </c>
    </row>
    <row r="33" spans="1:12">
      <c r="A33" s="34" t="s">
        <v>118</v>
      </c>
      <c r="B33" s="344">
        <v>1995</v>
      </c>
      <c r="C33" s="59" t="s">
        <v>99</v>
      </c>
      <c r="D33" s="59">
        <v>0</v>
      </c>
      <c r="E33" s="370" t="s">
        <v>119</v>
      </c>
      <c r="F33" s="122">
        <v>1</v>
      </c>
      <c r="G33" s="9">
        <v>1</v>
      </c>
      <c r="H33" s="9">
        <v>1</v>
      </c>
      <c r="I33" s="9">
        <v>2</v>
      </c>
      <c r="J33" s="43">
        <v>2</v>
      </c>
      <c r="K33" s="265">
        <f t="shared" si="0"/>
        <v>0.35859414261160716</v>
      </c>
      <c r="L33" s="164" t="s">
        <v>120</v>
      </c>
    </row>
    <row r="34" spans="1:12">
      <c r="A34" s="34" t="s">
        <v>118</v>
      </c>
      <c r="B34" s="344">
        <v>1995</v>
      </c>
      <c r="C34" s="59" t="s">
        <v>102</v>
      </c>
      <c r="D34" s="59">
        <v>144</v>
      </c>
      <c r="E34" s="370" t="s">
        <v>119</v>
      </c>
      <c r="F34" s="122">
        <v>1</v>
      </c>
      <c r="G34" s="9">
        <v>1</v>
      </c>
      <c r="H34" s="9">
        <v>1</v>
      </c>
      <c r="I34" s="9">
        <v>2</v>
      </c>
      <c r="J34" s="43">
        <v>2</v>
      </c>
      <c r="K34" s="265">
        <f t="shared" si="0"/>
        <v>0.35859414261160716</v>
      </c>
      <c r="L34" s="164" t="s">
        <v>120</v>
      </c>
    </row>
    <row r="35" spans="1:12">
      <c r="A35" s="34" t="s">
        <v>118</v>
      </c>
      <c r="B35" s="344">
        <v>1995</v>
      </c>
      <c r="C35" s="59" t="s">
        <v>104</v>
      </c>
      <c r="D35" s="59">
        <v>337</v>
      </c>
      <c r="E35" s="370" t="s">
        <v>119</v>
      </c>
      <c r="F35" s="122">
        <v>1</v>
      </c>
      <c r="G35" s="9">
        <v>1</v>
      </c>
      <c r="H35" s="9">
        <v>1</v>
      </c>
      <c r="I35" s="9">
        <v>2</v>
      </c>
      <c r="J35" s="43">
        <v>2</v>
      </c>
      <c r="K35" s="265">
        <f t="shared" si="0"/>
        <v>0.35859414261160716</v>
      </c>
      <c r="L35" s="164" t="s">
        <v>120</v>
      </c>
    </row>
    <row r="36" spans="1:12">
      <c r="A36" s="34" t="s">
        <v>118</v>
      </c>
      <c r="B36" s="344">
        <v>1995</v>
      </c>
      <c r="C36" s="59" t="s">
        <v>105</v>
      </c>
      <c r="D36" s="59">
        <v>233</v>
      </c>
      <c r="E36" s="370" t="s">
        <v>119</v>
      </c>
      <c r="F36" s="122">
        <v>1</v>
      </c>
      <c r="G36" s="9">
        <v>1</v>
      </c>
      <c r="H36" s="9">
        <v>1</v>
      </c>
      <c r="I36" s="9">
        <v>2</v>
      </c>
      <c r="J36" s="43">
        <v>2</v>
      </c>
      <c r="K36" s="265">
        <f t="shared" si="0"/>
        <v>0.35859414261160716</v>
      </c>
      <c r="L36" s="164" t="s">
        <v>120</v>
      </c>
    </row>
    <row r="37" spans="1:12">
      <c r="A37" s="34" t="s">
        <v>118</v>
      </c>
      <c r="B37" s="344">
        <v>1995</v>
      </c>
      <c r="C37" s="59" t="s">
        <v>103</v>
      </c>
      <c r="D37" s="59">
        <v>200</v>
      </c>
      <c r="E37" s="370" t="s">
        <v>119</v>
      </c>
      <c r="F37" s="122">
        <v>1</v>
      </c>
      <c r="G37" s="9">
        <v>1</v>
      </c>
      <c r="H37" s="9">
        <v>1</v>
      </c>
      <c r="I37" s="9">
        <v>2</v>
      </c>
      <c r="J37" s="43">
        <v>2</v>
      </c>
      <c r="K37" s="265">
        <f t="shared" si="0"/>
        <v>0.35859414261160716</v>
      </c>
      <c r="L37" s="164" t="s">
        <v>120</v>
      </c>
    </row>
    <row r="38" spans="1:12">
      <c r="A38" s="34" t="s">
        <v>118</v>
      </c>
      <c r="B38" s="344">
        <v>1995</v>
      </c>
      <c r="C38" s="59" t="s">
        <v>101</v>
      </c>
      <c r="D38" s="59">
        <v>98</v>
      </c>
      <c r="E38" s="370" t="s">
        <v>119</v>
      </c>
      <c r="F38" s="122">
        <v>1</v>
      </c>
      <c r="G38" s="9">
        <v>1</v>
      </c>
      <c r="H38" s="9">
        <v>1</v>
      </c>
      <c r="I38" s="9">
        <v>2</v>
      </c>
      <c r="J38" s="43">
        <v>2</v>
      </c>
      <c r="K38" s="265">
        <f t="shared" si="0"/>
        <v>0.35859414261160716</v>
      </c>
      <c r="L38" s="164" t="s">
        <v>120</v>
      </c>
    </row>
    <row r="39" spans="1:12">
      <c r="A39" s="34" t="s">
        <v>118</v>
      </c>
      <c r="B39" s="344">
        <v>1995</v>
      </c>
      <c r="C39" s="59" t="s">
        <v>106</v>
      </c>
      <c r="D39" s="59">
        <v>1106</v>
      </c>
      <c r="E39" s="370" t="s">
        <v>119</v>
      </c>
      <c r="F39" s="122">
        <v>1</v>
      </c>
      <c r="G39" s="9">
        <v>1</v>
      </c>
      <c r="H39" s="9">
        <v>1</v>
      </c>
      <c r="I39" s="9">
        <v>2</v>
      </c>
      <c r="J39" s="43">
        <v>2</v>
      </c>
      <c r="K39" s="265">
        <f t="shared" si="0"/>
        <v>0.35859414261160716</v>
      </c>
      <c r="L39" s="164" t="s">
        <v>120</v>
      </c>
    </row>
    <row r="40" spans="1:12">
      <c r="A40" s="34" t="s">
        <v>118</v>
      </c>
      <c r="B40" s="344">
        <v>1996</v>
      </c>
      <c r="C40" s="59" t="s">
        <v>93</v>
      </c>
      <c r="D40" s="59">
        <v>1435</v>
      </c>
      <c r="E40" s="370" t="s">
        <v>119</v>
      </c>
      <c r="F40" s="122">
        <v>1</v>
      </c>
      <c r="G40" s="9">
        <v>1</v>
      </c>
      <c r="H40" s="9">
        <v>1</v>
      </c>
      <c r="I40" s="9">
        <v>2</v>
      </c>
      <c r="J40" s="43">
        <v>2</v>
      </c>
      <c r="K40" s="265">
        <f t="shared" si="0"/>
        <v>0.35859414261160716</v>
      </c>
      <c r="L40" s="164" t="s">
        <v>120</v>
      </c>
    </row>
    <row r="41" spans="1:12">
      <c r="A41" s="34" t="s">
        <v>118</v>
      </c>
      <c r="B41" s="344">
        <v>1996</v>
      </c>
      <c r="C41" s="59" t="s">
        <v>94</v>
      </c>
      <c r="D41" s="59">
        <v>290</v>
      </c>
      <c r="E41" s="370" t="s">
        <v>119</v>
      </c>
      <c r="F41" s="122">
        <v>1</v>
      </c>
      <c r="G41" s="9">
        <v>1</v>
      </c>
      <c r="H41" s="9">
        <v>1</v>
      </c>
      <c r="I41" s="9">
        <v>2</v>
      </c>
      <c r="J41" s="43">
        <v>2</v>
      </c>
      <c r="K41" s="265">
        <f t="shared" si="0"/>
        <v>0.35859414261160716</v>
      </c>
      <c r="L41" s="164" t="s">
        <v>120</v>
      </c>
    </row>
    <row r="42" spans="1:12">
      <c r="A42" s="34" t="s">
        <v>118</v>
      </c>
      <c r="B42" s="344">
        <v>1996</v>
      </c>
      <c r="C42" s="59" t="s">
        <v>95</v>
      </c>
      <c r="D42" s="59">
        <v>852</v>
      </c>
      <c r="E42" s="370" t="s">
        <v>119</v>
      </c>
      <c r="F42" s="122">
        <v>1</v>
      </c>
      <c r="G42" s="9">
        <v>1</v>
      </c>
      <c r="H42" s="9">
        <v>1</v>
      </c>
      <c r="I42" s="9">
        <v>2</v>
      </c>
      <c r="J42" s="43">
        <v>2</v>
      </c>
      <c r="K42" s="265">
        <f t="shared" si="0"/>
        <v>0.35859414261160716</v>
      </c>
      <c r="L42" s="164" t="s">
        <v>120</v>
      </c>
    </row>
    <row r="43" spans="1:12">
      <c r="A43" s="34" t="s">
        <v>118</v>
      </c>
      <c r="B43" s="344">
        <v>1996</v>
      </c>
      <c r="C43" s="59" t="s">
        <v>96</v>
      </c>
      <c r="D43" s="59">
        <v>4</v>
      </c>
      <c r="E43" s="370" t="s">
        <v>119</v>
      </c>
      <c r="F43" s="122">
        <v>1</v>
      </c>
      <c r="G43" s="9">
        <v>1</v>
      </c>
      <c r="H43" s="9">
        <v>1</v>
      </c>
      <c r="I43" s="9">
        <v>2</v>
      </c>
      <c r="J43" s="43">
        <v>2</v>
      </c>
      <c r="K43" s="265">
        <f t="shared" si="0"/>
        <v>0.35859414261160716</v>
      </c>
      <c r="L43" s="164" t="s">
        <v>120</v>
      </c>
    </row>
    <row r="44" spans="1:12">
      <c r="A44" s="34" t="s">
        <v>118</v>
      </c>
      <c r="B44" s="344">
        <v>1996</v>
      </c>
      <c r="C44" s="59" t="s">
        <v>97</v>
      </c>
      <c r="D44" s="59">
        <v>191</v>
      </c>
      <c r="E44" s="370" t="s">
        <v>119</v>
      </c>
      <c r="F44" s="122">
        <v>1</v>
      </c>
      <c r="G44" s="9">
        <v>1</v>
      </c>
      <c r="H44" s="9">
        <v>1</v>
      </c>
      <c r="I44" s="9">
        <v>2</v>
      </c>
      <c r="J44" s="43">
        <v>2</v>
      </c>
      <c r="K44" s="265">
        <f t="shared" si="0"/>
        <v>0.35859414261160716</v>
      </c>
      <c r="L44" s="164" t="s">
        <v>120</v>
      </c>
    </row>
    <row r="45" spans="1:12">
      <c r="A45" s="34" t="s">
        <v>118</v>
      </c>
      <c r="B45" s="344">
        <v>1996</v>
      </c>
      <c r="C45" s="59" t="s">
        <v>98</v>
      </c>
      <c r="D45" s="59">
        <v>610</v>
      </c>
      <c r="E45" s="370" t="s">
        <v>119</v>
      </c>
      <c r="F45" s="122">
        <v>1</v>
      </c>
      <c r="G45" s="9">
        <v>1</v>
      </c>
      <c r="H45" s="9">
        <v>1</v>
      </c>
      <c r="I45" s="9">
        <v>2</v>
      </c>
      <c r="J45" s="43">
        <v>2</v>
      </c>
      <c r="K45" s="265">
        <f t="shared" si="0"/>
        <v>0.35859414261160716</v>
      </c>
      <c r="L45" s="164" t="s">
        <v>120</v>
      </c>
    </row>
    <row r="46" spans="1:12">
      <c r="A46" s="34" t="s">
        <v>118</v>
      </c>
      <c r="B46" s="344">
        <v>1996</v>
      </c>
      <c r="C46" s="59" t="s">
        <v>99</v>
      </c>
      <c r="D46" s="59">
        <v>0</v>
      </c>
      <c r="E46" s="370" t="s">
        <v>119</v>
      </c>
      <c r="F46" s="122">
        <v>1</v>
      </c>
      <c r="G46" s="9">
        <v>1</v>
      </c>
      <c r="H46" s="9">
        <v>1</v>
      </c>
      <c r="I46" s="9">
        <v>2</v>
      </c>
      <c r="J46" s="43">
        <v>2</v>
      </c>
      <c r="K46" s="265">
        <f t="shared" si="0"/>
        <v>0.35859414261160716</v>
      </c>
      <c r="L46" s="164" t="s">
        <v>120</v>
      </c>
    </row>
    <row r="47" spans="1:12">
      <c r="A47" s="34" t="s">
        <v>118</v>
      </c>
      <c r="B47" s="344">
        <v>1996</v>
      </c>
      <c r="C47" s="59" t="s">
        <v>102</v>
      </c>
      <c r="D47" s="59">
        <v>149</v>
      </c>
      <c r="E47" s="370" t="s">
        <v>119</v>
      </c>
      <c r="F47" s="122">
        <v>1</v>
      </c>
      <c r="G47" s="9">
        <v>1</v>
      </c>
      <c r="H47" s="9">
        <v>1</v>
      </c>
      <c r="I47" s="9">
        <v>2</v>
      </c>
      <c r="J47" s="43">
        <v>2</v>
      </c>
      <c r="K47" s="265">
        <f t="shared" si="0"/>
        <v>0.35859414261160716</v>
      </c>
      <c r="L47" s="164" t="s">
        <v>120</v>
      </c>
    </row>
    <row r="48" spans="1:12">
      <c r="A48" s="34" t="s">
        <v>118</v>
      </c>
      <c r="B48" s="344">
        <v>1996</v>
      </c>
      <c r="C48" s="59" t="s">
        <v>104</v>
      </c>
      <c r="D48" s="59">
        <v>337</v>
      </c>
      <c r="E48" s="370" t="s">
        <v>119</v>
      </c>
      <c r="F48" s="122">
        <v>1</v>
      </c>
      <c r="G48" s="9">
        <v>1</v>
      </c>
      <c r="H48" s="9">
        <v>1</v>
      </c>
      <c r="I48" s="9">
        <v>2</v>
      </c>
      <c r="J48" s="43">
        <v>2</v>
      </c>
      <c r="K48" s="265">
        <f t="shared" si="0"/>
        <v>0.35859414261160716</v>
      </c>
      <c r="L48" s="164" t="s">
        <v>120</v>
      </c>
    </row>
    <row r="49" spans="1:12">
      <c r="A49" s="34" t="s">
        <v>118</v>
      </c>
      <c r="B49" s="344">
        <v>1996</v>
      </c>
      <c r="C49" s="59" t="s">
        <v>105</v>
      </c>
      <c r="D49" s="59">
        <v>233</v>
      </c>
      <c r="E49" s="370" t="s">
        <v>119</v>
      </c>
      <c r="F49" s="122">
        <v>1</v>
      </c>
      <c r="G49" s="9">
        <v>1</v>
      </c>
      <c r="H49" s="9">
        <v>1</v>
      </c>
      <c r="I49" s="9">
        <v>2</v>
      </c>
      <c r="J49" s="43">
        <v>2</v>
      </c>
      <c r="K49" s="265">
        <f t="shared" si="0"/>
        <v>0.35859414261160716</v>
      </c>
      <c r="L49" s="164" t="s">
        <v>120</v>
      </c>
    </row>
    <row r="50" spans="1:12">
      <c r="A50" s="34" t="s">
        <v>118</v>
      </c>
      <c r="B50" s="344">
        <v>1996</v>
      </c>
      <c r="C50" s="59" t="s">
        <v>103</v>
      </c>
      <c r="D50" s="59">
        <v>200</v>
      </c>
      <c r="E50" s="370" t="s">
        <v>119</v>
      </c>
      <c r="F50" s="122">
        <v>1</v>
      </c>
      <c r="G50" s="9">
        <v>1</v>
      </c>
      <c r="H50" s="9">
        <v>1</v>
      </c>
      <c r="I50" s="9">
        <v>2</v>
      </c>
      <c r="J50" s="43">
        <v>2</v>
      </c>
      <c r="K50" s="265">
        <f t="shared" si="0"/>
        <v>0.35859414261160716</v>
      </c>
      <c r="L50" s="164" t="s">
        <v>120</v>
      </c>
    </row>
    <row r="51" spans="1:12">
      <c r="A51" s="34" t="s">
        <v>118</v>
      </c>
      <c r="B51" s="344">
        <v>1996</v>
      </c>
      <c r="C51" s="59" t="s">
        <v>101</v>
      </c>
      <c r="D51" s="59">
        <v>98</v>
      </c>
      <c r="E51" s="370" t="s">
        <v>119</v>
      </c>
      <c r="F51" s="122">
        <v>1</v>
      </c>
      <c r="G51" s="9">
        <v>1</v>
      </c>
      <c r="H51" s="9">
        <v>1</v>
      </c>
      <c r="I51" s="9">
        <v>2</v>
      </c>
      <c r="J51" s="43">
        <v>2</v>
      </c>
      <c r="K51" s="265">
        <f t="shared" si="0"/>
        <v>0.35859414261160716</v>
      </c>
      <c r="L51" s="164" t="s">
        <v>120</v>
      </c>
    </row>
    <row r="52" spans="1:12">
      <c r="A52" s="34" t="s">
        <v>118</v>
      </c>
      <c r="B52" s="344">
        <v>1996</v>
      </c>
      <c r="C52" s="59" t="s">
        <v>106</v>
      </c>
      <c r="D52" s="59">
        <v>1106</v>
      </c>
      <c r="E52" s="370" t="s">
        <v>119</v>
      </c>
      <c r="F52" s="122">
        <v>1</v>
      </c>
      <c r="G52" s="9">
        <v>1</v>
      </c>
      <c r="H52" s="9">
        <v>1</v>
      </c>
      <c r="I52" s="9">
        <v>2</v>
      </c>
      <c r="J52" s="43">
        <v>2</v>
      </c>
      <c r="K52" s="265">
        <f t="shared" si="0"/>
        <v>0.35859414261160716</v>
      </c>
      <c r="L52" s="164" t="s">
        <v>120</v>
      </c>
    </row>
    <row r="53" spans="1:12">
      <c r="A53" s="34" t="s">
        <v>118</v>
      </c>
      <c r="B53" s="344">
        <v>1997</v>
      </c>
      <c r="C53" s="59" t="s">
        <v>93</v>
      </c>
      <c r="D53" s="59">
        <v>1435</v>
      </c>
      <c r="E53" s="370" t="s">
        <v>119</v>
      </c>
      <c r="F53" s="122">
        <v>1</v>
      </c>
      <c r="G53" s="9">
        <v>1</v>
      </c>
      <c r="H53" s="9">
        <v>1</v>
      </c>
      <c r="I53" s="9">
        <v>2</v>
      </c>
      <c r="J53" s="43">
        <v>2</v>
      </c>
      <c r="K53" s="265">
        <f t="shared" si="0"/>
        <v>0.35859414261160716</v>
      </c>
      <c r="L53" s="164" t="s">
        <v>120</v>
      </c>
    </row>
    <row r="54" spans="1:12">
      <c r="A54" s="34" t="s">
        <v>118</v>
      </c>
      <c r="B54" s="344">
        <v>1997</v>
      </c>
      <c r="C54" s="59" t="s">
        <v>94</v>
      </c>
      <c r="D54" s="59">
        <v>290</v>
      </c>
      <c r="E54" s="370" t="s">
        <v>119</v>
      </c>
      <c r="F54" s="122">
        <v>1</v>
      </c>
      <c r="G54" s="9">
        <v>1</v>
      </c>
      <c r="H54" s="9">
        <v>1</v>
      </c>
      <c r="I54" s="9">
        <v>2</v>
      </c>
      <c r="J54" s="43">
        <v>2</v>
      </c>
      <c r="K54" s="265">
        <f t="shared" si="0"/>
        <v>0.35859414261160716</v>
      </c>
      <c r="L54" s="164" t="s">
        <v>120</v>
      </c>
    </row>
    <row r="55" spans="1:12">
      <c r="A55" s="34" t="s">
        <v>118</v>
      </c>
      <c r="B55" s="344">
        <v>1997</v>
      </c>
      <c r="C55" s="59" t="s">
        <v>95</v>
      </c>
      <c r="D55" s="59">
        <v>852</v>
      </c>
      <c r="E55" s="370" t="s">
        <v>119</v>
      </c>
      <c r="F55" s="122">
        <v>1</v>
      </c>
      <c r="G55" s="9">
        <v>1</v>
      </c>
      <c r="H55" s="9">
        <v>1</v>
      </c>
      <c r="I55" s="9">
        <v>2</v>
      </c>
      <c r="J55" s="43">
        <v>2</v>
      </c>
      <c r="K55" s="265">
        <f t="shared" si="0"/>
        <v>0.35859414261160716</v>
      </c>
      <c r="L55" s="164" t="s">
        <v>120</v>
      </c>
    </row>
    <row r="56" spans="1:12">
      <c r="A56" s="34" t="s">
        <v>118</v>
      </c>
      <c r="B56" s="344">
        <v>1997</v>
      </c>
      <c r="C56" s="59" t="s">
        <v>96</v>
      </c>
      <c r="D56" s="59">
        <v>38</v>
      </c>
      <c r="E56" s="370" t="s">
        <v>119</v>
      </c>
      <c r="F56" s="122">
        <v>1</v>
      </c>
      <c r="G56" s="9">
        <v>1</v>
      </c>
      <c r="H56" s="9">
        <v>1</v>
      </c>
      <c r="I56" s="9">
        <v>2</v>
      </c>
      <c r="J56" s="43">
        <v>2</v>
      </c>
      <c r="K56" s="265">
        <f t="shared" si="0"/>
        <v>0.35859414261160716</v>
      </c>
      <c r="L56" s="164" t="s">
        <v>120</v>
      </c>
    </row>
    <row r="57" spans="1:12">
      <c r="A57" s="34" t="s">
        <v>118</v>
      </c>
      <c r="B57" s="344">
        <v>1997</v>
      </c>
      <c r="C57" s="59" t="s">
        <v>97</v>
      </c>
      <c r="D57" s="59">
        <v>191</v>
      </c>
      <c r="E57" s="370" t="s">
        <v>119</v>
      </c>
      <c r="F57" s="122">
        <v>1</v>
      </c>
      <c r="G57" s="9">
        <v>1</v>
      </c>
      <c r="H57" s="9">
        <v>1</v>
      </c>
      <c r="I57" s="9">
        <v>2</v>
      </c>
      <c r="J57" s="43">
        <v>2</v>
      </c>
      <c r="K57" s="265">
        <f t="shared" si="0"/>
        <v>0.35859414261160716</v>
      </c>
      <c r="L57" s="164" t="s">
        <v>120</v>
      </c>
    </row>
    <row r="58" spans="1:12">
      <c r="A58" s="34" t="s">
        <v>118</v>
      </c>
      <c r="B58" s="344">
        <v>1997</v>
      </c>
      <c r="C58" s="59" t="s">
        <v>98</v>
      </c>
      <c r="D58" s="59">
        <v>610</v>
      </c>
      <c r="E58" s="370" t="s">
        <v>119</v>
      </c>
      <c r="F58" s="122">
        <v>1</v>
      </c>
      <c r="G58" s="9">
        <v>1</v>
      </c>
      <c r="H58" s="9">
        <v>1</v>
      </c>
      <c r="I58" s="9">
        <v>2</v>
      </c>
      <c r="J58" s="43">
        <v>2</v>
      </c>
      <c r="K58" s="265">
        <f t="shared" si="0"/>
        <v>0.35859414261160716</v>
      </c>
      <c r="L58" s="164" t="s">
        <v>120</v>
      </c>
    </row>
    <row r="59" spans="1:12">
      <c r="A59" s="34" t="s">
        <v>118</v>
      </c>
      <c r="B59" s="344">
        <v>1997</v>
      </c>
      <c r="C59" s="59" t="s">
        <v>99</v>
      </c>
      <c r="D59" s="59">
        <v>0</v>
      </c>
      <c r="E59" s="370" t="s">
        <v>119</v>
      </c>
      <c r="F59" s="122">
        <v>1</v>
      </c>
      <c r="G59" s="9">
        <v>1</v>
      </c>
      <c r="H59" s="9">
        <v>1</v>
      </c>
      <c r="I59" s="9">
        <v>2</v>
      </c>
      <c r="J59" s="43">
        <v>2</v>
      </c>
      <c r="K59" s="265">
        <f t="shared" si="0"/>
        <v>0.35859414261160716</v>
      </c>
      <c r="L59" s="164" t="s">
        <v>120</v>
      </c>
    </row>
    <row r="60" spans="1:12">
      <c r="A60" s="34" t="s">
        <v>118</v>
      </c>
      <c r="B60" s="344">
        <v>1997</v>
      </c>
      <c r="C60" s="59" t="s">
        <v>102</v>
      </c>
      <c r="D60" s="59">
        <v>155</v>
      </c>
      <c r="E60" s="370" t="s">
        <v>119</v>
      </c>
      <c r="F60" s="122">
        <v>1</v>
      </c>
      <c r="G60" s="9">
        <v>1</v>
      </c>
      <c r="H60" s="9">
        <v>1</v>
      </c>
      <c r="I60" s="9">
        <v>2</v>
      </c>
      <c r="J60" s="43">
        <v>2</v>
      </c>
      <c r="K60" s="265">
        <f t="shared" si="0"/>
        <v>0.35859414261160716</v>
      </c>
      <c r="L60" s="164" t="s">
        <v>120</v>
      </c>
    </row>
    <row r="61" spans="1:12">
      <c r="A61" s="34" t="s">
        <v>118</v>
      </c>
      <c r="B61" s="344">
        <v>1997</v>
      </c>
      <c r="C61" s="59" t="s">
        <v>104</v>
      </c>
      <c r="D61" s="59">
        <v>337</v>
      </c>
      <c r="E61" s="370" t="s">
        <v>119</v>
      </c>
      <c r="F61" s="122">
        <v>1</v>
      </c>
      <c r="G61" s="9">
        <v>1</v>
      </c>
      <c r="H61" s="9">
        <v>1</v>
      </c>
      <c r="I61" s="9">
        <v>2</v>
      </c>
      <c r="J61" s="43">
        <v>2</v>
      </c>
      <c r="K61" s="265">
        <f t="shared" si="0"/>
        <v>0.35859414261160716</v>
      </c>
      <c r="L61" s="164" t="s">
        <v>120</v>
      </c>
    </row>
    <row r="62" spans="1:12">
      <c r="A62" s="34" t="s">
        <v>118</v>
      </c>
      <c r="B62" s="344">
        <v>1997</v>
      </c>
      <c r="C62" s="59" t="s">
        <v>105</v>
      </c>
      <c r="D62" s="59">
        <v>233</v>
      </c>
      <c r="E62" s="370" t="s">
        <v>119</v>
      </c>
      <c r="F62" s="122">
        <v>1</v>
      </c>
      <c r="G62" s="9">
        <v>1</v>
      </c>
      <c r="H62" s="9">
        <v>1</v>
      </c>
      <c r="I62" s="9">
        <v>2</v>
      </c>
      <c r="J62" s="43">
        <v>2</v>
      </c>
      <c r="K62" s="265">
        <f t="shared" si="0"/>
        <v>0.35859414261160716</v>
      </c>
      <c r="L62" s="164" t="s">
        <v>120</v>
      </c>
    </row>
    <row r="63" spans="1:12">
      <c r="A63" s="34" t="s">
        <v>118</v>
      </c>
      <c r="B63" s="344">
        <v>1997</v>
      </c>
      <c r="C63" s="59" t="s">
        <v>103</v>
      </c>
      <c r="D63" s="59">
        <v>200</v>
      </c>
      <c r="E63" s="370" t="s">
        <v>119</v>
      </c>
      <c r="F63" s="122">
        <v>1</v>
      </c>
      <c r="G63" s="9">
        <v>1</v>
      </c>
      <c r="H63" s="9">
        <v>1</v>
      </c>
      <c r="I63" s="9">
        <v>2</v>
      </c>
      <c r="J63" s="43">
        <v>2</v>
      </c>
      <c r="K63" s="265">
        <f t="shared" si="0"/>
        <v>0.35859414261160716</v>
      </c>
      <c r="L63" s="164" t="s">
        <v>120</v>
      </c>
    </row>
    <row r="64" spans="1:12">
      <c r="A64" s="34" t="s">
        <v>118</v>
      </c>
      <c r="B64" s="344">
        <v>1997</v>
      </c>
      <c r="C64" s="59" t="s">
        <v>101</v>
      </c>
      <c r="D64" s="59">
        <v>98</v>
      </c>
      <c r="E64" s="370" t="s">
        <v>119</v>
      </c>
      <c r="F64" s="122">
        <v>1</v>
      </c>
      <c r="G64" s="9">
        <v>1</v>
      </c>
      <c r="H64" s="9">
        <v>1</v>
      </c>
      <c r="I64" s="9">
        <v>2</v>
      </c>
      <c r="J64" s="43">
        <v>2</v>
      </c>
      <c r="K64" s="265">
        <f t="shared" si="0"/>
        <v>0.35859414261160716</v>
      </c>
      <c r="L64" s="164" t="s">
        <v>120</v>
      </c>
    </row>
    <row r="65" spans="1:12">
      <c r="A65" s="34" t="s">
        <v>118</v>
      </c>
      <c r="B65" s="344">
        <v>1997</v>
      </c>
      <c r="C65" s="59" t="s">
        <v>106</v>
      </c>
      <c r="D65" s="59">
        <v>1233</v>
      </c>
      <c r="E65" s="370" t="s">
        <v>119</v>
      </c>
      <c r="F65" s="122">
        <v>1</v>
      </c>
      <c r="G65" s="9">
        <v>1</v>
      </c>
      <c r="H65" s="9">
        <v>1</v>
      </c>
      <c r="I65" s="9">
        <v>2</v>
      </c>
      <c r="J65" s="43">
        <v>2</v>
      </c>
      <c r="K65" s="265">
        <f t="shared" si="0"/>
        <v>0.35859414261160716</v>
      </c>
      <c r="L65" s="164" t="s">
        <v>120</v>
      </c>
    </row>
    <row r="66" spans="1:12">
      <c r="A66" s="34" t="s">
        <v>118</v>
      </c>
      <c r="B66" s="344">
        <v>1998</v>
      </c>
      <c r="C66" s="59" t="s">
        <v>93</v>
      </c>
      <c r="D66" s="59">
        <v>1435</v>
      </c>
      <c r="E66" s="370" t="s">
        <v>119</v>
      </c>
      <c r="F66" s="122">
        <v>1</v>
      </c>
      <c r="G66" s="9">
        <v>1</v>
      </c>
      <c r="H66" s="9">
        <v>1</v>
      </c>
      <c r="I66" s="9">
        <v>2</v>
      </c>
      <c r="J66" s="43">
        <v>2</v>
      </c>
      <c r="K66" s="265">
        <f t="shared" ref="K66:K129" si="1">IF( OR( ISBLANK(F66),ISBLANK(G66), ISBLANK(H66), ISBLANK(I66), ISBLANK(J66) ), "", 1.5*SQRT(   EXP(2.21*(F66-1)) + EXP(2.21*(G66-1)) + EXP(2.21*(H66-1)) + EXP(2.21*(I66-1)) + EXP(2.21*J66)   )/100*2.45 )</f>
        <v>0.35859414261160716</v>
      </c>
      <c r="L66" s="164" t="s">
        <v>120</v>
      </c>
    </row>
    <row r="67" spans="1:12">
      <c r="A67" s="34" t="s">
        <v>118</v>
      </c>
      <c r="B67" s="344">
        <v>1998</v>
      </c>
      <c r="C67" s="59" t="s">
        <v>94</v>
      </c>
      <c r="D67" s="59">
        <v>290</v>
      </c>
      <c r="E67" s="370" t="s">
        <v>119</v>
      </c>
      <c r="F67" s="122">
        <v>1</v>
      </c>
      <c r="G67" s="9">
        <v>1</v>
      </c>
      <c r="H67" s="9">
        <v>1</v>
      </c>
      <c r="I67" s="9">
        <v>2</v>
      </c>
      <c r="J67" s="43">
        <v>2</v>
      </c>
      <c r="K67" s="265">
        <f t="shared" si="1"/>
        <v>0.35859414261160716</v>
      </c>
      <c r="L67" s="164" t="s">
        <v>120</v>
      </c>
    </row>
    <row r="68" spans="1:12">
      <c r="A68" s="34" t="s">
        <v>118</v>
      </c>
      <c r="B68" s="344">
        <v>1998</v>
      </c>
      <c r="C68" s="59" t="s">
        <v>95</v>
      </c>
      <c r="D68" s="59">
        <v>852</v>
      </c>
      <c r="E68" s="370" t="s">
        <v>119</v>
      </c>
      <c r="F68" s="122">
        <v>1</v>
      </c>
      <c r="G68" s="9">
        <v>1</v>
      </c>
      <c r="H68" s="9">
        <v>1</v>
      </c>
      <c r="I68" s="9">
        <v>2</v>
      </c>
      <c r="J68" s="43">
        <v>2</v>
      </c>
      <c r="K68" s="265">
        <f t="shared" si="1"/>
        <v>0.35859414261160716</v>
      </c>
      <c r="L68" s="164" t="s">
        <v>120</v>
      </c>
    </row>
    <row r="69" spans="1:12">
      <c r="A69" s="34" t="s">
        <v>118</v>
      </c>
      <c r="B69" s="344">
        <v>1998</v>
      </c>
      <c r="C69" s="59" t="s">
        <v>96</v>
      </c>
      <c r="D69" s="59">
        <v>33</v>
      </c>
      <c r="E69" s="370" t="s">
        <v>119</v>
      </c>
      <c r="F69" s="122">
        <v>1</v>
      </c>
      <c r="G69" s="9">
        <v>1</v>
      </c>
      <c r="H69" s="9">
        <v>1</v>
      </c>
      <c r="I69" s="9">
        <v>2</v>
      </c>
      <c r="J69" s="43">
        <v>2</v>
      </c>
      <c r="K69" s="265">
        <f t="shared" si="1"/>
        <v>0.35859414261160716</v>
      </c>
      <c r="L69" s="164" t="s">
        <v>120</v>
      </c>
    </row>
    <row r="70" spans="1:12">
      <c r="A70" s="34" t="s">
        <v>118</v>
      </c>
      <c r="B70" s="344">
        <v>1998</v>
      </c>
      <c r="C70" s="59" t="s">
        <v>97</v>
      </c>
      <c r="D70" s="59">
        <v>191</v>
      </c>
      <c r="E70" s="370" t="s">
        <v>119</v>
      </c>
      <c r="F70" s="122">
        <v>1</v>
      </c>
      <c r="G70" s="9">
        <v>1</v>
      </c>
      <c r="H70" s="9">
        <v>1</v>
      </c>
      <c r="I70" s="9">
        <v>2</v>
      </c>
      <c r="J70" s="43">
        <v>2</v>
      </c>
      <c r="K70" s="265">
        <f t="shared" si="1"/>
        <v>0.35859414261160716</v>
      </c>
      <c r="L70" s="164" t="s">
        <v>120</v>
      </c>
    </row>
    <row r="71" spans="1:12">
      <c r="A71" s="34" t="s">
        <v>118</v>
      </c>
      <c r="B71" s="344">
        <v>1998</v>
      </c>
      <c r="C71" s="59" t="s">
        <v>98</v>
      </c>
      <c r="D71" s="59">
        <v>610</v>
      </c>
      <c r="E71" s="370" t="s">
        <v>119</v>
      </c>
      <c r="F71" s="122">
        <v>1</v>
      </c>
      <c r="G71" s="9">
        <v>1</v>
      </c>
      <c r="H71" s="9">
        <v>1</v>
      </c>
      <c r="I71" s="9">
        <v>2</v>
      </c>
      <c r="J71" s="43">
        <v>2</v>
      </c>
      <c r="K71" s="265">
        <f t="shared" si="1"/>
        <v>0.35859414261160716</v>
      </c>
      <c r="L71" s="164" t="s">
        <v>120</v>
      </c>
    </row>
    <row r="72" spans="1:12">
      <c r="A72" s="34" t="s">
        <v>118</v>
      </c>
      <c r="B72" s="344">
        <v>1998</v>
      </c>
      <c r="C72" s="59" t="s">
        <v>99</v>
      </c>
      <c r="D72" s="59">
        <v>0</v>
      </c>
      <c r="E72" s="370" t="s">
        <v>119</v>
      </c>
      <c r="F72" s="122">
        <v>1</v>
      </c>
      <c r="G72" s="9">
        <v>1</v>
      </c>
      <c r="H72" s="9">
        <v>1</v>
      </c>
      <c r="I72" s="9">
        <v>2</v>
      </c>
      <c r="J72" s="43">
        <v>2</v>
      </c>
      <c r="K72" s="265">
        <f t="shared" si="1"/>
        <v>0.35859414261160716</v>
      </c>
      <c r="L72" s="164" t="s">
        <v>120</v>
      </c>
    </row>
    <row r="73" spans="1:12">
      <c r="A73" s="34" t="s">
        <v>118</v>
      </c>
      <c r="B73" s="344">
        <v>1998</v>
      </c>
      <c r="C73" s="59" t="s">
        <v>102</v>
      </c>
      <c r="D73" s="59">
        <v>144</v>
      </c>
      <c r="E73" s="370" t="s">
        <v>119</v>
      </c>
      <c r="F73" s="122">
        <v>1</v>
      </c>
      <c r="G73" s="9">
        <v>1</v>
      </c>
      <c r="H73" s="9">
        <v>1</v>
      </c>
      <c r="I73" s="9">
        <v>2</v>
      </c>
      <c r="J73" s="43">
        <v>2</v>
      </c>
      <c r="K73" s="265">
        <f t="shared" si="1"/>
        <v>0.35859414261160716</v>
      </c>
      <c r="L73" s="164" t="s">
        <v>120</v>
      </c>
    </row>
    <row r="74" spans="1:12">
      <c r="A74" s="34" t="s">
        <v>118</v>
      </c>
      <c r="B74" s="344">
        <v>1998</v>
      </c>
      <c r="C74" s="59" t="s">
        <v>104</v>
      </c>
      <c r="D74" s="59">
        <v>337</v>
      </c>
      <c r="E74" s="370" t="s">
        <v>119</v>
      </c>
      <c r="F74" s="122">
        <v>1</v>
      </c>
      <c r="G74" s="9">
        <v>1</v>
      </c>
      <c r="H74" s="9">
        <v>1</v>
      </c>
      <c r="I74" s="9">
        <v>2</v>
      </c>
      <c r="J74" s="43">
        <v>2</v>
      </c>
      <c r="K74" s="265">
        <f t="shared" si="1"/>
        <v>0.35859414261160716</v>
      </c>
      <c r="L74" s="164" t="s">
        <v>120</v>
      </c>
    </row>
    <row r="75" spans="1:12">
      <c r="A75" s="34" t="s">
        <v>118</v>
      </c>
      <c r="B75" s="344">
        <v>1998</v>
      </c>
      <c r="C75" s="59" t="s">
        <v>105</v>
      </c>
      <c r="D75" s="59">
        <v>233</v>
      </c>
      <c r="E75" s="370" t="s">
        <v>119</v>
      </c>
      <c r="F75" s="122">
        <v>1</v>
      </c>
      <c r="G75" s="9">
        <v>1</v>
      </c>
      <c r="H75" s="9">
        <v>1</v>
      </c>
      <c r="I75" s="9">
        <v>2</v>
      </c>
      <c r="J75" s="43">
        <v>2</v>
      </c>
      <c r="K75" s="265">
        <f t="shared" si="1"/>
        <v>0.35859414261160716</v>
      </c>
      <c r="L75" s="164" t="s">
        <v>120</v>
      </c>
    </row>
    <row r="76" spans="1:12">
      <c r="A76" s="34" t="s">
        <v>118</v>
      </c>
      <c r="B76" s="344">
        <v>1998</v>
      </c>
      <c r="C76" s="59" t="s">
        <v>103</v>
      </c>
      <c r="D76" s="59">
        <v>200</v>
      </c>
      <c r="E76" s="370" t="s">
        <v>119</v>
      </c>
      <c r="F76" s="122">
        <v>1</v>
      </c>
      <c r="G76" s="9">
        <v>1</v>
      </c>
      <c r="H76" s="9">
        <v>1</v>
      </c>
      <c r="I76" s="9">
        <v>2</v>
      </c>
      <c r="J76" s="43">
        <v>2</v>
      </c>
      <c r="K76" s="265">
        <f t="shared" si="1"/>
        <v>0.35859414261160716</v>
      </c>
      <c r="L76" s="164" t="s">
        <v>120</v>
      </c>
    </row>
    <row r="77" spans="1:12">
      <c r="A77" s="34" t="s">
        <v>118</v>
      </c>
      <c r="B77" s="344">
        <v>1998</v>
      </c>
      <c r="C77" s="59" t="s">
        <v>101</v>
      </c>
      <c r="D77" s="59">
        <v>98</v>
      </c>
      <c r="E77" s="653" t="s">
        <v>119</v>
      </c>
      <c r="F77" s="9">
        <v>1</v>
      </c>
      <c r="G77" s="9">
        <v>1</v>
      </c>
      <c r="H77" s="9">
        <v>1</v>
      </c>
      <c r="I77" s="9">
        <v>2</v>
      </c>
      <c r="J77" s="43">
        <v>2</v>
      </c>
      <c r="K77" s="265">
        <f t="shared" si="1"/>
        <v>0.35859414261160716</v>
      </c>
      <c r="L77" s="164" t="s">
        <v>120</v>
      </c>
    </row>
    <row r="78" spans="1:12">
      <c r="A78" s="34" t="s">
        <v>118</v>
      </c>
      <c r="B78" s="344">
        <v>1998</v>
      </c>
      <c r="C78" s="59" t="s">
        <v>106</v>
      </c>
      <c r="D78" s="59">
        <v>1521</v>
      </c>
      <c r="E78" s="653" t="s">
        <v>119</v>
      </c>
      <c r="F78" s="9">
        <v>1</v>
      </c>
      <c r="G78" s="9">
        <v>1</v>
      </c>
      <c r="H78" s="9">
        <v>1</v>
      </c>
      <c r="I78" s="9">
        <v>2</v>
      </c>
      <c r="J78" s="43">
        <v>2</v>
      </c>
      <c r="K78" s="265">
        <f t="shared" si="1"/>
        <v>0.35859414261160716</v>
      </c>
      <c r="L78" s="164" t="s">
        <v>120</v>
      </c>
    </row>
    <row r="79" spans="1:12">
      <c r="A79" s="34" t="s">
        <v>118</v>
      </c>
      <c r="B79" s="344">
        <v>1999</v>
      </c>
      <c r="C79" s="59" t="s">
        <v>93</v>
      </c>
      <c r="D79" s="59">
        <v>1435</v>
      </c>
      <c r="E79" s="653" t="s">
        <v>119</v>
      </c>
      <c r="F79" s="9">
        <v>1</v>
      </c>
      <c r="G79" s="9">
        <v>1</v>
      </c>
      <c r="H79" s="9">
        <v>1</v>
      </c>
      <c r="I79" s="9">
        <v>2</v>
      </c>
      <c r="J79" s="43">
        <v>2</v>
      </c>
      <c r="K79" s="265">
        <f t="shared" si="1"/>
        <v>0.35859414261160716</v>
      </c>
      <c r="L79" s="164" t="s">
        <v>120</v>
      </c>
    </row>
    <row r="80" spans="1:12">
      <c r="A80" s="34" t="s">
        <v>118</v>
      </c>
      <c r="B80" s="344">
        <v>1999</v>
      </c>
      <c r="C80" s="59" t="s">
        <v>94</v>
      </c>
      <c r="D80" s="59">
        <v>290</v>
      </c>
      <c r="E80" s="653" t="s">
        <v>119</v>
      </c>
      <c r="F80" s="9">
        <v>1</v>
      </c>
      <c r="G80" s="9">
        <v>1</v>
      </c>
      <c r="H80" s="9">
        <v>1</v>
      </c>
      <c r="I80" s="9">
        <v>2</v>
      </c>
      <c r="J80" s="43">
        <v>2</v>
      </c>
      <c r="K80" s="265">
        <f t="shared" si="1"/>
        <v>0.35859414261160716</v>
      </c>
      <c r="L80" s="164" t="s">
        <v>120</v>
      </c>
    </row>
    <row r="81" spans="1:12">
      <c r="A81" s="34" t="s">
        <v>118</v>
      </c>
      <c r="B81" s="344">
        <v>1999</v>
      </c>
      <c r="C81" s="59" t="s">
        <v>95</v>
      </c>
      <c r="D81" s="59">
        <v>852</v>
      </c>
      <c r="E81" s="653" t="s">
        <v>119</v>
      </c>
      <c r="F81" s="9">
        <v>1</v>
      </c>
      <c r="G81" s="9">
        <v>1</v>
      </c>
      <c r="H81" s="9">
        <v>1</v>
      </c>
      <c r="I81" s="9">
        <v>2</v>
      </c>
      <c r="J81" s="43">
        <v>2</v>
      </c>
      <c r="K81" s="265">
        <f t="shared" si="1"/>
        <v>0.35859414261160716</v>
      </c>
      <c r="L81" s="164" t="s">
        <v>120</v>
      </c>
    </row>
    <row r="82" spans="1:12">
      <c r="A82" s="34" t="s">
        <v>118</v>
      </c>
      <c r="B82" s="344">
        <v>1999</v>
      </c>
      <c r="C82" s="59" t="s">
        <v>96</v>
      </c>
      <c r="D82" s="59">
        <v>38</v>
      </c>
      <c r="E82" s="653" t="s">
        <v>119</v>
      </c>
      <c r="F82" s="9">
        <v>1</v>
      </c>
      <c r="G82" s="9">
        <v>1</v>
      </c>
      <c r="H82" s="9">
        <v>1</v>
      </c>
      <c r="I82" s="9">
        <v>2</v>
      </c>
      <c r="J82" s="43">
        <v>2</v>
      </c>
      <c r="K82" s="265">
        <f t="shared" si="1"/>
        <v>0.35859414261160716</v>
      </c>
      <c r="L82" s="164" t="s">
        <v>120</v>
      </c>
    </row>
    <row r="83" spans="1:12">
      <c r="A83" s="34" t="s">
        <v>118</v>
      </c>
      <c r="B83" s="344">
        <v>1999</v>
      </c>
      <c r="C83" s="59" t="s">
        <v>97</v>
      </c>
      <c r="D83" s="59">
        <v>191</v>
      </c>
      <c r="E83" s="653" t="s">
        <v>119</v>
      </c>
      <c r="F83" s="9">
        <v>1</v>
      </c>
      <c r="G83" s="9">
        <v>1</v>
      </c>
      <c r="H83" s="9">
        <v>1</v>
      </c>
      <c r="I83" s="9">
        <v>2</v>
      </c>
      <c r="J83" s="43">
        <v>2</v>
      </c>
      <c r="K83" s="265">
        <f t="shared" si="1"/>
        <v>0.35859414261160716</v>
      </c>
      <c r="L83" s="164" t="s">
        <v>120</v>
      </c>
    </row>
    <row r="84" spans="1:12">
      <c r="A84" s="34" t="s">
        <v>118</v>
      </c>
      <c r="B84" s="344">
        <v>1999</v>
      </c>
      <c r="C84" s="59" t="s">
        <v>98</v>
      </c>
      <c r="D84" s="59">
        <v>610</v>
      </c>
      <c r="E84" s="653" t="s">
        <v>119</v>
      </c>
      <c r="F84" s="9">
        <v>1</v>
      </c>
      <c r="G84" s="9">
        <v>1</v>
      </c>
      <c r="H84" s="9">
        <v>1</v>
      </c>
      <c r="I84" s="9">
        <v>2</v>
      </c>
      <c r="J84" s="43">
        <v>2</v>
      </c>
      <c r="K84" s="265">
        <f t="shared" si="1"/>
        <v>0.35859414261160716</v>
      </c>
      <c r="L84" s="164" t="s">
        <v>120</v>
      </c>
    </row>
    <row r="85" spans="1:12">
      <c r="A85" s="34" t="s">
        <v>118</v>
      </c>
      <c r="B85" s="344">
        <v>1999</v>
      </c>
      <c r="C85" s="59" t="s">
        <v>99</v>
      </c>
      <c r="D85" s="59">
        <v>0</v>
      </c>
      <c r="E85" s="653" t="s">
        <v>119</v>
      </c>
      <c r="F85" s="9">
        <v>1</v>
      </c>
      <c r="G85" s="9">
        <v>1</v>
      </c>
      <c r="H85" s="9">
        <v>1</v>
      </c>
      <c r="I85" s="9">
        <v>2</v>
      </c>
      <c r="J85" s="43">
        <v>2</v>
      </c>
      <c r="K85" s="265">
        <f t="shared" si="1"/>
        <v>0.35859414261160716</v>
      </c>
      <c r="L85" s="164" t="s">
        <v>120</v>
      </c>
    </row>
    <row r="86" spans="1:12">
      <c r="A86" s="34" t="s">
        <v>118</v>
      </c>
      <c r="B86" s="344">
        <v>1999</v>
      </c>
      <c r="C86" s="59" t="s">
        <v>102</v>
      </c>
      <c r="D86" s="59">
        <v>108</v>
      </c>
      <c r="E86" s="653" t="s">
        <v>119</v>
      </c>
      <c r="F86" s="9">
        <v>1</v>
      </c>
      <c r="G86" s="9">
        <v>1</v>
      </c>
      <c r="H86" s="9">
        <v>1</v>
      </c>
      <c r="I86" s="9">
        <v>2</v>
      </c>
      <c r="J86" s="43">
        <v>2</v>
      </c>
      <c r="K86" s="265">
        <f t="shared" si="1"/>
        <v>0.35859414261160716</v>
      </c>
      <c r="L86" s="164" t="s">
        <v>120</v>
      </c>
    </row>
    <row r="87" spans="1:12">
      <c r="A87" s="34" t="s">
        <v>118</v>
      </c>
      <c r="B87" s="344">
        <v>1999</v>
      </c>
      <c r="C87" s="59" t="s">
        <v>104</v>
      </c>
      <c r="D87" s="59">
        <v>337</v>
      </c>
      <c r="E87" s="653" t="s">
        <v>119</v>
      </c>
      <c r="F87" s="9">
        <v>1</v>
      </c>
      <c r="G87" s="9">
        <v>1</v>
      </c>
      <c r="H87" s="9">
        <v>1</v>
      </c>
      <c r="I87" s="9">
        <v>2</v>
      </c>
      <c r="J87" s="43">
        <v>2</v>
      </c>
      <c r="K87" s="265">
        <f t="shared" si="1"/>
        <v>0.35859414261160716</v>
      </c>
      <c r="L87" s="164" t="s">
        <v>120</v>
      </c>
    </row>
    <row r="88" spans="1:12">
      <c r="A88" s="34" t="s">
        <v>118</v>
      </c>
      <c r="B88" s="344">
        <v>1999</v>
      </c>
      <c r="C88" s="59" t="s">
        <v>105</v>
      </c>
      <c r="D88" s="59">
        <v>233</v>
      </c>
      <c r="E88" s="653" t="s">
        <v>119</v>
      </c>
      <c r="F88" s="9">
        <v>1</v>
      </c>
      <c r="G88" s="9">
        <v>1</v>
      </c>
      <c r="H88" s="9">
        <v>1</v>
      </c>
      <c r="I88" s="9">
        <v>2</v>
      </c>
      <c r="J88" s="43">
        <v>2</v>
      </c>
      <c r="K88" s="265">
        <f t="shared" si="1"/>
        <v>0.35859414261160716</v>
      </c>
      <c r="L88" s="164" t="s">
        <v>120</v>
      </c>
    </row>
    <row r="89" spans="1:12">
      <c r="A89" s="34" t="s">
        <v>118</v>
      </c>
      <c r="B89" s="344">
        <v>1999</v>
      </c>
      <c r="C89" s="59" t="s">
        <v>103</v>
      </c>
      <c r="D89" s="59">
        <v>200</v>
      </c>
      <c r="E89" s="504" t="s">
        <v>119</v>
      </c>
      <c r="F89" s="122">
        <v>1</v>
      </c>
      <c r="G89" s="118">
        <v>1</v>
      </c>
      <c r="H89" s="118">
        <v>1</v>
      </c>
      <c r="I89" s="9">
        <v>2</v>
      </c>
      <c r="J89" s="43">
        <v>2</v>
      </c>
      <c r="K89" s="265">
        <f t="shared" si="1"/>
        <v>0.35859414261160716</v>
      </c>
      <c r="L89" s="164" t="s">
        <v>120</v>
      </c>
    </row>
    <row r="90" spans="1:12">
      <c r="A90" s="34" t="s">
        <v>118</v>
      </c>
      <c r="B90" s="344">
        <v>1999</v>
      </c>
      <c r="C90" s="59" t="s">
        <v>101</v>
      </c>
      <c r="D90" s="59">
        <v>98</v>
      </c>
      <c r="E90" s="504" t="s">
        <v>119</v>
      </c>
      <c r="F90" s="122">
        <v>1</v>
      </c>
      <c r="G90" s="118">
        <v>1</v>
      </c>
      <c r="H90" s="118">
        <v>1</v>
      </c>
      <c r="I90" s="9">
        <v>2</v>
      </c>
      <c r="J90" s="43">
        <v>2</v>
      </c>
      <c r="K90" s="265">
        <f t="shared" si="1"/>
        <v>0.35859414261160716</v>
      </c>
      <c r="L90" s="164" t="s">
        <v>120</v>
      </c>
    </row>
    <row r="91" spans="1:12">
      <c r="A91" s="34" t="s">
        <v>118</v>
      </c>
      <c r="B91" s="344">
        <v>1999</v>
      </c>
      <c r="C91" s="59" t="s">
        <v>106</v>
      </c>
      <c r="D91" s="59">
        <v>1633</v>
      </c>
      <c r="E91" s="504" t="s">
        <v>119</v>
      </c>
      <c r="F91" s="122">
        <v>1</v>
      </c>
      <c r="G91" s="118">
        <v>1</v>
      </c>
      <c r="H91" s="118">
        <v>1</v>
      </c>
      <c r="I91" s="9">
        <v>2</v>
      </c>
      <c r="J91" s="43">
        <v>2</v>
      </c>
      <c r="K91" s="265">
        <f t="shared" si="1"/>
        <v>0.35859414261160716</v>
      </c>
      <c r="L91" s="164" t="s">
        <v>120</v>
      </c>
    </row>
    <row r="92" spans="1:12">
      <c r="A92" s="34" t="s">
        <v>118</v>
      </c>
      <c r="B92" s="344">
        <v>2000</v>
      </c>
      <c r="C92" s="59" t="s">
        <v>93</v>
      </c>
      <c r="D92" s="59">
        <v>1435</v>
      </c>
      <c r="E92" s="504" t="s">
        <v>119</v>
      </c>
      <c r="F92" s="631">
        <v>1</v>
      </c>
      <c r="G92" s="118">
        <v>1</v>
      </c>
      <c r="H92" s="118">
        <v>1</v>
      </c>
      <c r="I92" s="118">
        <v>2</v>
      </c>
      <c r="J92" s="678">
        <v>2</v>
      </c>
      <c r="K92" s="265">
        <f t="shared" si="1"/>
        <v>0.35859414261160716</v>
      </c>
      <c r="L92" s="164" t="s">
        <v>120</v>
      </c>
    </row>
    <row r="93" spans="1:12">
      <c r="A93" s="34" t="s">
        <v>118</v>
      </c>
      <c r="B93" s="344">
        <v>2000</v>
      </c>
      <c r="C93" s="59" t="s">
        <v>94</v>
      </c>
      <c r="D93" s="59">
        <v>290</v>
      </c>
      <c r="E93" s="504" t="s">
        <v>119</v>
      </c>
      <c r="F93" s="122">
        <v>1</v>
      </c>
      <c r="G93" s="118">
        <v>1</v>
      </c>
      <c r="H93" s="118">
        <v>1</v>
      </c>
      <c r="I93" s="9">
        <v>2</v>
      </c>
      <c r="J93" s="43">
        <v>2</v>
      </c>
      <c r="K93" s="265">
        <f t="shared" si="1"/>
        <v>0.35859414261160716</v>
      </c>
      <c r="L93" s="164" t="s">
        <v>120</v>
      </c>
    </row>
    <row r="94" spans="1:12">
      <c r="A94" s="34" t="s">
        <v>118</v>
      </c>
      <c r="B94" s="344">
        <v>2000</v>
      </c>
      <c r="C94" s="59" t="s">
        <v>95</v>
      </c>
      <c r="D94" s="59">
        <v>852</v>
      </c>
      <c r="E94" s="504" t="s">
        <v>119</v>
      </c>
      <c r="F94" s="122">
        <v>1</v>
      </c>
      <c r="G94" s="118">
        <v>1</v>
      </c>
      <c r="H94" s="118">
        <v>1</v>
      </c>
      <c r="I94" s="9">
        <v>2</v>
      </c>
      <c r="J94" s="43">
        <v>2</v>
      </c>
      <c r="K94" s="265">
        <f t="shared" si="1"/>
        <v>0.35859414261160716</v>
      </c>
      <c r="L94" s="164" t="s">
        <v>120</v>
      </c>
    </row>
    <row r="95" spans="1:12">
      <c r="A95" s="34" t="s">
        <v>118</v>
      </c>
      <c r="B95" s="344">
        <v>2000</v>
      </c>
      <c r="C95" s="59" t="s">
        <v>96</v>
      </c>
      <c r="D95" s="59">
        <v>18</v>
      </c>
      <c r="E95" s="504" t="s">
        <v>119</v>
      </c>
      <c r="F95" s="122">
        <v>1</v>
      </c>
      <c r="G95" s="118">
        <v>1</v>
      </c>
      <c r="H95" s="118">
        <v>1</v>
      </c>
      <c r="I95" s="9">
        <v>2</v>
      </c>
      <c r="J95" s="43">
        <v>2</v>
      </c>
      <c r="K95" s="265">
        <f t="shared" si="1"/>
        <v>0.35859414261160716</v>
      </c>
      <c r="L95" s="164" t="s">
        <v>120</v>
      </c>
    </row>
    <row r="96" spans="1:12">
      <c r="A96" s="34" t="s">
        <v>118</v>
      </c>
      <c r="B96" s="344">
        <v>2000</v>
      </c>
      <c r="C96" s="59" t="s">
        <v>97</v>
      </c>
      <c r="D96" s="59">
        <v>191</v>
      </c>
      <c r="E96" s="504" t="s">
        <v>119</v>
      </c>
      <c r="F96" s="122">
        <v>1</v>
      </c>
      <c r="G96" s="118">
        <v>1</v>
      </c>
      <c r="H96" s="118">
        <v>1</v>
      </c>
      <c r="I96" s="9">
        <v>2</v>
      </c>
      <c r="J96" s="43">
        <v>2</v>
      </c>
      <c r="K96" s="265">
        <f t="shared" si="1"/>
        <v>0.35859414261160716</v>
      </c>
      <c r="L96" s="164" t="s">
        <v>120</v>
      </c>
    </row>
    <row r="97" spans="1:12">
      <c r="A97" s="34" t="s">
        <v>118</v>
      </c>
      <c r="B97" s="344">
        <v>2000</v>
      </c>
      <c r="C97" s="59" t="s">
        <v>98</v>
      </c>
      <c r="D97" s="59">
        <v>610</v>
      </c>
      <c r="E97" s="504" t="s">
        <v>119</v>
      </c>
      <c r="F97" s="631">
        <v>1</v>
      </c>
      <c r="G97" s="118">
        <v>1</v>
      </c>
      <c r="H97" s="118">
        <v>1</v>
      </c>
      <c r="I97" s="118">
        <v>2</v>
      </c>
      <c r="J97" s="678">
        <v>2</v>
      </c>
      <c r="K97" s="265">
        <f t="shared" si="1"/>
        <v>0.35859414261160716</v>
      </c>
      <c r="L97" s="164" t="s">
        <v>120</v>
      </c>
    </row>
    <row r="98" spans="1:12">
      <c r="A98" s="34" t="s">
        <v>118</v>
      </c>
      <c r="B98" s="344">
        <v>2000</v>
      </c>
      <c r="C98" s="59" t="s">
        <v>99</v>
      </c>
      <c r="D98" s="59">
        <v>149</v>
      </c>
      <c r="E98" s="504" t="s">
        <v>119</v>
      </c>
      <c r="F98" s="122">
        <v>1</v>
      </c>
      <c r="G98" s="118">
        <v>1</v>
      </c>
      <c r="H98" s="118">
        <v>1</v>
      </c>
      <c r="I98" s="9">
        <v>2</v>
      </c>
      <c r="J98" s="43">
        <v>2</v>
      </c>
      <c r="K98" s="265">
        <f t="shared" si="1"/>
        <v>0.35859414261160716</v>
      </c>
      <c r="L98" s="164" t="s">
        <v>120</v>
      </c>
    </row>
    <row r="99" spans="1:12">
      <c r="A99" s="34" t="s">
        <v>118</v>
      </c>
      <c r="B99" s="344">
        <v>2000</v>
      </c>
      <c r="C99" s="59" t="s">
        <v>102</v>
      </c>
      <c r="D99" s="59">
        <v>109</v>
      </c>
      <c r="E99" s="504" t="s">
        <v>119</v>
      </c>
      <c r="F99" s="122">
        <v>1</v>
      </c>
      <c r="G99" s="118">
        <v>1</v>
      </c>
      <c r="H99" s="118">
        <v>1</v>
      </c>
      <c r="I99" s="9">
        <v>2</v>
      </c>
      <c r="J99" s="43">
        <v>2</v>
      </c>
      <c r="K99" s="265">
        <f t="shared" si="1"/>
        <v>0.35859414261160716</v>
      </c>
      <c r="L99" s="164" t="s">
        <v>120</v>
      </c>
    </row>
    <row r="100" spans="1:12">
      <c r="A100" s="34" t="s">
        <v>118</v>
      </c>
      <c r="B100" s="344">
        <v>2000</v>
      </c>
      <c r="C100" s="59" t="s">
        <v>104</v>
      </c>
      <c r="D100" s="59">
        <v>337</v>
      </c>
      <c r="E100" s="504" t="s">
        <v>119</v>
      </c>
      <c r="F100" s="122">
        <v>1</v>
      </c>
      <c r="G100" s="118">
        <v>1</v>
      </c>
      <c r="H100" s="118">
        <v>1</v>
      </c>
      <c r="I100" s="9">
        <v>2</v>
      </c>
      <c r="J100" s="43">
        <v>2</v>
      </c>
      <c r="K100" s="265">
        <f t="shared" si="1"/>
        <v>0.35859414261160716</v>
      </c>
      <c r="L100" s="164" t="s">
        <v>120</v>
      </c>
    </row>
    <row r="101" spans="1:12">
      <c r="A101" s="34" t="s">
        <v>118</v>
      </c>
      <c r="B101" s="344">
        <v>2000</v>
      </c>
      <c r="C101" s="59" t="s">
        <v>105</v>
      </c>
      <c r="D101" s="59">
        <v>233</v>
      </c>
      <c r="E101" s="504" t="s">
        <v>119</v>
      </c>
      <c r="F101" s="122">
        <v>1</v>
      </c>
      <c r="G101" s="118">
        <v>1</v>
      </c>
      <c r="H101" s="118">
        <v>1</v>
      </c>
      <c r="I101" s="9">
        <v>2</v>
      </c>
      <c r="J101" s="43">
        <v>2</v>
      </c>
      <c r="K101" s="265">
        <f t="shared" si="1"/>
        <v>0.35859414261160716</v>
      </c>
      <c r="L101" s="164" t="s">
        <v>120</v>
      </c>
    </row>
    <row r="102" spans="1:12">
      <c r="A102" s="34" t="s">
        <v>118</v>
      </c>
      <c r="B102" s="344">
        <v>2000</v>
      </c>
      <c r="C102" s="59" t="s">
        <v>103</v>
      </c>
      <c r="D102" s="59">
        <v>200</v>
      </c>
      <c r="E102" s="504" t="s">
        <v>119</v>
      </c>
      <c r="F102" s="631">
        <v>1</v>
      </c>
      <c r="G102" s="118">
        <v>1</v>
      </c>
      <c r="H102" s="118">
        <v>1</v>
      </c>
      <c r="I102" s="118">
        <v>2</v>
      </c>
      <c r="J102" s="678">
        <v>2</v>
      </c>
      <c r="K102" s="265">
        <f t="shared" si="1"/>
        <v>0.35859414261160716</v>
      </c>
      <c r="L102" s="164" t="s">
        <v>120</v>
      </c>
    </row>
    <row r="103" spans="1:12">
      <c r="A103" s="34" t="s">
        <v>118</v>
      </c>
      <c r="B103" s="344">
        <v>2000</v>
      </c>
      <c r="C103" s="59" t="s">
        <v>101</v>
      </c>
      <c r="D103" s="59">
        <v>98</v>
      </c>
      <c r="E103" s="504" t="s">
        <v>119</v>
      </c>
      <c r="F103" s="122">
        <v>1</v>
      </c>
      <c r="G103" s="118">
        <v>1</v>
      </c>
      <c r="H103" s="118">
        <v>1</v>
      </c>
      <c r="I103" s="9">
        <v>2</v>
      </c>
      <c r="J103" s="43">
        <v>2</v>
      </c>
      <c r="K103" s="265">
        <f t="shared" si="1"/>
        <v>0.35859414261160716</v>
      </c>
      <c r="L103" s="164" t="s">
        <v>120</v>
      </c>
    </row>
    <row r="104" spans="1:12">
      <c r="A104" s="34" t="s">
        <v>118</v>
      </c>
      <c r="B104" s="344">
        <v>2000</v>
      </c>
      <c r="C104" s="59" t="s">
        <v>106</v>
      </c>
      <c r="D104" s="59">
        <v>1381</v>
      </c>
      <c r="E104" s="504" t="s">
        <v>119</v>
      </c>
      <c r="F104" s="122">
        <v>1</v>
      </c>
      <c r="G104" s="118">
        <v>1</v>
      </c>
      <c r="H104" s="118">
        <v>1</v>
      </c>
      <c r="I104" s="9">
        <v>2</v>
      </c>
      <c r="J104" s="43">
        <v>2</v>
      </c>
      <c r="K104" s="265">
        <f t="shared" si="1"/>
        <v>0.35859414261160716</v>
      </c>
      <c r="L104" s="164" t="s">
        <v>120</v>
      </c>
    </row>
    <row r="105" spans="1:12">
      <c r="A105" s="34" t="s">
        <v>118</v>
      </c>
      <c r="B105" s="344">
        <v>2001</v>
      </c>
      <c r="C105" s="59" t="s">
        <v>93</v>
      </c>
      <c r="D105" s="59">
        <v>1435</v>
      </c>
      <c r="E105" s="504" t="s">
        <v>119</v>
      </c>
      <c r="F105" s="122">
        <v>1</v>
      </c>
      <c r="G105" s="118">
        <v>1</v>
      </c>
      <c r="H105" s="118">
        <v>1</v>
      </c>
      <c r="I105" s="9">
        <v>2</v>
      </c>
      <c r="J105" s="43">
        <v>2</v>
      </c>
      <c r="K105" s="265">
        <f t="shared" si="1"/>
        <v>0.35859414261160716</v>
      </c>
      <c r="L105" s="164" t="s">
        <v>120</v>
      </c>
    </row>
    <row r="106" spans="1:12">
      <c r="A106" s="34" t="s">
        <v>118</v>
      </c>
      <c r="B106" s="344">
        <v>2001</v>
      </c>
      <c r="C106" s="59" t="s">
        <v>94</v>
      </c>
      <c r="D106" s="59">
        <v>290</v>
      </c>
      <c r="E106" s="653" t="s">
        <v>119</v>
      </c>
      <c r="F106" s="9">
        <v>1</v>
      </c>
      <c r="G106" s="9">
        <v>1</v>
      </c>
      <c r="H106" s="9">
        <v>1</v>
      </c>
      <c r="I106" s="9">
        <v>2</v>
      </c>
      <c r="J106" s="43">
        <v>2</v>
      </c>
      <c r="K106" s="265">
        <f t="shared" si="1"/>
        <v>0.35859414261160716</v>
      </c>
      <c r="L106" s="164" t="s">
        <v>120</v>
      </c>
    </row>
    <row r="107" spans="1:12">
      <c r="A107" s="34" t="s">
        <v>118</v>
      </c>
      <c r="B107" s="344">
        <v>2001</v>
      </c>
      <c r="C107" s="59" t="s">
        <v>95</v>
      </c>
      <c r="D107" s="59">
        <v>852</v>
      </c>
      <c r="E107" s="653" t="s">
        <v>119</v>
      </c>
      <c r="F107" s="9">
        <v>1</v>
      </c>
      <c r="G107" s="9">
        <v>1</v>
      </c>
      <c r="H107" s="9">
        <v>1</v>
      </c>
      <c r="I107" s="9">
        <v>2</v>
      </c>
      <c r="J107" s="43">
        <v>2</v>
      </c>
      <c r="K107" s="265">
        <f t="shared" si="1"/>
        <v>0.35859414261160716</v>
      </c>
      <c r="L107" s="164" t="s">
        <v>120</v>
      </c>
    </row>
    <row r="108" spans="1:12">
      <c r="A108" s="34" t="s">
        <v>118</v>
      </c>
      <c r="B108" s="344">
        <v>2001</v>
      </c>
      <c r="C108" s="59" t="s">
        <v>96</v>
      </c>
      <c r="D108" s="59">
        <v>4</v>
      </c>
      <c r="E108" s="653" t="s">
        <v>119</v>
      </c>
      <c r="F108" s="9">
        <v>1</v>
      </c>
      <c r="G108" s="9">
        <v>1</v>
      </c>
      <c r="H108" s="9">
        <v>1</v>
      </c>
      <c r="I108" s="9">
        <v>2</v>
      </c>
      <c r="J108" s="43">
        <v>2</v>
      </c>
      <c r="K108" s="265">
        <f t="shared" si="1"/>
        <v>0.35859414261160716</v>
      </c>
      <c r="L108" s="164" t="s">
        <v>120</v>
      </c>
    </row>
    <row r="109" spans="1:12">
      <c r="A109" s="34" t="s">
        <v>118</v>
      </c>
      <c r="B109" s="344">
        <v>2001</v>
      </c>
      <c r="C109" s="59" t="s">
        <v>97</v>
      </c>
      <c r="D109" s="59">
        <v>191</v>
      </c>
      <c r="E109" s="653" t="s">
        <v>119</v>
      </c>
      <c r="F109" s="9">
        <v>1</v>
      </c>
      <c r="G109" s="9">
        <v>1</v>
      </c>
      <c r="H109" s="9">
        <v>1</v>
      </c>
      <c r="I109" s="9">
        <v>2</v>
      </c>
      <c r="J109" s="43">
        <v>2</v>
      </c>
      <c r="K109" s="265">
        <f t="shared" si="1"/>
        <v>0.35859414261160716</v>
      </c>
      <c r="L109" s="164" t="s">
        <v>120</v>
      </c>
    </row>
    <row r="110" spans="1:12">
      <c r="A110" s="34" t="s">
        <v>118</v>
      </c>
      <c r="B110" s="344">
        <v>2001</v>
      </c>
      <c r="C110" s="59" t="s">
        <v>98</v>
      </c>
      <c r="D110" s="59">
        <v>610</v>
      </c>
      <c r="E110" s="653" t="s">
        <v>119</v>
      </c>
      <c r="F110" s="9">
        <v>1</v>
      </c>
      <c r="G110" s="9">
        <v>1</v>
      </c>
      <c r="H110" s="9">
        <v>1</v>
      </c>
      <c r="I110" s="9">
        <v>2</v>
      </c>
      <c r="J110" s="43">
        <v>2</v>
      </c>
      <c r="K110" s="265">
        <f t="shared" si="1"/>
        <v>0.35859414261160716</v>
      </c>
      <c r="L110" s="164" t="s">
        <v>120</v>
      </c>
    </row>
    <row r="111" spans="1:12">
      <c r="A111" s="34" t="s">
        <v>118</v>
      </c>
      <c r="B111" s="344">
        <v>2001</v>
      </c>
      <c r="C111" s="59" t="s">
        <v>99</v>
      </c>
      <c r="D111" s="59">
        <v>129</v>
      </c>
      <c r="E111" s="653" t="s">
        <v>119</v>
      </c>
      <c r="F111" s="9">
        <v>1</v>
      </c>
      <c r="G111" s="9">
        <v>1</v>
      </c>
      <c r="H111" s="9">
        <v>1</v>
      </c>
      <c r="I111" s="9">
        <v>2</v>
      </c>
      <c r="J111" s="43">
        <v>2</v>
      </c>
      <c r="K111" s="265">
        <f t="shared" si="1"/>
        <v>0.35859414261160716</v>
      </c>
      <c r="L111" s="164" t="s">
        <v>120</v>
      </c>
    </row>
    <row r="112" spans="1:12">
      <c r="A112" s="34" t="s">
        <v>118</v>
      </c>
      <c r="B112" s="344">
        <v>2001</v>
      </c>
      <c r="C112" s="59" t="s">
        <v>102</v>
      </c>
      <c r="D112" s="59">
        <v>88</v>
      </c>
      <c r="E112" s="653" t="s">
        <v>119</v>
      </c>
      <c r="F112" s="9">
        <v>1</v>
      </c>
      <c r="G112" s="9">
        <v>1</v>
      </c>
      <c r="H112" s="9">
        <v>1</v>
      </c>
      <c r="I112" s="9">
        <v>2</v>
      </c>
      <c r="J112" s="43">
        <v>2</v>
      </c>
      <c r="K112" s="265">
        <f t="shared" si="1"/>
        <v>0.35859414261160716</v>
      </c>
      <c r="L112" s="164" t="s">
        <v>120</v>
      </c>
    </row>
    <row r="113" spans="1:12">
      <c r="A113" s="34" t="s">
        <v>118</v>
      </c>
      <c r="B113" s="344">
        <v>2001</v>
      </c>
      <c r="C113" s="59" t="s">
        <v>104</v>
      </c>
      <c r="D113" s="59">
        <v>337</v>
      </c>
      <c r="E113" s="653" t="s">
        <v>119</v>
      </c>
      <c r="F113" s="9">
        <v>1</v>
      </c>
      <c r="G113" s="9">
        <v>1</v>
      </c>
      <c r="H113" s="9">
        <v>1</v>
      </c>
      <c r="I113" s="9">
        <v>2</v>
      </c>
      <c r="J113" s="43">
        <v>2</v>
      </c>
      <c r="K113" s="265">
        <f t="shared" si="1"/>
        <v>0.35859414261160716</v>
      </c>
      <c r="L113" s="164" t="s">
        <v>120</v>
      </c>
    </row>
    <row r="114" spans="1:12">
      <c r="A114" s="34" t="s">
        <v>118</v>
      </c>
      <c r="B114" s="344">
        <v>2001</v>
      </c>
      <c r="C114" s="59" t="s">
        <v>105</v>
      </c>
      <c r="D114" s="59">
        <v>233</v>
      </c>
      <c r="E114" s="653" t="s">
        <v>119</v>
      </c>
      <c r="F114" s="9">
        <v>1</v>
      </c>
      <c r="G114" s="9">
        <v>1</v>
      </c>
      <c r="H114" s="9">
        <v>1</v>
      </c>
      <c r="I114" s="9">
        <v>2</v>
      </c>
      <c r="J114" s="43">
        <v>2</v>
      </c>
      <c r="K114" s="265">
        <f t="shared" si="1"/>
        <v>0.35859414261160716</v>
      </c>
      <c r="L114" s="164" t="s">
        <v>120</v>
      </c>
    </row>
    <row r="115" spans="1:12">
      <c r="A115" s="34" t="s">
        <v>118</v>
      </c>
      <c r="B115" s="344">
        <v>2001</v>
      </c>
      <c r="C115" s="59" t="s">
        <v>103</v>
      </c>
      <c r="D115" s="59">
        <v>200</v>
      </c>
      <c r="E115" s="653" t="s">
        <v>119</v>
      </c>
      <c r="F115" s="9">
        <v>1</v>
      </c>
      <c r="G115" s="9">
        <v>1</v>
      </c>
      <c r="H115" s="9">
        <v>1</v>
      </c>
      <c r="I115" s="9">
        <v>2</v>
      </c>
      <c r="J115" s="43">
        <v>2</v>
      </c>
      <c r="K115" s="265">
        <f t="shared" si="1"/>
        <v>0.35859414261160716</v>
      </c>
      <c r="L115" s="164" t="s">
        <v>120</v>
      </c>
    </row>
    <row r="116" spans="1:12">
      <c r="A116" s="34" t="s">
        <v>118</v>
      </c>
      <c r="B116" s="344">
        <v>2001</v>
      </c>
      <c r="C116" s="59" t="s">
        <v>101</v>
      </c>
      <c r="D116" s="59">
        <v>98</v>
      </c>
      <c r="E116" s="653" t="s">
        <v>119</v>
      </c>
      <c r="F116" s="9">
        <v>1</v>
      </c>
      <c r="G116" s="9">
        <v>1</v>
      </c>
      <c r="H116" s="9">
        <v>1</v>
      </c>
      <c r="I116" s="9">
        <v>2</v>
      </c>
      <c r="J116" s="43">
        <v>2</v>
      </c>
      <c r="K116" s="265">
        <f t="shared" si="1"/>
        <v>0.35859414261160716</v>
      </c>
      <c r="L116" s="164" t="s">
        <v>120</v>
      </c>
    </row>
    <row r="117" spans="1:12">
      <c r="A117" s="34" t="s">
        <v>118</v>
      </c>
      <c r="B117" s="344">
        <v>2001</v>
      </c>
      <c r="C117" s="59" t="s">
        <v>106</v>
      </c>
      <c r="D117" s="59">
        <v>1473</v>
      </c>
      <c r="E117" s="504" t="s">
        <v>119</v>
      </c>
      <c r="F117" s="29">
        <v>1</v>
      </c>
      <c r="G117" s="9">
        <v>1</v>
      </c>
      <c r="H117" s="9">
        <v>1</v>
      </c>
      <c r="I117" s="9">
        <v>2</v>
      </c>
      <c r="J117" s="43">
        <v>2</v>
      </c>
      <c r="K117" s="265">
        <f t="shared" si="1"/>
        <v>0.35859414261160716</v>
      </c>
      <c r="L117" s="164" t="s">
        <v>120</v>
      </c>
    </row>
    <row r="118" spans="1:12">
      <c r="A118" s="34" t="s">
        <v>118</v>
      </c>
      <c r="B118" s="344">
        <v>2002</v>
      </c>
      <c r="C118" s="59" t="s">
        <v>93</v>
      </c>
      <c r="D118" s="59">
        <v>1435</v>
      </c>
      <c r="E118" s="504" t="s">
        <v>119</v>
      </c>
      <c r="F118" s="29">
        <v>1</v>
      </c>
      <c r="G118" s="9">
        <v>1</v>
      </c>
      <c r="H118" s="9">
        <v>1</v>
      </c>
      <c r="I118" s="9">
        <v>2</v>
      </c>
      <c r="J118" s="43">
        <v>2</v>
      </c>
      <c r="K118" s="265">
        <f t="shared" si="1"/>
        <v>0.35859414261160716</v>
      </c>
      <c r="L118" s="164" t="s">
        <v>120</v>
      </c>
    </row>
    <row r="119" spans="1:12">
      <c r="A119" s="34" t="s">
        <v>118</v>
      </c>
      <c r="B119" s="344">
        <v>2002</v>
      </c>
      <c r="C119" s="59" t="s">
        <v>94</v>
      </c>
      <c r="D119" s="59">
        <v>290</v>
      </c>
      <c r="E119" s="504" t="s">
        <v>119</v>
      </c>
      <c r="F119" s="29">
        <v>1</v>
      </c>
      <c r="G119" s="9">
        <v>1</v>
      </c>
      <c r="H119" s="9">
        <v>1</v>
      </c>
      <c r="I119" s="9">
        <v>2</v>
      </c>
      <c r="J119" s="43">
        <v>2</v>
      </c>
      <c r="K119" s="265">
        <f t="shared" si="1"/>
        <v>0.35859414261160716</v>
      </c>
      <c r="L119" s="164" t="s">
        <v>120</v>
      </c>
    </row>
    <row r="120" spans="1:12">
      <c r="A120" s="34" t="s">
        <v>118</v>
      </c>
      <c r="B120" s="344">
        <v>2002</v>
      </c>
      <c r="C120" s="59" t="s">
        <v>95</v>
      </c>
      <c r="D120" s="59">
        <v>852</v>
      </c>
      <c r="E120" s="504" t="s">
        <v>119</v>
      </c>
      <c r="F120" s="29">
        <v>1</v>
      </c>
      <c r="G120" s="9">
        <v>1</v>
      </c>
      <c r="H120" s="9">
        <v>1</v>
      </c>
      <c r="I120" s="9">
        <v>2</v>
      </c>
      <c r="J120" s="43">
        <v>2</v>
      </c>
      <c r="K120" s="265">
        <f t="shared" si="1"/>
        <v>0.35859414261160716</v>
      </c>
      <c r="L120" s="164" t="s">
        <v>120</v>
      </c>
    </row>
    <row r="121" spans="1:12">
      <c r="A121" s="34" t="s">
        <v>118</v>
      </c>
      <c r="B121" s="344">
        <v>2002</v>
      </c>
      <c r="C121" s="59" t="s">
        <v>96</v>
      </c>
      <c r="D121" s="59">
        <v>19</v>
      </c>
      <c r="E121" s="504" t="s">
        <v>119</v>
      </c>
      <c r="F121" s="29">
        <v>1</v>
      </c>
      <c r="G121" s="9">
        <v>1</v>
      </c>
      <c r="H121" s="9">
        <v>1</v>
      </c>
      <c r="I121" s="9">
        <v>2</v>
      </c>
      <c r="J121" s="43">
        <v>2</v>
      </c>
      <c r="K121" s="265">
        <f t="shared" si="1"/>
        <v>0.35859414261160716</v>
      </c>
      <c r="L121" s="164" t="s">
        <v>120</v>
      </c>
    </row>
    <row r="122" spans="1:12">
      <c r="A122" s="34" t="s">
        <v>118</v>
      </c>
      <c r="B122" s="344">
        <v>2002</v>
      </c>
      <c r="C122" s="59" t="s">
        <v>97</v>
      </c>
      <c r="D122" s="59">
        <v>191</v>
      </c>
      <c r="E122" s="504" t="s">
        <v>119</v>
      </c>
      <c r="F122" s="29">
        <v>1</v>
      </c>
      <c r="G122" s="9">
        <v>1</v>
      </c>
      <c r="H122" s="9">
        <v>1</v>
      </c>
      <c r="I122" s="9">
        <v>2</v>
      </c>
      <c r="J122" s="43">
        <v>2</v>
      </c>
      <c r="K122" s="265">
        <f t="shared" si="1"/>
        <v>0.35859414261160716</v>
      </c>
      <c r="L122" s="164" t="s">
        <v>120</v>
      </c>
    </row>
    <row r="123" spans="1:12">
      <c r="A123" s="34" t="s">
        <v>118</v>
      </c>
      <c r="B123" s="344">
        <v>2002</v>
      </c>
      <c r="C123" s="59" t="s">
        <v>98</v>
      </c>
      <c r="D123" s="59">
        <v>610</v>
      </c>
      <c r="E123" s="504" t="s">
        <v>119</v>
      </c>
      <c r="F123" s="29">
        <v>1</v>
      </c>
      <c r="G123" s="9">
        <v>1</v>
      </c>
      <c r="H123" s="9">
        <v>1</v>
      </c>
      <c r="I123" s="9">
        <v>2</v>
      </c>
      <c r="J123" s="43">
        <v>2</v>
      </c>
      <c r="K123" s="265">
        <f t="shared" si="1"/>
        <v>0.35859414261160716</v>
      </c>
      <c r="L123" s="164" t="s">
        <v>120</v>
      </c>
    </row>
    <row r="124" spans="1:12">
      <c r="A124" s="34" t="s">
        <v>118</v>
      </c>
      <c r="B124" s="344">
        <v>2002</v>
      </c>
      <c r="C124" s="59" t="s">
        <v>99</v>
      </c>
      <c r="D124" s="59">
        <v>144</v>
      </c>
      <c r="E124" s="504" t="s">
        <v>119</v>
      </c>
      <c r="F124" s="29">
        <v>1</v>
      </c>
      <c r="G124" s="9">
        <v>1</v>
      </c>
      <c r="H124" s="9">
        <v>1</v>
      </c>
      <c r="I124" s="9">
        <v>2</v>
      </c>
      <c r="J124" s="43">
        <v>2</v>
      </c>
      <c r="K124" s="265">
        <f t="shared" si="1"/>
        <v>0.35859414261160716</v>
      </c>
      <c r="L124" s="164" t="s">
        <v>120</v>
      </c>
    </row>
    <row r="125" spans="1:12">
      <c r="A125" s="34" t="s">
        <v>118</v>
      </c>
      <c r="B125" s="344">
        <v>2002</v>
      </c>
      <c r="C125" s="59" t="s">
        <v>102</v>
      </c>
      <c r="D125" s="59">
        <v>68</v>
      </c>
      <c r="E125" s="504" t="s">
        <v>119</v>
      </c>
      <c r="F125" s="29">
        <v>1</v>
      </c>
      <c r="G125" s="9">
        <v>1</v>
      </c>
      <c r="H125" s="9">
        <v>1</v>
      </c>
      <c r="I125" s="9">
        <v>2</v>
      </c>
      <c r="J125" s="43">
        <v>2</v>
      </c>
      <c r="K125" s="265">
        <f t="shared" si="1"/>
        <v>0.35859414261160716</v>
      </c>
      <c r="L125" s="164" t="s">
        <v>120</v>
      </c>
    </row>
    <row r="126" spans="1:12">
      <c r="A126" s="34" t="s">
        <v>118</v>
      </c>
      <c r="B126" s="344">
        <v>2002</v>
      </c>
      <c r="C126" s="59" t="s">
        <v>104</v>
      </c>
      <c r="D126" s="59">
        <v>337</v>
      </c>
      <c r="E126" s="504" t="s">
        <v>119</v>
      </c>
      <c r="F126" s="29">
        <v>1</v>
      </c>
      <c r="G126" s="9">
        <v>1</v>
      </c>
      <c r="H126" s="9">
        <v>1</v>
      </c>
      <c r="I126" s="9">
        <v>2</v>
      </c>
      <c r="J126" s="43">
        <v>2</v>
      </c>
      <c r="K126" s="265">
        <f t="shared" si="1"/>
        <v>0.35859414261160716</v>
      </c>
      <c r="L126" s="164" t="s">
        <v>120</v>
      </c>
    </row>
    <row r="127" spans="1:12">
      <c r="A127" s="34" t="s">
        <v>118</v>
      </c>
      <c r="B127" s="344">
        <v>2002</v>
      </c>
      <c r="C127" s="59" t="s">
        <v>105</v>
      </c>
      <c r="D127" s="59">
        <v>233</v>
      </c>
      <c r="E127" s="504" t="s">
        <v>119</v>
      </c>
      <c r="F127" s="29">
        <v>1</v>
      </c>
      <c r="G127" s="9">
        <v>1</v>
      </c>
      <c r="H127" s="9">
        <v>1</v>
      </c>
      <c r="I127" s="9">
        <v>2</v>
      </c>
      <c r="J127" s="43">
        <v>2</v>
      </c>
      <c r="K127" s="265">
        <f t="shared" si="1"/>
        <v>0.35859414261160716</v>
      </c>
      <c r="L127" s="164" t="s">
        <v>120</v>
      </c>
    </row>
    <row r="128" spans="1:12">
      <c r="A128" s="34" t="s">
        <v>118</v>
      </c>
      <c r="B128" s="344">
        <v>2002</v>
      </c>
      <c r="C128" s="59" t="s">
        <v>103</v>
      </c>
      <c r="D128" s="59">
        <v>200</v>
      </c>
      <c r="E128" s="504" t="s">
        <v>119</v>
      </c>
      <c r="F128" s="29">
        <v>1</v>
      </c>
      <c r="G128" s="9">
        <v>1</v>
      </c>
      <c r="H128" s="9">
        <v>1</v>
      </c>
      <c r="I128" s="9">
        <v>2</v>
      </c>
      <c r="J128" s="43">
        <v>2</v>
      </c>
      <c r="K128" s="265">
        <f t="shared" si="1"/>
        <v>0.35859414261160716</v>
      </c>
      <c r="L128" s="164" t="s">
        <v>120</v>
      </c>
    </row>
    <row r="129" spans="1:12">
      <c r="A129" s="34" t="s">
        <v>118</v>
      </c>
      <c r="B129" s="344">
        <v>2002</v>
      </c>
      <c r="C129" s="59" t="s">
        <v>101</v>
      </c>
      <c r="D129" s="59">
        <v>98</v>
      </c>
      <c r="E129" s="504" t="s">
        <v>119</v>
      </c>
      <c r="F129" s="29">
        <v>1</v>
      </c>
      <c r="G129" s="9">
        <v>1</v>
      </c>
      <c r="H129" s="9">
        <v>1</v>
      </c>
      <c r="I129" s="9">
        <v>2</v>
      </c>
      <c r="J129" s="43">
        <v>2</v>
      </c>
      <c r="K129" s="265">
        <f t="shared" si="1"/>
        <v>0.35859414261160716</v>
      </c>
      <c r="L129" s="164" t="s">
        <v>120</v>
      </c>
    </row>
    <row r="130" spans="1:12">
      <c r="A130" s="34" t="s">
        <v>118</v>
      </c>
      <c r="B130" s="344">
        <v>2002</v>
      </c>
      <c r="C130" s="59" t="s">
        <v>106</v>
      </c>
      <c r="D130" s="59">
        <v>1400</v>
      </c>
      <c r="E130" s="504" t="s">
        <v>119</v>
      </c>
      <c r="F130" s="29">
        <v>1</v>
      </c>
      <c r="G130" s="9">
        <v>1</v>
      </c>
      <c r="H130" s="9">
        <v>1</v>
      </c>
      <c r="I130" s="9">
        <v>2</v>
      </c>
      <c r="J130" s="43">
        <v>2</v>
      </c>
      <c r="K130" s="265">
        <f t="shared" ref="K130:K193" si="2">IF( OR( ISBLANK(F130),ISBLANK(G130), ISBLANK(H130), ISBLANK(I130), ISBLANK(J130) ), "", 1.5*SQRT(   EXP(2.21*(F130-1)) + EXP(2.21*(G130-1)) + EXP(2.21*(H130-1)) + EXP(2.21*(I130-1)) + EXP(2.21*J130)   )/100*2.45 )</f>
        <v>0.35859414261160716</v>
      </c>
      <c r="L130" s="164" t="s">
        <v>120</v>
      </c>
    </row>
    <row r="131" spans="1:12">
      <c r="A131" s="34" t="s">
        <v>118</v>
      </c>
      <c r="B131" s="344">
        <v>2003</v>
      </c>
      <c r="C131" s="59" t="s">
        <v>93</v>
      </c>
      <c r="D131" s="59">
        <v>1435</v>
      </c>
      <c r="E131" s="504" t="s">
        <v>119</v>
      </c>
      <c r="F131" s="29">
        <v>1</v>
      </c>
      <c r="G131" s="9">
        <v>1</v>
      </c>
      <c r="H131" s="9">
        <v>1</v>
      </c>
      <c r="I131" s="9">
        <v>2</v>
      </c>
      <c r="J131" s="43">
        <v>2</v>
      </c>
      <c r="K131" s="265">
        <f t="shared" si="2"/>
        <v>0.35859414261160716</v>
      </c>
      <c r="L131" s="164" t="s">
        <v>120</v>
      </c>
    </row>
    <row r="132" spans="1:12">
      <c r="A132" s="34" t="s">
        <v>118</v>
      </c>
      <c r="B132" s="344">
        <v>2003</v>
      </c>
      <c r="C132" s="59" t="s">
        <v>94</v>
      </c>
      <c r="D132" s="59">
        <v>290</v>
      </c>
      <c r="E132" s="504" t="s">
        <v>119</v>
      </c>
      <c r="F132" s="29">
        <v>1</v>
      </c>
      <c r="G132" s="9">
        <v>1</v>
      </c>
      <c r="H132" s="9">
        <v>1</v>
      </c>
      <c r="I132" s="9">
        <v>2</v>
      </c>
      <c r="J132" s="43">
        <v>2</v>
      </c>
      <c r="K132" s="265">
        <f t="shared" si="2"/>
        <v>0.35859414261160716</v>
      </c>
      <c r="L132" s="164" t="s">
        <v>120</v>
      </c>
    </row>
    <row r="133" spans="1:12">
      <c r="A133" s="34" t="s">
        <v>118</v>
      </c>
      <c r="B133" s="344">
        <v>2003</v>
      </c>
      <c r="C133" s="59" t="s">
        <v>95</v>
      </c>
      <c r="D133" s="59">
        <v>852</v>
      </c>
      <c r="E133" s="504" t="s">
        <v>119</v>
      </c>
      <c r="F133" s="29">
        <v>1</v>
      </c>
      <c r="G133" s="9">
        <v>1</v>
      </c>
      <c r="H133" s="9">
        <v>1</v>
      </c>
      <c r="I133" s="9">
        <v>2</v>
      </c>
      <c r="J133" s="43">
        <v>2</v>
      </c>
      <c r="K133" s="265">
        <f t="shared" si="2"/>
        <v>0.35859414261160716</v>
      </c>
      <c r="L133" s="164" t="s">
        <v>120</v>
      </c>
    </row>
    <row r="134" spans="1:12">
      <c r="A134" s="34" t="s">
        <v>118</v>
      </c>
      <c r="B134" s="344">
        <v>2003</v>
      </c>
      <c r="C134" s="59" t="s">
        <v>96</v>
      </c>
      <c r="D134" s="59">
        <v>4</v>
      </c>
      <c r="E134" s="504" t="s">
        <v>119</v>
      </c>
      <c r="F134" s="29">
        <v>1</v>
      </c>
      <c r="G134" s="9">
        <v>1</v>
      </c>
      <c r="H134" s="9">
        <v>1</v>
      </c>
      <c r="I134" s="9">
        <v>2</v>
      </c>
      <c r="J134" s="43">
        <v>2</v>
      </c>
      <c r="K134" s="265">
        <f t="shared" si="2"/>
        <v>0.35859414261160716</v>
      </c>
      <c r="L134" s="164" t="s">
        <v>120</v>
      </c>
    </row>
    <row r="135" spans="1:12">
      <c r="A135" s="34" t="s">
        <v>118</v>
      </c>
      <c r="B135" s="344">
        <v>2003</v>
      </c>
      <c r="C135" s="59" t="s">
        <v>97</v>
      </c>
      <c r="D135" s="59">
        <v>191</v>
      </c>
      <c r="E135" s="504" t="s">
        <v>119</v>
      </c>
      <c r="F135" s="29">
        <v>1</v>
      </c>
      <c r="G135" s="9">
        <v>1</v>
      </c>
      <c r="H135" s="9">
        <v>1</v>
      </c>
      <c r="I135" s="9">
        <v>2</v>
      </c>
      <c r="J135" s="43">
        <v>2</v>
      </c>
      <c r="K135" s="265">
        <f t="shared" si="2"/>
        <v>0.35859414261160716</v>
      </c>
      <c r="L135" s="164" t="s">
        <v>120</v>
      </c>
    </row>
    <row r="136" spans="1:12">
      <c r="A136" s="34" t="s">
        <v>118</v>
      </c>
      <c r="B136" s="344">
        <v>2003</v>
      </c>
      <c r="C136" s="59" t="s">
        <v>98</v>
      </c>
      <c r="D136" s="59">
        <v>610</v>
      </c>
      <c r="E136" s="504" t="s">
        <v>119</v>
      </c>
      <c r="F136" s="29">
        <v>1</v>
      </c>
      <c r="G136" s="9">
        <v>1</v>
      </c>
      <c r="H136" s="9">
        <v>1</v>
      </c>
      <c r="I136" s="9">
        <v>2</v>
      </c>
      <c r="J136" s="43">
        <v>2</v>
      </c>
      <c r="K136" s="265">
        <f t="shared" si="2"/>
        <v>0.35859414261160716</v>
      </c>
      <c r="L136" s="164" t="s">
        <v>120</v>
      </c>
    </row>
    <row r="137" spans="1:12">
      <c r="A137" s="34" t="s">
        <v>118</v>
      </c>
      <c r="B137" s="344">
        <v>2003</v>
      </c>
      <c r="C137" s="59" t="s">
        <v>99</v>
      </c>
      <c r="D137" s="59">
        <v>167</v>
      </c>
      <c r="E137" s="504" t="s">
        <v>119</v>
      </c>
      <c r="F137" s="29">
        <v>1</v>
      </c>
      <c r="G137" s="9">
        <v>1</v>
      </c>
      <c r="H137" s="9">
        <v>1</v>
      </c>
      <c r="I137" s="9">
        <v>2</v>
      </c>
      <c r="J137" s="43">
        <v>2</v>
      </c>
      <c r="K137" s="265">
        <f t="shared" si="2"/>
        <v>0.35859414261160716</v>
      </c>
      <c r="L137" s="164" t="s">
        <v>120</v>
      </c>
    </row>
    <row r="138" spans="1:12">
      <c r="A138" s="34" t="s">
        <v>118</v>
      </c>
      <c r="B138" s="344">
        <v>2003</v>
      </c>
      <c r="C138" s="59" t="s">
        <v>102</v>
      </c>
      <c r="D138" s="59">
        <v>83</v>
      </c>
      <c r="E138" s="504" t="s">
        <v>119</v>
      </c>
      <c r="F138" s="29">
        <v>1</v>
      </c>
      <c r="G138" s="9">
        <v>1</v>
      </c>
      <c r="H138" s="9">
        <v>1</v>
      </c>
      <c r="I138" s="9">
        <v>2</v>
      </c>
      <c r="J138" s="43">
        <v>2</v>
      </c>
      <c r="K138" s="265">
        <f t="shared" si="2"/>
        <v>0.35859414261160716</v>
      </c>
      <c r="L138" s="164" t="s">
        <v>120</v>
      </c>
    </row>
    <row r="139" spans="1:12">
      <c r="A139" s="34" t="s">
        <v>118</v>
      </c>
      <c r="B139" s="344">
        <v>2003</v>
      </c>
      <c r="C139" s="59" t="s">
        <v>104</v>
      </c>
      <c r="D139" s="59">
        <v>337</v>
      </c>
      <c r="E139" s="504" t="s">
        <v>119</v>
      </c>
      <c r="F139" s="29">
        <v>1</v>
      </c>
      <c r="G139" s="9">
        <v>1</v>
      </c>
      <c r="H139" s="9">
        <v>1</v>
      </c>
      <c r="I139" s="9">
        <v>2</v>
      </c>
      <c r="J139" s="43">
        <v>2</v>
      </c>
      <c r="K139" s="265">
        <f t="shared" si="2"/>
        <v>0.35859414261160716</v>
      </c>
      <c r="L139" s="164" t="s">
        <v>120</v>
      </c>
    </row>
    <row r="140" spans="1:12">
      <c r="A140" s="34" t="s">
        <v>118</v>
      </c>
      <c r="B140" s="344">
        <v>2003</v>
      </c>
      <c r="C140" s="59" t="s">
        <v>105</v>
      </c>
      <c r="D140" s="59">
        <v>233</v>
      </c>
      <c r="E140" s="504" t="s">
        <v>119</v>
      </c>
      <c r="F140" s="29">
        <v>1</v>
      </c>
      <c r="G140" s="9">
        <v>1</v>
      </c>
      <c r="H140" s="9">
        <v>1</v>
      </c>
      <c r="I140" s="9">
        <v>2</v>
      </c>
      <c r="J140" s="43">
        <v>2</v>
      </c>
      <c r="K140" s="265">
        <f t="shared" si="2"/>
        <v>0.35859414261160716</v>
      </c>
      <c r="L140" s="164" t="s">
        <v>120</v>
      </c>
    </row>
    <row r="141" spans="1:12">
      <c r="A141" s="34" t="s">
        <v>118</v>
      </c>
      <c r="B141" s="344">
        <v>2003</v>
      </c>
      <c r="C141" s="59" t="s">
        <v>103</v>
      </c>
      <c r="D141" s="59">
        <v>200</v>
      </c>
      <c r="E141" s="504" t="s">
        <v>119</v>
      </c>
      <c r="F141" s="29">
        <v>1</v>
      </c>
      <c r="G141" s="9">
        <v>1</v>
      </c>
      <c r="H141" s="9">
        <v>1</v>
      </c>
      <c r="I141" s="9">
        <v>2</v>
      </c>
      <c r="J141" s="43">
        <v>2</v>
      </c>
      <c r="K141" s="265">
        <f t="shared" si="2"/>
        <v>0.35859414261160716</v>
      </c>
      <c r="L141" s="164" t="s">
        <v>120</v>
      </c>
    </row>
    <row r="142" spans="1:12">
      <c r="A142" s="34" t="s">
        <v>118</v>
      </c>
      <c r="B142" s="344">
        <v>2003</v>
      </c>
      <c r="C142" s="59" t="s">
        <v>101</v>
      </c>
      <c r="D142" s="59">
        <v>98</v>
      </c>
      <c r="E142" s="504" t="s">
        <v>119</v>
      </c>
      <c r="F142" s="29">
        <v>1</v>
      </c>
      <c r="G142" s="9">
        <v>1</v>
      </c>
      <c r="H142" s="9">
        <v>1</v>
      </c>
      <c r="I142" s="9">
        <v>2</v>
      </c>
      <c r="J142" s="43">
        <v>2</v>
      </c>
      <c r="K142" s="265">
        <f t="shared" si="2"/>
        <v>0.35859414261160716</v>
      </c>
      <c r="L142" s="164" t="s">
        <v>120</v>
      </c>
    </row>
    <row r="143" spans="1:12">
      <c r="A143" s="34" t="s">
        <v>118</v>
      </c>
      <c r="B143" s="344">
        <v>2003</v>
      </c>
      <c r="C143" s="59" t="s">
        <v>106</v>
      </c>
      <c r="D143" s="59">
        <v>1732</v>
      </c>
      <c r="E143" s="504" t="s">
        <v>119</v>
      </c>
      <c r="F143" s="29">
        <v>1</v>
      </c>
      <c r="G143" s="9">
        <v>1</v>
      </c>
      <c r="H143" s="9">
        <v>1</v>
      </c>
      <c r="I143" s="9">
        <v>2</v>
      </c>
      <c r="J143" s="43">
        <v>2</v>
      </c>
      <c r="K143" s="265">
        <f t="shared" si="2"/>
        <v>0.35859414261160716</v>
      </c>
      <c r="L143" s="164" t="s">
        <v>120</v>
      </c>
    </row>
    <row r="144" spans="1:12">
      <c r="A144" s="34" t="s">
        <v>118</v>
      </c>
      <c r="B144" s="344">
        <v>2004</v>
      </c>
      <c r="C144" s="59" t="s">
        <v>93</v>
      </c>
      <c r="D144" s="59">
        <v>1435</v>
      </c>
      <c r="E144" s="504" t="s">
        <v>119</v>
      </c>
      <c r="F144" s="29">
        <v>1</v>
      </c>
      <c r="G144" s="9">
        <v>1</v>
      </c>
      <c r="H144" s="9">
        <v>1</v>
      </c>
      <c r="I144" s="9">
        <v>2</v>
      </c>
      <c r="J144" s="43">
        <v>2</v>
      </c>
      <c r="K144" s="265">
        <f t="shared" si="2"/>
        <v>0.35859414261160716</v>
      </c>
      <c r="L144" s="164" t="s">
        <v>120</v>
      </c>
    </row>
    <row r="145" spans="1:12">
      <c r="A145" s="34" t="s">
        <v>118</v>
      </c>
      <c r="B145" s="344">
        <v>2004</v>
      </c>
      <c r="C145" s="59" t="s">
        <v>94</v>
      </c>
      <c r="D145" s="59">
        <v>290</v>
      </c>
      <c r="E145" s="504" t="s">
        <v>119</v>
      </c>
      <c r="F145" s="29">
        <v>1</v>
      </c>
      <c r="G145" s="9">
        <v>1</v>
      </c>
      <c r="H145" s="9">
        <v>1</v>
      </c>
      <c r="I145" s="9">
        <v>2</v>
      </c>
      <c r="J145" s="43">
        <v>2</v>
      </c>
      <c r="K145" s="265">
        <f t="shared" si="2"/>
        <v>0.35859414261160716</v>
      </c>
      <c r="L145" s="164" t="s">
        <v>120</v>
      </c>
    </row>
    <row r="146" spans="1:12">
      <c r="A146" s="34" t="s">
        <v>118</v>
      </c>
      <c r="B146" s="344">
        <v>2004</v>
      </c>
      <c r="C146" s="59" t="s">
        <v>95</v>
      </c>
      <c r="D146" s="59">
        <v>852</v>
      </c>
      <c r="E146" s="504" t="s">
        <v>119</v>
      </c>
      <c r="F146" s="29">
        <v>1</v>
      </c>
      <c r="G146" s="9">
        <v>1</v>
      </c>
      <c r="H146" s="9">
        <v>1</v>
      </c>
      <c r="I146" s="9">
        <v>2</v>
      </c>
      <c r="J146" s="43">
        <v>2</v>
      </c>
      <c r="K146" s="265">
        <f t="shared" si="2"/>
        <v>0.35859414261160716</v>
      </c>
      <c r="L146" s="164" t="s">
        <v>120</v>
      </c>
    </row>
    <row r="147" spans="1:12">
      <c r="A147" s="34" t="s">
        <v>118</v>
      </c>
      <c r="B147" s="344">
        <v>2004</v>
      </c>
      <c r="C147" s="59" t="s">
        <v>96</v>
      </c>
      <c r="D147" s="59">
        <v>11</v>
      </c>
      <c r="E147" s="504" t="s">
        <v>119</v>
      </c>
      <c r="F147" s="29">
        <v>1</v>
      </c>
      <c r="G147" s="9">
        <v>1</v>
      </c>
      <c r="H147" s="9">
        <v>1</v>
      </c>
      <c r="I147" s="9">
        <v>2</v>
      </c>
      <c r="J147" s="43">
        <v>2</v>
      </c>
      <c r="K147" s="265">
        <f t="shared" si="2"/>
        <v>0.35859414261160716</v>
      </c>
      <c r="L147" s="164" t="s">
        <v>120</v>
      </c>
    </row>
    <row r="148" spans="1:12">
      <c r="A148" s="34" t="s">
        <v>118</v>
      </c>
      <c r="B148" s="344">
        <v>2004</v>
      </c>
      <c r="C148" s="59" t="s">
        <v>97</v>
      </c>
      <c r="D148" s="59">
        <v>191</v>
      </c>
      <c r="E148" s="504" t="s">
        <v>119</v>
      </c>
      <c r="F148" s="29">
        <v>1</v>
      </c>
      <c r="G148" s="9">
        <v>1</v>
      </c>
      <c r="H148" s="9">
        <v>1</v>
      </c>
      <c r="I148" s="9">
        <v>2</v>
      </c>
      <c r="J148" s="43">
        <v>2</v>
      </c>
      <c r="K148" s="265">
        <f t="shared" si="2"/>
        <v>0.35859414261160716</v>
      </c>
      <c r="L148" s="164" t="s">
        <v>120</v>
      </c>
    </row>
    <row r="149" spans="1:12">
      <c r="A149" s="34" t="s">
        <v>118</v>
      </c>
      <c r="B149" s="344">
        <v>2004</v>
      </c>
      <c r="C149" s="59" t="s">
        <v>98</v>
      </c>
      <c r="D149" s="59">
        <v>610</v>
      </c>
      <c r="E149" s="504" t="s">
        <v>119</v>
      </c>
      <c r="F149" s="29">
        <v>1</v>
      </c>
      <c r="G149" s="9">
        <v>1</v>
      </c>
      <c r="H149" s="9">
        <v>1</v>
      </c>
      <c r="I149" s="9">
        <v>2</v>
      </c>
      <c r="J149" s="43">
        <v>2</v>
      </c>
      <c r="K149" s="265">
        <f t="shared" si="2"/>
        <v>0.35859414261160716</v>
      </c>
      <c r="L149" s="164" t="s">
        <v>120</v>
      </c>
    </row>
    <row r="150" spans="1:12">
      <c r="A150" s="34" t="s">
        <v>118</v>
      </c>
      <c r="B150" s="344">
        <v>2004</v>
      </c>
      <c r="C150" s="59" t="s">
        <v>99</v>
      </c>
      <c r="D150" s="59">
        <v>0</v>
      </c>
      <c r="E150" s="504" t="s">
        <v>119</v>
      </c>
      <c r="F150" s="29">
        <v>1</v>
      </c>
      <c r="G150" s="9">
        <v>1</v>
      </c>
      <c r="H150" s="9">
        <v>1</v>
      </c>
      <c r="I150" s="9">
        <v>2</v>
      </c>
      <c r="J150" s="43">
        <v>2</v>
      </c>
      <c r="K150" s="265">
        <f t="shared" si="2"/>
        <v>0.35859414261160716</v>
      </c>
      <c r="L150" s="164" t="s">
        <v>120</v>
      </c>
    </row>
    <row r="151" spans="1:12">
      <c r="A151" s="34" t="s">
        <v>118</v>
      </c>
      <c r="B151" s="344">
        <v>2004</v>
      </c>
      <c r="C151" s="59" t="s">
        <v>102</v>
      </c>
      <c r="D151" s="59">
        <v>67</v>
      </c>
      <c r="E151" s="504" t="s">
        <v>119</v>
      </c>
      <c r="F151" s="29">
        <v>1</v>
      </c>
      <c r="G151" s="9">
        <v>1</v>
      </c>
      <c r="H151" s="9">
        <v>1</v>
      </c>
      <c r="I151" s="9">
        <v>2</v>
      </c>
      <c r="J151" s="43">
        <v>2</v>
      </c>
      <c r="K151" s="265">
        <f t="shared" si="2"/>
        <v>0.35859414261160716</v>
      </c>
      <c r="L151" s="164" t="s">
        <v>120</v>
      </c>
    </row>
    <row r="152" spans="1:12">
      <c r="A152" s="34" t="s">
        <v>118</v>
      </c>
      <c r="B152" s="344">
        <v>2004</v>
      </c>
      <c r="C152" s="59" t="s">
        <v>104</v>
      </c>
      <c r="D152" s="59">
        <v>337</v>
      </c>
      <c r="E152" s="504" t="s">
        <v>119</v>
      </c>
      <c r="F152" s="29">
        <v>1</v>
      </c>
      <c r="G152" s="9">
        <v>1</v>
      </c>
      <c r="H152" s="9">
        <v>1</v>
      </c>
      <c r="I152" s="9">
        <v>2</v>
      </c>
      <c r="J152" s="43">
        <v>2</v>
      </c>
      <c r="K152" s="265">
        <f t="shared" si="2"/>
        <v>0.35859414261160716</v>
      </c>
      <c r="L152" s="164" t="s">
        <v>120</v>
      </c>
    </row>
    <row r="153" spans="1:12">
      <c r="A153" s="34" t="s">
        <v>118</v>
      </c>
      <c r="B153" s="344">
        <v>2004</v>
      </c>
      <c r="C153" s="59" t="s">
        <v>105</v>
      </c>
      <c r="D153" s="59">
        <v>233</v>
      </c>
      <c r="E153" s="504" t="s">
        <v>119</v>
      </c>
      <c r="F153" s="29">
        <v>1</v>
      </c>
      <c r="G153" s="9">
        <v>1</v>
      </c>
      <c r="H153" s="9">
        <v>1</v>
      </c>
      <c r="I153" s="9">
        <v>2</v>
      </c>
      <c r="J153" s="43">
        <v>2</v>
      </c>
      <c r="K153" s="265">
        <f t="shared" si="2"/>
        <v>0.35859414261160716</v>
      </c>
      <c r="L153" s="164" t="s">
        <v>120</v>
      </c>
    </row>
    <row r="154" spans="1:12">
      <c r="A154" s="34" t="s">
        <v>118</v>
      </c>
      <c r="B154" s="344">
        <v>2004</v>
      </c>
      <c r="C154" s="59" t="s">
        <v>103</v>
      </c>
      <c r="D154" s="59">
        <v>200</v>
      </c>
      <c r="E154" s="504" t="s">
        <v>119</v>
      </c>
      <c r="F154" s="29">
        <v>1</v>
      </c>
      <c r="G154" s="9">
        <v>1</v>
      </c>
      <c r="H154" s="9">
        <v>1</v>
      </c>
      <c r="I154" s="9">
        <v>2</v>
      </c>
      <c r="J154" s="43">
        <v>2</v>
      </c>
      <c r="K154" s="265">
        <f t="shared" si="2"/>
        <v>0.35859414261160716</v>
      </c>
      <c r="L154" s="164" t="s">
        <v>120</v>
      </c>
    </row>
    <row r="155" spans="1:12">
      <c r="A155" s="34" t="s">
        <v>118</v>
      </c>
      <c r="B155" s="344">
        <v>2004</v>
      </c>
      <c r="C155" s="59" t="s">
        <v>101</v>
      </c>
      <c r="D155" s="59">
        <v>98</v>
      </c>
      <c r="E155" s="504" t="s">
        <v>119</v>
      </c>
      <c r="F155" s="29">
        <v>1</v>
      </c>
      <c r="G155" s="9">
        <v>1</v>
      </c>
      <c r="H155" s="9">
        <v>1</v>
      </c>
      <c r="I155" s="9">
        <v>2</v>
      </c>
      <c r="J155" s="43">
        <v>2</v>
      </c>
      <c r="K155" s="265">
        <f t="shared" si="2"/>
        <v>0.35859414261160716</v>
      </c>
      <c r="L155" s="164" t="s">
        <v>120</v>
      </c>
    </row>
    <row r="156" spans="1:12">
      <c r="A156" s="34" t="s">
        <v>118</v>
      </c>
      <c r="B156" s="344">
        <v>2004</v>
      </c>
      <c r="C156" s="59" t="s">
        <v>106</v>
      </c>
      <c r="D156" s="59">
        <v>2287</v>
      </c>
      <c r="E156" s="504" t="s">
        <v>119</v>
      </c>
      <c r="F156" s="29">
        <v>1</v>
      </c>
      <c r="G156" s="9">
        <v>1</v>
      </c>
      <c r="H156" s="9">
        <v>1</v>
      </c>
      <c r="I156" s="9">
        <v>2</v>
      </c>
      <c r="J156" s="43">
        <v>2</v>
      </c>
      <c r="K156" s="265">
        <f t="shared" si="2"/>
        <v>0.35859414261160716</v>
      </c>
      <c r="L156" s="164" t="s">
        <v>120</v>
      </c>
    </row>
    <row r="157" spans="1:12">
      <c r="A157" s="34" t="s">
        <v>118</v>
      </c>
      <c r="B157" s="344">
        <v>2005</v>
      </c>
      <c r="C157" s="59" t="s">
        <v>93</v>
      </c>
      <c r="D157" s="59">
        <v>1435</v>
      </c>
      <c r="E157" s="504" t="s">
        <v>119</v>
      </c>
      <c r="F157" s="29">
        <v>1</v>
      </c>
      <c r="G157" s="9">
        <v>1</v>
      </c>
      <c r="H157" s="9">
        <v>1</v>
      </c>
      <c r="I157" s="9">
        <v>2</v>
      </c>
      <c r="J157" s="43">
        <v>2</v>
      </c>
      <c r="K157" s="265">
        <f t="shared" si="2"/>
        <v>0.35859414261160716</v>
      </c>
      <c r="L157" s="164" t="s">
        <v>120</v>
      </c>
    </row>
    <row r="158" spans="1:12">
      <c r="A158" s="34" t="s">
        <v>118</v>
      </c>
      <c r="B158" s="344">
        <v>2005</v>
      </c>
      <c r="C158" s="59" t="s">
        <v>94</v>
      </c>
      <c r="D158" s="59">
        <v>290</v>
      </c>
      <c r="E158" s="504" t="s">
        <v>119</v>
      </c>
      <c r="F158" s="29">
        <v>1</v>
      </c>
      <c r="G158" s="9">
        <v>1</v>
      </c>
      <c r="H158" s="9">
        <v>1</v>
      </c>
      <c r="I158" s="9">
        <v>2</v>
      </c>
      <c r="J158" s="43">
        <v>2</v>
      </c>
      <c r="K158" s="265">
        <f t="shared" si="2"/>
        <v>0.35859414261160716</v>
      </c>
      <c r="L158" s="164" t="s">
        <v>120</v>
      </c>
    </row>
    <row r="159" spans="1:12">
      <c r="A159" s="34" t="s">
        <v>118</v>
      </c>
      <c r="B159" s="344">
        <v>2005</v>
      </c>
      <c r="C159" s="59" t="s">
        <v>95</v>
      </c>
      <c r="D159" s="59">
        <v>852</v>
      </c>
      <c r="E159" s="504" t="s">
        <v>119</v>
      </c>
      <c r="F159" s="29">
        <v>1</v>
      </c>
      <c r="G159" s="9">
        <v>1</v>
      </c>
      <c r="H159" s="9">
        <v>1</v>
      </c>
      <c r="I159" s="9">
        <v>2</v>
      </c>
      <c r="J159" s="43">
        <v>2</v>
      </c>
      <c r="K159" s="265">
        <f t="shared" si="2"/>
        <v>0.35859414261160716</v>
      </c>
      <c r="L159" s="164" t="s">
        <v>120</v>
      </c>
    </row>
    <row r="160" spans="1:12">
      <c r="A160" s="34" t="s">
        <v>118</v>
      </c>
      <c r="B160" s="344">
        <v>2005</v>
      </c>
      <c r="C160" s="59" t="s">
        <v>96</v>
      </c>
      <c r="D160" s="59">
        <v>4</v>
      </c>
      <c r="E160" s="504" t="s">
        <v>119</v>
      </c>
      <c r="F160" s="29">
        <v>1</v>
      </c>
      <c r="G160" s="9">
        <v>1</v>
      </c>
      <c r="H160" s="9">
        <v>1</v>
      </c>
      <c r="I160" s="9">
        <v>2</v>
      </c>
      <c r="J160" s="43">
        <v>2</v>
      </c>
      <c r="K160" s="265">
        <f t="shared" si="2"/>
        <v>0.35859414261160716</v>
      </c>
      <c r="L160" s="164" t="s">
        <v>120</v>
      </c>
    </row>
    <row r="161" spans="1:12">
      <c r="A161" s="34" t="s">
        <v>118</v>
      </c>
      <c r="B161" s="344">
        <v>2005</v>
      </c>
      <c r="C161" s="59" t="s">
        <v>97</v>
      </c>
      <c r="D161" s="59">
        <v>191</v>
      </c>
      <c r="E161" s="504" t="s">
        <v>119</v>
      </c>
      <c r="F161" s="29">
        <v>1</v>
      </c>
      <c r="G161" s="9">
        <v>1</v>
      </c>
      <c r="H161" s="9">
        <v>1</v>
      </c>
      <c r="I161" s="9">
        <v>2</v>
      </c>
      <c r="J161" s="43">
        <v>2</v>
      </c>
      <c r="K161" s="265">
        <f t="shared" si="2"/>
        <v>0.35859414261160716</v>
      </c>
      <c r="L161" s="164" t="s">
        <v>120</v>
      </c>
    </row>
    <row r="162" spans="1:12">
      <c r="A162" s="34" t="s">
        <v>118</v>
      </c>
      <c r="B162" s="344">
        <v>2005</v>
      </c>
      <c r="C162" s="59" t="s">
        <v>98</v>
      </c>
      <c r="D162" s="59">
        <v>610</v>
      </c>
      <c r="E162" s="504" t="s">
        <v>119</v>
      </c>
      <c r="F162" s="29">
        <v>1</v>
      </c>
      <c r="G162" s="9">
        <v>1</v>
      </c>
      <c r="H162" s="9">
        <v>1</v>
      </c>
      <c r="I162" s="9">
        <v>2</v>
      </c>
      <c r="J162" s="43">
        <v>2</v>
      </c>
      <c r="K162" s="265">
        <f t="shared" si="2"/>
        <v>0.35859414261160716</v>
      </c>
      <c r="L162" s="164" t="s">
        <v>120</v>
      </c>
    </row>
    <row r="163" spans="1:12">
      <c r="A163" s="34" t="s">
        <v>118</v>
      </c>
      <c r="B163" s="344">
        <v>2005</v>
      </c>
      <c r="C163" s="59" t="s">
        <v>99</v>
      </c>
      <c r="D163" s="59">
        <v>156</v>
      </c>
      <c r="E163" s="504" t="s">
        <v>119</v>
      </c>
      <c r="F163" s="29">
        <v>1</v>
      </c>
      <c r="G163" s="9">
        <v>1</v>
      </c>
      <c r="H163" s="9">
        <v>1</v>
      </c>
      <c r="I163" s="9">
        <v>2</v>
      </c>
      <c r="J163" s="43">
        <v>2</v>
      </c>
      <c r="K163" s="265">
        <f t="shared" si="2"/>
        <v>0.35859414261160716</v>
      </c>
      <c r="L163" s="164" t="s">
        <v>120</v>
      </c>
    </row>
    <row r="164" spans="1:12">
      <c r="A164" s="34" t="s">
        <v>118</v>
      </c>
      <c r="B164" s="344">
        <v>2005</v>
      </c>
      <c r="C164" s="59" t="s">
        <v>102</v>
      </c>
      <c r="D164" s="59">
        <v>78</v>
      </c>
      <c r="E164" s="504" t="s">
        <v>119</v>
      </c>
      <c r="F164" s="29">
        <v>1</v>
      </c>
      <c r="G164" s="9">
        <v>1</v>
      </c>
      <c r="H164" s="9">
        <v>1</v>
      </c>
      <c r="I164" s="9">
        <v>2</v>
      </c>
      <c r="J164" s="43">
        <v>2</v>
      </c>
      <c r="K164" s="265">
        <f t="shared" si="2"/>
        <v>0.35859414261160716</v>
      </c>
      <c r="L164" s="164" t="s">
        <v>120</v>
      </c>
    </row>
    <row r="165" spans="1:12">
      <c r="A165" s="34" t="s">
        <v>118</v>
      </c>
      <c r="B165" s="344">
        <v>2005</v>
      </c>
      <c r="C165" s="59" t="s">
        <v>104</v>
      </c>
      <c r="D165" s="59">
        <v>337</v>
      </c>
      <c r="E165" s="504" t="s">
        <v>119</v>
      </c>
      <c r="F165" s="29">
        <v>1</v>
      </c>
      <c r="G165" s="9">
        <v>1</v>
      </c>
      <c r="H165" s="9">
        <v>1</v>
      </c>
      <c r="I165" s="9">
        <v>2</v>
      </c>
      <c r="J165" s="43">
        <v>2</v>
      </c>
      <c r="K165" s="265">
        <f t="shared" si="2"/>
        <v>0.35859414261160716</v>
      </c>
      <c r="L165" s="164" t="s">
        <v>120</v>
      </c>
    </row>
    <row r="166" spans="1:12">
      <c r="A166" s="34" t="s">
        <v>118</v>
      </c>
      <c r="B166" s="344">
        <v>2005</v>
      </c>
      <c r="C166" s="59" t="s">
        <v>105</v>
      </c>
      <c r="D166" s="59">
        <v>233</v>
      </c>
      <c r="E166" s="504" t="s">
        <v>119</v>
      </c>
      <c r="F166" s="29">
        <v>1</v>
      </c>
      <c r="G166" s="9">
        <v>1</v>
      </c>
      <c r="H166" s="9">
        <v>1</v>
      </c>
      <c r="I166" s="9">
        <v>2</v>
      </c>
      <c r="J166" s="43">
        <v>2</v>
      </c>
      <c r="K166" s="265">
        <f t="shared" si="2"/>
        <v>0.35859414261160716</v>
      </c>
      <c r="L166" s="164" t="s">
        <v>120</v>
      </c>
    </row>
    <row r="167" spans="1:12">
      <c r="A167" s="34" t="s">
        <v>118</v>
      </c>
      <c r="B167" s="344">
        <v>2005</v>
      </c>
      <c r="C167" s="59" t="s">
        <v>103</v>
      </c>
      <c r="D167" s="59">
        <v>200</v>
      </c>
      <c r="E167" s="504" t="s">
        <v>119</v>
      </c>
      <c r="F167" s="29">
        <v>1</v>
      </c>
      <c r="G167" s="9">
        <v>1</v>
      </c>
      <c r="H167" s="9">
        <v>1</v>
      </c>
      <c r="I167" s="9">
        <v>2</v>
      </c>
      <c r="J167" s="43">
        <v>2</v>
      </c>
      <c r="K167" s="265">
        <f t="shared" si="2"/>
        <v>0.35859414261160716</v>
      </c>
      <c r="L167" s="164" t="s">
        <v>120</v>
      </c>
    </row>
    <row r="168" spans="1:12">
      <c r="A168" s="34" t="s">
        <v>118</v>
      </c>
      <c r="B168" s="344">
        <v>2005</v>
      </c>
      <c r="C168" s="59" t="s">
        <v>101</v>
      </c>
      <c r="D168" s="59">
        <v>98</v>
      </c>
      <c r="E168" s="504" t="s">
        <v>119</v>
      </c>
      <c r="F168" s="29">
        <v>1</v>
      </c>
      <c r="G168" s="9">
        <v>1</v>
      </c>
      <c r="H168" s="9">
        <v>1</v>
      </c>
      <c r="I168" s="9">
        <v>2</v>
      </c>
      <c r="J168" s="43">
        <v>2</v>
      </c>
      <c r="K168" s="265">
        <f t="shared" si="2"/>
        <v>0.35859414261160716</v>
      </c>
      <c r="L168" s="164" t="s">
        <v>120</v>
      </c>
    </row>
    <row r="169" spans="1:12">
      <c r="A169" s="34" t="s">
        <v>118</v>
      </c>
      <c r="B169" s="344">
        <v>2005</v>
      </c>
      <c r="C169" s="59" t="s">
        <v>106</v>
      </c>
      <c r="D169" s="59">
        <v>2309</v>
      </c>
      <c r="E169" s="504" t="s">
        <v>119</v>
      </c>
      <c r="F169" s="29">
        <v>1</v>
      </c>
      <c r="G169" s="9">
        <v>1</v>
      </c>
      <c r="H169" s="9">
        <v>1</v>
      </c>
      <c r="I169" s="9">
        <v>2</v>
      </c>
      <c r="J169" s="43">
        <v>2</v>
      </c>
      <c r="K169" s="265">
        <f t="shared" si="2"/>
        <v>0.35859414261160716</v>
      </c>
      <c r="L169" s="164" t="s">
        <v>120</v>
      </c>
    </row>
    <row r="170" spans="1:12">
      <c r="A170" s="34" t="s">
        <v>118</v>
      </c>
      <c r="B170" s="344">
        <v>2006</v>
      </c>
      <c r="C170" s="59" t="s">
        <v>93</v>
      </c>
      <c r="D170" s="59">
        <v>1448</v>
      </c>
      <c r="E170" s="504" t="s">
        <v>119</v>
      </c>
      <c r="F170" s="29">
        <v>1</v>
      </c>
      <c r="G170" s="9">
        <v>1</v>
      </c>
      <c r="H170" s="9">
        <v>1</v>
      </c>
      <c r="I170" s="9">
        <v>2</v>
      </c>
      <c r="J170" s="43">
        <v>2</v>
      </c>
      <c r="K170" s="265">
        <f t="shared" si="2"/>
        <v>0.35859414261160716</v>
      </c>
      <c r="L170" s="164" t="s">
        <v>120</v>
      </c>
    </row>
    <row r="171" spans="1:12">
      <c r="A171" s="34" t="s">
        <v>118</v>
      </c>
      <c r="B171" s="344">
        <v>2006</v>
      </c>
      <c r="C171" s="59" t="s">
        <v>94</v>
      </c>
      <c r="D171" s="59">
        <v>290</v>
      </c>
      <c r="E171" s="504" t="s">
        <v>119</v>
      </c>
      <c r="F171" s="29">
        <v>1</v>
      </c>
      <c r="G171" s="9">
        <v>1</v>
      </c>
      <c r="H171" s="9">
        <v>1</v>
      </c>
      <c r="I171" s="9">
        <v>2</v>
      </c>
      <c r="J171" s="43">
        <v>2</v>
      </c>
      <c r="K171" s="265">
        <f t="shared" si="2"/>
        <v>0.35859414261160716</v>
      </c>
      <c r="L171" s="164" t="s">
        <v>120</v>
      </c>
    </row>
    <row r="172" spans="1:12">
      <c r="A172" s="34" t="s">
        <v>118</v>
      </c>
      <c r="B172" s="344">
        <v>2006</v>
      </c>
      <c r="C172" s="59" t="s">
        <v>95</v>
      </c>
      <c r="D172" s="59">
        <v>955</v>
      </c>
      <c r="E172" s="504" t="s">
        <v>119</v>
      </c>
      <c r="F172" s="29">
        <v>1</v>
      </c>
      <c r="G172" s="9">
        <v>1</v>
      </c>
      <c r="H172" s="9">
        <v>1</v>
      </c>
      <c r="I172" s="9">
        <v>2</v>
      </c>
      <c r="J172" s="43">
        <v>2</v>
      </c>
      <c r="K172" s="265">
        <f t="shared" si="2"/>
        <v>0.35859414261160716</v>
      </c>
      <c r="L172" s="164" t="s">
        <v>120</v>
      </c>
    </row>
    <row r="173" spans="1:12">
      <c r="A173" s="34" t="s">
        <v>118</v>
      </c>
      <c r="B173" s="344">
        <v>2006</v>
      </c>
      <c r="C173" s="59" t="s">
        <v>96</v>
      </c>
      <c r="D173" s="59">
        <v>13</v>
      </c>
      <c r="E173" s="504" t="s">
        <v>119</v>
      </c>
      <c r="F173" s="29">
        <v>1</v>
      </c>
      <c r="G173" s="9">
        <v>1</v>
      </c>
      <c r="H173" s="9">
        <v>1</v>
      </c>
      <c r="I173" s="9">
        <v>2</v>
      </c>
      <c r="J173" s="43">
        <v>2</v>
      </c>
      <c r="K173" s="265">
        <f t="shared" si="2"/>
        <v>0.35859414261160716</v>
      </c>
      <c r="L173" s="164" t="s">
        <v>120</v>
      </c>
    </row>
    <row r="174" spans="1:12">
      <c r="A174" s="34" t="s">
        <v>118</v>
      </c>
      <c r="B174" s="344">
        <v>2006</v>
      </c>
      <c r="C174" s="59" t="s">
        <v>97</v>
      </c>
      <c r="D174" s="59">
        <v>191</v>
      </c>
      <c r="E174" s="504" t="s">
        <v>119</v>
      </c>
      <c r="F174" s="29">
        <v>1</v>
      </c>
      <c r="G174" s="9">
        <v>1</v>
      </c>
      <c r="H174" s="9">
        <v>1</v>
      </c>
      <c r="I174" s="9">
        <v>2</v>
      </c>
      <c r="J174" s="43">
        <v>2</v>
      </c>
      <c r="K174" s="265">
        <f t="shared" si="2"/>
        <v>0.35859414261160716</v>
      </c>
      <c r="L174" s="164" t="s">
        <v>120</v>
      </c>
    </row>
    <row r="175" spans="1:12">
      <c r="A175" s="34" t="s">
        <v>118</v>
      </c>
      <c r="B175" s="344">
        <v>2006</v>
      </c>
      <c r="C175" s="59" t="s">
        <v>98</v>
      </c>
      <c r="D175" s="59">
        <v>610</v>
      </c>
      <c r="E175" s="504" t="s">
        <v>119</v>
      </c>
      <c r="F175" s="29">
        <v>1</v>
      </c>
      <c r="G175" s="9">
        <v>1</v>
      </c>
      <c r="H175" s="9">
        <v>1</v>
      </c>
      <c r="I175" s="9">
        <v>2</v>
      </c>
      <c r="J175" s="43">
        <v>2</v>
      </c>
      <c r="K175" s="265">
        <f t="shared" si="2"/>
        <v>0.35859414261160716</v>
      </c>
      <c r="L175" s="164" t="s">
        <v>120</v>
      </c>
    </row>
    <row r="176" spans="1:12">
      <c r="A176" s="34" t="s">
        <v>118</v>
      </c>
      <c r="B176" s="344">
        <v>2006</v>
      </c>
      <c r="C176" s="59" t="s">
        <v>99</v>
      </c>
      <c r="D176" s="59">
        <v>177</v>
      </c>
      <c r="E176" s="504" t="s">
        <v>119</v>
      </c>
      <c r="F176" s="29">
        <v>1</v>
      </c>
      <c r="G176" s="9">
        <v>1</v>
      </c>
      <c r="H176" s="9">
        <v>1</v>
      </c>
      <c r="I176" s="9">
        <v>2</v>
      </c>
      <c r="J176" s="43">
        <v>2</v>
      </c>
      <c r="K176" s="265">
        <f t="shared" si="2"/>
        <v>0.35859414261160716</v>
      </c>
      <c r="L176" s="164" t="s">
        <v>120</v>
      </c>
    </row>
    <row r="177" spans="1:12">
      <c r="A177" s="34" t="s">
        <v>118</v>
      </c>
      <c r="B177" s="344">
        <v>2006</v>
      </c>
      <c r="C177" s="59" t="s">
        <v>102</v>
      </c>
      <c r="D177" s="59">
        <v>122</v>
      </c>
      <c r="E177" s="504" t="s">
        <v>119</v>
      </c>
      <c r="F177" s="29">
        <v>1</v>
      </c>
      <c r="G177" s="9">
        <v>1</v>
      </c>
      <c r="H177" s="9">
        <v>1</v>
      </c>
      <c r="I177" s="9">
        <v>2</v>
      </c>
      <c r="J177" s="43">
        <v>2</v>
      </c>
      <c r="K177" s="265">
        <f t="shared" si="2"/>
        <v>0.35859414261160716</v>
      </c>
      <c r="L177" s="164" t="s">
        <v>120</v>
      </c>
    </row>
    <row r="178" spans="1:12">
      <c r="A178" s="34" t="s">
        <v>118</v>
      </c>
      <c r="B178" s="344">
        <v>2006</v>
      </c>
      <c r="C178" s="59" t="s">
        <v>104</v>
      </c>
      <c r="D178" s="59">
        <v>204</v>
      </c>
      <c r="E178" s="504" t="s">
        <v>119</v>
      </c>
      <c r="F178" s="29">
        <v>1</v>
      </c>
      <c r="G178" s="9">
        <v>1</v>
      </c>
      <c r="H178" s="9">
        <v>1</v>
      </c>
      <c r="I178" s="9">
        <v>2</v>
      </c>
      <c r="J178" s="43">
        <v>2</v>
      </c>
      <c r="K178" s="265">
        <f t="shared" si="2"/>
        <v>0.35859414261160716</v>
      </c>
      <c r="L178" s="164" t="s">
        <v>120</v>
      </c>
    </row>
    <row r="179" spans="1:12">
      <c r="A179" s="34" t="s">
        <v>118</v>
      </c>
      <c r="B179" s="344">
        <v>2006</v>
      </c>
      <c r="C179" s="59" t="s">
        <v>105</v>
      </c>
      <c r="D179" s="59">
        <v>126</v>
      </c>
      <c r="E179" s="504" t="s">
        <v>119</v>
      </c>
      <c r="F179" s="29">
        <v>1</v>
      </c>
      <c r="G179" s="9">
        <v>1</v>
      </c>
      <c r="H179" s="9">
        <v>1</v>
      </c>
      <c r="I179" s="9">
        <v>2</v>
      </c>
      <c r="J179" s="43">
        <v>2</v>
      </c>
      <c r="K179" s="265">
        <f t="shared" si="2"/>
        <v>0.35859414261160716</v>
      </c>
      <c r="L179" s="164" t="s">
        <v>120</v>
      </c>
    </row>
    <row r="180" spans="1:12">
      <c r="A180" s="34" t="s">
        <v>118</v>
      </c>
      <c r="B180" s="344">
        <v>2006</v>
      </c>
      <c r="C180" s="59" t="s">
        <v>103</v>
      </c>
      <c r="D180" s="59">
        <v>241</v>
      </c>
      <c r="E180" s="504" t="s">
        <v>119</v>
      </c>
      <c r="F180" s="29">
        <v>1</v>
      </c>
      <c r="G180" s="9">
        <v>1</v>
      </c>
      <c r="H180" s="9">
        <v>1</v>
      </c>
      <c r="I180" s="9">
        <v>2</v>
      </c>
      <c r="J180" s="43">
        <v>2</v>
      </c>
      <c r="K180" s="265">
        <f t="shared" si="2"/>
        <v>0.35859414261160716</v>
      </c>
      <c r="L180" s="164" t="s">
        <v>120</v>
      </c>
    </row>
    <row r="181" spans="1:12">
      <c r="A181" s="34" t="s">
        <v>118</v>
      </c>
      <c r="B181" s="344">
        <v>2006</v>
      </c>
      <c r="C181" s="59" t="s">
        <v>101</v>
      </c>
      <c r="D181" s="59">
        <v>98</v>
      </c>
      <c r="E181" s="504" t="s">
        <v>119</v>
      </c>
      <c r="F181" s="29">
        <v>1</v>
      </c>
      <c r="G181" s="9">
        <v>1</v>
      </c>
      <c r="H181" s="9">
        <v>1</v>
      </c>
      <c r="I181" s="9">
        <v>2</v>
      </c>
      <c r="J181" s="43">
        <v>2</v>
      </c>
      <c r="K181" s="265">
        <f t="shared" si="2"/>
        <v>0.35859414261160716</v>
      </c>
      <c r="L181" s="164" t="s">
        <v>120</v>
      </c>
    </row>
    <row r="182" spans="1:12">
      <c r="A182" s="34" t="s">
        <v>118</v>
      </c>
      <c r="B182" s="344">
        <v>2006</v>
      </c>
      <c r="C182" s="59" t="s">
        <v>106</v>
      </c>
      <c r="D182" s="59">
        <v>2399</v>
      </c>
      <c r="E182" s="504" t="s">
        <v>119</v>
      </c>
      <c r="F182" s="29">
        <v>1</v>
      </c>
      <c r="G182" s="9">
        <v>1</v>
      </c>
      <c r="H182" s="9">
        <v>1</v>
      </c>
      <c r="I182" s="9">
        <v>2</v>
      </c>
      <c r="J182" s="43">
        <v>2</v>
      </c>
      <c r="K182" s="265">
        <f t="shared" si="2"/>
        <v>0.35859414261160716</v>
      </c>
      <c r="L182" s="164" t="s">
        <v>120</v>
      </c>
    </row>
    <row r="183" spans="1:12">
      <c r="A183" s="34" t="s">
        <v>118</v>
      </c>
      <c r="B183" s="344">
        <v>2007</v>
      </c>
      <c r="C183" s="59" t="s">
        <v>93</v>
      </c>
      <c r="D183" s="59">
        <v>1685</v>
      </c>
      <c r="E183" s="504" t="s">
        <v>119</v>
      </c>
      <c r="F183" s="29">
        <v>1</v>
      </c>
      <c r="G183" s="9">
        <v>1</v>
      </c>
      <c r="H183" s="9">
        <v>1</v>
      </c>
      <c r="I183" s="9">
        <v>2</v>
      </c>
      <c r="J183" s="43">
        <v>2</v>
      </c>
      <c r="K183" s="265">
        <f t="shared" si="2"/>
        <v>0.35859414261160716</v>
      </c>
      <c r="L183" s="164" t="s">
        <v>120</v>
      </c>
    </row>
    <row r="184" spans="1:12">
      <c r="A184" s="34" t="s">
        <v>118</v>
      </c>
      <c r="B184" s="344">
        <v>2007</v>
      </c>
      <c r="C184" s="59" t="s">
        <v>94</v>
      </c>
      <c r="D184" s="59">
        <v>290</v>
      </c>
      <c r="E184" s="504" t="s">
        <v>119</v>
      </c>
      <c r="F184" s="29">
        <v>1</v>
      </c>
      <c r="G184" s="9">
        <v>1</v>
      </c>
      <c r="H184" s="9">
        <v>1</v>
      </c>
      <c r="I184" s="9">
        <v>2</v>
      </c>
      <c r="J184" s="43">
        <v>2</v>
      </c>
      <c r="K184" s="265">
        <f t="shared" si="2"/>
        <v>0.35859414261160716</v>
      </c>
      <c r="L184" s="164" t="s">
        <v>120</v>
      </c>
    </row>
    <row r="185" spans="1:12">
      <c r="A185" s="34" t="s">
        <v>118</v>
      </c>
      <c r="B185" s="344">
        <v>2007</v>
      </c>
      <c r="C185" s="59" t="s">
        <v>95</v>
      </c>
      <c r="D185" s="59">
        <v>1021</v>
      </c>
      <c r="E185" s="504" t="s">
        <v>119</v>
      </c>
      <c r="F185" s="29">
        <v>1</v>
      </c>
      <c r="G185" s="9">
        <v>1</v>
      </c>
      <c r="H185" s="9">
        <v>1</v>
      </c>
      <c r="I185" s="9">
        <v>2</v>
      </c>
      <c r="J185" s="43">
        <v>2</v>
      </c>
      <c r="K185" s="265">
        <f t="shared" si="2"/>
        <v>0.35859414261160716</v>
      </c>
      <c r="L185" s="164" t="s">
        <v>120</v>
      </c>
    </row>
    <row r="186" spans="1:12">
      <c r="A186" s="34" t="s">
        <v>118</v>
      </c>
      <c r="B186" s="344">
        <v>2007</v>
      </c>
      <c r="C186" s="59" t="s">
        <v>96</v>
      </c>
      <c r="D186" s="59">
        <v>8</v>
      </c>
      <c r="E186" s="504" t="s">
        <v>119</v>
      </c>
      <c r="F186" s="29">
        <v>1</v>
      </c>
      <c r="G186" s="9">
        <v>1</v>
      </c>
      <c r="H186" s="9">
        <v>1</v>
      </c>
      <c r="I186" s="9">
        <v>2</v>
      </c>
      <c r="J186" s="43">
        <v>2</v>
      </c>
      <c r="K186" s="265">
        <f t="shared" si="2"/>
        <v>0.35859414261160716</v>
      </c>
      <c r="L186" s="164" t="s">
        <v>120</v>
      </c>
    </row>
    <row r="187" spans="1:12">
      <c r="A187" s="34" t="s">
        <v>118</v>
      </c>
      <c r="B187" s="344">
        <v>2007</v>
      </c>
      <c r="C187" s="59" t="s">
        <v>97</v>
      </c>
      <c r="D187" s="59">
        <v>191</v>
      </c>
      <c r="E187" s="504" t="s">
        <v>119</v>
      </c>
      <c r="F187" s="29">
        <v>1</v>
      </c>
      <c r="G187" s="9">
        <v>1</v>
      </c>
      <c r="H187" s="9">
        <v>1</v>
      </c>
      <c r="I187" s="9">
        <v>2</v>
      </c>
      <c r="J187" s="43">
        <v>2</v>
      </c>
      <c r="K187" s="265">
        <f t="shared" si="2"/>
        <v>0.35859414261160716</v>
      </c>
      <c r="L187" s="164" t="s">
        <v>120</v>
      </c>
    </row>
    <row r="188" spans="1:12">
      <c r="A188" s="34" t="s">
        <v>118</v>
      </c>
      <c r="B188" s="344">
        <v>2007</v>
      </c>
      <c r="C188" s="59" t="s">
        <v>98</v>
      </c>
      <c r="D188" s="59">
        <v>610</v>
      </c>
      <c r="E188" s="504" t="s">
        <v>119</v>
      </c>
      <c r="F188" s="29">
        <v>1</v>
      </c>
      <c r="G188" s="9">
        <v>1</v>
      </c>
      <c r="H188" s="9">
        <v>1</v>
      </c>
      <c r="I188" s="9">
        <v>2</v>
      </c>
      <c r="J188" s="43">
        <v>2</v>
      </c>
      <c r="K188" s="265">
        <f t="shared" si="2"/>
        <v>0.35859414261160716</v>
      </c>
      <c r="L188" s="164" t="s">
        <v>120</v>
      </c>
    </row>
    <row r="189" spans="1:12">
      <c r="A189" s="34" t="s">
        <v>118</v>
      </c>
      <c r="B189" s="344">
        <v>2007</v>
      </c>
      <c r="C189" s="59" t="s">
        <v>99</v>
      </c>
      <c r="D189" s="59">
        <v>209</v>
      </c>
      <c r="E189" s="504" t="s">
        <v>119</v>
      </c>
      <c r="F189" s="29">
        <v>1</v>
      </c>
      <c r="G189" s="9">
        <v>1</v>
      </c>
      <c r="H189" s="9">
        <v>1</v>
      </c>
      <c r="I189" s="9">
        <v>2</v>
      </c>
      <c r="J189" s="43">
        <v>2</v>
      </c>
      <c r="K189" s="265">
        <f t="shared" si="2"/>
        <v>0.35859414261160716</v>
      </c>
      <c r="L189" s="164" t="s">
        <v>120</v>
      </c>
    </row>
    <row r="190" spans="1:12">
      <c r="A190" s="34" t="s">
        <v>118</v>
      </c>
      <c r="B190" s="344">
        <v>2007</v>
      </c>
      <c r="C190" s="59" t="s">
        <v>102</v>
      </c>
      <c r="D190" s="59">
        <v>140</v>
      </c>
      <c r="E190" s="504" t="s">
        <v>119</v>
      </c>
      <c r="F190" s="29">
        <v>1</v>
      </c>
      <c r="G190" s="9">
        <v>1</v>
      </c>
      <c r="H190" s="9">
        <v>1</v>
      </c>
      <c r="I190" s="9">
        <v>2</v>
      </c>
      <c r="J190" s="43">
        <v>2</v>
      </c>
      <c r="K190" s="265">
        <f t="shared" si="2"/>
        <v>0.35859414261160716</v>
      </c>
      <c r="L190" s="164" t="s">
        <v>120</v>
      </c>
    </row>
    <row r="191" spans="1:12">
      <c r="A191" s="34" t="s">
        <v>118</v>
      </c>
      <c r="B191" s="344">
        <v>2007</v>
      </c>
      <c r="C191" s="59" t="s">
        <v>104</v>
      </c>
      <c r="D191" s="59">
        <v>337</v>
      </c>
      <c r="E191" s="504" t="s">
        <v>119</v>
      </c>
      <c r="F191" s="29">
        <v>1</v>
      </c>
      <c r="G191" s="9">
        <v>1</v>
      </c>
      <c r="H191" s="9">
        <v>1</v>
      </c>
      <c r="I191" s="9">
        <v>2</v>
      </c>
      <c r="J191" s="43">
        <v>2</v>
      </c>
      <c r="K191" s="265">
        <f t="shared" si="2"/>
        <v>0.35859414261160716</v>
      </c>
      <c r="L191" s="164" t="s">
        <v>120</v>
      </c>
    </row>
    <row r="192" spans="1:12">
      <c r="A192" s="34" t="s">
        <v>118</v>
      </c>
      <c r="B192" s="344">
        <v>2007</v>
      </c>
      <c r="C192" s="59" t="s">
        <v>105</v>
      </c>
      <c r="D192" s="59">
        <v>139</v>
      </c>
      <c r="E192" s="504" t="s">
        <v>119</v>
      </c>
      <c r="F192" s="29">
        <v>1</v>
      </c>
      <c r="G192" s="9">
        <v>1</v>
      </c>
      <c r="H192" s="9">
        <v>1</v>
      </c>
      <c r="I192" s="9">
        <v>2</v>
      </c>
      <c r="J192" s="43">
        <v>2</v>
      </c>
      <c r="K192" s="265">
        <f t="shared" si="2"/>
        <v>0.35859414261160716</v>
      </c>
      <c r="L192" s="164" t="s">
        <v>120</v>
      </c>
    </row>
    <row r="193" spans="1:12">
      <c r="A193" s="34" t="s">
        <v>118</v>
      </c>
      <c r="B193" s="344">
        <v>2007</v>
      </c>
      <c r="C193" s="59" t="s">
        <v>103</v>
      </c>
      <c r="D193" s="59">
        <v>219</v>
      </c>
      <c r="E193" s="504" t="s">
        <v>119</v>
      </c>
      <c r="F193" s="29">
        <v>1</v>
      </c>
      <c r="G193" s="9">
        <v>1</v>
      </c>
      <c r="H193" s="9">
        <v>1</v>
      </c>
      <c r="I193" s="9">
        <v>2</v>
      </c>
      <c r="J193" s="43">
        <v>2</v>
      </c>
      <c r="K193" s="265">
        <f t="shared" si="2"/>
        <v>0.35859414261160716</v>
      </c>
      <c r="L193" s="164" t="s">
        <v>120</v>
      </c>
    </row>
    <row r="194" spans="1:12">
      <c r="A194" s="34" t="s">
        <v>118</v>
      </c>
      <c r="B194" s="344">
        <v>2007</v>
      </c>
      <c r="C194" s="59" t="s">
        <v>101</v>
      </c>
      <c r="D194" s="59">
        <v>98</v>
      </c>
      <c r="E194" s="504" t="s">
        <v>119</v>
      </c>
      <c r="F194" s="29">
        <v>1</v>
      </c>
      <c r="G194" s="9">
        <v>1</v>
      </c>
      <c r="H194" s="9">
        <v>1</v>
      </c>
      <c r="I194" s="9">
        <v>2</v>
      </c>
      <c r="J194" s="43">
        <v>2</v>
      </c>
      <c r="K194" s="265">
        <f t="shared" ref="K194:K257" si="3">IF( OR( ISBLANK(F194),ISBLANK(G194), ISBLANK(H194), ISBLANK(I194), ISBLANK(J194) ), "", 1.5*SQRT(   EXP(2.21*(F194-1)) + EXP(2.21*(G194-1)) + EXP(2.21*(H194-1)) + EXP(2.21*(I194-1)) + EXP(2.21*J194)   )/100*2.45 )</f>
        <v>0.35859414261160716</v>
      </c>
      <c r="L194" s="164" t="s">
        <v>120</v>
      </c>
    </row>
    <row r="195" spans="1:12">
      <c r="A195" s="34" t="s">
        <v>118</v>
      </c>
      <c r="B195" s="344">
        <v>2007</v>
      </c>
      <c r="C195" s="59" t="s">
        <v>106</v>
      </c>
      <c r="D195" s="59">
        <v>2337</v>
      </c>
      <c r="E195" s="504" t="s">
        <v>119</v>
      </c>
      <c r="F195" s="29">
        <v>1</v>
      </c>
      <c r="G195" s="9">
        <v>1</v>
      </c>
      <c r="H195" s="9">
        <v>1</v>
      </c>
      <c r="I195" s="9">
        <v>2</v>
      </c>
      <c r="J195" s="43">
        <v>2</v>
      </c>
      <c r="K195" s="265">
        <f t="shared" si="3"/>
        <v>0.35859414261160716</v>
      </c>
      <c r="L195" s="164" t="s">
        <v>120</v>
      </c>
    </row>
    <row r="196" spans="1:12">
      <c r="A196" s="34" t="s">
        <v>118</v>
      </c>
      <c r="B196" s="344">
        <v>2008</v>
      </c>
      <c r="C196" s="59" t="s">
        <v>93</v>
      </c>
      <c r="D196" s="59">
        <v>1680</v>
      </c>
      <c r="E196" s="504" t="s">
        <v>119</v>
      </c>
      <c r="F196" s="29">
        <v>1</v>
      </c>
      <c r="G196" s="9">
        <v>1</v>
      </c>
      <c r="H196" s="9">
        <v>1</v>
      </c>
      <c r="I196" s="9">
        <v>2</v>
      </c>
      <c r="J196" s="43">
        <v>2</v>
      </c>
      <c r="K196" s="265">
        <f t="shared" si="3"/>
        <v>0.35859414261160716</v>
      </c>
      <c r="L196" s="164" t="s">
        <v>120</v>
      </c>
    </row>
    <row r="197" spans="1:12">
      <c r="A197" s="34" t="s">
        <v>118</v>
      </c>
      <c r="B197" s="344">
        <v>2008</v>
      </c>
      <c r="C197" s="59" t="s">
        <v>94</v>
      </c>
      <c r="D197" s="59">
        <v>290</v>
      </c>
      <c r="E197" s="504" t="s">
        <v>119</v>
      </c>
      <c r="F197" s="29">
        <v>1</v>
      </c>
      <c r="G197" s="9">
        <v>1</v>
      </c>
      <c r="H197" s="9">
        <v>1</v>
      </c>
      <c r="I197" s="9">
        <v>2</v>
      </c>
      <c r="J197" s="43">
        <v>2</v>
      </c>
      <c r="K197" s="265">
        <f t="shared" si="3"/>
        <v>0.35859414261160716</v>
      </c>
      <c r="L197" s="164" t="s">
        <v>120</v>
      </c>
    </row>
    <row r="198" spans="1:12">
      <c r="A198" s="34" t="s">
        <v>118</v>
      </c>
      <c r="B198" s="344">
        <v>2008</v>
      </c>
      <c r="C198" s="59" t="s">
        <v>95</v>
      </c>
      <c r="D198" s="59">
        <v>852</v>
      </c>
      <c r="E198" s="504" t="s">
        <v>119</v>
      </c>
      <c r="F198" s="29">
        <v>1</v>
      </c>
      <c r="G198" s="9">
        <v>1</v>
      </c>
      <c r="H198" s="9">
        <v>1</v>
      </c>
      <c r="I198" s="9">
        <v>2</v>
      </c>
      <c r="J198" s="43">
        <v>2</v>
      </c>
      <c r="K198" s="265">
        <f t="shared" si="3"/>
        <v>0.35859414261160716</v>
      </c>
      <c r="L198" s="164" t="s">
        <v>120</v>
      </c>
    </row>
    <row r="199" spans="1:12">
      <c r="A199" s="34" t="s">
        <v>118</v>
      </c>
      <c r="B199" s="344">
        <v>2008</v>
      </c>
      <c r="C199" s="59" t="s">
        <v>96</v>
      </c>
      <c r="D199" s="59">
        <v>25</v>
      </c>
      <c r="E199" s="504" t="s">
        <v>119</v>
      </c>
      <c r="F199" s="29">
        <v>1</v>
      </c>
      <c r="G199" s="9">
        <v>1</v>
      </c>
      <c r="H199" s="9">
        <v>1</v>
      </c>
      <c r="I199" s="9">
        <v>2</v>
      </c>
      <c r="J199" s="43">
        <v>2</v>
      </c>
      <c r="K199" s="265">
        <f t="shared" si="3"/>
        <v>0.35859414261160716</v>
      </c>
      <c r="L199" s="164" t="s">
        <v>120</v>
      </c>
    </row>
    <row r="200" spans="1:12">
      <c r="A200" s="34" t="s">
        <v>118</v>
      </c>
      <c r="B200" s="344">
        <v>2008</v>
      </c>
      <c r="C200" s="59" t="s">
        <v>97</v>
      </c>
      <c r="D200" s="59">
        <v>191</v>
      </c>
      <c r="E200" s="504" t="s">
        <v>119</v>
      </c>
      <c r="F200" s="29">
        <v>1</v>
      </c>
      <c r="G200" s="9">
        <v>1</v>
      </c>
      <c r="H200" s="9">
        <v>1</v>
      </c>
      <c r="I200" s="9">
        <v>2</v>
      </c>
      <c r="J200" s="43">
        <v>2</v>
      </c>
      <c r="K200" s="265">
        <f t="shared" si="3"/>
        <v>0.35859414261160716</v>
      </c>
      <c r="L200" s="164" t="s">
        <v>120</v>
      </c>
    </row>
    <row r="201" spans="1:12">
      <c r="A201" s="34" t="s">
        <v>118</v>
      </c>
      <c r="B201" s="344">
        <v>2008</v>
      </c>
      <c r="C201" s="59" t="s">
        <v>98</v>
      </c>
      <c r="D201" s="59">
        <v>610</v>
      </c>
      <c r="E201" s="504" t="s">
        <v>119</v>
      </c>
      <c r="F201" s="29">
        <v>1</v>
      </c>
      <c r="G201" s="9">
        <v>1</v>
      </c>
      <c r="H201" s="9">
        <v>1</v>
      </c>
      <c r="I201" s="9">
        <v>2</v>
      </c>
      <c r="J201" s="43">
        <v>2</v>
      </c>
      <c r="K201" s="265">
        <f t="shared" si="3"/>
        <v>0.35859414261160716</v>
      </c>
      <c r="L201" s="164" t="s">
        <v>120</v>
      </c>
    </row>
    <row r="202" spans="1:12">
      <c r="A202" s="34" t="s">
        <v>118</v>
      </c>
      <c r="B202" s="344">
        <v>2008</v>
      </c>
      <c r="C202" s="59" t="s">
        <v>99</v>
      </c>
      <c r="D202" s="59">
        <v>176</v>
      </c>
      <c r="E202" s="504" t="s">
        <v>119</v>
      </c>
      <c r="F202" s="29">
        <v>1</v>
      </c>
      <c r="G202" s="9">
        <v>1</v>
      </c>
      <c r="H202" s="9">
        <v>1</v>
      </c>
      <c r="I202" s="9">
        <v>2</v>
      </c>
      <c r="J202" s="43">
        <v>2</v>
      </c>
      <c r="K202" s="265">
        <f t="shared" si="3"/>
        <v>0.35859414261160716</v>
      </c>
      <c r="L202" s="164" t="s">
        <v>120</v>
      </c>
    </row>
    <row r="203" spans="1:12">
      <c r="A203" s="34" t="s">
        <v>118</v>
      </c>
      <c r="B203" s="344">
        <v>2008</v>
      </c>
      <c r="C203" s="59" t="s">
        <v>102</v>
      </c>
      <c r="D203" s="59">
        <v>128</v>
      </c>
      <c r="E203" s="504" t="s">
        <v>119</v>
      </c>
      <c r="F203" s="29">
        <v>1</v>
      </c>
      <c r="G203" s="9">
        <v>1</v>
      </c>
      <c r="H203" s="9">
        <v>1</v>
      </c>
      <c r="I203" s="9">
        <v>2</v>
      </c>
      <c r="J203" s="43">
        <v>2</v>
      </c>
      <c r="K203" s="265">
        <f t="shared" si="3"/>
        <v>0.35859414261160716</v>
      </c>
      <c r="L203" s="164" t="s">
        <v>120</v>
      </c>
    </row>
    <row r="204" spans="1:12">
      <c r="A204" s="34" t="s">
        <v>118</v>
      </c>
      <c r="B204" s="344">
        <v>2008</v>
      </c>
      <c r="C204" s="59" t="s">
        <v>104</v>
      </c>
      <c r="D204" s="59">
        <v>337</v>
      </c>
      <c r="E204" s="504" t="s">
        <v>119</v>
      </c>
      <c r="F204" s="29">
        <v>1</v>
      </c>
      <c r="G204" s="9">
        <v>1</v>
      </c>
      <c r="H204" s="9">
        <v>1</v>
      </c>
      <c r="I204" s="9">
        <v>2</v>
      </c>
      <c r="J204" s="43">
        <v>2</v>
      </c>
      <c r="K204" s="265">
        <f t="shared" si="3"/>
        <v>0.35859414261160716</v>
      </c>
      <c r="L204" s="164" t="s">
        <v>120</v>
      </c>
    </row>
    <row r="205" spans="1:12">
      <c r="A205" s="34" t="s">
        <v>118</v>
      </c>
      <c r="B205" s="344">
        <v>2008</v>
      </c>
      <c r="C205" s="59" t="s">
        <v>105</v>
      </c>
      <c r="D205" s="59">
        <v>125</v>
      </c>
      <c r="E205" s="504" t="s">
        <v>119</v>
      </c>
      <c r="F205" s="29">
        <v>1</v>
      </c>
      <c r="G205" s="9">
        <v>1</v>
      </c>
      <c r="H205" s="9">
        <v>1</v>
      </c>
      <c r="I205" s="9">
        <v>2</v>
      </c>
      <c r="J205" s="43">
        <v>2</v>
      </c>
      <c r="K205" s="265">
        <f t="shared" si="3"/>
        <v>0.35859414261160716</v>
      </c>
      <c r="L205" s="164" t="s">
        <v>120</v>
      </c>
    </row>
    <row r="206" spans="1:12">
      <c r="A206" s="34" t="s">
        <v>118</v>
      </c>
      <c r="B206" s="344">
        <v>2008</v>
      </c>
      <c r="C206" s="59" t="s">
        <v>103</v>
      </c>
      <c r="D206" s="59">
        <v>199</v>
      </c>
      <c r="E206" s="504" t="s">
        <v>119</v>
      </c>
      <c r="F206" s="29">
        <v>1</v>
      </c>
      <c r="G206" s="9">
        <v>1</v>
      </c>
      <c r="H206" s="9">
        <v>1</v>
      </c>
      <c r="I206" s="9">
        <v>2</v>
      </c>
      <c r="J206" s="43">
        <v>2</v>
      </c>
      <c r="K206" s="265">
        <f t="shared" si="3"/>
        <v>0.35859414261160716</v>
      </c>
      <c r="L206" s="164" t="s">
        <v>120</v>
      </c>
    </row>
    <row r="207" spans="1:12">
      <c r="A207" s="34" t="s">
        <v>118</v>
      </c>
      <c r="B207" s="344">
        <v>2008</v>
      </c>
      <c r="C207" s="59" t="s">
        <v>101</v>
      </c>
      <c r="D207" s="59">
        <v>98</v>
      </c>
      <c r="E207" s="504" t="s">
        <v>119</v>
      </c>
      <c r="F207" s="29">
        <v>1</v>
      </c>
      <c r="G207" s="9">
        <v>1</v>
      </c>
      <c r="H207" s="9">
        <v>1</v>
      </c>
      <c r="I207" s="9">
        <v>2</v>
      </c>
      <c r="J207" s="43">
        <v>2</v>
      </c>
      <c r="K207" s="265">
        <f t="shared" si="3"/>
        <v>0.35859414261160716</v>
      </c>
      <c r="L207" s="164" t="s">
        <v>120</v>
      </c>
    </row>
    <row r="208" spans="1:12">
      <c r="A208" s="34" t="s">
        <v>118</v>
      </c>
      <c r="B208" s="344">
        <v>2008</v>
      </c>
      <c r="C208" s="59" t="s">
        <v>106</v>
      </c>
      <c r="D208" s="59">
        <v>2137</v>
      </c>
      <c r="E208" s="504" t="s">
        <v>119</v>
      </c>
      <c r="F208" s="29">
        <v>1</v>
      </c>
      <c r="G208" s="9">
        <v>1</v>
      </c>
      <c r="H208" s="9">
        <v>1</v>
      </c>
      <c r="I208" s="9">
        <v>2</v>
      </c>
      <c r="J208" s="43">
        <v>2</v>
      </c>
      <c r="K208" s="265">
        <f t="shared" si="3"/>
        <v>0.35859414261160716</v>
      </c>
      <c r="L208" s="164" t="s">
        <v>120</v>
      </c>
    </row>
    <row r="209" spans="1:12">
      <c r="A209" s="34" t="s">
        <v>118</v>
      </c>
      <c r="B209" s="344">
        <v>2009</v>
      </c>
      <c r="C209" s="59" t="s">
        <v>93</v>
      </c>
      <c r="D209" s="59">
        <v>1560</v>
      </c>
      <c r="E209" s="504" t="s">
        <v>119</v>
      </c>
      <c r="F209" s="29">
        <v>1</v>
      </c>
      <c r="G209" s="9">
        <v>1</v>
      </c>
      <c r="H209" s="9">
        <v>1</v>
      </c>
      <c r="I209" s="9">
        <v>2</v>
      </c>
      <c r="J209" s="43">
        <v>2</v>
      </c>
      <c r="K209" s="265">
        <f t="shared" si="3"/>
        <v>0.35859414261160716</v>
      </c>
      <c r="L209" s="164" t="s">
        <v>120</v>
      </c>
    </row>
    <row r="210" spans="1:12">
      <c r="A210" s="34" t="s">
        <v>118</v>
      </c>
      <c r="B210" s="344">
        <v>2009</v>
      </c>
      <c r="C210" s="59" t="s">
        <v>94</v>
      </c>
      <c r="D210" s="59">
        <v>290</v>
      </c>
      <c r="E210" s="504" t="s">
        <v>119</v>
      </c>
      <c r="F210" s="29">
        <v>1</v>
      </c>
      <c r="G210" s="9">
        <v>1</v>
      </c>
      <c r="H210" s="9">
        <v>1</v>
      </c>
      <c r="I210" s="9">
        <v>2</v>
      </c>
      <c r="J210" s="43">
        <v>2</v>
      </c>
      <c r="K210" s="265">
        <f t="shared" si="3"/>
        <v>0.35859414261160716</v>
      </c>
      <c r="L210" s="164" t="s">
        <v>120</v>
      </c>
    </row>
    <row r="211" spans="1:12">
      <c r="A211" s="34" t="s">
        <v>118</v>
      </c>
      <c r="B211" s="344">
        <v>2009</v>
      </c>
      <c r="C211" s="59" t="s">
        <v>95</v>
      </c>
      <c r="D211" s="59">
        <v>852</v>
      </c>
      <c r="E211" s="504" t="s">
        <v>119</v>
      </c>
      <c r="F211" s="29">
        <v>1</v>
      </c>
      <c r="G211" s="9">
        <v>1</v>
      </c>
      <c r="H211" s="9">
        <v>1</v>
      </c>
      <c r="I211" s="9">
        <v>2</v>
      </c>
      <c r="J211" s="43">
        <v>2</v>
      </c>
      <c r="K211" s="265">
        <f t="shared" si="3"/>
        <v>0.35859414261160716</v>
      </c>
      <c r="L211" s="164" t="s">
        <v>120</v>
      </c>
    </row>
    <row r="212" spans="1:12">
      <c r="A212" s="34" t="s">
        <v>118</v>
      </c>
      <c r="B212" s="344">
        <v>2009</v>
      </c>
      <c r="C212" s="59" t="s">
        <v>96</v>
      </c>
      <c r="D212" s="59">
        <v>9</v>
      </c>
      <c r="E212" s="504" t="s">
        <v>119</v>
      </c>
      <c r="F212" s="29">
        <v>1</v>
      </c>
      <c r="G212" s="9">
        <v>1</v>
      </c>
      <c r="H212" s="9">
        <v>1</v>
      </c>
      <c r="I212" s="9">
        <v>2</v>
      </c>
      <c r="J212" s="43">
        <v>2</v>
      </c>
      <c r="K212" s="265">
        <f t="shared" si="3"/>
        <v>0.35859414261160716</v>
      </c>
      <c r="L212" s="164" t="s">
        <v>120</v>
      </c>
    </row>
    <row r="213" spans="1:12">
      <c r="A213" s="34" t="s">
        <v>118</v>
      </c>
      <c r="B213" s="344">
        <v>2009</v>
      </c>
      <c r="C213" s="59" t="s">
        <v>97</v>
      </c>
      <c r="D213" s="59">
        <v>191</v>
      </c>
      <c r="E213" s="504" t="s">
        <v>119</v>
      </c>
      <c r="F213" s="29">
        <v>1</v>
      </c>
      <c r="G213" s="9">
        <v>1</v>
      </c>
      <c r="H213" s="9">
        <v>1</v>
      </c>
      <c r="I213" s="9">
        <v>2</v>
      </c>
      <c r="J213" s="43">
        <v>2</v>
      </c>
      <c r="K213" s="265">
        <f t="shared" si="3"/>
        <v>0.35859414261160716</v>
      </c>
      <c r="L213" s="164" t="s">
        <v>120</v>
      </c>
    </row>
    <row r="214" spans="1:12">
      <c r="A214" s="34" t="s">
        <v>118</v>
      </c>
      <c r="B214" s="344">
        <v>2009</v>
      </c>
      <c r="C214" s="59" t="s">
        <v>98</v>
      </c>
      <c r="D214" s="59">
        <v>610</v>
      </c>
      <c r="E214" s="504" t="s">
        <v>119</v>
      </c>
      <c r="F214" s="29">
        <v>1</v>
      </c>
      <c r="G214" s="9">
        <v>1</v>
      </c>
      <c r="H214" s="9">
        <v>1</v>
      </c>
      <c r="I214" s="9">
        <v>2</v>
      </c>
      <c r="J214" s="43">
        <v>2</v>
      </c>
      <c r="K214" s="265">
        <f t="shared" si="3"/>
        <v>0.35859414261160716</v>
      </c>
      <c r="L214" s="164" t="s">
        <v>120</v>
      </c>
    </row>
    <row r="215" spans="1:12">
      <c r="A215" s="34" t="s">
        <v>118</v>
      </c>
      <c r="B215" s="344">
        <v>2009</v>
      </c>
      <c r="C215" s="59" t="s">
        <v>99</v>
      </c>
      <c r="D215" s="59">
        <v>184</v>
      </c>
      <c r="E215" s="504" t="s">
        <v>119</v>
      </c>
      <c r="F215" s="29">
        <v>1</v>
      </c>
      <c r="G215" s="9">
        <v>1</v>
      </c>
      <c r="H215" s="9">
        <v>1</v>
      </c>
      <c r="I215" s="9">
        <v>2</v>
      </c>
      <c r="J215" s="43">
        <v>2</v>
      </c>
      <c r="K215" s="265">
        <f t="shared" si="3"/>
        <v>0.35859414261160716</v>
      </c>
      <c r="L215" s="164" t="s">
        <v>120</v>
      </c>
    </row>
    <row r="216" spans="1:12">
      <c r="A216" s="34" t="s">
        <v>118</v>
      </c>
      <c r="B216" s="344">
        <v>2009</v>
      </c>
      <c r="C216" s="59" t="s">
        <v>102</v>
      </c>
      <c r="D216" s="59">
        <v>109</v>
      </c>
      <c r="E216" s="504" t="s">
        <v>119</v>
      </c>
      <c r="F216" s="29">
        <v>1</v>
      </c>
      <c r="G216" s="9">
        <v>1</v>
      </c>
      <c r="H216" s="9">
        <v>1</v>
      </c>
      <c r="I216" s="9">
        <v>2</v>
      </c>
      <c r="J216" s="43">
        <v>2</v>
      </c>
      <c r="K216" s="265">
        <f t="shared" si="3"/>
        <v>0.35859414261160716</v>
      </c>
      <c r="L216" s="164" t="s">
        <v>120</v>
      </c>
    </row>
    <row r="217" spans="1:12">
      <c r="A217" s="34" t="s">
        <v>118</v>
      </c>
      <c r="B217" s="344">
        <v>2009</v>
      </c>
      <c r="C217" s="59" t="s">
        <v>104</v>
      </c>
      <c r="D217" s="59">
        <v>337</v>
      </c>
      <c r="E217" s="504" t="s">
        <v>119</v>
      </c>
      <c r="F217" s="29">
        <v>1</v>
      </c>
      <c r="G217" s="9">
        <v>1</v>
      </c>
      <c r="H217" s="9">
        <v>1</v>
      </c>
      <c r="I217" s="9">
        <v>2</v>
      </c>
      <c r="J217" s="43">
        <v>2</v>
      </c>
      <c r="K217" s="265">
        <f t="shared" si="3"/>
        <v>0.35859414261160716</v>
      </c>
      <c r="L217" s="164" t="s">
        <v>120</v>
      </c>
    </row>
    <row r="218" spans="1:12">
      <c r="A218" s="34" t="s">
        <v>118</v>
      </c>
      <c r="B218" s="344">
        <v>2009</v>
      </c>
      <c r="C218" s="59" t="s">
        <v>105</v>
      </c>
      <c r="D218" s="59">
        <v>126</v>
      </c>
      <c r="E218" s="504" t="s">
        <v>119</v>
      </c>
      <c r="F218" s="29">
        <v>1</v>
      </c>
      <c r="G218" s="9">
        <v>1</v>
      </c>
      <c r="H218" s="9">
        <v>1</v>
      </c>
      <c r="I218" s="9">
        <v>2</v>
      </c>
      <c r="J218" s="43">
        <v>2</v>
      </c>
      <c r="K218" s="265">
        <f t="shared" si="3"/>
        <v>0.35859414261160716</v>
      </c>
      <c r="L218" s="164" t="s">
        <v>120</v>
      </c>
    </row>
    <row r="219" spans="1:12">
      <c r="A219" s="34" t="s">
        <v>118</v>
      </c>
      <c r="B219" s="344">
        <v>2009</v>
      </c>
      <c r="C219" s="59" t="s">
        <v>103</v>
      </c>
      <c r="D219" s="59">
        <v>205</v>
      </c>
      <c r="E219" s="504" t="s">
        <v>119</v>
      </c>
      <c r="F219" s="29">
        <v>1</v>
      </c>
      <c r="G219" s="9">
        <v>1</v>
      </c>
      <c r="H219" s="9">
        <v>1</v>
      </c>
      <c r="I219" s="9">
        <v>2</v>
      </c>
      <c r="J219" s="43">
        <v>2</v>
      </c>
      <c r="K219" s="265">
        <f t="shared" si="3"/>
        <v>0.35859414261160716</v>
      </c>
      <c r="L219" s="164" t="s">
        <v>120</v>
      </c>
    </row>
    <row r="220" spans="1:12">
      <c r="A220" s="34" t="s">
        <v>118</v>
      </c>
      <c r="B220" s="344">
        <v>2009</v>
      </c>
      <c r="C220" s="59" t="s">
        <v>101</v>
      </c>
      <c r="D220" s="59">
        <v>69</v>
      </c>
      <c r="E220" s="504" t="s">
        <v>119</v>
      </c>
      <c r="F220" s="29">
        <v>1</v>
      </c>
      <c r="G220" s="9">
        <v>1</v>
      </c>
      <c r="H220" s="9">
        <v>1</v>
      </c>
      <c r="I220" s="9">
        <v>2</v>
      </c>
      <c r="J220" s="43">
        <v>2</v>
      </c>
      <c r="K220" s="265">
        <f t="shared" si="3"/>
        <v>0.35859414261160716</v>
      </c>
      <c r="L220" s="164" t="s">
        <v>120</v>
      </c>
    </row>
    <row r="221" spans="1:12">
      <c r="A221" s="34" t="s">
        <v>118</v>
      </c>
      <c r="B221" s="344">
        <v>2009</v>
      </c>
      <c r="C221" s="59" t="s">
        <v>106</v>
      </c>
      <c r="D221" s="59">
        <v>2139</v>
      </c>
      <c r="E221" s="504" t="s">
        <v>119</v>
      </c>
      <c r="F221" s="29">
        <v>1</v>
      </c>
      <c r="G221" s="9">
        <v>1</v>
      </c>
      <c r="H221" s="9">
        <v>1</v>
      </c>
      <c r="I221" s="9">
        <v>2</v>
      </c>
      <c r="J221" s="43">
        <v>2</v>
      </c>
      <c r="K221" s="265">
        <f t="shared" si="3"/>
        <v>0.35859414261160716</v>
      </c>
      <c r="L221" s="164" t="s">
        <v>120</v>
      </c>
    </row>
    <row r="222" spans="1:12">
      <c r="A222" s="34" t="s">
        <v>118</v>
      </c>
      <c r="B222" s="344">
        <v>2010</v>
      </c>
      <c r="C222" s="59" t="s">
        <v>93</v>
      </c>
      <c r="D222" s="59">
        <v>1474</v>
      </c>
      <c r="E222" s="504" t="s">
        <v>119</v>
      </c>
      <c r="F222" s="29">
        <v>1</v>
      </c>
      <c r="G222" s="9">
        <v>1</v>
      </c>
      <c r="H222" s="9">
        <v>1</v>
      </c>
      <c r="I222" s="9">
        <v>2</v>
      </c>
      <c r="J222" s="43">
        <v>2</v>
      </c>
      <c r="K222" s="265">
        <f t="shared" si="3"/>
        <v>0.35859414261160716</v>
      </c>
      <c r="L222" s="164" t="s">
        <v>120</v>
      </c>
    </row>
    <row r="223" spans="1:12">
      <c r="A223" s="34" t="s">
        <v>118</v>
      </c>
      <c r="B223" s="344">
        <v>2010</v>
      </c>
      <c r="C223" s="59" t="s">
        <v>94</v>
      </c>
      <c r="D223" s="59">
        <v>290</v>
      </c>
      <c r="E223" s="504" t="s">
        <v>119</v>
      </c>
      <c r="F223" s="29">
        <v>1</v>
      </c>
      <c r="G223" s="9">
        <v>1</v>
      </c>
      <c r="H223" s="9">
        <v>1</v>
      </c>
      <c r="I223" s="9">
        <v>2</v>
      </c>
      <c r="J223" s="43">
        <v>2</v>
      </c>
      <c r="K223" s="265">
        <f t="shared" si="3"/>
        <v>0.35859414261160716</v>
      </c>
      <c r="L223" s="164" t="s">
        <v>120</v>
      </c>
    </row>
    <row r="224" spans="1:12">
      <c r="A224" s="34" t="s">
        <v>118</v>
      </c>
      <c r="B224" s="344">
        <v>2010</v>
      </c>
      <c r="C224" s="59" t="s">
        <v>95</v>
      </c>
      <c r="D224" s="59">
        <v>852</v>
      </c>
      <c r="E224" s="504" t="s">
        <v>119</v>
      </c>
      <c r="F224" s="29">
        <v>1</v>
      </c>
      <c r="G224" s="9">
        <v>1</v>
      </c>
      <c r="H224" s="9">
        <v>1</v>
      </c>
      <c r="I224" s="9">
        <v>2</v>
      </c>
      <c r="J224" s="43">
        <v>2</v>
      </c>
      <c r="K224" s="265">
        <f t="shared" si="3"/>
        <v>0.35859414261160716</v>
      </c>
      <c r="L224" s="164" t="s">
        <v>120</v>
      </c>
    </row>
    <row r="225" spans="1:12">
      <c r="A225" s="34" t="s">
        <v>118</v>
      </c>
      <c r="B225" s="344">
        <v>2010</v>
      </c>
      <c r="C225" s="59" t="s">
        <v>96</v>
      </c>
      <c r="D225" s="59">
        <v>4</v>
      </c>
      <c r="E225" s="504" t="s">
        <v>119</v>
      </c>
      <c r="F225" s="29">
        <v>1</v>
      </c>
      <c r="G225" s="9">
        <v>1</v>
      </c>
      <c r="H225" s="9">
        <v>1</v>
      </c>
      <c r="I225" s="9">
        <v>2</v>
      </c>
      <c r="J225" s="43">
        <v>2</v>
      </c>
      <c r="K225" s="265">
        <f t="shared" si="3"/>
        <v>0.35859414261160716</v>
      </c>
      <c r="L225" s="164" t="s">
        <v>120</v>
      </c>
    </row>
    <row r="226" spans="1:12">
      <c r="A226" s="34" t="s">
        <v>118</v>
      </c>
      <c r="B226" s="344">
        <v>2010</v>
      </c>
      <c r="C226" s="59" t="s">
        <v>97</v>
      </c>
      <c r="D226" s="59">
        <v>191</v>
      </c>
      <c r="E226" s="504" t="s">
        <v>119</v>
      </c>
      <c r="F226" s="29">
        <v>1</v>
      </c>
      <c r="G226" s="9">
        <v>1</v>
      </c>
      <c r="H226" s="9">
        <v>1</v>
      </c>
      <c r="I226" s="9">
        <v>2</v>
      </c>
      <c r="J226" s="43">
        <v>2</v>
      </c>
      <c r="K226" s="265">
        <f t="shared" si="3"/>
        <v>0.35859414261160716</v>
      </c>
      <c r="L226" s="164" t="s">
        <v>120</v>
      </c>
    </row>
    <row r="227" spans="1:12">
      <c r="A227" s="34" t="s">
        <v>118</v>
      </c>
      <c r="B227" s="344">
        <v>2010</v>
      </c>
      <c r="C227" s="59" t="s">
        <v>98</v>
      </c>
      <c r="D227" s="59">
        <v>610</v>
      </c>
      <c r="E227" s="504" t="s">
        <v>119</v>
      </c>
      <c r="F227" s="29">
        <v>1</v>
      </c>
      <c r="G227" s="9">
        <v>1</v>
      </c>
      <c r="H227" s="9">
        <v>1</v>
      </c>
      <c r="I227" s="9">
        <v>2</v>
      </c>
      <c r="J227" s="43">
        <v>2</v>
      </c>
      <c r="K227" s="265">
        <f t="shared" si="3"/>
        <v>0.35859414261160716</v>
      </c>
      <c r="L227" s="164" t="s">
        <v>120</v>
      </c>
    </row>
    <row r="228" spans="1:12">
      <c r="A228" s="34" t="s">
        <v>118</v>
      </c>
      <c r="B228" s="344">
        <v>2010</v>
      </c>
      <c r="C228" s="59" t="s">
        <v>99</v>
      </c>
      <c r="D228" s="59">
        <v>356</v>
      </c>
      <c r="E228" s="504" t="s">
        <v>119</v>
      </c>
      <c r="F228" s="29">
        <v>1</v>
      </c>
      <c r="G228" s="9">
        <v>1</v>
      </c>
      <c r="H228" s="9">
        <v>1</v>
      </c>
      <c r="I228" s="9">
        <v>2</v>
      </c>
      <c r="J228" s="43">
        <v>2</v>
      </c>
      <c r="K228" s="265">
        <f t="shared" si="3"/>
        <v>0.35859414261160716</v>
      </c>
      <c r="L228" s="164" t="s">
        <v>120</v>
      </c>
    </row>
    <row r="229" spans="1:12">
      <c r="A229" s="34" t="s">
        <v>118</v>
      </c>
      <c r="B229" s="344">
        <v>2010</v>
      </c>
      <c r="C229" s="59" t="s">
        <v>102</v>
      </c>
      <c r="D229" s="59">
        <v>55</v>
      </c>
      <c r="E229" s="504" t="s">
        <v>119</v>
      </c>
      <c r="F229" s="29">
        <v>1</v>
      </c>
      <c r="G229" s="9">
        <v>1</v>
      </c>
      <c r="H229" s="9">
        <v>1</v>
      </c>
      <c r="I229" s="9">
        <v>2</v>
      </c>
      <c r="J229" s="43">
        <v>2</v>
      </c>
      <c r="K229" s="265">
        <f t="shared" si="3"/>
        <v>0.35859414261160716</v>
      </c>
      <c r="L229" s="164" t="s">
        <v>120</v>
      </c>
    </row>
    <row r="230" spans="1:12">
      <c r="A230" s="34" t="s">
        <v>118</v>
      </c>
      <c r="B230" s="344">
        <v>2010</v>
      </c>
      <c r="C230" s="59" t="s">
        <v>104</v>
      </c>
      <c r="D230" s="59">
        <v>250</v>
      </c>
      <c r="E230" s="504" t="s">
        <v>119</v>
      </c>
      <c r="F230" s="29">
        <v>1</v>
      </c>
      <c r="G230" s="9">
        <v>1</v>
      </c>
      <c r="H230" s="9">
        <v>1</v>
      </c>
      <c r="I230" s="9">
        <v>2</v>
      </c>
      <c r="J230" s="43">
        <v>2</v>
      </c>
      <c r="K230" s="265">
        <f t="shared" si="3"/>
        <v>0.35859414261160716</v>
      </c>
      <c r="L230" s="164" t="s">
        <v>120</v>
      </c>
    </row>
    <row r="231" spans="1:12">
      <c r="A231" s="34" t="s">
        <v>118</v>
      </c>
      <c r="B231" s="344">
        <v>2010</v>
      </c>
      <c r="C231" s="59" t="s">
        <v>105</v>
      </c>
      <c r="D231" s="59">
        <v>188</v>
      </c>
      <c r="E231" s="504" t="s">
        <v>119</v>
      </c>
      <c r="F231" s="29">
        <v>1</v>
      </c>
      <c r="G231" s="9">
        <v>1</v>
      </c>
      <c r="H231" s="9">
        <v>1</v>
      </c>
      <c r="I231" s="9">
        <v>2</v>
      </c>
      <c r="J231" s="43">
        <v>2</v>
      </c>
      <c r="K231" s="265">
        <f t="shared" si="3"/>
        <v>0.35859414261160716</v>
      </c>
      <c r="L231" s="164" t="s">
        <v>120</v>
      </c>
    </row>
    <row r="232" spans="1:12">
      <c r="A232" s="34" t="s">
        <v>118</v>
      </c>
      <c r="B232" s="344">
        <v>2010</v>
      </c>
      <c r="C232" s="59" t="s">
        <v>103</v>
      </c>
      <c r="D232" s="59">
        <v>247</v>
      </c>
      <c r="E232" s="504" t="s">
        <v>119</v>
      </c>
      <c r="F232" s="29">
        <v>1</v>
      </c>
      <c r="G232" s="9">
        <v>1</v>
      </c>
      <c r="H232" s="9">
        <v>1</v>
      </c>
      <c r="I232" s="9">
        <v>2</v>
      </c>
      <c r="J232" s="43">
        <v>2</v>
      </c>
      <c r="K232" s="265">
        <f t="shared" si="3"/>
        <v>0.35859414261160716</v>
      </c>
      <c r="L232" s="164" t="s">
        <v>120</v>
      </c>
    </row>
    <row r="233" spans="1:12">
      <c r="A233" s="34" t="s">
        <v>118</v>
      </c>
      <c r="B233" s="344">
        <v>2010</v>
      </c>
      <c r="C233" s="59" t="s">
        <v>101</v>
      </c>
      <c r="D233" s="59">
        <v>78</v>
      </c>
      <c r="E233" s="504" t="s">
        <v>119</v>
      </c>
      <c r="F233" s="29">
        <v>1</v>
      </c>
      <c r="G233" s="9">
        <v>1</v>
      </c>
      <c r="H233" s="9">
        <v>1</v>
      </c>
      <c r="I233" s="9">
        <v>2</v>
      </c>
      <c r="J233" s="43">
        <v>2</v>
      </c>
      <c r="K233" s="265">
        <f t="shared" si="3"/>
        <v>0.35859414261160716</v>
      </c>
      <c r="L233" s="164" t="s">
        <v>120</v>
      </c>
    </row>
    <row r="234" spans="1:12">
      <c r="A234" s="34" t="s">
        <v>118</v>
      </c>
      <c r="B234" s="344">
        <v>2010</v>
      </c>
      <c r="C234" s="59" t="s">
        <v>106</v>
      </c>
      <c r="D234" s="59">
        <v>2132</v>
      </c>
      <c r="E234" s="504" t="s">
        <v>119</v>
      </c>
      <c r="F234" s="29">
        <v>1</v>
      </c>
      <c r="G234" s="9">
        <v>1</v>
      </c>
      <c r="H234" s="9">
        <v>1</v>
      </c>
      <c r="I234" s="9">
        <v>2</v>
      </c>
      <c r="J234" s="43">
        <v>2</v>
      </c>
      <c r="K234" s="265">
        <f t="shared" si="3"/>
        <v>0.35859414261160716</v>
      </c>
      <c r="L234" s="164" t="s">
        <v>120</v>
      </c>
    </row>
    <row r="235" spans="1:12">
      <c r="A235" s="34" t="s">
        <v>118</v>
      </c>
      <c r="B235" s="344">
        <v>2011</v>
      </c>
      <c r="C235" s="59" t="s">
        <v>93</v>
      </c>
      <c r="D235" s="59">
        <v>1435</v>
      </c>
      <c r="E235" s="504" t="s">
        <v>119</v>
      </c>
      <c r="F235" s="29">
        <v>1</v>
      </c>
      <c r="G235" s="9">
        <v>1</v>
      </c>
      <c r="H235" s="9">
        <v>1</v>
      </c>
      <c r="I235" s="9">
        <v>2</v>
      </c>
      <c r="J235" s="43">
        <v>2</v>
      </c>
      <c r="K235" s="265">
        <f t="shared" si="3"/>
        <v>0.35859414261160716</v>
      </c>
      <c r="L235" s="164" t="s">
        <v>120</v>
      </c>
    </row>
    <row r="236" spans="1:12">
      <c r="A236" s="34" t="s">
        <v>118</v>
      </c>
      <c r="B236" s="344">
        <v>2011</v>
      </c>
      <c r="C236" s="59" t="s">
        <v>94</v>
      </c>
      <c r="D236" s="59">
        <v>290</v>
      </c>
      <c r="E236" s="504" t="s">
        <v>119</v>
      </c>
      <c r="F236" s="29">
        <v>1</v>
      </c>
      <c r="G236" s="9">
        <v>1</v>
      </c>
      <c r="H236" s="9">
        <v>1</v>
      </c>
      <c r="I236" s="9">
        <v>2</v>
      </c>
      <c r="J236" s="43">
        <v>2</v>
      </c>
      <c r="K236" s="265">
        <f t="shared" si="3"/>
        <v>0.35859414261160716</v>
      </c>
      <c r="L236" s="164" t="s">
        <v>120</v>
      </c>
    </row>
    <row r="237" spans="1:12">
      <c r="A237" s="34" t="s">
        <v>118</v>
      </c>
      <c r="B237" s="344">
        <v>2011</v>
      </c>
      <c r="C237" s="59" t="s">
        <v>95</v>
      </c>
      <c r="D237" s="59">
        <v>852</v>
      </c>
      <c r="E237" s="504" t="s">
        <v>119</v>
      </c>
      <c r="F237" s="29">
        <v>1</v>
      </c>
      <c r="G237" s="9">
        <v>1</v>
      </c>
      <c r="H237" s="9">
        <v>1</v>
      </c>
      <c r="I237" s="9">
        <v>2</v>
      </c>
      <c r="J237" s="43">
        <v>2</v>
      </c>
      <c r="K237" s="265">
        <f t="shared" si="3"/>
        <v>0.35859414261160716</v>
      </c>
      <c r="L237" s="164" t="s">
        <v>120</v>
      </c>
    </row>
    <row r="238" spans="1:12">
      <c r="A238" s="34" t="s">
        <v>118</v>
      </c>
      <c r="B238" s="344">
        <v>2011</v>
      </c>
      <c r="C238" s="59" t="s">
        <v>96</v>
      </c>
      <c r="D238" s="59">
        <v>4</v>
      </c>
      <c r="E238" s="504" t="s">
        <v>119</v>
      </c>
      <c r="F238" s="29">
        <v>1</v>
      </c>
      <c r="G238" s="9">
        <v>1</v>
      </c>
      <c r="H238" s="9">
        <v>1</v>
      </c>
      <c r="I238" s="9">
        <v>2</v>
      </c>
      <c r="J238" s="43">
        <v>2</v>
      </c>
      <c r="K238" s="265">
        <f t="shared" si="3"/>
        <v>0.35859414261160716</v>
      </c>
      <c r="L238" s="164" t="s">
        <v>120</v>
      </c>
    </row>
    <row r="239" spans="1:12">
      <c r="A239" s="34" t="s">
        <v>118</v>
      </c>
      <c r="B239" s="344">
        <v>2011</v>
      </c>
      <c r="C239" s="59" t="s">
        <v>97</v>
      </c>
      <c r="D239" s="59">
        <v>191</v>
      </c>
      <c r="E239" s="504" t="s">
        <v>119</v>
      </c>
      <c r="F239" s="29">
        <v>1</v>
      </c>
      <c r="G239" s="9">
        <v>1</v>
      </c>
      <c r="H239" s="9">
        <v>1</v>
      </c>
      <c r="I239" s="9">
        <v>2</v>
      </c>
      <c r="J239" s="43">
        <v>2</v>
      </c>
      <c r="K239" s="265">
        <f t="shared" si="3"/>
        <v>0.35859414261160716</v>
      </c>
      <c r="L239" s="164" t="s">
        <v>120</v>
      </c>
    </row>
    <row r="240" spans="1:12">
      <c r="A240" s="34" t="s">
        <v>118</v>
      </c>
      <c r="B240" s="344">
        <v>2011</v>
      </c>
      <c r="C240" s="59" t="s">
        <v>98</v>
      </c>
      <c r="D240" s="59">
        <v>610</v>
      </c>
      <c r="E240" s="504" t="s">
        <v>119</v>
      </c>
      <c r="F240" s="29">
        <v>1</v>
      </c>
      <c r="G240" s="9">
        <v>1</v>
      </c>
      <c r="H240" s="9">
        <v>1</v>
      </c>
      <c r="I240" s="9">
        <v>2</v>
      </c>
      <c r="J240" s="43">
        <v>2</v>
      </c>
      <c r="K240" s="265">
        <f t="shared" si="3"/>
        <v>0.35859414261160716</v>
      </c>
      <c r="L240" s="164" t="s">
        <v>120</v>
      </c>
    </row>
    <row r="241" spans="1:12">
      <c r="A241" s="34" t="s">
        <v>118</v>
      </c>
      <c r="B241" s="344">
        <v>2011</v>
      </c>
      <c r="C241" s="59" t="s">
        <v>99</v>
      </c>
      <c r="D241" s="59">
        <v>389</v>
      </c>
      <c r="E241" s="504" t="s">
        <v>119</v>
      </c>
      <c r="F241" s="29">
        <v>1</v>
      </c>
      <c r="G241" s="9">
        <v>1</v>
      </c>
      <c r="H241" s="9">
        <v>1</v>
      </c>
      <c r="I241" s="9">
        <v>2</v>
      </c>
      <c r="J241" s="43">
        <v>2</v>
      </c>
      <c r="K241" s="265">
        <f t="shared" si="3"/>
        <v>0.35859414261160716</v>
      </c>
      <c r="L241" s="164" t="s">
        <v>120</v>
      </c>
    </row>
    <row r="242" spans="1:12">
      <c r="A242" s="34" t="s">
        <v>118</v>
      </c>
      <c r="B242" s="344">
        <v>2011</v>
      </c>
      <c r="C242" s="59" t="s">
        <v>102</v>
      </c>
      <c r="D242" s="59">
        <v>141</v>
      </c>
      <c r="E242" s="504" t="s">
        <v>119</v>
      </c>
      <c r="F242" s="29">
        <v>1</v>
      </c>
      <c r="G242" s="9">
        <v>1</v>
      </c>
      <c r="H242" s="9">
        <v>1</v>
      </c>
      <c r="I242" s="9">
        <v>2</v>
      </c>
      <c r="J242" s="43">
        <v>2</v>
      </c>
      <c r="K242" s="265">
        <f t="shared" si="3"/>
        <v>0.35859414261160716</v>
      </c>
      <c r="L242" s="164" t="s">
        <v>120</v>
      </c>
    </row>
    <row r="243" spans="1:12">
      <c r="A243" s="34" t="s">
        <v>118</v>
      </c>
      <c r="B243" s="344">
        <v>2011</v>
      </c>
      <c r="C243" s="59" t="s">
        <v>104</v>
      </c>
      <c r="D243" s="59">
        <v>337</v>
      </c>
      <c r="E243" s="504" t="s">
        <v>119</v>
      </c>
      <c r="F243" s="29">
        <v>1</v>
      </c>
      <c r="G243" s="9">
        <v>1</v>
      </c>
      <c r="H243" s="9">
        <v>1</v>
      </c>
      <c r="I243" s="9">
        <v>2</v>
      </c>
      <c r="J243" s="43">
        <v>2</v>
      </c>
      <c r="K243" s="265">
        <f t="shared" si="3"/>
        <v>0.35859414261160716</v>
      </c>
      <c r="L243" s="164" t="s">
        <v>120</v>
      </c>
    </row>
    <row r="244" spans="1:12">
      <c r="A244" s="34" t="s">
        <v>118</v>
      </c>
      <c r="B244" s="344">
        <v>2011</v>
      </c>
      <c r="C244" s="59" t="s">
        <v>105</v>
      </c>
      <c r="D244" s="59">
        <v>252</v>
      </c>
      <c r="E244" s="504" t="s">
        <v>119</v>
      </c>
      <c r="F244" s="29">
        <v>1</v>
      </c>
      <c r="G244" s="9">
        <v>1</v>
      </c>
      <c r="H244" s="9">
        <v>1</v>
      </c>
      <c r="I244" s="9">
        <v>2</v>
      </c>
      <c r="J244" s="43">
        <v>2</v>
      </c>
      <c r="K244" s="265">
        <f t="shared" si="3"/>
        <v>0.35859414261160716</v>
      </c>
      <c r="L244" s="164" t="s">
        <v>120</v>
      </c>
    </row>
    <row r="245" spans="1:12">
      <c r="A245" s="34" t="s">
        <v>118</v>
      </c>
      <c r="B245" s="344">
        <v>2011</v>
      </c>
      <c r="C245" s="59" t="s">
        <v>103</v>
      </c>
      <c r="D245" s="59">
        <v>240</v>
      </c>
      <c r="E245" s="504" t="s">
        <v>119</v>
      </c>
      <c r="F245" s="29">
        <v>1</v>
      </c>
      <c r="G245" s="9">
        <v>1</v>
      </c>
      <c r="H245" s="9">
        <v>1</v>
      </c>
      <c r="I245" s="9">
        <v>2</v>
      </c>
      <c r="J245" s="43">
        <v>2</v>
      </c>
      <c r="K245" s="265">
        <f t="shared" si="3"/>
        <v>0.35859414261160716</v>
      </c>
      <c r="L245" s="164" t="s">
        <v>120</v>
      </c>
    </row>
    <row r="246" spans="1:12">
      <c r="A246" s="34" t="s">
        <v>118</v>
      </c>
      <c r="B246" s="344">
        <v>2011</v>
      </c>
      <c r="C246" s="59" t="s">
        <v>101</v>
      </c>
      <c r="D246" s="59">
        <v>101</v>
      </c>
      <c r="E246" s="504" t="s">
        <v>119</v>
      </c>
      <c r="F246" s="29">
        <v>1</v>
      </c>
      <c r="G246" s="9">
        <v>1</v>
      </c>
      <c r="H246" s="9">
        <v>1</v>
      </c>
      <c r="I246" s="9">
        <v>2</v>
      </c>
      <c r="J246" s="43">
        <v>2</v>
      </c>
      <c r="K246" s="265">
        <f t="shared" si="3"/>
        <v>0.35859414261160716</v>
      </c>
      <c r="L246" s="164" t="s">
        <v>120</v>
      </c>
    </row>
    <row r="247" spans="1:12">
      <c r="A247" s="34" t="s">
        <v>118</v>
      </c>
      <c r="B247" s="344">
        <v>2011</v>
      </c>
      <c r="C247" s="59" t="s">
        <v>106</v>
      </c>
      <c r="D247" s="59">
        <v>2115</v>
      </c>
      <c r="E247" s="504" t="s">
        <v>119</v>
      </c>
      <c r="F247" s="29">
        <v>1</v>
      </c>
      <c r="G247" s="9">
        <v>1</v>
      </c>
      <c r="H247" s="9">
        <v>1</v>
      </c>
      <c r="I247" s="9">
        <v>2</v>
      </c>
      <c r="J247" s="43">
        <v>2</v>
      </c>
      <c r="K247" s="265">
        <f t="shared" si="3"/>
        <v>0.35859414261160716</v>
      </c>
      <c r="L247" s="164" t="s">
        <v>120</v>
      </c>
    </row>
    <row r="248" spans="1:12">
      <c r="A248" s="34" t="s">
        <v>118</v>
      </c>
      <c r="B248" s="344">
        <v>2012</v>
      </c>
      <c r="C248" s="59" t="s">
        <v>93</v>
      </c>
      <c r="D248" s="59">
        <v>1807</v>
      </c>
      <c r="E248" s="504" t="s">
        <v>119</v>
      </c>
      <c r="F248" s="29">
        <v>1</v>
      </c>
      <c r="G248" s="9">
        <v>1</v>
      </c>
      <c r="H248" s="9">
        <v>1</v>
      </c>
      <c r="I248" s="9">
        <v>2</v>
      </c>
      <c r="J248" s="43">
        <v>2</v>
      </c>
      <c r="K248" s="265">
        <f t="shared" si="3"/>
        <v>0.35859414261160716</v>
      </c>
      <c r="L248" s="164" t="s">
        <v>120</v>
      </c>
    </row>
    <row r="249" spans="1:12">
      <c r="A249" s="34" t="s">
        <v>118</v>
      </c>
      <c r="B249" s="344">
        <v>2012</v>
      </c>
      <c r="C249" s="59" t="s">
        <v>94</v>
      </c>
      <c r="D249" s="59">
        <v>290</v>
      </c>
      <c r="E249" s="504" t="s">
        <v>119</v>
      </c>
      <c r="F249" s="29">
        <v>1</v>
      </c>
      <c r="G249" s="9">
        <v>1</v>
      </c>
      <c r="H249" s="9">
        <v>1</v>
      </c>
      <c r="I249" s="9">
        <v>2</v>
      </c>
      <c r="J249" s="43">
        <v>2</v>
      </c>
      <c r="K249" s="265">
        <f t="shared" si="3"/>
        <v>0.35859414261160716</v>
      </c>
      <c r="L249" s="164" t="s">
        <v>120</v>
      </c>
    </row>
    <row r="250" spans="1:12">
      <c r="A250" s="34" t="s">
        <v>118</v>
      </c>
      <c r="B250" s="344">
        <v>2012</v>
      </c>
      <c r="C250" s="59" t="s">
        <v>95</v>
      </c>
      <c r="D250" s="59">
        <v>631</v>
      </c>
      <c r="E250" s="504" t="s">
        <v>119</v>
      </c>
      <c r="F250" s="29">
        <v>1</v>
      </c>
      <c r="G250" s="9">
        <v>1</v>
      </c>
      <c r="H250" s="9">
        <v>1</v>
      </c>
      <c r="I250" s="9">
        <v>2</v>
      </c>
      <c r="J250" s="43">
        <v>2</v>
      </c>
      <c r="K250" s="265">
        <f t="shared" si="3"/>
        <v>0.35859414261160716</v>
      </c>
      <c r="L250" s="164" t="s">
        <v>120</v>
      </c>
    </row>
    <row r="251" spans="1:12">
      <c r="A251" s="34" t="s">
        <v>118</v>
      </c>
      <c r="B251" s="344">
        <v>2012</v>
      </c>
      <c r="C251" s="59" t="s">
        <v>96</v>
      </c>
      <c r="D251" s="59">
        <v>1</v>
      </c>
      <c r="E251" s="504" t="s">
        <v>119</v>
      </c>
      <c r="F251" s="29">
        <v>1</v>
      </c>
      <c r="G251" s="9">
        <v>1</v>
      </c>
      <c r="H251" s="9">
        <v>1</v>
      </c>
      <c r="I251" s="9">
        <v>2</v>
      </c>
      <c r="J251" s="43">
        <v>2</v>
      </c>
      <c r="K251" s="265">
        <f t="shared" si="3"/>
        <v>0.35859414261160716</v>
      </c>
      <c r="L251" s="164" t="s">
        <v>120</v>
      </c>
    </row>
    <row r="252" spans="1:12">
      <c r="A252" s="34" t="s">
        <v>118</v>
      </c>
      <c r="B252" s="344">
        <v>2012</v>
      </c>
      <c r="C252" s="59" t="s">
        <v>97</v>
      </c>
      <c r="D252" s="59">
        <v>191</v>
      </c>
      <c r="E252" s="504" t="s">
        <v>119</v>
      </c>
      <c r="F252" s="29">
        <v>1</v>
      </c>
      <c r="G252" s="9">
        <v>1</v>
      </c>
      <c r="H252" s="9">
        <v>1</v>
      </c>
      <c r="I252" s="9">
        <v>2</v>
      </c>
      <c r="J252" s="43">
        <v>2</v>
      </c>
      <c r="K252" s="265">
        <f t="shared" si="3"/>
        <v>0.35859414261160716</v>
      </c>
      <c r="L252" s="164" t="s">
        <v>120</v>
      </c>
    </row>
    <row r="253" spans="1:12">
      <c r="A253" s="34" t="s">
        <v>118</v>
      </c>
      <c r="B253" s="344">
        <v>2012</v>
      </c>
      <c r="C253" s="59" t="s">
        <v>98</v>
      </c>
      <c r="D253" s="59">
        <v>610</v>
      </c>
      <c r="E253" s="504" t="s">
        <v>119</v>
      </c>
      <c r="F253" s="29">
        <v>1</v>
      </c>
      <c r="G253" s="9">
        <v>1</v>
      </c>
      <c r="H253" s="9">
        <v>1</v>
      </c>
      <c r="I253" s="9">
        <v>2</v>
      </c>
      <c r="J253" s="43">
        <v>2</v>
      </c>
      <c r="K253" s="265">
        <f t="shared" si="3"/>
        <v>0.35859414261160716</v>
      </c>
      <c r="L253" s="164" t="s">
        <v>120</v>
      </c>
    </row>
    <row r="254" spans="1:12">
      <c r="A254" s="34" t="s">
        <v>118</v>
      </c>
      <c r="B254" s="344">
        <v>2012</v>
      </c>
      <c r="C254" s="59" t="s">
        <v>99</v>
      </c>
      <c r="D254" s="59">
        <v>208</v>
      </c>
      <c r="E254" s="504" t="s">
        <v>119</v>
      </c>
      <c r="F254" s="29">
        <v>1</v>
      </c>
      <c r="G254" s="9">
        <v>1</v>
      </c>
      <c r="H254" s="9">
        <v>1</v>
      </c>
      <c r="I254" s="9">
        <v>2</v>
      </c>
      <c r="J254" s="43">
        <v>2</v>
      </c>
      <c r="K254" s="265">
        <f t="shared" si="3"/>
        <v>0.35859414261160716</v>
      </c>
      <c r="L254" s="164" t="s">
        <v>120</v>
      </c>
    </row>
    <row r="255" spans="1:12">
      <c r="A255" s="34" t="s">
        <v>118</v>
      </c>
      <c r="B255" s="344">
        <v>2012</v>
      </c>
      <c r="C255" s="59" t="s">
        <v>102</v>
      </c>
      <c r="D255" s="59">
        <v>143</v>
      </c>
      <c r="E255" s="504" t="s">
        <v>119</v>
      </c>
      <c r="F255" s="29">
        <v>1</v>
      </c>
      <c r="G255" s="9">
        <v>1</v>
      </c>
      <c r="H255" s="9">
        <v>1</v>
      </c>
      <c r="I255" s="9">
        <v>2</v>
      </c>
      <c r="J255" s="43">
        <v>2</v>
      </c>
      <c r="K255" s="265">
        <f t="shared" si="3"/>
        <v>0.35859414261160716</v>
      </c>
      <c r="L255" s="164" t="s">
        <v>120</v>
      </c>
    </row>
    <row r="256" spans="1:12">
      <c r="A256" s="34" t="s">
        <v>118</v>
      </c>
      <c r="B256" s="344">
        <v>2012</v>
      </c>
      <c r="C256" s="59" t="s">
        <v>104</v>
      </c>
      <c r="D256" s="59">
        <v>306</v>
      </c>
      <c r="E256" s="504" t="s">
        <v>119</v>
      </c>
      <c r="F256" s="29">
        <v>1</v>
      </c>
      <c r="G256" s="9">
        <v>1</v>
      </c>
      <c r="H256" s="9">
        <v>1</v>
      </c>
      <c r="I256" s="9">
        <v>2</v>
      </c>
      <c r="J256" s="43">
        <v>2</v>
      </c>
      <c r="K256" s="265">
        <f t="shared" si="3"/>
        <v>0.35859414261160716</v>
      </c>
      <c r="L256" s="164" t="s">
        <v>120</v>
      </c>
    </row>
    <row r="257" spans="1:12">
      <c r="A257" s="34" t="s">
        <v>118</v>
      </c>
      <c r="B257" s="344">
        <v>2012</v>
      </c>
      <c r="C257" s="59" t="s">
        <v>105</v>
      </c>
      <c r="D257" s="59">
        <v>232</v>
      </c>
      <c r="E257" s="504" t="s">
        <v>119</v>
      </c>
      <c r="F257" s="29">
        <v>1</v>
      </c>
      <c r="G257" s="9">
        <v>1</v>
      </c>
      <c r="H257" s="9">
        <v>1</v>
      </c>
      <c r="I257" s="9">
        <v>2</v>
      </c>
      <c r="J257" s="43">
        <v>2</v>
      </c>
      <c r="K257" s="265">
        <f t="shared" si="3"/>
        <v>0.35859414261160716</v>
      </c>
      <c r="L257" s="164" t="s">
        <v>120</v>
      </c>
    </row>
    <row r="258" spans="1:12">
      <c r="A258" s="34" t="s">
        <v>118</v>
      </c>
      <c r="B258" s="344">
        <v>2012</v>
      </c>
      <c r="C258" s="59" t="s">
        <v>103</v>
      </c>
      <c r="D258" s="59">
        <v>221</v>
      </c>
      <c r="E258" s="504" t="s">
        <v>119</v>
      </c>
      <c r="F258" s="29">
        <v>1</v>
      </c>
      <c r="G258" s="9">
        <v>1</v>
      </c>
      <c r="H258" s="9">
        <v>1</v>
      </c>
      <c r="I258" s="9">
        <v>2</v>
      </c>
      <c r="J258" s="43">
        <v>2</v>
      </c>
      <c r="K258" s="265">
        <f t="shared" ref="K258:K321" si="4">IF( OR( ISBLANK(F258),ISBLANK(G258), ISBLANK(H258), ISBLANK(I258), ISBLANK(J258) ), "", 1.5*SQRT(   EXP(2.21*(F258-1)) + EXP(2.21*(G258-1)) + EXP(2.21*(H258-1)) + EXP(2.21*(I258-1)) + EXP(2.21*J258)   )/100*2.45 )</f>
        <v>0.35859414261160716</v>
      </c>
      <c r="L258" s="164" t="s">
        <v>120</v>
      </c>
    </row>
    <row r="259" spans="1:12">
      <c r="A259" s="34" t="s">
        <v>118</v>
      </c>
      <c r="B259" s="344">
        <v>2012</v>
      </c>
      <c r="C259" s="59" t="s">
        <v>101</v>
      </c>
      <c r="D259" s="59">
        <v>86</v>
      </c>
      <c r="E259" s="504" t="s">
        <v>119</v>
      </c>
      <c r="F259" s="29">
        <v>1</v>
      </c>
      <c r="G259" s="9">
        <v>1</v>
      </c>
      <c r="H259" s="9">
        <v>1</v>
      </c>
      <c r="I259" s="9">
        <v>2</v>
      </c>
      <c r="J259" s="43">
        <v>2</v>
      </c>
      <c r="K259" s="265">
        <f t="shared" si="4"/>
        <v>0.35859414261160716</v>
      </c>
      <c r="L259" s="164" t="s">
        <v>120</v>
      </c>
    </row>
    <row r="260" spans="1:12">
      <c r="A260" s="34" t="s">
        <v>118</v>
      </c>
      <c r="B260" s="344">
        <v>2012</v>
      </c>
      <c r="C260" s="59" t="s">
        <v>106</v>
      </c>
      <c r="D260" s="59">
        <v>2322</v>
      </c>
      <c r="E260" s="504" t="s">
        <v>119</v>
      </c>
      <c r="F260" s="29">
        <v>1</v>
      </c>
      <c r="G260" s="9">
        <v>1</v>
      </c>
      <c r="H260" s="9">
        <v>1</v>
      </c>
      <c r="I260" s="9">
        <v>2</v>
      </c>
      <c r="J260" s="43">
        <v>2</v>
      </c>
      <c r="K260" s="265">
        <f t="shared" si="4"/>
        <v>0.35859414261160716</v>
      </c>
      <c r="L260" s="164" t="s">
        <v>120</v>
      </c>
    </row>
    <row r="261" spans="1:12">
      <c r="A261" s="34" t="s">
        <v>118</v>
      </c>
      <c r="B261" s="344">
        <v>2013</v>
      </c>
      <c r="C261" s="59" t="s">
        <v>93</v>
      </c>
      <c r="D261" s="59">
        <v>1347</v>
      </c>
      <c r="E261" s="504" t="s">
        <v>119</v>
      </c>
      <c r="F261" s="29">
        <v>1</v>
      </c>
      <c r="G261" s="9">
        <v>1</v>
      </c>
      <c r="H261" s="9">
        <v>1</v>
      </c>
      <c r="I261" s="9">
        <v>2</v>
      </c>
      <c r="J261" s="43">
        <v>2</v>
      </c>
      <c r="K261" s="265">
        <f t="shared" si="4"/>
        <v>0.35859414261160716</v>
      </c>
      <c r="L261" s="164" t="s">
        <v>120</v>
      </c>
    </row>
    <row r="262" spans="1:12">
      <c r="A262" s="34" t="s">
        <v>118</v>
      </c>
      <c r="B262" s="344">
        <v>2013</v>
      </c>
      <c r="C262" s="59" t="s">
        <v>94</v>
      </c>
      <c r="D262" s="59">
        <v>290</v>
      </c>
      <c r="E262" s="504" t="s">
        <v>119</v>
      </c>
      <c r="F262" s="29">
        <v>1</v>
      </c>
      <c r="G262" s="9">
        <v>1</v>
      </c>
      <c r="H262" s="9">
        <v>1</v>
      </c>
      <c r="I262" s="9">
        <v>2</v>
      </c>
      <c r="J262" s="43">
        <v>2</v>
      </c>
      <c r="K262" s="265">
        <f t="shared" si="4"/>
        <v>0.35859414261160716</v>
      </c>
      <c r="L262" s="164" t="s">
        <v>120</v>
      </c>
    </row>
    <row r="263" spans="1:12">
      <c r="A263" s="34" t="s">
        <v>118</v>
      </c>
      <c r="B263" s="344">
        <v>2013</v>
      </c>
      <c r="C263" s="59" t="s">
        <v>95</v>
      </c>
      <c r="D263" s="59">
        <v>613</v>
      </c>
      <c r="E263" s="504" t="s">
        <v>119</v>
      </c>
      <c r="F263" s="29">
        <v>1</v>
      </c>
      <c r="G263" s="9">
        <v>1</v>
      </c>
      <c r="H263" s="9">
        <v>1</v>
      </c>
      <c r="I263" s="9">
        <v>2</v>
      </c>
      <c r="J263" s="43">
        <v>2</v>
      </c>
      <c r="K263" s="265">
        <f t="shared" si="4"/>
        <v>0.35859414261160716</v>
      </c>
      <c r="L263" s="164" t="s">
        <v>120</v>
      </c>
    </row>
    <row r="264" spans="1:12">
      <c r="A264" s="34" t="s">
        <v>118</v>
      </c>
      <c r="B264" s="344">
        <v>2013</v>
      </c>
      <c r="C264" s="59" t="s">
        <v>96</v>
      </c>
      <c r="D264" s="59">
        <v>1</v>
      </c>
      <c r="E264" s="504" t="s">
        <v>119</v>
      </c>
      <c r="F264" s="29">
        <v>1</v>
      </c>
      <c r="G264" s="9">
        <v>1</v>
      </c>
      <c r="H264" s="9">
        <v>1</v>
      </c>
      <c r="I264" s="9">
        <v>2</v>
      </c>
      <c r="J264" s="43">
        <v>2</v>
      </c>
      <c r="K264" s="265">
        <f t="shared" si="4"/>
        <v>0.35859414261160716</v>
      </c>
      <c r="L264" s="164" t="s">
        <v>120</v>
      </c>
    </row>
    <row r="265" spans="1:12">
      <c r="A265" s="34" t="s">
        <v>118</v>
      </c>
      <c r="B265" s="344">
        <v>2013</v>
      </c>
      <c r="C265" s="59" t="s">
        <v>97</v>
      </c>
      <c r="D265" s="59">
        <v>191</v>
      </c>
      <c r="E265" s="504" t="s">
        <v>119</v>
      </c>
      <c r="F265" s="29">
        <v>1</v>
      </c>
      <c r="G265" s="9">
        <v>1</v>
      </c>
      <c r="H265" s="9">
        <v>1</v>
      </c>
      <c r="I265" s="9">
        <v>2</v>
      </c>
      <c r="J265" s="43">
        <v>2</v>
      </c>
      <c r="K265" s="265">
        <f t="shared" si="4"/>
        <v>0.35859414261160716</v>
      </c>
      <c r="L265" s="164" t="s">
        <v>120</v>
      </c>
    </row>
    <row r="266" spans="1:12">
      <c r="A266" s="34" t="s">
        <v>118</v>
      </c>
      <c r="B266" s="344">
        <v>2013</v>
      </c>
      <c r="C266" s="59" t="s">
        <v>98</v>
      </c>
      <c r="D266" s="59">
        <v>610</v>
      </c>
      <c r="E266" s="504" t="s">
        <v>119</v>
      </c>
      <c r="F266" s="29">
        <v>1</v>
      </c>
      <c r="G266" s="9">
        <v>1</v>
      </c>
      <c r="H266" s="9">
        <v>1</v>
      </c>
      <c r="I266" s="9">
        <v>2</v>
      </c>
      <c r="J266" s="43">
        <v>2</v>
      </c>
      <c r="K266" s="265">
        <f t="shared" si="4"/>
        <v>0.35859414261160716</v>
      </c>
      <c r="L266" s="164" t="s">
        <v>120</v>
      </c>
    </row>
    <row r="267" spans="1:12">
      <c r="A267" s="34" t="s">
        <v>118</v>
      </c>
      <c r="B267" s="344">
        <v>2013</v>
      </c>
      <c r="C267" s="59" t="s">
        <v>99</v>
      </c>
      <c r="D267" s="59">
        <v>343</v>
      </c>
      <c r="E267" s="504" t="s">
        <v>119</v>
      </c>
      <c r="F267" s="29">
        <v>1</v>
      </c>
      <c r="G267" s="9">
        <v>1</v>
      </c>
      <c r="H267" s="9">
        <v>1</v>
      </c>
      <c r="I267" s="9">
        <v>2</v>
      </c>
      <c r="J267" s="43">
        <v>2</v>
      </c>
      <c r="K267" s="265">
        <f t="shared" si="4"/>
        <v>0.35859414261160716</v>
      </c>
      <c r="L267" s="164" t="s">
        <v>120</v>
      </c>
    </row>
    <row r="268" spans="1:12">
      <c r="A268" s="34" t="s">
        <v>118</v>
      </c>
      <c r="B268" s="344">
        <v>2013</v>
      </c>
      <c r="C268" s="59" t="s">
        <v>102</v>
      </c>
      <c r="D268" s="59">
        <v>156</v>
      </c>
      <c r="E268" s="504" t="s">
        <v>119</v>
      </c>
      <c r="F268" s="29">
        <v>1</v>
      </c>
      <c r="G268" s="9">
        <v>1</v>
      </c>
      <c r="H268" s="9">
        <v>1</v>
      </c>
      <c r="I268" s="9">
        <v>2</v>
      </c>
      <c r="J268" s="43">
        <v>2</v>
      </c>
      <c r="K268" s="265">
        <f t="shared" si="4"/>
        <v>0.35859414261160716</v>
      </c>
      <c r="L268" s="164" t="s">
        <v>120</v>
      </c>
    </row>
    <row r="269" spans="1:12">
      <c r="A269" s="34" t="s">
        <v>118</v>
      </c>
      <c r="B269" s="344">
        <v>2013</v>
      </c>
      <c r="C269" s="59" t="s">
        <v>104</v>
      </c>
      <c r="D269" s="59">
        <v>337</v>
      </c>
      <c r="E269" s="504" t="s">
        <v>119</v>
      </c>
      <c r="F269" s="29">
        <v>1</v>
      </c>
      <c r="G269" s="9">
        <v>1</v>
      </c>
      <c r="H269" s="9">
        <v>1</v>
      </c>
      <c r="I269" s="9">
        <v>2</v>
      </c>
      <c r="J269" s="43">
        <v>2</v>
      </c>
      <c r="K269" s="265">
        <f t="shared" si="4"/>
        <v>0.35859414261160716</v>
      </c>
      <c r="L269" s="164" t="s">
        <v>120</v>
      </c>
    </row>
    <row r="270" spans="1:12">
      <c r="A270" s="34" t="s">
        <v>118</v>
      </c>
      <c r="B270" s="344">
        <v>2013</v>
      </c>
      <c r="C270" s="59" t="s">
        <v>105</v>
      </c>
      <c r="D270" s="59">
        <v>246</v>
      </c>
      <c r="E270" s="504" t="s">
        <v>119</v>
      </c>
      <c r="F270" s="29">
        <v>1</v>
      </c>
      <c r="G270" s="9">
        <v>1</v>
      </c>
      <c r="H270" s="9">
        <v>1</v>
      </c>
      <c r="I270" s="9">
        <v>2</v>
      </c>
      <c r="J270" s="43">
        <v>2</v>
      </c>
      <c r="K270" s="265">
        <f t="shared" si="4"/>
        <v>0.35859414261160716</v>
      </c>
      <c r="L270" s="164" t="s">
        <v>120</v>
      </c>
    </row>
    <row r="271" spans="1:12">
      <c r="A271" s="34" t="s">
        <v>118</v>
      </c>
      <c r="B271" s="344">
        <v>2013</v>
      </c>
      <c r="C271" s="59" t="s">
        <v>103</v>
      </c>
      <c r="D271" s="59">
        <v>248</v>
      </c>
      <c r="E271" s="504" t="s">
        <v>119</v>
      </c>
      <c r="F271" s="29">
        <v>1</v>
      </c>
      <c r="G271" s="9">
        <v>1</v>
      </c>
      <c r="H271" s="9">
        <v>1</v>
      </c>
      <c r="I271" s="9">
        <v>2</v>
      </c>
      <c r="J271" s="43">
        <v>2</v>
      </c>
      <c r="K271" s="265">
        <f t="shared" si="4"/>
        <v>0.35859414261160716</v>
      </c>
      <c r="L271" s="164" t="s">
        <v>120</v>
      </c>
    </row>
    <row r="272" spans="1:12">
      <c r="A272" s="34" t="s">
        <v>118</v>
      </c>
      <c r="B272" s="344">
        <v>2013</v>
      </c>
      <c r="C272" s="59" t="s">
        <v>101</v>
      </c>
      <c r="D272" s="59">
        <v>120</v>
      </c>
      <c r="E272" s="504" t="s">
        <v>119</v>
      </c>
      <c r="F272" s="29">
        <v>1</v>
      </c>
      <c r="G272" s="9">
        <v>1</v>
      </c>
      <c r="H272" s="9">
        <v>1</v>
      </c>
      <c r="I272" s="9">
        <v>2</v>
      </c>
      <c r="J272" s="43">
        <v>2</v>
      </c>
      <c r="K272" s="265">
        <f t="shared" si="4"/>
        <v>0.35859414261160716</v>
      </c>
      <c r="L272" s="164" t="s">
        <v>120</v>
      </c>
    </row>
    <row r="273" spans="1:12">
      <c r="A273" s="34" t="s">
        <v>118</v>
      </c>
      <c r="B273" s="344">
        <v>2013</v>
      </c>
      <c r="C273" s="59" t="s">
        <v>106</v>
      </c>
      <c r="D273" s="59">
        <v>2021</v>
      </c>
      <c r="E273" s="504" t="s">
        <v>119</v>
      </c>
      <c r="F273" s="29">
        <v>1</v>
      </c>
      <c r="G273" s="9">
        <v>1</v>
      </c>
      <c r="H273" s="9">
        <v>1</v>
      </c>
      <c r="I273" s="9">
        <v>2</v>
      </c>
      <c r="J273" s="43">
        <v>2</v>
      </c>
      <c r="K273" s="265">
        <f t="shared" si="4"/>
        <v>0.35859414261160716</v>
      </c>
      <c r="L273" s="164" t="s">
        <v>120</v>
      </c>
    </row>
    <row r="274" spans="1:12">
      <c r="A274" s="34" t="s">
        <v>118</v>
      </c>
      <c r="B274" s="344">
        <v>2014</v>
      </c>
      <c r="C274" s="59" t="s">
        <v>93</v>
      </c>
      <c r="D274" s="59">
        <v>1317</v>
      </c>
      <c r="E274" s="504" t="s">
        <v>119</v>
      </c>
      <c r="F274" s="29">
        <v>1</v>
      </c>
      <c r="G274" s="9">
        <v>1</v>
      </c>
      <c r="H274" s="9">
        <v>1</v>
      </c>
      <c r="I274" s="9">
        <v>2</v>
      </c>
      <c r="J274" s="43">
        <v>2</v>
      </c>
      <c r="K274" s="265">
        <f t="shared" si="4"/>
        <v>0.35859414261160716</v>
      </c>
      <c r="L274" s="164" t="s">
        <v>120</v>
      </c>
    </row>
    <row r="275" spans="1:12">
      <c r="A275" s="34" t="s">
        <v>118</v>
      </c>
      <c r="B275" s="344">
        <v>2014</v>
      </c>
      <c r="C275" s="59" t="s">
        <v>94</v>
      </c>
      <c r="D275" s="59">
        <v>290</v>
      </c>
      <c r="E275" s="504" t="s">
        <v>119</v>
      </c>
      <c r="F275" s="29">
        <v>1</v>
      </c>
      <c r="G275" s="9">
        <v>1</v>
      </c>
      <c r="H275" s="9">
        <v>1</v>
      </c>
      <c r="I275" s="9">
        <v>2</v>
      </c>
      <c r="J275" s="43">
        <v>2</v>
      </c>
      <c r="K275" s="265">
        <f t="shared" si="4"/>
        <v>0.35859414261160716</v>
      </c>
      <c r="L275" s="164" t="s">
        <v>120</v>
      </c>
    </row>
    <row r="276" spans="1:12">
      <c r="A276" s="34" t="s">
        <v>118</v>
      </c>
      <c r="B276" s="344">
        <v>2014</v>
      </c>
      <c r="C276" s="59" t="s">
        <v>95</v>
      </c>
      <c r="D276" s="59">
        <v>852</v>
      </c>
      <c r="E276" s="504" t="s">
        <v>119</v>
      </c>
      <c r="F276" s="29">
        <v>1</v>
      </c>
      <c r="G276" s="9">
        <v>1</v>
      </c>
      <c r="H276" s="9">
        <v>1</v>
      </c>
      <c r="I276" s="9">
        <v>2</v>
      </c>
      <c r="J276" s="43">
        <v>2</v>
      </c>
      <c r="K276" s="265">
        <f t="shared" si="4"/>
        <v>0.35859414261160716</v>
      </c>
      <c r="L276" s="164" t="s">
        <v>120</v>
      </c>
    </row>
    <row r="277" spans="1:12">
      <c r="A277" s="34" t="s">
        <v>118</v>
      </c>
      <c r="B277" s="344">
        <v>2014</v>
      </c>
      <c r="C277" s="59" t="s">
        <v>96</v>
      </c>
      <c r="D277" s="59">
        <v>4</v>
      </c>
      <c r="E277" s="504" t="s">
        <v>119</v>
      </c>
      <c r="F277" s="29">
        <v>1</v>
      </c>
      <c r="G277" s="9">
        <v>1</v>
      </c>
      <c r="H277" s="9">
        <v>1</v>
      </c>
      <c r="I277" s="9">
        <v>2</v>
      </c>
      <c r="J277" s="43">
        <v>2</v>
      </c>
      <c r="K277" s="265">
        <f t="shared" si="4"/>
        <v>0.35859414261160716</v>
      </c>
      <c r="L277" s="164" t="s">
        <v>120</v>
      </c>
    </row>
    <row r="278" spans="1:12">
      <c r="A278" s="34" t="s">
        <v>118</v>
      </c>
      <c r="B278" s="344">
        <v>2014</v>
      </c>
      <c r="C278" s="59" t="s">
        <v>97</v>
      </c>
      <c r="D278" s="59">
        <v>191</v>
      </c>
      <c r="E278" s="504" t="s">
        <v>119</v>
      </c>
      <c r="F278" s="29">
        <v>1</v>
      </c>
      <c r="G278" s="9">
        <v>1</v>
      </c>
      <c r="H278" s="9">
        <v>1</v>
      </c>
      <c r="I278" s="9">
        <v>2</v>
      </c>
      <c r="J278" s="43">
        <v>2</v>
      </c>
      <c r="K278" s="265">
        <f t="shared" si="4"/>
        <v>0.35859414261160716</v>
      </c>
      <c r="L278" s="164" t="s">
        <v>120</v>
      </c>
    </row>
    <row r="279" spans="1:12">
      <c r="A279" s="34" t="s">
        <v>118</v>
      </c>
      <c r="B279" s="344">
        <v>2014</v>
      </c>
      <c r="C279" s="59" t="s">
        <v>98</v>
      </c>
      <c r="D279" s="59">
        <v>610</v>
      </c>
      <c r="E279" s="504" t="s">
        <v>119</v>
      </c>
      <c r="F279" s="29">
        <v>1</v>
      </c>
      <c r="G279" s="9">
        <v>1</v>
      </c>
      <c r="H279" s="9">
        <v>1</v>
      </c>
      <c r="I279" s="9">
        <v>2</v>
      </c>
      <c r="J279" s="43">
        <v>2</v>
      </c>
      <c r="K279" s="265">
        <f t="shared" si="4"/>
        <v>0.35859414261160716</v>
      </c>
      <c r="L279" s="164" t="s">
        <v>120</v>
      </c>
    </row>
    <row r="280" spans="1:12">
      <c r="A280" s="34" t="s">
        <v>118</v>
      </c>
      <c r="B280" s="344">
        <v>2014</v>
      </c>
      <c r="C280" s="59" t="s">
        <v>99</v>
      </c>
      <c r="D280" s="59">
        <v>359</v>
      </c>
      <c r="E280" s="504" t="s">
        <v>119</v>
      </c>
      <c r="F280" s="29">
        <v>1</v>
      </c>
      <c r="G280" s="9">
        <v>1</v>
      </c>
      <c r="H280" s="9">
        <v>1</v>
      </c>
      <c r="I280" s="9">
        <v>2</v>
      </c>
      <c r="J280" s="43">
        <v>2</v>
      </c>
      <c r="K280" s="265">
        <f t="shared" si="4"/>
        <v>0.35859414261160716</v>
      </c>
      <c r="L280" s="164" t="s">
        <v>120</v>
      </c>
    </row>
    <row r="281" spans="1:12">
      <c r="A281" s="34" t="s">
        <v>118</v>
      </c>
      <c r="B281" s="344">
        <v>2014</v>
      </c>
      <c r="C281" s="59" t="s">
        <v>102</v>
      </c>
      <c r="D281" s="59">
        <v>137</v>
      </c>
      <c r="E281" s="504" t="s">
        <v>119</v>
      </c>
      <c r="F281" s="29">
        <v>1</v>
      </c>
      <c r="G281" s="9">
        <v>1</v>
      </c>
      <c r="H281" s="9">
        <v>1</v>
      </c>
      <c r="I281" s="9">
        <v>2</v>
      </c>
      <c r="J281" s="43">
        <v>2</v>
      </c>
      <c r="K281" s="265">
        <f t="shared" si="4"/>
        <v>0.35859414261160716</v>
      </c>
      <c r="L281" s="164" t="s">
        <v>120</v>
      </c>
    </row>
    <row r="282" spans="1:12">
      <c r="A282" s="34" t="s">
        <v>118</v>
      </c>
      <c r="B282" s="344">
        <v>2014</v>
      </c>
      <c r="C282" s="59" t="s">
        <v>104</v>
      </c>
      <c r="D282" s="59">
        <v>337</v>
      </c>
      <c r="E282" s="504" t="s">
        <v>119</v>
      </c>
      <c r="F282" s="29">
        <v>1</v>
      </c>
      <c r="G282" s="9">
        <v>1</v>
      </c>
      <c r="H282" s="9">
        <v>1</v>
      </c>
      <c r="I282" s="9">
        <v>2</v>
      </c>
      <c r="J282" s="43">
        <v>2</v>
      </c>
      <c r="K282" s="265">
        <f t="shared" si="4"/>
        <v>0.35859414261160716</v>
      </c>
      <c r="L282" s="164" t="s">
        <v>120</v>
      </c>
    </row>
    <row r="283" spans="1:12">
      <c r="A283" s="34" t="s">
        <v>118</v>
      </c>
      <c r="B283" s="344">
        <v>2014</v>
      </c>
      <c r="C283" s="59" t="s">
        <v>105</v>
      </c>
      <c r="D283" s="59">
        <v>249</v>
      </c>
      <c r="E283" s="504" t="s">
        <v>119</v>
      </c>
      <c r="F283" s="29">
        <v>1</v>
      </c>
      <c r="G283" s="9">
        <v>1</v>
      </c>
      <c r="H283" s="9">
        <v>1</v>
      </c>
      <c r="I283" s="9">
        <v>2</v>
      </c>
      <c r="J283" s="43">
        <v>2</v>
      </c>
      <c r="K283" s="265">
        <f t="shared" si="4"/>
        <v>0.35859414261160716</v>
      </c>
      <c r="L283" s="164" t="s">
        <v>120</v>
      </c>
    </row>
    <row r="284" spans="1:12">
      <c r="A284" s="34" t="s">
        <v>118</v>
      </c>
      <c r="B284" s="344">
        <v>2014</v>
      </c>
      <c r="C284" s="59" t="s">
        <v>103</v>
      </c>
      <c r="D284" s="59">
        <v>254</v>
      </c>
      <c r="E284" s="504" t="s">
        <v>119</v>
      </c>
      <c r="F284" s="29">
        <v>1</v>
      </c>
      <c r="G284" s="9">
        <v>1</v>
      </c>
      <c r="H284" s="9">
        <v>1</v>
      </c>
      <c r="I284" s="9">
        <v>2</v>
      </c>
      <c r="J284" s="43">
        <v>2</v>
      </c>
      <c r="K284" s="265">
        <f t="shared" si="4"/>
        <v>0.35859414261160716</v>
      </c>
      <c r="L284" s="164" t="s">
        <v>120</v>
      </c>
    </row>
    <row r="285" spans="1:12">
      <c r="A285" s="34" t="s">
        <v>118</v>
      </c>
      <c r="B285" s="344">
        <v>2014</v>
      </c>
      <c r="C285" s="59" t="s">
        <v>101</v>
      </c>
      <c r="D285" s="59">
        <v>102</v>
      </c>
      <c r="E285" s="504" t="s">
        <v>119</v>
      </c>
      <c r="F285" s="29">
        <v>1</v>
      </c>
      <c r="G285" s="9">
        <v>1</v>
      </c>
      <c r="H285" s="9">
        <v>1</v>
      </c>
      <c r="I285" s="9">
        <v>2</v>
      </c>
      <c r="J285" s="43">
        <v>2</v>
      </c>
      <c r="K285" s="265">
        <f t="shared" si="4"/>
        <v>0.35859414261160716</v>
      </c>
      <c r="L285" s="164" t="s">
        <v>120</v>
      </c>
    </row>
    <row r="286" spans="1:12">
      <c r="A286" s="34" t="s">
        <v>118</v>
      </c>
      <c r="B286" s="344">
        <v>2014</v>
      </c>
      <c r="C286" s="59" t="s">
        <v>106</v>
      </c>
      <c r="D286" s="59">
        <v>2236</v>
      </c>
      <c r="E286" s="504" t="s">
        <v>119</v>
      </c>
      <c r="F286" s="29">
        <v>1</v>
      </c>
      <c r="G286" s="9">
        <v>1</v>
      </c>
      <c r="H286" s="9">
        <v>1</v>
      </c>
      <c r="I286" s="9">
        <v>2</v>
      </c>
      <c r="J286" s="43">
        <v>2</v>
      </c>
      <c r="K286" s="265">
        <f t="shared" si="4"/>
        <v>0.35859414261160716</v>
      </c>
      <c r="L286" s="164" t="s">
        <v>120</v>
      </c>
    </row>
    <row r="287" spans="1:12">
      <c r="A287" s="34" t="s">
        <v>118</v>
      </c>
      <c r="B287" s="344">
        <v>2015</v>
      </c>
      <c r="C287" s="59" t="s">
        <v>93</v>
      </c>
      <c r="D287" s="59">
        <v>1455</v>
      </c>
      <c r="E287" s="504" t="s">
        <v>119</v>
      </c>
      <c r="F287" s="29">
        <v>1</v>
      </c>
      <c r="G287" s="9">
        <v>1</v>
      </c>
      <c r="H287" s="9">
        <v>1</v>
      </c>
      <c r="I287" s="9">
        <v>2</v>
      </c>
      <c r="J287" s="43">
        <v>2</v>
      </c>
      <c r="K287" s="265">
        <f t="shared" si="4"/>
        <v>0.35859414261160716</v>
      </c>
      <c r="L287" s="164" t="s">
        <v>120</v>
      </c>
    </row>
    <row r="288" spans="1:12">
      <c r="A288" s="34" t="s">
        <v>118</v>
      </c>
      <c r="B288" s="344">
        <v>2015</v>
      </c>
      <c r="C288" s="59" t="s">
        <v>94</v>
      </c>
      <c r="D288" s="59">
        <v>290</v>
      </c>
      <c r="E288" s="504" t="s">
        <v>119</v>
      </c>
      <c r="F288" s="29">
        <v>1</v>
      </c>
      <c r="G288" s="9">
        <v>1</v>
      </c>
      <c r="H288" s="9">
        <v>1</v>
      </c>
      <c r="I288" s="9">
        <v>2</v>
      </c>
      <c r="J288" s="43">
        <v>2</v>
      </c>
      <c r="K288" s="265">
        <f t="shared" si="4"/>
        <v>0.35859414261160716</v>
      </c>
      <c r="L288" s="164" t="s">
        <v>120</v>
      </c>
    </row>
    <row r="289" spans="1:12">
      <c r="A289" s="34" t="s">
        <v>118</v>
      </c>
      <c r="B289" s="344">
        <v>2015</v>
      </c>
      <c r="C289" s="59" t="s">
        <v>95</v>
      </c>
      <c r="D289" s="59">
        <v>852</v>
      </c>
      <c r="E289" s="504" t="s">
        <v>119</v>
      </c>
      <c r="F289" s="29">
        <v>1</v>
      </c>
      <c r="G289" s="9">
        <v>1</v>
      </c>
      <c r="H289" s="9">
        <v>1</v>
      </c>
      <c r="I289" s="9">
        <v>2</v>
      </c>
      <c r="J289" s="43">
        <v>2</v>
      </c>
      <c r="K289" s="265">
        <f t="shared" si="4"/>
        <v>0.35859414261160716</v>
      </c>
      <c r="L289" s="164" t="s">
        <v>120</v>
      </c>
    </row>
    <row r="290" spans="1:12">
      <c r="A290" s="34" t="s">
        <v>118</v>
      </c>
      <c r="B290" s="344">
        <v>2015</v>
      </c>
      <c r="C290" s="59" t="s">
        <v>96</v>
      </c>
      <c r="D290" s="59">
        <v>4</v>
      </c>
      <c r="E290" s="504" t="s">
        <v>119</v>
      </c>
      <c r="F290" s="29">
        <v>1</v>
      </c>
      <c r="G290" s="9">
        <v>1</v>
      </c>
      <c r="H290" s="9">
        <v>1</v>
      </c>
      <c r="I290" s="9">
        <v>2</v>
      </c>
      <c r="J290" s="43">
        <v>2</v>
      </c>
      <c r="K290" s="265">
        <f t="shared" si="4"/>
        <v>0.35859414261160716</v>
      </c>
      <c r="L290" s="164" t="s">
        <v>120</v>
      </c>
    </row>
    <row r="291" spans="1:12">
      <c r="A291" s="34" t="s">
        <v>118</v>
      </c>
      <c r="B291" s="344">
        <v>2015</v>
      </c>
      <c r="C291" s="59" t="s">
        <v>97</v>
      </c>
      <c r="D291" s="59">
        <v>191</v>
      </c>
      <c r="E291" s="504" t="s">
        <v>119</v>
      </c>
      <c r="F291" s="29">
        <v>1</v>
      </c>
      <c r="G291" s="9">
        <v>1</v>
      </c>
      <c r="H291" s="9">
        <v>1</v>
      </c>
      <c r="I291" s="9">
        <v>2</v>
      </c>
      <c r="J291" s="43">
        <v>2</v>
      </c>
      <c r="K291" s="265">
        <f t="shared" si="4"/>
        <v>0.35859414261160716</v>
      </c>
      <c r="L291" s="164" t="s">
        <v>120</v>
      </c>
    </row>
    <row r="292" spans="1:12">
      <c r="A292" s="34" t="s">
        <v>118</v>
      </c>
      <c r="B292" s="344">
        <v>2015</v>
      </c>
      <c r="C292" s="59" t="s">
        <v>98</v>
      </c>
      <c r="D292" s="59">
        <v>610</v>
      </c>
      <c r="E292" s="504" t="s">
        <v>119</v>
      </c>
      <c r="F292" s="29">
        <v>1</v>
      </c>
      <c r="G292" s="9">
        <v>1</v>
      </c>
      <c r="H292" s="9">
        <v>1</v>
      </c>
      <c r="I292" s="9">
        <v>2</v>
      </c>
      <c r="J292" s="43">
        <v>2</v>
      </c>
      <c r="K292" s="265">
        <f t="shared" si="4"/>
        <v>0.35859414261160716</v>
      </c>
      <c r="L292" s="164" t="s">
        <v>120</v>
      </c>
    </row>
    <row r="293" spans="1:12">
      <c r="A293" s="34" t="s">
        <v>118</v>
      </c>
      <c r="B293" s="344">
        <v>2015</v>
      </c>
      <c r="C293" s="59" t="s">
        <v>99</v>
      </c>
      <c r="D293" s="59">
        <v>421</v>
      </c>
      <c r="E293" s="504" t="s">
        <v>119</v>
      </c>
      <c r="F293" s="29">
        <v>1</v>
      </c>
      <c r="G293" s="9">
        <v>1</v>
      </c>
      <c r="H293" s="9">
        <v>1</v>
      </c>
      <c r="I293" s="9">
        <v>2</v>
      </c>
      <c r="J293" s="43">
        <v>2</v>
      </c>
      <c r="K293" s="265">
        <f t="shared" si="4"/>
        <v>0.35859414261160716</v>
      </c>
      <c r="L293" s="164" t="s">
        <v>120</v>
      </c>
    </row>
    <row r="294" spans="1:12">
      <c r="A294" s="34" t="s">
        <v>118</v>
      </c>
      <c r="B294" s="344">
        <v>2015</v>
      </c>
      <c r="C294" s="59" t="s">
        <v>102</v>
      </c>
      <c r="D294" s="59">
        <v>159</v>
      </c>
      <c r="E294" s="504" t="s">
        <v>119</v>
      </c>
      <c r="F294" s="29">
        <v>1</v>
      </c>
      <c r="G294" s="9">
        <v>1</v>
      </c>
      <c r="H294" s="9">
        <v>1</v>
      </c>
      <c r="I294" s="9">
        <v>2</v>
      </c>
      <c r="J294" s="43">
        <v>2</v>
      </c>
      <c r="K294" s="265">
        <f t="shared" si="4"/>
        <v>0.35859414261160716</v>
      </c>
      <c r="L294" s="164" t="s">
        <v>120</v>
      </c>
    </row>
    <row r="295" spans="1:12">
      <c r="A295" s="34" t="s">
        <v>118</v>
      </c>
      <c r="B295" s="344">
        <v>2015</v>
      </c>
      <c r="C295" s="59" t="s">
        <v>104</v>
      </c>
      <c r="D295" s="59">
        <v>337</v>
      </c>
      <c r="E295" s="504" t="s">
        <v>119</v>
      </c>
      <c r="F295" s="29">
        <v>1</v>
      </c>
      <c r="G295" s="9">
        <v>1</v>
      </c>
      <c r="H295" s="9">
        <v>1</v>
      </c>
      <c r="I295" s="9">
        <v>2</v>
      </c>
      <c r="J295" s="43">
        <v>2</v>
      </c>
      <c r="K295" s="265">
        <f t="shared" si="4"/>
        <v>0.35859414261160716</v>
      </c>
      <c r="L295" s="164" t="s">
        <v>120</v>
      </c>
    </row>
    <row r="296" spans="1:12">
      <c r="A296" s="34" t="s">
        <v>118</v>
      </c>
      <c r="B296" s="344">
        <v>2015</v>
      </c>
      <c r="C296" s="59" t="s">
        <v>105</v>
      </c>
      <c r="D296" s="59">
        <v>280</v>
      </c>
      <c r="E296" s="504" t="s">
        <v>119</v>
      </c>
      <c r="F296" s="29">
        <v>1</v>
      </c>
      <c r="G296" s="9">
        <v>1</v>
      </c>
      <c r="H296" s="9">
        <v>1</v>
      </c>
      <c r="I296" s="9">
        <v>2</v>
      </c>
      <c r="J296" s="43">
        <v>2</v>
      </c>
      <c r="K296" s="265">
        <f t="shared" si="4"/>
        <v>0.35859414261160716</v>
      </c>
      <c r="L296" s="164" t="s">
        <v>120</v>
      </c>
    </row>
    <row r="297" spans="1:12">
      <c r="A297" s="34" t="s">
        <v>118</v>
      </c>
      <c r="B297" s="344">
        <v>2015</v>
      </c>
      <c r="C297" s="59" t="s">
        <v>103</v>
      </c>
      <c r="D297" s="59">
        <v>270</v>
      </c>
      <c r="E297" s="504" t="s">
        <v>119</v>
      </c>
      <c r="F297" s="29">
        <v>1</v>
      </c>
      <c r="G297" s="9">
        <v>1</v>
      </c>
      <c r="H297" s="9">
        <v>1</v>
      </c>
      <c r="I297" s="9">
        <v>2</v>
      </c>
      <c r="J297" s="43">
        <v>2</v>
      </c>
      <c r="K297" s="265">
        <f t="shared" si="4"/>
        <v>0.35859414261160716</v>
      </c>
      <c r="L297" s="164" t="s">
        <v>120</v>
      </c>
    </row>
    <row r="298" spans="1:12">
      <c r="A298" s="34" t="s">
        <v>118</v>
      </c>
      <c r="B298" s="344">
        <v>2015</v>
      </c>
      <c r="C298" s="59" t="s">
        <v>101</v>
      </c>
      <c r="D298" s="59">
        <v>116</v>
      </c>
      <c r="E298" s="504" t="s">
        <v>119</v>
      </c>
      <c r="F298" s="29">
        <v>1</v>
      </c>
      <c r="G298" s="9">
        <v>1</v>
      </c>
      <c r="H298" s="9">
        <v>1</v>
      </c>
      <c r="I298" s="9">
        <v>2</v>
      </c>
      <c r="J298" s="43">
        <v>2</v>
      </c>
      <c r="K298" s="265">
        <f t="shared" si="4"/>
        <v>0.35859414261160716</v>
      </c>
      <c r="L298" s="164" t="s">
        <v>120</v>
      </c>
    </row>
    <row r="299" spans="1:12">
      <c r="A299" s="34" t="s">
        <v>118</v>
      </c>
      <c r="B299" s="344">
        <v>2015</v>
      </c>
      <c r="C299" s="59" t="s">
        <v>106</v>
      </c>
      <c r="D299" s="59">
        <v>2411</v>
      </c>
      <c r="E299" s="504" t="s">
        <v>119</v>
      </c>
      <c r="F299" s="29">
        <v>1</v>
      </c>
      <c r="G299" s="9">
        <v>1</v>
      </c>
      <c r="H299" s="9">
        <v>1</v>
      </c>
      <c r="I299" s="9">
        <v>2</v>
      </c>
      <c r="J299" s="43">
        <v>2</v>
      </c>
      <c r="K299" s="265">
        <f t="shared" si="4"/>
        <v>0.35859414261160716</v>
      </c>
      <c r="L299" s="164" t="s">
        <v>120</v>
      </c>
    </row>
    <row r="300" spans="1:12">
      <c r="A300" s="34" t="s">
        <v>118</v>
      </c>
      <c r="B300" s="344">
        <v>2016</v>
      </c>
      <c r="C300" s="59" t="s">
        <v>93</v>
      </c>
      <c r="D300" s="59">
        <v>1633</v>
      </c>
      <c r="E300" s="504" t="s">
        <v>119</v>
      </c>
      <c r="F300" s="29">
        <v>1</v>
      </c>
      <c r="G300" s="9">
        <v>1</v>
      </c>
      <c r="H300" s="9">
        <v>1</v>
      </c>
      <c r="I300" s="9">
        <v>2</v>
      </c>
      <c r="J300" s="43">
        <v>2</v>
      </c>
      <c r="K300" s="265">
        <f t="shared" si="4"/>
        <v>0.35859414261160716</v>
      </c>
      <c r="L300" s="164" t="s">
        <v>120</v>
      </c>
    </row>
    <row r="301" spans="1:12">
      <c r="A301" s="34" t="s">
        <v>118</v>
      </c>
      <c r="B301" s="344">
        <v>2016</v>
      </c>
      <c r="C301" s="59" t="s">
        <v>94</v>
      </c>
      <c r="D301" s="59">
        <v>290</v>
      </c>
      <c r="E301" s="504" t="s">
        <v>119</v>
      </c>
      <c r="F301" s="29">
        <v>1</v>
      </c>
      <c r="G301" s="9">
        <v>1</v>
      </c>
      <c r="H301" s="9">
        <v>1</v>
      </c>
      <c r="I301" s="9">
        <v>2</v>
      </c>
      <c r="J301" s="43">
        <v>2</v>
      </c>
      <c r="K301" s="265">
        <f t="shared" si="4"/>
        <v>0.35859414261160716</v>
      </c>
      <c r="L301" s="164" t="s">
        <v>120</v>
      </c>
    </row>
    <row r="302" spans="1:12">
      <c r="A302" s="34" t="s">
        <v>118</v>
      </c>
      <c r="B302" s="344">
        <v>2016</v>
      </c>
      <c r="C302" s="59" t="s">
        <v>95</v>
      </c>
      <c r="D302" s="59">
        <v>852</v>
      </c>
      <c r="E302" s="504" t="s">
        <v>119</v>
      </c>
      <c r="F302" s="29">
        <v>1</v>
      </c>
      <c r="G302" s="9">
        <v>1</v>
      </c>
      <c r="H302" s="9">
        <v>1</v>
      </c>
      <c r="I302" s="9">
        <v>2</v>
      </c>
      <c r="J302" s="43">
        <v>2</v>
      </c>
      <c r="K302" s="265">
        <f t="shared" si="4"/>
        <v>0.35859414261160716</v>
      </c>
      <c r="L302" s="164" t="s">
        <v>120</v>
      </c>
    </row>
    <row r="303" spans="1:12">
      <c r="A303" s="34" t="s">
        <v>118</v>
      </c>
      <c r="B303" s="344">
        <v>2016</v>
      </c>
      <c r="C303" s="59" t="s">
        <v>96</v>
      </c>
      <c r="D303" s="59">
        <v>4</v>
      </c>
      <c r="E303" s="504" t="s">
        <v>119</v>
      </c>
      <c r="F303" s="29">
        <v>1</v>
      </c>
      <c r="G303" s="9">
        <v>1</v>
      </c>
      <c r="H303" s="9">
        <v>1</v>
      </c>
      <c r="I303" s="9">
        <v>2</v>
      </c>
      <c r="J303" s="43">
        <v>2</v>
      </c>
      <c r="K303" s="265">
        <f t="shared" si="4"/>
        <v>0.35859414261160716</v>
      </c>
      <c r="L303" s="164" t="s">
        <v>120</v>
      </c>
    </row>
    <row r="304" spans="1:12">
      <c r="A304" s="34" t="s">
        <v>118</v>
      </c>
      <c r="B304" s="344">
        <v>2016</v>
      </c>
      <c r="C304" s="59" t="s">
        <v>97</v>
      </c>
      <c r="D304" s="59">
        <v>185</v>
      </c>
      <c r="E304" s="504" t="s">
        <v>119</v>
      </c>
      <c r="F304" s="29">
        <v>1</v>
      </c>
      <c r="G304" s="9">
        <v>1</v>
      </c>
      <c r="H304" s="9">
        <v>1</v>
      </c>
      <c r="I304" s="9">
        <v>2</v>
      </c>
      <c r="J304" s="43">
        <v>2</v>
      </c>
      <c r="K304" s="265">
        <f t="shared" si="4"/>
        <v>0.35859414261160716</v>
      </c>
      <c r="L304" s="164" t="s">
        <v>120</v>
      </c>
    </row>
    <row r="305" spans="1:12">
      <c r="A305" s="34" t="s">
        <v>118</v>
      </c>
      <c r="B305" s="344">
        <v>2016</v>
      </c>
      <c r="C305" s="59" t="s">
        <v>98</v>
      </c>
      <c r="D305" s="59">
        <v>610</v>
      </c>
      <c r="E305" s="504" t="s">
        <v>119</v>
      </c>
      <c r="F305" s="29">
        <v>1</v>
      </c>
      <c r="G305" s="9">
        <v>1</v>
      </c>
      <c r="H305" s="9">
        <v>1</v>
      </c>
      <c r="I305" s="9">
        <v>2</v>
      </c>
      <c r="J305" s="43">
        <v>2</v>
      </c>
      <c r="K305" s="265">
        <f t="shared" si="4"/>
        <v>0.35859414261160716</v>
      </c>
      <c r="L305" s="164" t="s">
        <v>120</v>
      </c>
    </row>
    <row r="306" spans="1:12">
      <c r="A306" s="34" t="s">
        <v>118</v>
      </c>
      <c r="B306" s="344">
        <v>2016</v>
      </c>
      <c r="C306" s="59" t="s">
        <v>99</v>
      </c>
      <c r="D306" s="59">
        <v>386</v>
      </c>
      <c r="E306" s="504" t="s">
        <v>119</v>
      </c>
      <c r="F306" s="29">
        <v>1</v>
      </c>
      <c r="G306" s="9">
        <v>1</v>
      </c>
      <c r="H306" s="9">
        <v>1</v>
      </c>
      <c r="I306" s="9">
        <v>2</v>
      </c>
      <c r="J306" s="43">
        <v>2</v>
      </c>
      <c r="K306" s="265">
        <f t="shared" si="4"/>
        <v>0.35859414261160716</v>
      </c>
      <c r="L306" s="164" t="s">
        <v>120</v>
      </c>
    </row>
    <row r="307" spans="1:12">
      <c r="A307" s="34" t="s">
        <v>118</v>
      </c>
      <c r="B307" s="344">
        <v>2016</v>
      </c>
      <c r="C307" s="59" t="s">
        <v>102</v>
      </c>
      <c r="D307" s="59">
        <v>155</v>
      </c>
      <c r="E307" s="504" t="s">
        <v>119</v>
      </c>
      <c r="F307" s="29">
        <v>1</v>
      </c>
      <c r="G307" s="9">
        <v>1</v>
      </c>
      <c r="H307" s="9">
        <v>1</v>
      </c>
      <c r="I307" s="9">
        <v>2</v>
      </c>
      <c r="J307" s="43">
        <v>2</v>
      </c>
      <c r="K307" s="265">
        <f t="shared" si="4"/>
        <v>0.35859414261160716</v>
      </c>
      <c r="L307" s="164" t="s">
        <v>120</v>
      </c>
    </row>
    <row r="308" spans="1:12">
      <c r="A308" s="34" t="s">
        <v>118</v>
      </c>
      <c r="B308" s="344">
        <v>2016</v>
      </c>
      <c r="C308" s="59" t="s">
        <v>104</v>
      </c>
      <c r="D308" s="59">
        <v>337</v>
      </c>
      <c r="E308" s="504" t="s">
        <v>119</v>
      </c>
      <c r="F308" s="29">
        <v>1</v>
      </c>
      <c r="G308" s="9">
        <v>1</v>
      </c>
      <c r="H308" s="9">
        <v>1</v>
      </c>
      <c r="I308" s="9">
        <v>2</v>
      </c>
      <c r="J308" s="43">
        <v>2</v>
      </c>
      <c r="K308" s="265">
        <f t="shared" si="4"/>
        <v>0.35859414261160716</v>
      </c>
      <c r="L308" s="164" t="s">
        <v>120</v>
      </c>
    </row>
    <row r="309" spans="1:12">
      <c r="A309" s="34" t="s">
        <v>118</v>
      </c>
      <c r="B309" s="344">
        <v>2016</v>
      </c>
      <c r="C309" s="59" t="s">
        <v>105</v>
      </c>
      <c r="D309" s="59">
        <v>373</v>
      </c>
      <c r="E309" s="504" t="s">
        <v>119</v>
      </c>
      <c r="F309" s="29">
        <v>1</v>
      </c>
      <c r="G309" s="9">
        <v>1</v>
      </c>
      <c r="H309" s="9">
        <v>1</v>
      </c>
      <c r="I309" s="9">
        <v>2</v>
      </c>
      <c r="J309" s="43">
        <v>2</v>
      </c>
      <c r="K309" s="265">
        <f t="shared" si="4"/>
        <v>0.35859414261160716</v>
      </c>
      <c r="L309" s="164" t="s">
        <v>120</v>
      </c>
    </row>
    <row r="310" spans="1:12">
      <c r="A310" s="34" t="s">
        <v>118</v>
      </c>
      <c r="B310" s="344">
        <v>2016</v>
      </c>
      <c r="C310" s="59" t="s">
        <v>103</v>
      </c>
      <c r="D310" s="59">
        <v>258</v>
      </c>
      <c r="E310" s="504" t="s">
        <v>119</v>
      </c>
      <c r="F310" s="29">
        <v>1</v>
      </c>
      <c r="G310" s="9">
        <v>1</v>
      </c>
      <c r="H310" s="9">
        <v>1</v>
      </c>
      <c r="I310" s="9">
        <v>2</v>
      </c>
      <c r="J310" s="43">
        <v>2</v>
      </c>
      <c r="K310" s="265">
        <f t="shared" si="4"/>
        <v>0.35859414261160716</v>
      </c>
      <c r="L310" s="164" t="s">
        <v>120</v>
      </c>
    </row>
    <row r="311" spans="1:12">
      <c r="A311" s="34" t="s">
        <v>118</v>
      </c>
      <c r="B311" s="344">
        <v>2016</v>
      </c>
      <c r="C311" s="59" t="s">
        <v>101</v>
      </c>
      <c r="D311" s="59">
        <v>121</v>
      </c>
      <c r="E311" s="504" t="s">
        <v>119</v>
      </c>
      <c r="F311" s="29">
        <v>1</v>
      </c>
      <c r="G311" s="9">
        <v>1</v>
      </c>
      <c r="H311" s="9">
        <v>1</v>
      </c>
      <c r="I311" s="9">
        <v>2</v>
      </c>
      <c r="J311" s="43">
        <v>2</v>
      </c>
      <c r="K311" s="265">
        <f t="shared" si="4"/>
        <v>0.35859414261160716</v>
      </c>
      <c r="L311" s="164" t="s">
        <v>120</v>
      </c>
    </row>
    <row r="312" spans="1:12">
      <c r="A312" s="34" t="s">
        <v>118</v>
      </c>
      <c r="B312" s="344">
        <v>2016</v>
      </c>
      <c r="C312" s="59" t="s">
        <v>106</v>
      </c>
      <c r="D312" s="59">
        <v>2513</v>
      </c>
      <c r="E312" s="504" t="s">
        <v>119</v>
      </c>
      <c r="F312" s="29">
        <v>1</v>
      </c>
      <c r="G312" s="9">
        <v>1</v>
      </c>
      <c r="H312" s="9">
        <v>1</v>
      </c>
      <c r="I312" s="9">
        <v>2</v>
      </c>
      <c r="J312" s="43">
        <v>2</v>
      </c>
      <c r="K312" s="265">
        <f t="shared" si="4"/>
        <v>0.35859414261160716</v>
      </c>
      <c r="L312" s="164" t="s">
        <v>120</v>
      </c>
    </row>
    <row r="313" spans="1:12">
      <c r="A313" s="34" t="s">
        <v>118</v>
      </c>
      <c r="B313" s="344">
        <v>2017</v>
      </c>
      <c r="C313" s="59" t="s">
        <v>93</v>
      </c>
      <c r="D313" s="59">
        <v>786</v>
      </c>
      <c r="E313" s="504" t="s">
        <v>119</v>
      </c>
      <c r="F313" s="29">
        <v>1</v>
      </c>
      <c r="G313" s="9">
        <v>1</v>
      </c>
      <c r="H313" s="9">
        <v>1</v>
      </c>
      <c r="I313" s="9">
        <v>2</v>
      </c>
      <c r="J313" s="43">
        <v>2</v>
      </c>
      <c r="K313" s="265">
        <f t="shared" si="4"/>
        <v>0.35859414261160716</v>
      </c>
      <c r="L313" s="164" t="s">
        <v>120</v>
      </c>
    </row>
    <row r="314" spans="1:12">
      <c r="A314" s="34" t="s">
        <v>118</v>
      </c>
      <c r="B314" s="344">
        <v>2017</v>
      </c>
      <c r="C314" s="59" t="s">
        <v>94</v>
      </c>
      <c r="D314" s="59">
        <v>290</v>
      </c>
      <c r="E314" s="504" t="s">
        <v>119</v>
      </c>
      <c r="F314" s="29">
        <v>1</v>
      </c>
      <c r="G314" s="9">
        <v>1</v>
      </c>
      <c r="H314" s="9">
        <v>1</v>
      </c>
      <c r="I314" s="9">
        <v>2</v>
      </c>
      <c r="J314" s="43">
        <v>2</v>
      </c>
      <c r="K314" s="265">
        <f t="shared" si="4"/>
        <v>0.35859414261160716</v>
      </c>
      <c r="L314" s="164" t="s">
        <v>120</v>
      </c>
    </row>
    <row r="315" spans="1:12">
      <c r="A315" s="34" t="s">
        <v>118</v>
      </c>
      <c r="B315" s="344">
        <v>2017</v>
      </c>
      <c r="C315" s="59" t="s">
        <v>95</v>
      </c>
      <c r="D315" s="59">
        <v>852</v>
      </c>
      <c r="E315" s="504" t="s">
        <v>119</v>
      </c>
      <c r="F315" s="29">
        <v>1</v>
      </c>
      <c r="G315" s="9">
        <v>1</v>
      </c>
      <c r="H315" s="9">
        <v>1</v>
      </c>
      <c r="I315" s="9">
        <v>2</v>
      </c>
      <c r="J315" s="43">
        <v>2</v>
      </c>
      <c r="K315" s="265">
        <f t="shared" si="4"/>
        <v>0.35859414261160716</v>
      </c>
      <c r="L315" s="164" t="s">
        <v>120</v>
      </c>
    </row>
    <row r="316" spans="1:12">
      <c r="A316" s="34" t="s">
        <v>118</v>
      </c>
      <c r="B316" s="344">
        <v>2017</v>
      </c>
      <c r="C316" s="59" t="s">
        <v>96</v>
      </c>
      <c r="D316" s="59">
        <v>4</v>
      </c>
      <c r="E316" s="504" t="s">
        <v>119</v>
      </c>
      <c r="F316" s="29">
        <v>1</v>
      </c>
      <c r="G316" s="9">
        <v>1</v>
      </c>
      <c r="H316" s="9">
        <v>1</v>
      </c>
      <c r="I316" s="9">
        <v>2</v>
      </c>
      <c r="J316" s="43">
        <v>2</v>
      </c>
      <c r="K316" s="265">
        <f t="shared" si="4"/>
        <v>0.35859414261160716</v>
      </c>
      <c r="L316" s="164" t="s">
        <v>120</v>
      </c>
    </row>
    <row r="317" spans="1:12">
      <c r="A317" s="34" t="s">
        <v>118</v>
      </c>
      <c r="B317" s="344">
        <v>2017</v>
      </c>
      <c r="C317" s="59" t="s">
        <v>97</v>
      </c>
      <c r="D317" s="59">
        <v>199</v>
      </c>
      <c r="E317" s="504" t="s">
        <v>119</v>
      </c>
      <c r="F317" s="29">
        <v>1</v>
      </c>
      <c r="G317" s="9">
        <v>1</v>
      </c>
      <c r="H317" s="9">
        <v>1</v>
      </c>
      <c r="I317" s="9">
        <v>2</v>
      </c>
      <c r="J317" s="43">
        <v>2</v>
      </c>
      <c r="K317" s="265">
        <f t="shared" si="4"/>
        <v>0.35859414261160716</v>
      </c>
      <c r="L317" s="164" t="s">
        <v>120</v>
      </c>
    </row>
    <row r="318" spans="1:12">
      <c r="A318" s="34" t="s">
        <v>118</v>
      </c>
      <c r="B318" s="344">
        <v>2017</v>
      </c>
      <c r="C318" s="59" t="s">
        <v>98</v>
      </c>
      <c r="D318" s="59">
        <v>610</v>
      </c>
      <c r="E318" s="504" t="s">
        <v>119</v>
      </c>
      <c r="F318" s="29">
        <v>1</v>
      </c>
      <c r="G318" s="9">
        <v>1</v>
      </c>
      <c r="H318" s="9">
        <v>1</v>
      </c>
      <c r="I318" s="9">
        <v>2</v>
      </c>
      <c r="J318" s="43">
        <v>2</v>
      </c>
      <c r="K318" s="265">
        <f t="shared" si="4"/>
        <v>0.35859414261160716</v>
      </c>
      <c r="L318" s="164" t="s">
        <v>120</v>
      </c>
    </row>
    <row r="319" spans="1:12">
      <c r="A319" s="34" t="s">
        <v>118</v>
      </c>
      <c r="B319" s="344">
        <v>2017</v>
      </c>
      <c r="C319" s="59" t="s">
        <v>99</v>
      </c>
      <c r="D319" s="59">
        <v>331</v>
      </c>
      <c r="E319" s="504" t="s">
        <v>119</v>
      </c>
      <c r="F319" s="29">
        <v>1</v>
      </c>
      <c r="G319" s="9">
        <v>1</v>
      </c>
      <c r="H319" s="9">
        <v>1</v>
      </c>
      <c r="I319" s="9">
        <v>2</v>
      </c>
      <c r="J319" s="43">
        <v>2</v>
      </c>
      <c r="K319" s="265">
        <f t="shared" si="4"/>
        <v>0.35859414261160716</v>
      </c>
      <c r="L319" s="164" t="s">
        <v>120</v>
      </c>
    </row>
    <row r="320" spans="1:12">
      <c r="A320" s="34" t="s">
        <v>118</v>
      </c>
      <c r="B320" s="344">
        <v>2017</v>
      </c>
      <c r="C320" s="59" t="s">
        <v>102</v>
      </c>
      <c r="D320" s="59">
        <v>193</v>
      </c>
      <c r="E320" s="504" t="s">
        <v>119</v>
      </c>
      <c r="F320" s="29">
        <v>1</v>
      </c>
      <c r="G320" s="9">
        <v>1</v>
      </c>
      <c r="H320" s="9">
        <v>1</v>
      </c>
      <c r="I320" s="9">
        <v>2</v>
      </c>
      <c r="J320" s="43">
        <v>2</v>
      </c>
      <c r="K320" s="265">
        <f t="shared" si="4"/>
        <v>0.35859414261160716</v>
      </c>
      <c r="L320" s="164" t="s">
        <v>120</v>
      </c>
    </row>
    <row r="321" spans="1:12">
      <c r="A321" s="34" t="s">
        <v>118</v>
      </c>
      <c r="B321" s="344">
        <v>2017</v>
      </c>
      <c r="C321" s="59" t="s">
        <v>104</v>
      </c>
      <c r="D321" s="59">
        <v>337</v>
      </c>
      <c r="E321" s="504" t="s">
        <v>119</v>
      </c>
      <c r="F321" s="29">
        <v>1</v>
      </c>
      <c r="G321" s="9">
        <v>1</v>
      </c>
      <c r="H321" s="9">
        <v>1</v>
      </c>
      <c r="I321" s="9">
        <v>2</v>
      </c>
      <c r="J321" s="43">
        <v>2</v>
      </c>
      <c r="K321" s="265">
        <f t="shared" si="4"/>
        <v>0.35859414261160716</v>
      </c>
      <c r="L321" s="164" t="s">
        <v>120</v>
      </c>
    </row>
    <row r="322" spans="1:12">
      <c r="A322" s="34" t="s">
        <v>118</v>
      </c>
      <c r="B322" s="344">
        <v>2017</v>
      </c>
      <c r="C322" s="59" t="s">
        <v>105</v>
      </c>
      <c r="D322" s="59">
        <v>313</v>
      </c>
      <c r="E322" s="504" t="s">
        <v>119</v>
      </c>
      <c r="F322" s="29">
        <v>1</v>
      </c>
      <c r="G322" s="9">
        <v>1</v>
      </c>
      <c r="H322" s="9">
        <v>1</v>
      </c>
      <c r="I322" s="9">
        <v>2</v>
      </c>
      <c r="J322" s="43">
        <v>2</v>
      </c>
      <c r="K322" s="265">
        <f t="shared" ref="K322:K385" si="5">IF( OR( ISBLANK(F322),ISBLANK(G322), ISBLANK(H322), ISBLANK(I322), ISBLANK(J322) ), "", 1.5*SQRT(   EXP(2.21*(F322-1)) + EXP(2.21*(G322-1)) + EXP(2.21*(H322-1)) + EXP(2.21*(I322-1)) + EXP(2.21*J322)   )/100*2.45 )</f>
        <v>0.35859414261160716</v>
      </c>
      <c r="L322" s="164" t="s">
        <v>120</v>
      </c>
    </row>
    <row r="323" spans="1:12">
      <c r="A323" s="34" t="s">
        <v>118</v>
      </c>
      <c r="B323" s="344">
        <v>2017</v>
      </c>
      <c r="C323" s="59" t="s">
        <v>103</v>
      </c>
      <c r="D323" s="59">
        <v>280</v>
      </c>
      <c r="E323" s="504" t="s">
        <v>119</v>
      </c>
      <c r="F323" s="29">
        <v>1</v>
      </c>
      <c r="G323" s="9">
        <v>1</v>
      </c>
      <c r="H323" s="9">
        <v>1</v>
      </c>
      <c r="I323" s="9">
        <v>2</v>
      </c>
      <c r="J323" s="43">
        <v>2</v>
      </c>
      <c r="K323" s="265">
        <f t="shared" si="5"/>
        <v>0.35859414261160716</v>
      </c>
      <c r="L323" s="164" t="s">
        <v>120</v>
      </c>
    </row>
    <row r="324" spans="1:12">
      <c r="A324" s="34" t="s">
        <v>118</v>
      </c>
      <c r="B324" s="344">
        <v>2017</v>
      </c>
      <c r="C324" s="59" t="s">
        <v>101</v>
      </c>
      <c r="D324" s="59">
        <v>124</v>
      </c>
      <c r="E324" s="504" t="s">
        <v>119</v>
      </c>
      <c r="F324" s="29">
        <v>1</v>
      </c>
      <c r="G324" s="9">
        <v>1</v>
      </c>
      <c r="H324" s="9">
        <v>1</v>
      </c>
      <c r="I324" s="9">
        <v>2</v>
      </c>
      <c r="J324" s="43">
        <v>2</v>
      </c>
      <c r="K324" s="265">
        <f t="shared" si="5"/>
        <v>0.35859414261160716</v>
      </c>
      <c r="L324" s="164" t="s">
        <v>120</v>
      </c>
    </row>
    <row r="325" spans="1:12">
      <c r="A325" s="34" t="s">
        <v>118</v>
      </c>
      <c r="B325" s="344">
        <v>2017</v>
      </c>
      <c r="C325" s="59" t="s">
        <v>106</v>
      </c>
      <c r="D325" s="59">
        <v>2566</v>
      </c>
      <c r="E325" s="504" t="s">
        <v>119</v>
      </c>
      <c r="F325" s="29">
        <v>1</v>
      </c>
      <c r="G325" s="9">
        <v>1</v>
      </c>
      <c r="H325" s="9">
        <v>1</v>
      </c>
      <c r="I325" s="9">
        <v>2</v>
      </c>
      <c r="J325" s="43">
        <v>2</v>
      </c>
      <c r="K325" s="265">
        <f t="shared" si="5"/>
        <v>0.35859414261160716</v>
      </c>
      <c r="L325" s="164" t="s">
        <v>120</v>
      </c>
    </row>
    <row r="326" spans="1:12">
      <c r="A326" s="34" t="s">
        <v>118</v>
      </c>
      <c r="B326" s="344">
        <v>2018</v>
      </c>
      <c r="C326" s="59" t="s">
        <v>93</v>
      </c>
      <c r="D326" s="59">
        <v>1661</v>
      </c>
      <c r="E326" s="504" t="s">
        <v>119</v>
      </c>
      <c r="F326" s="29">
        <v>1</v>
      </c>
      <c r="G326" s="9">
        <v>1</v>
      </c>
      <c r="H326" s="9">
        <v>1</v>
      </c>
      <c r="I326" s="9">
        <v>2</v>
      </c>
      <c r="J326" s="43">
        <v>2</v>
      </c>
      <c r="K326" s="265">
        <f t="shared" si="5"/>
        <v>0.35859414261160716</v>
      </c>
      <c r="L326" s="164" t="s">
        <v>120</v>
      </c>
    </row>
    <row r="327" spans="1:12">
      <c r="A327" s="34" t="s">
        <v>118</v>
      </c>
      <c r="B327" s="344">
        <v>2018</v>
      </c>
      <c r="C327" s="59" t="s">
        <v>94</v>
      </c>
      <c r="D327" s="59">
        <v>290</v>
      </c>
      <c r="E327" s="504" t="s">
        <v>119</v>
      </c>
      <c r="F327" s="29">
        <v>1</v>
      </c>
      <c r="G327" s="9">
        <v>1</v>
      </c>
      <c r="H327" s="9">
        <v>1</v>
      </c>
      <c r="I327" s="9">
        <v>2</v>
      </c>
      <c r="J327" s="43">
        <v>2</v>
      </c>
      <c r="K327" s="265">
        <f t="shared" si="5"/>
        <v>0.35859414261160716</v>
      </c>
      <c r="L327" s="164" t="s">
        <v>120</v>
      </c>
    </row>
    <row r="328" spans="1:12">
      <c r="A328" s="34" t="s">
        <v>118</v>
      </c>
      <c r="B328" s="344">
        <v>2018</v>
      </c>
      <c r="C328" s="59" t="s">
        <v>95</v>
      </c>
      <c r="D328" s="59">
        <v>1105</v>
      </c>
      <c r="E328" s="504" t="s">
        <v>119</v>
      </c>
      <c r="F328" s="29">
        <v>1</v>
      </c>
      <c r="G328" s="9">
        <v>1</v>
      </c>
      <c r="H328" s="9">
        <v>1</v>
      </c>
      <c r="I328" s="9">
        <v>2</v>
      </c>
      <c r="J328" s="43">
        <v>2</v>
      </c>
      <c r="K328" s="265">
        <f t="shared" si="5"/>
        <v>0.35859414261160716</v>
      </c>
      <c r="L328" s="164" t="s">
        <v>120</v>
      </c>
    </row>
    <row r="329" spans="1:12">
      <c r="A329" s="34" t="s">
        <v>118</v>
      </c>
      <c r="B329" s="344">
        <v>2018</v>
      </c>
      <c r="C329" s="59" t="s">
        <v>96</v>
      </c>
      <c r="D329" s="59">
        <v>4</v>
      </c>
      <c r="E329" s="504" t="s">
        <v>119</v>
      </c>
      <c r="F329" s="29">
        <v>1</v>
      </c>
      <c r="G329" s="9">
        <v>1</v>
      </c>
      <c r="H329" s="9">
        <v>1</v>
      </c>
      <c r="I329" s="9">
        <v>2</v>
      </c>
      <c r="J329" s="43">
        <v>2</v>
      </c>
      <c r="K329" s="265">
        <f t="shared" si="5"/>
        <v>0.35859414261160716</v>
      </c>
      <c r="L329" s="164" t="s">
        <v>120</v>
      </c>
    </row>
    <row r="330" spans="1:12">
      <c r="A330" s="34" t="s">
        <v>118</v>
      </c>
      <c r="B330" s="344">
        <v>2018</v>
      </c>
      <c r="C330" s="59" t="s">
        <v>97</v>
      </c>
      <c r="D330" s="59">
        <v>185</v>
      </c>
      <c r="E330" s="504" t="s">
        <v>119</v>
      </c>
      <c r="F330" s="29">
        <v>1</v>
      </c>
      <c r="G330" s="9">
        <v>1</v>
      </c>
      <c r="H330" s="9">
        <v>1</v>
      </c>
      <c r="I330" s="9">
        <v>2</v>
      </c>
      <c r="J330" s="43">
        <v>2</v>
      </c>
      <c r="K330" s="265">
        <f t="shared" si="5"/>
        <v>0.35859414261160716</v>
      </c>
      <c r="L330" s="164" t="s">
        <v>120</v>
      </c>
    </row>
    <row r="331" spans="1:12">
      <c r="A331" s="34" t="s">
        <v>118</v>
      </c>
      <c r="B331" s="344">
        <v>2018</v>
      </c>
      <c r="C331" s="59" t="s">
        <v>98</v>
      </c>
      <c r="D331" s="59">
        <v>610</v>
      </c>
      <c r="E331" s="504" t="s">
        <v>119</v>
      </c>
      <c r="F331" s="29">
        <v>1</v>
      </c>
      <c r="G331" s="9">
        <v>1</v>
      </c>
      <c r="H331" s="9">
        <v>1</v>
      </c>
      <c r="I331" s="9">
        <v>2</v>
      </c>
      <c r="J331" s="43">
        <v>2</v>
      </c>
      <c r="K331" s="265">
        <f t="shared" si="5"/>
        <v>0.35859414261160716</v>
      </c>
      <c r="L331" s="164" t="s">
        <v>120</v>
      </c>
    </row>
    <row r="332" spans="1:12">
      <c r="A332" s="34" t="s">
        <v>118</v>
      </c>
      <c r="B332" s="344">
        <v>2018</v>
      </c>
      <c r="C332" s="59" t="s">
        <v>99</v>
      </c>
      <c r="D332" s="59">
        <v>516</v>
      </c>
      <c r="E332" s="504" t="s">
        <v>119</v>
      </c>
      <c r="F332" s="29">
        <v>1</v>
      </c>
      <c r="G332" s="9">
        <v>1</v>
      </c>
      <c r="H332" s="9">
        <v>1</v>
      </c>
      <c r="I332" s="9">
        <v>2</v>
      </c>
      <c r="J332" s="43">
        <v>2</v>
      </c>
      <c r="K332" s="265">
        <f t="shared" si="5"/>
        <v>0.35859414261160716</v>
      </c>
      <c r="L332" s="164" t="s">
        <v>120</v>
      </c>
    </row>
    <row r="333" spans="1:12">
      <c r="A333" s="34" t="s">
        <v>118</v>
      </c>
      <c r="B333" s="344">
        <v>2018</v>
      </c>
      <c r="C333" s="59" t="s">
        <v>102</v>
      </c>
      <c r="D333" s="59">
        <v>192</v>
      </c>
      <c r="E333" s="504" t="s">
        <v>119</v>
      </c>
      <c r="F333" s="29">
        <v>1</v>
      </c>
      <c r="G333" s="9">
        <v>1</v>
      </c>
      <c r="H333" s="9">
        <v>1</v>
      </c>
      <c r="I333" s="9">
        <v>2</v>
      </c>
      <c r="J333" s="43">
        <v>2</v>
      </c>
      <c r="K333" s="265">
        <f t="shared" si="5"/>
        <v>0.35859414261160716</v>
      </c>
      <c r="L333" s="164" t="s">
        <v>120</v>
      </c>
    </row>
    <row r="334" spans="1:12">
      <c r="A334" s="34" t="s">
        <v>118</v>
      </c>
      <c r="B334" s="344">
        <v>2018</v>
      </c>
      <c r="C334" s="59" t="s">
        <v>104</v>
      </c>
      <c r="D334" s="59">
        <v>337</v>
      </c>
      <c r="E334" s="504" t="s">
        <v>119</v>
      </c>
      <c r="F334" s="29">
        <v>1</v>
      </c>
      <c r="G334" s="9">
        <v>1</v>
      </c>
      <c r="H334" s="9">
        <v>1</v>
      </c>
      <c r="I334" s="9">
        <v>2</v>
      </c>
      <c r="J334" s="43">
        <v>2</v>
      </c>
      <c r="K334" s="265">
        <f t="shared" si="5"/>
        <v>0.35859414261160716</v>
      </c>
      <c r="L334" s="164" t="s">
        <v>120</v>
      </c>
    </row>
    <row r="335" spans="1:12">
      <c r="A335" s="34" t="s">
        <v>118</v>
      </c>
      <c r="B335" s="344">
        <v>2018</v>
      </c>
      <c r="C335" s="59" t="s">
        <v>105</v>
      </c>
      <c r="D335" s="59">
        <v>355</v>
      </c>
      <c r="E335" s="504" t="s">
        <v>119</v>
      </c>
      <c r="F335" s="29">
        <v>1</v>
      </c>
      <c r="G335" s="9">
        <v>1</v>
      </c>
      <c r="H335" s="9">
        <v>1</v>
      </c>
      <c r="I335" s="9">
        <v>2</v>
      </c>
      <c r="J335" s="43">
        <v>2</v>
      </c>
      <c r="K335" s="265">
        <f t="shared" si="5"/>
        <v>0.35859414261160716</v>
      </c>
      <c r="L335" s="164" t="s">
        <v>120</v>
      </c>
    </row>
    <row r="336" spans="1:12">
      <c r="A336" s="34" t="s">
        <v>118</v>
      </c>
      <c r="B336" s="344">
        <v>2018</v>
      </c>
      <c r="C336" s="59" t="s">
        <v>103</v>
      </c>
      <c r="D336" s="59">
        <v>257</v>
      </c>
      <c r="E336" s="504" t="s">
        <v>119</v>
      </c>
      <c r="F336" s="29">
        <v>1</v>
      </c>
      <c r="G336" s="9">
        <v>1</v>
      </c>
      <c r="H336" s="9">
        <v>1</v>
      </c>
      <c r="I336" s="9">
        <v>2</v>
      </c>
      <c r="J336" s="43">
        <v>2</v>
      </c>
      <c r="K336" s="265">
        <f t="shared" si="5"/>
        <v>0.35859414261160716</v>
      </c>
      <c r="L336" s="164" t="s">
        <v>120</v>
      </c>
    </row>
    <row r="337" spans="1:12">
      <c r="A337" s="34" t="s">
        <v>118</v>
      </c>
      <c r="B337" s="344">
        <v>2018</v>
      </c>
      <c r="C337" s="59" t="s">
        <v>101</v>
      </c>
      <c r="D337" s="59">
        <v>104</v>
      </c>
      <c r="E337" s="504" t="s">
        <v>119</v>
      </c>
      <c r="F337" s="29">
        <v>1</v>
      </c>
      <c r="G337" s="9">
        <v>1</v>
      </c>
      <c r="H337" s="9">
        <v>1</v>
      </c>
      <c r="I337" s="9">
        <v>2</v>
      </c>
      <c r="J337" s="43">
        <v>2</v>
      </c>
      <c r="K337" s="265">
        <f t="shared" si="5"/>
        <v>0.35859414261160716</v>
      </c>
      <c r="L337" s="164" t="s">
        <v>120</v>
      </c>
    </row>
    <row r="338" spans="1:12">
      <c r="A338" s="34" t="s">
        <v>118</v>
      </c>
      <c r="B338" s="344">
        <v>2018</v>
      </c>
      <c r="C338" s="59" t="s">
        <v>106</v>
      </c>
      <c r="D338" s="59">
        <v>2403</v>
      </c>
      <c r="E338" s="504" t="s">
        <v>119</v>
      </c>
      <c r="F338" s="29">
        <v>1</v>
      </c>
      <c r="G338" s="9">
        <v>1</v>
      </c>
      <c r="H338" s="9">
        <v>1</v>
      </c>
      <c r="I338" s="9">
        <v>2</v>
      </c>
      <c r="J338" s="43">
        <v>2</v>
      </c>
      <c r="K338" s="265">
        <f t="shared" si="5"/>
        <v>0.35859414261160716</v>
      </c>
      <c r="L338" s="164" t="s">
        <v>120</v>
      </c>
    </row>
    <row r="339" spans="1:12">
      <c r="A339" s="34" t="s">
        <v>118</v>
      </c>
      <c r="B339" s="344">
        <v>2019</v>
      </c>
      <c r="C339" s="59" t="s">
        <v>93</v>
      </c>
      <c r="D339" s="59">
        <v>1278</v>
      </c>
      <c r="E339" s="504" t="s">
        <v>119</v>
      </c>
      <c r="F339" s="29">
        <v>1</v>
      </c>
      <c r="G339" s="9">
        <v>1</v>
      </c>
      <c r="H339" s="9">
        <v>1</v>
      </c>
      <c r="I339" s="9">
        <v>2</v>
      </c>
      <c r="J339" s="43">
        <v>2</v>
      </c>
      <c r="K339" s="265">
        <f t="shared" si="5"/>
        <v>0.35859414261160716</v>
      </c>
      <c r="L339" s="164" t="s">
        <v>120</v>
      </c>
    </row>
    <row r="340" spans="1:12">
      <c r="A340" s="34" t="s">
        <v>118</v>
      </c>
      <c r="B340" s="344">
        <v>2019</v>
      </c>
      <c r="C340" s="59" t="s">
        <v>94</v>
      </c>
      <c r="D340" s="59">
        <v>266</v>
      </c>
      <c r="E340" s="504" t="s">
        <v>119</v>
      </c>
      <c r="F340" s="29">
        <v>1</v>
      </c>
      <c r="G340" s="9">
        <v>1</v>
      </c>
      <c r="H340" s="9">
        <v>1</v>
      </c>
      <c r="I340" s="9">
        <v>2</v>
      </c>
      <c r="J340" s="43">
        <v>2</v>
      </c>
      <c r="K340" s="265">
        <f t="shared" si="5"/>
        <v>0.35859414261160716</v>
      </c>
      <c r="L340" s="164" t="s">
        <v>120</v>
      </c>
    </row>
    <row r="341" spans="1:12">
      <c r="A341" s="34" t="s">
        <v>118</v>
      </c>
      <c r="B341" s="344">
        <v>2019</v>
      </c>
      <c r="C341" s="59" t="s">
        <v>95</v>
      </c>
      <c r="D341" s="59">
        <v>936</v>
      </c>
      <c r="E341" s="504" t="s">
        <v>119</v>
      </c>
      <c r="F341" s="29">
        <v>1</v>
      </c>
      <c r="G341" s="9">
        <v>1</v>
      </c>
      <c r="H341" s="9">
        <v>1</v>
      </c>
      <c r="I341" s="9">
        <v>2</v>
      </c>
      <c r="J341" s="43">
        <v>2</v>
      </c>
      <c r="K341" s="265">
        <f t="shared" si="5"/>
        <v>0.35859414261160716</v>
      </c>
      <c r="L341" s="164" t="s">
        <v>120</v>
      </c>
    </row>
    <row r="342" spans="1:12">
      <c r="A342" s="34" t="s">
        <v>118</v>
      </c>
      <c r="B342" s="344">
        <v>2019</v>
      </c>
      <c r="C342" s="59" t="s">
        <v>96</v>
      </c>
      <c r="D342" s="59">
        <v>4</v>
      </c>
      <c r="E342" s="504" t="s">
        <v>119</v>
      </c>
      <c r="F342" s="29">
        <v>1</v>
      </c>
      <c r="G342" s="9">
        <v>1</v>
      </c>
      <c r="H342" s="9">
        <v>1</v>
      </c>
      <c r="I342" s="9">
        <v>2</v>
      </c>
      <c r="J342" s="43">
        <v>2</v>
      </c>
      <c r="K342" s="265">
        <f t="shared" si="5"/>
        <v>0.35859414261160716</v>
      </c>
      <c r="L342" s="164" t="s">
        <v>120</v>
      </c>
    </row>
    <row r="343" spans="1:12">
      <c r="A343" s="34" t="s">
        <v>118</v>
      </c>
      <c r="B343" s="344">
        <v>2019</v>
      </c>
      <c r="C343" s="59" t="s">
        <v>97</v>
      </c>
      <c r="D343" s="59">
        <v>306</v>
      </c>
      <c r="E343" s="504" t="s">
        <v>119</v>
      </c>
      <c r="F343" s="29">
        <v>1</v>
      </c>
      <c r="G343" s="9">
        <v>1</v>
      </c>
      <c r="H343" s="9">
        <v>1</v>
      </c>
      <c r="I343" s="9">
        <v>2</v>
      </c>
      <c r="J343" s="43">
        <v>2</v>
      </c>
      <c r="K343" s="265">
        <f t="shared" si="5"/>
        <v>0.35859414261160716</v>
      </c>
      <c r="L343" s="164" t="s">
        <v>120</v>
      </c>
    </row>
    <row r="344" spans="1:12">
      <c r="A344" s="34" t="s">
        <v>118</v>
      </c>
      <c r="B344" s="344">
        <v>2019</v>
      </c>
      <c r="C344" s="59" t="s">
        <v>98</v>
      </c>
      <c r="D344" s="59">
        <v>610</v>
      </c>
      <c r="E344" s="504" t="s">
        <v>119</v>
      </c>
      <c r="F344" s="29">
        <v>1</v>
      </c>
      <c r="G344" s="9">
        <v>1</v>
      </c>
      <c r="H344" s="9">
        <v>1</v>
      </c>
      <c r="I344" s="9">
        <v>2</v>
      </c>
      <c r="J344" s="43">
        <v>2</v>
      </c>
      <c r="K344" s="265">
        <f t="shared" si="5"/>
        <v>0.35859414261160716</v>
      </c>
      <c r="L344" s="164" t="s">
        <v>120</v>
      </c>
    </row>
    <row r="345" spans="1:12">
      <c r="A345" s="34" t="s">
        <v>118</v>
      </c>
      <c r="B345" s="344">
        <v>2019</v>
      </c>
      <c r="C345" s="59" t="s">
        <v>99</v>
      </c>
      <c r="D345" s="59">
        <v>443</v>
      </c>
      <c r="E345" s="504" t="s">
        <v>119</v>
      </c>
      <c r="F345" s="29">
        <v>1</v>
      </c>
      <c r="G345" s="9">
        <v>1</v>
      </c>
      <c r="H345" s="9">
        <v>1</v>
      </c>
      <c r="I345" s="9">
        <v>2</v>
      </c>
      <c r="J345" s="43">
        <v>2</v>
      </c>
      <c r="K345" s="265">
        <f t="shared" si="5"/>
        <v>0.35859414261160716</v>
      </c>
      <c r="L345" s="164" t="s">
        <v>120</v>
      </c>
    </row>
    <row r="346" spans="1:12">
      <c r="A346" s="34" t="s">
        <v>118</v>
      </c>
      <c r="B346" s="344">
        <v>2019</v>
      </c>
      <c r="C346" s="59" t="s">
        <v>102</v>
      </c>
      <c r="D346" s="59">
        <v>202</v>
      </c>
      <c r="E346" s="504" t="s">
        <v>119</v>
      </c>
      <c r="F346" s="29">
        <v>1</v>
      </c>
      <c r="G346" s="9">
        <v>1</v>
      </c>
      <c r="H346" s="9">
        <v>1</v>
      </c>
      <c r="I346" s="9">
        <v>2</v>
      </c>
      <c r="J346" s="43">
        <v>2</v>
      </c>
      <c r="K346" s="265">
        <f t="shared" si="5"/>
        <v>0.35859414261160716</v>
      </c>
      <c r="L346" s="164" t="s">
        <v>120</v>
      </c>
    </row>
    <row r="347" spans="1:12">
      <c r="A347" s="34" t="s">
        <v>118</v>
      </c>
      <c r="B347" s="344">
        <v>2019</v>
      </c>
      <c r="C347" s="59" t="s">
        <v>104</v>
      </c>
      <c r="D347" s="59">
        <v>448</v>
      </c>
      <c r="E347" s="504" t="s">
        <v>119</v>
      </c>
      <c r="F347" s="29">
        <v>1</v>
      </c>
      <c r="G347" s="9">
        <v>1</v>
      </c>
      <c r="H347" s="9">
        <v>1</v>
      </c>
      <c r="I347" s="9">
        <v>2</v>
      </c>
      <c r="J347" s="43">
        <v>2</v>
      </c>
      <c r="K347" s="265">
        <f t="shared" si="5"/>
        <v>0.35859414261160716</v>
      </c>
      <c r="L347" s="164" t="s">
        <v>120</v>
      </c>
    </row>
    <row r="348" spans="1:12">
      <c r="A348" s="34" t="s">
        <v>118</v>
      </c>
      <c r="B348" s="344">
        <v>2019</v>
      </c>
      <c r="C348" s="59" t="s">
        <v>105</v>
      </c>
      <c r="D348" s="59">
        <v>360</v>
      </c>
      <c r="E348" s="504" t="s">
        <v>119</v>
      </c>
      <c r="F348" s="29">
        <v>1</v>
      </c>
      <c r="G348" s="9">
        <v>1</v>
      </c>
      <c r="H348" s="9">
        <v>1</v>
      </c>
      <c r="I348" s="9">
        <v>2</v>
      </c>
      <c r="J348" s="43">
        <v>2</v>
      </c>
      <c r="K348" s="265">
        <f t="shared" si="5"/>
        <v>0.35859414261160716</v>
      </c>
      <c r="L348" s="164" t="s">
        <v>120</v>
      </c>
    </row>
    <row r="349" spans="1:12">
      <c r="A349" s="34" t="s">
        <v>118</v>
      </c>
      <c r="B349" s="344">
        <v>2019</v>
      </c>
      <c r="C349" s="59" t="s">
        <v>103</v>
      </c>
      <c r="D349" s="59">
        <v>165</v>
      </c>
      <c r="E349" s="504" t="s">
        <v>119</v>
      </c>
      <c r="F349" s="29">
        <v>1</v>
      </c>
      <c r="G349" s="9">
        <v>1</v>
      </c>
      <c r="H349" s="9">
        <v>1</v>
      </c>
      <c r="I349" s="9">
        <v>2</v>
      </c>
      <c r="J349" s="43">
        <v>2</v>
      </c>
      <c r="K349" s="265">
        <f t="shared" si="5"/>
        <v>0.35859414261160716</v>
      </c>
      <c r="L349" s="164" t="s">
        <v>120</v>
      </c>
    </row>
    <row r="350" spans="1:12">
      <c r="A350" s="34" t="s">
        <v>118</v>
      </c>
      <c r="B350" s="344">
        <v>2019</v>
      </c>
      <c r="C350" s="59" t="s">
        <v>101</v>
      </c>
      <c r="D350" s="59">
        <v>98</v>
      </c>
      <c r="E350" s="504" t="s">
        <v>119</v>
      </c>
      <c r="F350" s="29">
        <v>1</v>
      </c>
      <c r="G350" s="9">
        <v>1</v>
      </c>
      <c r="H350" s="9">
        <v>1</v>
      </c>
      <c r="I350" s="9">
        <v>2</v>
      </c>
      <c r="J350" s="43">
        <v>2</v>
      </c>
      <c r="K350" s="265">
        <f t="shared" si="5"/>
        <v>0.35859414261160716</v>
      </c>
      <c r="L350" s="164" t="s">
        <v>120</v>
      </c>
    </row>
    <row r="351" spans="1:12">
      <c r="A351" s="34" t="s">
        <v>118</v>
      </c>
      <c r="B351" s="344">
        <v>2019</v>
      </c>
      <c r="C351" s="59" t="s">
        <v>106</v>
      </c>
      <c r="D351" s="59">
        <v>2309</v>
      </c>
      <c r="E351" s="504" t="s">
        <v>119</v>
      </c>
      <c r="F351" s="29">
        <v>1</v>
      </c>
      <c r="G351" s="9">
        <v>1</v>
      </c>
      <c r="H351" s="9">
        <v>1</v>
      </c>
      <c r="I351" s="9">
        <v>2</v>
      </c>
      <c r="J351" s="43">
        <v>2</v>
      </c>
      <c r="K351" s="265">
        <f t="shared" si="5"/>
        <v>0.35859414261160716</v>
      </c>
      <c r="L351" s="164" t="s">
        <v>120</v>
      </c>
    </row>
    <row r="352" spans="1:12">
      <c r="A352" s="34" t="s">
        <v>118</v>
      </c>
      <c r="B352" s="344">
        <v>2020</v>
      </c>
      <c r="C352" s="59" t="s">
        <v>93</v>
      </c>
      <c r="D352" s="59">
        <v>1665</v>
      </c>
      <c r="E352" s="504" t="s">
        <v>119</v>
      </c>
      <c r="F352" s="29">
        <v>1</v>
      </c>
      <c r="G352" s="9">
        <v>1</v>
      </c>
      <c r="H352" s="9">
        <v>1</v>
      </c>
      <c r="I352" s="9">
        <v>2</v>
      </c>
      <c r="J352" s="43">
        <v>2</v>
      </c>
      <c r="K352" s="265">
        <f t="shared" si="5"/>
        <v>0.35859414261160716</v>
      </c>
      <c r="L352" s="164" t="s">
        <v>120</v>
      </c>
    </row>
    <row r="353" spans="1:12">
      <c r="A353" s="34" t="s">
        <v>118</v>
      </c>
      <c r="B353" s="344">
        <v>2020</v>
      </c>
      <c r="C353" s="59" t="s">
        <v>94</v>
      </c>
      <c r="D353" s="59">
        <v>315</v>
      </c>
      <c r="E353" s="504" t="s">
        <v>119</v>
      </c>
      <c r="F353" s="29">
        <v>1</v>
      </c>
      <c r="G353" s="9">
        <v>1</v>
      </c>
      <c r="H353" s="9">
        <v>1</v>
      </c>
      <c r="I353" s="9">
        <v>2</v>
      </c>
      <c r="J353" s="43">
        <v>2</v>
      </c>
      <c r="K353" s="265">
        <f t="shared" si="5"/>
        <v>0.35859414261160716</v>
      </c>
      <c r="L353" s="164" t="s">
        <v>120</v>
      </c>
    </row>
    <row r="354" spans="1:12">
      <c r="A354" s="34" t="s">
        <v>118</v>
      </c>
      <c r="B354" s="344">
        <v>2020</v>
      </c>
      <c r="C354" s="59" t="s">
        <v>95</v>
      </c>
      <c r="D354" s="59">
        <v>701</v>
      </c>
      <c r="E354" s="504" t="s">
        <v>119</v>
      </c>
      <c r="F354" s="29">
        <v>1</v>
      </c>
      <c r="G354" s="9">
        <v>1</v>
      </c>
      <c r="H354" s="9">
        <v>1</v>
      </c>
      <c r="I354" s="9">
        <v>2</v>
      </c>
      <c r="J354" s="43">
        <v>2</v>
      </c>
      <c r="K354" s="265">
        <f t="shared" si="5"/>
        <v>0.35859414261160716</v>
      </c>
      <c r="L354" s="164" t="s">
        <v>120</v>
      </c>
    </row>
    <row r="355" spans="1:12">
      <c r="A355" s="34" t="s">
        <v>118</v>
      </c>
      <c r="B355" s="344">
        <v>2020</v>
      </c>
      <c r="C355" s="59" t="s">
        <v>96</v>
      </c>
      <c r="D355" s="59">
        <v>4</v>
      </c>
      <c r="E355" s="504" t="s">
        <v>119</v>
      </c>
      <c r="F355" s="29">
        <v>1</v>
      </c>
      <c r="G355" s="9">
        <v>1</v>
      </c>
      <c r="H355" s="9">
        <v>1</v>
      </c>
      <c r="I355" s="9">
        <v>2</v>
      </c>
      <c r="J355" s="43">
        <v>2</v>
      </c>
      <c r="K355" s="265">
        <f t="shared" si="5"/>
        <v>0.35859414261160716</v>
      </c>
      <c r="L355" s="164" t="s">
        <v>120</v>
      </c>
    </row>
    <row r="356" spans="1:12">
      <c r="A356" s="34" t="s">
        <v>118</v>
      </c>
      <c r="B356" s="344">
        <v>2020</v>
      </c>
      <c r="C356" s="59" t="s">
        <v>97</v>
      </c>
      <c r="D356" s="59">
        <v>317</v>
      </c>
      <c r="E356" s="504" t="s">
        <v>119</v>
      </c>
      <c r="F356" s="29">
        <v>1</v>
      </c>
      <c r="G356" s="9">
        <v>1</v>
      </c>
      <c r="H356" s="9">
        <v>1</v>
      </c>
      <c r="I356" s="9">
        <v>2</v>
      </c>
      <c r="J356" s="43">
        <v>2</v>
      </c>
      <c r="K356" s="265">
        <f t="shared" si="5"/>
        <v>0.35859414261160716</v>
      </c>
      <c r="L356" s="164" t="s">
        <v>120</v>
      </c>
    </row>
    <row r="357" spans="1:12">
      <c r="A357" s="34" t="s">
        <v>118</v>
      </c>
      <c r="B357" s="344">
        <v>2020</v>
      </c>
      <c r="C357" s="59" t="s">
        <v>98</v>
      </c>
      <c r="D357" s="59">
        <v>610</v>
      </c>
      <c r="E357" s="504" t="s">
        <v>119</v>
      </c>
      <c r="F357" s="29">
        <v>1</v>
      </c>
      <c r="G357" s="9">
        <v>1</v>
      </c>
      <c r="H357" s="9">
        <v>1</v>
      </c>
      <c r="I357" s="9">
        <v>2</v>
      </c>
      <c r="J357" s="43">
        <v>2</v>
      </c>
      <c r="K357" s="265">
        <f t="shared" si="5"/>
        <v>0.35859414261160716</v>
      </c>
      <c r="L357" s="164" t="s">
        <v>120</v>
      </c>
    </row>
    <row r="358" spans="1:12">
      <c r="A358" s="34" t="s">
        <v>118</v>
      </c>
      <c r="B358" s="344">
        <v>2020</v>
      </c>
      <c r="C358" s="59" t="s">
        <v>99</v>
      </c>
      <c r="D358" s="59">
        <v>474</v>
      </c>
      <c r="E358" s="504" t="s">
        <v>119</v>
      </c>
      <c r="F358" s="29">
        <v>1</v>
      </c>
      <c r="G358" s="9">
        <v>1</v>
      </c>
      <c r="H358" s="9">
        <v>1</v>
      </c>
      <c r="I358" s="9">
        <v>2</v>
      </c>
      <c r="J358" s="43">
        <v>2</v>
      </c>
      <c r="K358" s="265">
        <f t="shared" si="5"/>
        <v>0.35859414261160716</v>
      </c>
      <c r="L358" s="164" t="s">
        <v>120</v>
      </c>
    </row>
    <row r="359" spans="1:12">
      <c r="A359" s="34" t="s">
        <v>118</v>
      </c>
      <c r="B359" s="344">
        <v>2020</v>
      </c>
      <c r="C359" s="59" t="s">
        <v>102</v>
      </c>
      <c r="D359" s="59">
        <v>184</v>
      </c>
      <c r="E359" s="504" t="s">
        <v>119</v>
      </c>
      <c r="F359" s="29">
        <v>1</v>
      </c>
      <c r="G359" s="9">
        <v>1</v>
      </c>
      <c r="H359" s="9">
        <v>1</v>
      </c>
      <c r="I359" s="9">
        <v>2</v>
      </c>
      <c r="J359" s="43">
        <v>2</v>
      </c>
      <c r="K359" s="265">
        <f t="shared" si="5"/>
        <v>0.35859414261160716</v>
      </c>
      <c r="L359" s="164" t="s">
        <v>120</v>
      </c>
    </row>
    <row r="360" spans="1:12">
      <c r="A360" s="34" t="s">
        <v>118</v>
      </c>
      <c r="B360" s="344">
        <v>2020</v>
      </c>
      <c r="C360" s="59" t="s">
        <v>104</v>
      </c>
      <c r="D360" s="59">
        <v>337</v>
      </c>
      <c r="E360" s="504" t="s">
        <v>119</v>
      </c>
      <c r="F360" s="29">
        <v>1</v>
      </c>
      <c r="G360" s="9">
        <v>1</v>
      </c>
      <c r="H360" s="9">
        <v>1</v>
      </c>
      <c r="I360" s="9">
        <v>2</v>
      </c>
      <c r="J360" s="43">
        <v>2</v>
      </c>
      <c r="K360" s="265">
        <f t="shared" si="5"/>
        <v>0.35859414261160716</v>
      </c>
      <c r="L360" s="164" t="s">
        <v>120</v>
      </c>
    </row>
    <row r="361" spans="1:12">
      <c r="A361" s="34" t="s">
        <v>118</v>
      </c>
      <c r="B361" s="344">
        <v>2020</v>
      </c>
      <c r="C361" s="59" t="s">
        <v>105</v>
      </c>
      <c r="D361" s="59">
        <v>344</v>
      </c>
      <c r="E361" s="504" t="s">
        <v>119</v>
      </c>
      <c r="F361" s="29">
        <v>1</v>
      </c>
      <c r="G361" s="9">
        <v>1</v>
      </c>
      <c r="H361" s="9">
        <v>1</v>
      </c>
      <c r="I361" s="9">
        <v>2</v>
      </c>
      <c r="J361" s="43">
        <v>2</v>
      </c>
      <c r="K361" s="265">
        <f t="shared" si="5"/>
        <v>0.35859414261160716</v>
      </c>
      <c r="L361" s="164" t="s">
        <v>120</v>
      </c>
    </row>
    <row r="362" spans="1:12">
      <c r="A362" s="34" t="s">
        <v>118</v>
      </c>
      <c r="B362" s="344">
        <v>2020</v>
      </c>
      <c r="C362" s="59" t="s">
        <v>103</v>
      </c>
      <c r="D362" s="59">
        <v>200</v>
      </c>
      <c r="E362" s="504" t="s">
        <v>119</v>
      </c>
      <c r="F362" s="29">
        <v>1</v>
      </c>
      <c r="G362" s="9">
        <v>1</v>
      </c>
      <c r="H362" s="9">
        <v>1</v>
      </c>
      <c r="I362" s="9">
        <v>2</v>
      </c>
      <c r="J362" s="43">
        <v>2</v>
      </c>
      <c r="K362" s="265">
        <f t="shared" si="5"/>
        <v>0.35859414261160716</v>
      </c>
      <c r="L362" s="164" t="s">
        <v>120</v>
      </c>
    </row>
    <row r="363" spans="1:12">
      <c r="A363" s="34" t="s">
        <v>118</v>
      </c>
      <c r="B363" s="344">
        <v>2020</v>
      </c>
      <c r="C363" s="59" t="s">
        <v>101</v>
      </c>
      <c r="D363" s="59">
        <v>80</v>
      </c>
      <c r="E363" s="504" t="s">
        <v>119</v>
      </c>
      <c r="F363" s="29">
        <v>1</v>
      </c>
      <c r="G363" s="9">
        <v>1</v>
      </c>
      <c r="H363" s="9">
        <v>1</v>
      </c>
      <c r="I363" s="9">
        <v>2</v>
      </c>
      <c r="J363" s="43">
        <v>2</v>
      </c>
      <c r="K363" s="265">
        <f t="shared" si="5"/>
        <v>0.35859414261160716</v>
      </c>
      <c r="L363" s="164" t="s">
        <v>120</v>
      </c>
    </row>
    <row r="364" spans="1:12">
      <c r="A364" s="34" t="s">
        <v>118</v>
      </c>
      <c r="B364" s="344">
        <v>2020</v>
      </c>
      <c r="C364" s="59" t="s">
        <v>106</v>
      </c>
      <c r="D364" s="59">
        <v>2520</v>
      </c>
      <c r="E364" s="504" t="s">
        <v>119</v>
      </c>
      <c r="F364" s="29">
        <v>1</v>
      </c>
      <c r="G364" s="9">
        <v>1</v>
      </c>
      <c r="H364" s="9">
        <v>1</v>
      </c>
      <c r="I364" s="9">
        <v>2</v>
      </c>
      <c r="J364" s="43">
        <v>2</v>
      </c>
      <c r="K364" s="265">
        <f t="shared" si="5"/>
        <v>0.35859414261160716</v>
      </c>
      <c r="L364" s="164" t="s">
        <v>120</v>
      </c>
    </row>
    <row r="365" spans="1:12">
      <c r="A365" s="34" t="s">
        <v>118</v>
      </c>
      <c r="B365" s="344">
        <v>2021</v>
      </c>
      <c r="C365" s="59" t="s">
        <v>93</v>
      </c>
      <c r="D365" s="59">
        <v>1559</v>
      </c>
      <c r="E365" s="504" t="s">
        <v>119</v>
      </c>
      <c r="F365" s="29">
        <v>1</v>
      </c>
      <c r="G365" s="9">
        <v>1</v>
      </c>
      <c r="H365" s="9">
        <v>1</v>
      </c>
      <c r="I365" s="9">
        <v>2</v>
      </c>
      <c r="J365" s="43">
        <v>2</v>
      </c>
      <c r="K365" s="265">
        <f t="shared" si="5"/>
        <v>0.35859414261160716</v>
      </c>
      <c r="L365" s="164" t="s">
        <v>120</v>
      </c>
    </row>
    <row r="366" spans="1:12">
      <c r="A366" s="34" t="s">
        <v>118</v>
      </c>
      <c r="B366" s="344">
        <v>2021</v>
      </c>
      <c r="C366" s="59" t="s">
        <v>94</v>
      </c>
      <c r="D366" s="59">
        <v>290</v>
      </c>
      <c r="E366" s="504" t="s">
        <v>119</v>
      </c>
      <c r="F366" s="29">
        <v>1</v>
      </c>
      <c r="G366" s="9">
        <v>1</v>
      </c>
      <c r="H366" s="9">
        <v>1</v>
      </c>
      <c r="I366" s="9">
        <v>2</v>
      </c>
      <c r="J366" s="43">
        <v>2</v>
      </c>
      <c r="K366" s="265">
        <f t="shared" si="5"/>
        <v>0.35859414261160716</v>
      </c>
      <c r="L366" s="164" t="s">
        <v>120</v>
      </c>
    </row>
    <row r="367" spans="1:12">
      <c r="A367" s="34" t="s">
        <v>118</v>
      </c>
      <c r="B367" s="344">
        <v>2021</v>
      </c>
      <c r="C367" s="59" t="s">
        <v>95</v>
      </c>
      <c r="D367" s="59">
        <v>852</v>
      </c>
      <c r="E367" s="504" t="s">
        <v>119</v>
      </c>
      <c r="F367" s="29">
        <v>1</v>
      </c>
      <c r="G367" s="9">
        <v>1</v>
      </c>
      <c r="H367" s="9">
        <v>1</v>
      </c>
      <c r="I367" s="9">
        <v>2</v>
      </c>
      <c r="J367" s="43">
        <v>2</v>
      </c>
      <c r="K367" s="265">
        <f t="shared" si="5"/>
        <v>0.35859414261160716</v>
      </c>
      <c r="L367" s="164" t="s">
        <v>120</v>
      </c>
    </row>
    <row r="368" spans="1:12">
      <c r="A368" s="34" t="s">
        <v>118</v>
      </c>
      <c r="B368" s="344">
        <v>2021</v>
      </c>
      <c r="C368" s="59" t="s">
        <v>96</v>
      </c>
      <c r="D368" s="59">
        <v>9</v>
      </c>
      <c r="E368" s="504" t="s">
        <v>119</v>
      </c>
      <c r="F368" s="29">
        <v>1</v>
      </c>
      <c r="G368" s="9">
        <v>1</v>
      </c>
      <c r="H368" s="9">
        <v>1</v>
      </c>
      <c r="I368" s="9">
        <v>2</v>
      </c>
      <c r="J368" s="43">
        <v>2</v>
      </c>
      <c r="K368" s="265">
        <f t="shared" si="5"/>
        <v>0.35859414261160716</v>
      </c>
      <c r="L368" s="164" t="s">
        <v>120</v>
      </c>
    </row>
    <row r="369" spans="1:12">
      <c r="A369" s="34" t="s">
        <v>118</v>
      </c>
      <c r="B369" s="344">
        <v>2021</v>
      </c>
      <c r="C369" s="59" t="s">
        <v>97</v>
      </c>
      <c r="D369" s="59">
        <v>231</v>
      </c>
      <c r="E369" s="504" t="s">
        <v>119</v>
      </c>
      <c r="F369" s="29">
        <v>1</v>
      </c>
      <c r="G369" s="9">
        <v>1</v>
      </c>
      <c r="H369" s="9">
        <v>1</v>
      </c>
      <c r="I369" s="9">
        <v>2</v>
      </c>
      <c r="J369" s="43">
        <v>2</v>
      </c>
      <c r="K369" s="265">
        <f t="shared" si="5"/>
        <v>0.35859414261160716</v>
      </c>
      <c r="L369" s="164" t="s">
        <v>120</v>
      </c>
    </row>
    <row r="370" spans="1:12">
      <c r="A370" s="34" t="s">
        <v>118</v>
      </c>
      <c r="B370" s="344">
        <v>2021</v>
      </c>
      <c r="C370" s="59" t="s">
        <v>98</v>
      </c>
      <c r="D370" s="59">
        <v>610</v>
      </c>
      <c r="E370" s="504" t="s">
        <v>119</v>
      </c>
      <c r="F370" s="29">
        <v>1</v>
      </c>
      <c r="G370" s="9">
        <v>1</v>
      </c>
      <c r="H370" s="9">
        <v>1</v>
      </c>
      <c r="I370" s="9">
        <v>2</v>
      </c>
      <c r="J370" s="43">
        <v>2</v>
      </c>
      <c r="K370" s="265">
        <f t="shared" si="5"/>
        <v>0.35859414261160716</v>
      </c>
      <c r="L370" s="164" t="s">
        <v>120</v>
      </c>
    </row>
    <row r="371" spans="1:12">
      <c r="A371" s="34" t="s">
        <v>118</v>
      </c>
      <c r="B371" s="344">
        <v>2021</v>
      </c>
      <c r="C371" s="59" t="s">
        <v>99</v>
      </c>
      <c r="D371" s="59">
        <v>576</v>
      </c>
      <c r="E371" s="504" t="s">
        <v>119</v>
      </c>
      <c r="F371" s="29">
        <v>1</v>
      </c>
      <c r="G371" s="9">
        <v>1</v>
      </c>
      <c r="H371" s="9">
        <v>1</v>
      </c>
      <c r="I371" s="9">
        <v>2</v>
      </c>
      <c r="J371" s="43">
        <v>2</v>
      </c>
      <c r="K371" s="265">
        <f t="shared" si="5"/>
        <v>0.35859414261160716</v>
      </c>
      <c r="L371" s="164" t="s">
        <v>120</v>
      </c>
    </row>
    <row r="372" spans="1:12">
      <c r="A372" s="34" t="s">
        <v>118</v>
      </c>
      <c r="B372" s="344">
        <v>2021</v>
      </c>
      <c r="C372" s="59" t="s">
        <v>102</v>
      </c>
      <c r="D372" s="59">
        <v>210</v>
      </c>
      <c r="E372" s="504" t="s">
        <v>119</v>
      </c>
      <c r="F372" s="29">
        <v>1</v>
      </c>
      <c r="G372" s="9">
        <v>1</v>
      </c>
      <c r="H372" s="9">
        <v>1</v>
      </c>
      <c r="I372" s="9">
        <v>2</v>
      </c>
      <c r="J372" s="43">
        <v>2</v>
      </c>
      <c r="K372" s="265">
        <f t="shared" si="5"/>
        <v>0.35859414261160716</v>
      </c>
      <c r="L372" s="164" t="s">
        <v>120</v>
      </c>
    </row>
    <row r="373" spans="1:12">
      <c r="A373" s="34" t="s">
        <v>118</v>
      </c>
      <c r="B373" s="344">
        <v>2021</v>
      </c>
      <c r="C373" s="59" t="s">
        <v>104</v>
      </c>
      <c r="D373" s="59">
        <v>477</v>
      </c>
      <c r="E373" s="504" t="s">
        <v>119</v>
      </c>
      <c r="F373" s="29">
        <v>1</v>
      </c>
      <c r="G373" s="9">
        <v>1</v>
      </c>
      <c r="H373" s="9">
        <v>1</v>
      </c>
      <c r="I373" s="9">
        <v>2</v>
      </c>
      <c r="J373" s="43">
        <v>2</v>
      </c>
      <c r="K373" s="265">
        <f t="shared" si="5"/>
        <v>0.35859414261160716</v>
      </c>
      <c r="L373" s="164" t="s">
        <v>120</v>
      </c>
    </row>
    <row r="374" spans="1:12">
      <c r="A374" s="34" t="s">
        <v>118</v>
      </c>
      <c r="B374" s="344">
        <v>2021</v>
      </c>
      <c r="C374" s="59" t="s">
        <v>105</v>
      </c>
      <c r="D374" s="59">
        <v>184</v>
      </c>
      <c r="E374" s="504" t="s">
        <v>119</v>
      </c>
      <c r="F374" s="29">
        <v>1</v>
      </c>
      <c r="G374" s="9">
        <v>1</v>
      </c>
      <c r="H374" s="9">
        <v>1</v>
      </c>
      <c r="I374" s="9">
        <v>2</v>
      </c>
      <c r="J374" s="43">
        <v>2</v>
      </c>
      <c r="K374" s="265">
        <f t="shared" si="5"/>
        <v>0.35859414261160716</v>
      </c>
      <c r="L374" s="164" t="s">
        <v>120</v>
      </c>
    </row>
    <row r="375" spans="1:12">
      <c r="A375" s="34" t="s">
        <v>118</v>
      </c>
      <c r="B375" s="344">
        <v>2021</v>
      </c>
      <c r="C375" s="59" t="s">
        <v>103</v>
      </c>
      <c r="D375" s="59">
        <v>200</v>
      </c>
      <c r="E375" s="504" t="s">
        <v>119</v>
      </c>
      <c r="F375" s="29">
        <v>1</v>
      </c>
      <c r="G375" s="9">
        <v>1</v>
      </c>
      <c r="H375" s="9">
        <v>1</v>
      </c>
      <c r="I375" s="9">
        <v>2</v>
      </c>
      <c r="J375" s="43">
        <v>2</v>
      </c>
      <c r="K375" s="265">
        <f t="shared" si="5"/>
        <v>0.35859414261160716</v>
      </c>
      <c r="L375" s="164" t="s">
        <v>120</v>
      </c>
    </row>
    <row r="376" spans="1:12">
      <c r="A376" s="34" t="s">
        <v>118</v>
      </c>
      <c r="B376" s="344">
        <v>2021</v>
      </c>
      <c r="C376" s="59" t="s">
        <v>101</v>
      </c>
      <c r="D376" s="59">
        <v>82</v>
      </c>
      <c r="E376" s="504" t="s">
        <v>119</v>
      </c>
      <c r="F376" s="29">
        <v>1</v>
      </c>
      <c r="G376" s="9">
        <v>1</v>
      </c>
      <c r="H376" s="9">
        <v>1</v>
      </c>
      <c r="I376" s="9">
        <v>2</v>
      </c>
      <c r="J376" s="43">
        <v>2</v>
      </c>
      <c r="K376" s="265">
        <f t="shared" si="5"/>
        <v>0.35859414261160716</v>
      </c>
      <c r="L376" s="164" t="s">
        <v>120</v>
      </c>
    </row>
    <row r="377" spans="1:12" ht="15.75" thickBot="1">
      <c r="A377" s="150" t="s">
        <v>118</v>
      </c>
      <c r="B377" s="660">
        <v>2021</v>
      </c>
      <c r="C377" s="822" t="s">
        <v>106</v>
      </c>
      <c r="D377" s="822">
        <v>2480</v>
      </c>
      <c r="E377" s="802" t="s">
        <v>119</v>
      </c>
      <c r="F377" s="155">
        <v>1</v>
      </c>
      <c r="G377" s="119">
        <v>1</v>
      </c>
      <c r="H377" s="119">
        <v>1</v>
      </c>
      <c r="I377" s="119">
        <v>2</v>
      </c>
      <c r="J377" s="156">
        <v>2</v>
      </c>
      <c r="K377" s="293">
        <f t="shared" si="5"/>
        <v>0.35859414261160716</v>
      </c>
      <c r="L377" s="819" t="s">
        <v>120</v>
      </c>
    </row>
    <row r="378" spans="1:12">
      <c r="A378" s="33" t="s">
        <v>121</v>
      </c>
      <c r="B378" s="39">
        <v>2017</v>
      </c>
      <c r="C378" s="33" t="s">
        <v>99</v>
      </c>
      <c r="D378" s="812">
        <v>30.108566666666665</v>
      </c>
      <c r="E378" s="151" t="s">
        <v>122</v>
      </c>
      <c r="F378" s="28">
        <v>1</v>
      </c>
      <c r="G378" s="11">
        <v>1</v>
      </c>
      <c r="H378" s="11">
        <v>2</v>
      </c>
      <c r="I378" s="11">
        <v>3</v>
      </c>
      <c r="J378" s="42">
        <v>2</v>
      </c>
      <c r="K378" s="264">
        <f t="shared" si="5"/>
        <v>0.48935255543384243</v>
      </c>
      <c r="L378" s="163"/>
    </row>
    <row r="379" spans="1:12">
      <c r="A379" s="34" t="s">
        <v>121</v>
      </c>
      <c r="B379" s="40">
        <v>2017</v>
      </c>
      <c r="C379" s="34" t="s">
        <v>94</v>
      </c>
      <c r="D379" s="813">
        <v>7.2763666666666662</v>
      </c>
      <c r="E379" s="152" t="s">
        <v>122</v>
      </c>
      <c r="F379" s="29">
        <v>1</v>
      </c>
      <c r="G379" s="9">
        <v>1</v>
      </c>
      <c r="H379" s="9">
        <v>2</v>
      </c>
      <c r="I379" s="9">
        <v>3</v>
      </c>
      <c r="J379" s="43">
        <v>2</v>
      </c>
      <c r="K379" s="265">
        <f t="shared" si="5"/>
        <v>0.48935255543384243</v>
      </c>
      <c r="L379" s="164"/>
    </row>
    <row r="380" spans="1:12">
      <c r="A380" s="34" t="s">
        <v>121</v>
      </c>
      <c r="B380" s="40">
        <v>2017</v>
      </c>
      <c r="C380" s="34" t="s">
        <v>103</v>
      </c>
      <c r="D380" s="813">
        <v>4.2913999999999994</v>
      </c>
      <c r="E380" s="152" t="s">
        <v>122</v>
      </c>
      <c r="F380" s="29">
        <v>1</v>
      </c>
      <c r="G380" s="9">
        <v>1</v>
      </c>
      <c r="H380" s="9">
        <v>2</v>
      </c>
      <c r="I380" s="9">
        <v>3</v>
      </c>
      <c r="J380" s="43">
        <v>2</v>
      </c>
      <c r="K380" s="265">
        <f t="shared" si="5"/>
        <v>0.48935255543384243</v>
      </c>
      <c r="L380" s="164"/>
    </row>
    <row r="381" spans="1:12">
      <c r="A381" s="34" t="s">
        <v>121</v>
      </c>
      <c r="B381" s="40">
        <v>2017</v>
      </c>
      <c r="C381" s="34" t="s">
        <v>95</v>
      </c>
      <c r="D381" s="813">
        <v>4.2263666666666664</v>
      </c>
      <c r="E381" s="152" t="s">
        <v>122</v>
      </c>
      <c r="F381" s="29">
        <v>1</v>
      </c>
      <c r="G381" s="9">
        <v>1</v>
      </c>
      <c r="H381" s="9">
        <v>2</v>
      </c>
      <c r="I381" s="9">
        <v>3</v>
      </c>
      <c r="J381" s="43">
        <v>2</v>
      </c>
      <c r="K381" s="265">
        <f t="shared" si="5"/>
        <v>0.48935255543384243</v>
      </c>
      <c r="L381" s="164"/>
    </row>
    <row r="382" spans="1:12" ht="15.75" thickBot="1">
      <c r="A382" s="35" t="s">
        <v>121</v>
      </c>
      <c r="B382" s="41">
        <v>2017</v>
      </c>
      <c r="C382" s="35" t="s">
        <v>107</v>
      </c>
      <c r="D382" s="816">
        <v>2.6073</v>
      </c>
      <c r="E382" s="153" t="s">
        <v>122</v>
      </c>
      <c r="F382" s="30">
        <v>1</v>
      </c>
      <c r="G382" s="12">
        <v>1</v>
      </c>
      <c r="H382" s="12">
        <v>2</v>
      </c>
      <c r="I382" s="12">
        <v>3</v>
      </c>
      <c r="J382" s="44">
        <v>2</v>
      </c>
      <c r="K382" s="266">
        <f t="shared" si="5"/>
        <v>0.48935255543384243</v>
      </c>
      <c r="L382" s="165"/>
    </row>
    <row r="383" spans="1:12">
      <c r="A383" s="60" t="s">
        <v>123</v>
      </c>
      <c r="B383" s="824">
        <v>1995</v>
      </c>
      <c r="C383" s="825" t="s">
        <v>93</v>
      </c>
      <c r="D383" s="825">
        <v>415</v>
      </c>
      <c r="E383" s="808" t="s">
        <v>119</v>
      </c>
      <c r="F383" s="677">
        <v>1</v>
      </c>
      <c r="G383" s="118">
        <v>1</v>
      </c>
      <c r="H383" s="118">
        <v>1</v>
      </c>
      <c r="I383" s="118">
        <v>2</v>
      </c>
      <c r="J383" s="678">
        <v>2</v>
      </c>
      <c r="K383" s="589">
        <f t="shared" si="5"/>
        <v>0.35859414261160716</v>
      </c>
      <c r="L383" s="670" t="s">
        <v>120</v>
      </c>
    </row>
    <row r="384" spans="1:12">
      <c r="A384" s="34" t="s">
        <v>123</v>
      </c>
      <c r="B384" s="344">
        <v>1995</v>
      </c>
      <c r="C384" s="59" t="s">
        <v>94</v>
      </c>
      <c r="D384" s="59">
        <v>130</v>
      </c>
      <c r="E384" s="504" t="s">
        <v>119</v>
      </c>
      <c r="F384" s="29">
        <v>1</v>
      </c>
      <c r="G384" s="9">
        <v>1</v>
      </c>
      <c r="H384" s="9">
        <v>1</v>
      </c>
      <c r="I384" s="9">
        <v>2</v>
      </c>
      <c r="J384" s="43">
        <v>2</v>
      </c>
      <c r="K384" s="265">
        <f t="shared" si="5"/>
        <v>0.35859414261160716</v>
      </c>
      <c r="L384" s="164" t="s">
        <v>120</v>
      </c>
    </row>
    <row r="385" spans="1:12">
      <c r="A385" s="34" t="s">
        <v>123</v>
      </c>
      <c r="B385" s="344">
        <v>1995</v>
      </c>
      <c r="C385" s="59" t="s">
        <v>95</v>
      </c>
      <c r="D385" s="59">
        <v>145</v>
      </c>
      <c r="E385" s="504" t="s">
        <v>119</v>
      </c>
      <c r="F385" s="29">
        <v>1</v>
      </c>
      <c r="G385" s="9">
        <v>1</v>
      </c>
      <c r="H385" s="9">
        <v>1</v>
      </c>
      <c r="I385" s="9">
        <v>2</v>
      </c>
      <c r="J385" s="43">
        <v>2</v>
      </c>
      <c r="K385" s="265">
        <f t="shared" si="5"/>
        <v>0.35859414261160716</v>
      </c>
      <c r="L385" s="164" t="s">
        <v>120</v>
      </c>
    </row>
    <row r="386" spans="1:12">
      <c r="A386" s="34" t="s">
        <v>123</v>
      </c>
      <c r="B386" s="344">
        <v>1995</v>
      </c>
      <c r="C386" s="59" t="s">
        <v>96</v>
      </c>
      <c r="D386" s="59">
        <v>103</v>
      </c>
      <c r="E386" s="504" t="s">
        <v>119</v>
      </c>
      <c r="F386" s="29">
        <v>1</v>
      </c>
      <c r="G386" s="9">
        <v>1</v>
      </c>
      <c r="H386" s="9">
        <v>1</v>
      </c>
      <c r="I386" s="9">
        <v>2</v>
      </c>
      <c r="J386" s="43">
        <v>2</v>
      </c>
      <c r="K386" s="265">
        <f t="shared" ref="K386:K449" si="6">IF( OR( ISBLANK(F386),ISBLANK(G386), ISBLANK(H386), ISBLANK(I386), ISBLANK(J386) ), "", 1.5*SQRT(   EXP(2.21*(F386-1)) + EXP(2.21*(G386-1)) + EXP(2.21*(H386-1)) + EXP(2.21*(I386-1)) + EXP(2.21*J386)   )/100*2.45 )</f>
        <v>0.35859414261160716</v>
      </c>
      <c r="L386" s="164" t="s">
        <v>120</v>
      </c>
    </row>
    <row r="387" spans="1:12">
      <c r="A387" s="34" t="s">
        <v>123</v>
      </c>
      <c r="B387" s="344">
        <v>1995</v>
      </c>
      <c r="C387" s="59" t="s">
        <v>97</v>
      </c>
      <c r="D387" s="59">
        <v>29</v>
      </c>
      <c r="E387" s="504" t="s">
        <v>119</v>
      </c>
      <c r="F387" s="29">
        <v>1</v>
      </c>
      <c r="G387" s="9">
        <v>1</v>
      </c>
      <c r="H387" s="9">
        <v>1</v>
      </c>
      <c r="I387" s="9">
        <v>2</v>
      </c>
      <c r="J387" s="43">
        <v>2</v>
      </c>
      <c r="K387" s="265">
        <f t="shared" si="6"/>
        <v>0.35859414261160716</v>
      </c>
      <c r="L387" s="164" t="s">
        <v>120</v>
      </c>
    </row>
    <row r="388" spans="1:12">
      <c r="A388" s="34" t="s">
        <v>123</v>
      </c>
      <c r="B388" s="344">
        <v>1995</v>
      </c>
      <c r="C388" s="59" t="s">
        <v>98</v>
      </c>
      <c r="D388" s="59">
        <v>213</v>
      </c>
      <c r="E388" s="504" t="s">
        <v>119</v>
      </c>
      <c r="F388" s="29">
        <v>1</v>
      </c>
      <c r="G388" s="9">
        <v>1</v>
      </c>
      <c r="H388" s="9">
        <v>1</v>
      </c>
      <c r="I388" s="9">
        <v>2</v>
      </c>
      <c r="J388" s="43">
        <v>2</v>
      </c>
      <c r="K388" s="265">
        <f t="shared" si="6"/>
        <v>0.35859414261160716</v>
      </c>
      <c r="L388" s="164" t="s">
        <v>120</v>
      </c>
    </row>
    <row r="389" spans="1:12">
      <c r="A389" s="34" t="s">
        <v>123</v>
      </c>
      <c r="B389" s="344">
        <v>1995</v>
      </c>
      <c r="C389" s="59" t="s">
        <v>99</v>
      </c>
      <c r="D389" s="59">
        <v>0</v>
      </c>
      <c r="E389" s="504" t="s">
        <v>119</v>
      </c>
      <c r="F389" s="29">
        <v>1</v>
      </c>
      <c r="G389" s="9">
        <v>1</v>
      </c>
      <c r="H389" s="9">
        <v>1</v>
      </c>
      <c r="I389" s="9">
        <v>2</v>
      </c>
      <c r="J389" s="43">
        <v>2</v>
      </c>
      <c r="K389" s="265">
        <f t="shared" si="6"/>
        <v>0.35859414261160716</v>
      </c>
      <c r="L389" s="164" t="s">
        <v>120</v>
      </c>
    </row>
    <row r="390" spans="1:12">
      <c r="A390" s="34" t="s">
        <v>123</v>
      </c>
      <c r="B390" s="344">
        <v>1995</v>
      </c>
      <c r="C390" s="59" t="s">
        <v>102</v>
      </c>
      <c r="D390" s="59">
        <v>17</v>
      </c>
      <c r="E390" s="504" t="s">
        <v>119</v>
      </c>
      <c r="F390" s="29">
        <v>1</v>
      </c>
      <c r="G390" s="9">
        <v>1</v>
      </c>
      <c r="H390" s="9">
        <v>1</v>
      </c>
      <c r="I390" s="9">
        <v>2</v>
      </c>
      <c r="J390" s="43">
        <v>2</v>
      </c>
      <c r="K390" s="265">
        <f t="shared" si="6"/>
        <v>0.35859414261160716</v>
      </c>
      <c r="L390" s="164" t="s">
        <v>120</v>
      </c>
    </row>
    <row r="391" spans="1:12">
      <c r="A391" s="34" t="s">
        <v>123</v>
      </c>
      <c r="B391" s="344">
        <v>1995</v>
      </c>
      <c r="C391" s="59" t="s">
        <v>104</v>
      </c>
      <c r="D391" s="59">
        <v>38</v>
      </c>
      <c r="E391" s="504" t="s">
        <v>119</v>
      </c>
      <c r="F391" s="29">
        <v>1</v>
      </c>
      <c r="G391" s="9">
        <v>1</v>
      </c>
      <c r="H391" s="9">
        <v>1</v>
      </c>
      <c r="I391" s="9">
        <v>2</v>
      </c>
      <c r="J391" s="43">
        <v>2</v>
      </c>
      <c r="K391" s="265">
        <f t="shared" si="6"/>
        <v>0.35859414261160716</v>
      </c>
      <c r="L391" s="164" t="s">
        <v>120</v>
      </c>
    </row>
    <row r="392" spans="1:12">
      <c r="A392" s="34" t="s">
        <v>123</v>
      </c>
      <c r="B392" s="344">
        <v>1995</v>
      </c>
      <c r="C392" s="59" t="s">
        <v>105</v>
      </c>
      <c r="D392" s="59">
        <v>84</v>
      </c>
      <c r="E392" s="504" t="s">
        <v>119</v>
      </c>
      <c r="F392" s="29">
        <v>1</v>
      </c>
      <c r="G392" s="9">
        <v>1</v>
      </c>
      <c r="H392" s="9">
        <v>1</v>
      </c>
      <c r="I392" s="9">
        <v>2</v>
      </c>
      <c r="J392" s="43">
        <v>2</v>
      </c>
      <c r="K392" s="265">
        <f t="shared" si="6"/>
        <v>0.35859414261160716</v>
      </c>
      <c r="L392" s="164" t="s">
        <v>120</v>
      </c>
    </row>
    <row r="393" spans="1:12">
      <c r="A393" s="34" t="s">
        <v>123</v>
      </c>
      <c r="B393" s="344">
        <v>1995</v>
      </c>
      <c r="C393" s="59" t="s">
        <v>103</v>
      </c>
      <c r="D393" s="59">
        <v>142</v>
      </c>
      <c r="E393" s="504" t="s">
        <v>119</v>
      </c>
      <c r="F393" s="29">
        <v>1</v>
      </c>
      <c r="G393" s="9">
        <v>1</v>
      </c>
      <c r="H393" s="9">
        <v>1</v>
      </c>
      <c r="I393" s="9">
        <v>2</v>
      </c>
      <c r="J393" s="43">
        <v>2</v>
      </c>
      <c r="K393" s="265">
        <f t="shared" si="6"/>
        <v>0.35859414261160716</v>
      </c>
      <c r="L393" s="164" t="s">
        <v>120</v>
      </c>
    </row>
    <row r="394" spans="1:12">
      <c r="A394" s="34" t="s">
        <v>123</v>
      </c>
      <c r="B394" s="344">
        <v>1995</v>
      </c>
      <c r="C394" s="59" t="s">
        <v>101</v>
      </c>
      <c r="D394" s="59">
        <v>19</v>
      </c>
      <c r="E394" s="504" t="s">
        <v>119</v>
      </c>
      <c r="F394" s="29">
        <v>1</v>
      </c>
      <c r="G394" s="9">
        <v>1</v>
      </c>
      <c r="H394" s="9">
        <v>1</v>
      </c>
      <c r="I394" s="9">
        <v>2</v>
      </c>
      <c r="J394" s="43">
        <v>2</v>
      </c>
      <c r="K394" s="265">
        <f t="shared" si="6"/>
        <v>0.35859414261160716</v>
      </c>
      <c r="L394" s="164" t="s">
        <v>120</v>
      </c>
    </row>
    <row r="395" spans="1:12">
      <c r="A395" s="34" t="s">
        <v>123</v>
      </c>
      <c r="B395" s="344">
        <v>1995</v>
      </c>
      <c r="C395" s="59" t="s">
        <v>106</v>
      </c>
      <c r="D395" s="59">
        <v>540</v>
      </c>
      <c r="E395" s="504" t="s">
        <v>119</v>
      </c>
      <c r="F395" s="29">
        <v>1</v>
      </c>
      <c r="G395" s="9">
        <v>1</v>
      </c>
      <c r="H395" s="9">
        <v>1</v>
      </c>
      <c r="I395" s="9">
        <v>2</v>
      </c>
      <c r="J395" s="43">
        <v>2</v>
      </c>
      <c r="K395" s="265">
        <f t="shared" si="6"/>
        <v>0.35859414261160716</v>
      </c>
      <c r="L395" s="164" t="s">
        <v>120</v>
      </c>
    </row>
    <row r="396" spans="1:12">
      <c r="A396" s="34" t="s">
        <v>123</v>
      </c>
      <c r="B396" s="344">
        <v>1996</v>
      </c>
      <c r="C396" s="59" t="s">
        <v>93</v>
      </c>
      <c r="D396" s="59">
        <v>368</v>
      </c>
      <c r="E396" s="504" t="s">
        <v>119</v>
      </c>
      <c r="F396" s="29">
        <v>1</v>
      </c>
      <c r="G396" s="9">
        <v>1</v>
      </c>
      <c r="H396" s="9">
        <v>1</v>
      </c>
      <c r="I396" s="9">
        <v>2</v>
      </c>
      <c r="J396" s="43">
        <v>2</v>
      </c>
      <c r="K396" s="265">
        <f t="shared" si="6"/>
        <v>0.35859414261160716</v>
      </c>
      <c r="L396" s="164" t="s">
        <v>120</v>
      </c>
    </row>
    <row r="397" spans="1:12">
      <c r="A397" s="34" t="s">
        <v>123</v>
      </c>
      <c r="B397" s="344">
        <v>1996</v>
      </c>
      <c r="C397" s="59" t="s">
        <v>94</v>
      </c>
      <c r="D397" s="59">
        <v>134</v>
      </c>
      <c r="E397" s="504" t="s">
        <v>119</v>
      </c>
      <c r="F397" s="29">
        <v>1</v>
      </c>
      <c r="G397" s="9">
        <v>1</v>
      </c>
      <c r="H397" s="9">
        <v>1</v>
      </c>
      <c r="I397" s="9">
        <v>2</v>
      </c>
      <c r="J397" s="43">
        <v>2</v>
      </c>
      <c r="K397" s="265">
        <f t="shared" si="6"/>
        <v>0.35859414261160716</v>
      </c>
      <c r="L397" s="164" t="s">
        <v>120</v>
      </c>
    </row>
    <row r="398" spans="1:12">
      <c r="A398" s="34" t="s">
        <v>123</v>
      </c>
      <c r="B398" s="344">
        <v>1996</v>
      </c>
      <c r="C398" s="59" t="s">
        <v>95</v>
      </c>
      <c r="D398" s="59">
        <v>168</v>
      </c>
      <c r="E398" s="504" t="s">
        <v>119</v>
      </c>
      <c r="F398" s="29">
        <v>1</v>
      </c>
      <c r="G398" s="9">
        <v>1</v>
      </c>
      <c r="H398" s="9">
        <v>1</v>
      </c>
      <c r="I398" s="9">
        <v>2</v>
      </c>
      <c r="J398" s="43">
        <v>2</v>
      </c>
      <c r="K398" s="265">
        <f t="shared" si="6"/>
        <v>0.35859414261160716</v>
      </c>
      <c r="L398" s="164" t="s">
        <v>120</v>
      </c>
    </row>
    <row r="399" spans="1:12">
      <c r="A399" s="34" t="s">
        <v>123</v>
      </c>
      <c r="B399" s="344">
        <v>1996</v>
      </c>
      <c r="C399" s="59" t="s">
        <v>96</v>
      </c>
      <c r="D399" s="59">
        <v>113</v>
      </c>
      <c r="E399" s="504" t="s">
        <v>119</v>
      </c>
      <c r="F399" s="29">
        <v>1</v>
      </c>
      <c r="G399" s="9">
        <v>1</v>
      </c>
      <c r="H399" s="9">
        <v>1</v>
      </c>
      <c r="I399" s="9">
        <v>2</v>
      </c>
      <c r="J399" s="43">
        <v>2</v>
      </c>
      <c r="K399" s="265">
        <f t="shared" si="6"/>
        <v>0.35859414261160716</v>
      </c>
      <c r="L399" s="164" t="s">
        <v>120</v>
      </c>
    </row>
    <row r="400" spans="1:12">
      <c r="A400" s="34" t="s">
        <v>123</v>
      </c>
      <c r="B400" s="344">
        <v>1996</v>
      </c>
      <c r="C400" s="59" t="s">
        <v>97</v>
      </c>
      <c r="D400" s="59">
        <v>45</v>
      </c>
      <c r="E400" s="504" t="s">
        <v>119</v>
      </c>
      <c r="F400" s="29">
        <v>1</v>
      </c>
      <c r="G400" s="9">
        <v>1</v>
      </c>
      <c r="H400" s="9">
        <v>1</v>
      </c>
      <c r="I400" s="9">
        <v>2</v>
      </c>
      <c r="J400" s="43">
        <v>2</v>
      </c>
      <c r="K400" s="265">
        <f t="shared" si="6"/>
        <v>0.35859414261160716</v>
      </c>
      <c r="L400" s="164" t="s">
        <v>120</v>
      </c>
    </row>
    <row r="401" spans="1:12">
      <c r="A401" s="34" t="s">
        <v>123</v>
      </c>
      <c r="B401" s="344">
        <v>1996</v>
      </c>
      <c r="C401" s="59" t="s">
        <v>98</v>
      </c>
      <c r="D401" s="59">
        <v>287</v>
      </c>
      <c r="E401" s="504" t="s">
        <v>119</v>
      </c>
      <c r="F401" s="29">
        <v>1</v>
      </c>
      <c r="G401" s="9">
        <v>1</v>
      </c>
      <c r="H401" s="9">
        <v>1</v>
      </c>
      <c r="I401" s="9">
        <v>2</v>
      </c>
      <c r="J401" s="43">
        <v>2</v>
      </c>
      <c r="K401" s="265">
        <f t="shared" si="6"/>
        <v>0.35859414261160716</v>
      </c>
      <c r="L401" s="164" t="s">
        <v>120</v>
      </c>
    </row>
    <row r="402" spans="1:12">
      <c r="A402" s="34" t="s">
        <v>123</v>
      </c>
      <c r="B402" s="344">
        <v>1996</v>
      </c>
      <c r="C402" s="59" t="s">
        <v>99</v>
      </c>
      <c r="D402" s="59">
        <v>0</v>
      </c>
      <c r="E402" s="504" t="s">
        <v>119</v>
      </c>
      <c r="F402" s="29">
        <v>1</v>
      </c>
      <c r="G402" s="9">
        <v>1</v>
      </c>
      <c r="H402" s="9">
        <v>1</v>
      </c>
      <c r="I402" s="9">
        <v>2</v>
      </c>
      <c r="J402" s="43">
        <v>2</v>
      </c>
      <c r="K402" s="265">
        <f t="shared" si="6"/>
        <v>0.35859414261160716</v>
      </c>
      <c r="L402" s="164" t="s">
        <v>120</v>
      </c>
    </row>
    <row r="403" spans="1:12">
      <c r="A403" s="34" t="s">
        <v>123</v>
      </c>
      <c r="B403" s="344">
        <v>1996</v>
      </c>
      <c r="C403" s="59" t="s">
        <v>102</v>
      </c>
      <c r="D403" s="59">
        <v>17</v>
      </c>
      <c r="E403" s="504" t="s">
        <v>119</v>
      </c>
      <c r="F403" s="29">
        <v>1</v>
      </c>
      <c r="G403" s="9">
        <v>1</v>
      </c>
      <c r="H403" s="9">
        <v>1</v>
      </c>
      <c r="I403" s="9">
        <v>2</v>
      </c>
      <c r="J403" s="43">
        <v>2</v>
      </c>
      <c r="K403" s="265">
        <f t="shared" si="6"/>
        <v>0.35859414261160716</v>
      </c>
      <c r="L403" s="164" t="s">
        <v>120</v>
      </c>
    </row>
    <row r="404" spans="1:12">
      <c r="A404" s="34" t="s">
        <v>123</v>
      </c>
      <c r="B404" s="344">
        <v>1996</v>
      </c>
      <c r="C404" s="59" t="s">
        <v>104</v>
      </c>
      <c r="D404" s="59">
        <v>47</v>
      </c>
      <c r="E404" s="504" t="s">
        <v>119</v>
      </c>
      <c r="F404" s="29">
        <v>1</v>
      </c>
      <c r="G404" s="9">
        <v>1</v>
      </c>
      <c r="H404" s="9">
        <v>1</v>
      </c>
      <c r="I404" s="9">
        <v>2</v>
      </c>
      <c r="J404" s="43">
        <v>2</v>
      </c>
      <c r="K404" s="265">
        <f t="shared" si="6"/>
        <v>0.35859414261160716</v>
      </c>
      <c r="L404" s="164" t="s">
        <v>120</v>
      </c>
    </row>
    <row r="405" spans="1:12">
      <c r="A405" s="34" t="s">
        <v>123</v>
      </c>
      <c r="B405" s="344">
        <v>1996</v>
      </c>
      <c r="C405" s="59" t="s">
        <v>105</v>
      </c>
      <c r="D405" s="59">
        <v>86</v>
      </c>
      <c r="E405" s="504" t="s">
        <v>119</v>
      </c>
      <c r="F405" s="29">
        <v>1</v>
      </c>
      <c r="G405" s="9">
        <v>1</v>
      </c>
      <c r="H405" s="9">
        <v>1</v>
      </c>
      <c r="I405" s="9">
        <v>2</v>
      </c>
      <c r="J405" s="43">
        <v>2</v>
      </c>
      <c r="K405" s="265">
        <f t="shared" si="6"/>
        <v>0.35859414261160716</v>
      </c>
      <c r="L405" s="164" t="s">
        <v>120</v>
      </c>
    </row>
    <row r="406" spans="1:12">
      <c r="A406" s="34" t="s">
        <v>123</v>
      </c>
      <c r="B406" s="344">
        <v>1996</v>
      </c>
      <c r="C406" s="59" t="s">
        <v>103</v>
      </c>
      <c r="D406" s="59">
        <v>138</v>
      </c>
      <c r="E406" s="504" t="s">
        <v>119</v>
      </c>
      <c r="F406" s="29">
        <v>1</v>
      </c>
      <c r="G406" s="9">
        <v>1</v>
      </c>
      <c r="H406" s="9">
        <v>1</v>
      </c>
      <c r="I406" s="9">
        <v>2</v>
      </c>
      <c r="J406" s="43">
        <v>2</v>
      </c>
      <c r="K406" s="265">
        <f t="shared" si="6"/>
        <v>0.35859414261160716</v>
      </c>
      <c r="L406" s="164" t="s">
        <v>120</v>
      </c>
    </row>
    <row r="407" spans="1:12">
      <c r="A407" s="34" t="s">
        <v>123</v>
      </c>
      <c r="B407" s="344">
        <v>1996</v>
      </c>
      <c r="C407" s="59" t="s">
        <v>101</v>
      </c>
      <c r="D407" s="59">
        <v>20</v>
      </c>
      <c r="E407" s="504" t="s">
        <v>119</v>
      </c>
      <c r="F407" s="29">
        <v>1</v>
      </c>
      <c r="G407" s="9">
        <v>1</v>
      </c>
      <c r="H407" s="9">
        <v>1</v>
      </c>
      <c r="I407" s="9">
        <v>2</v>
      </c>
      <c r="J407" s="43">
        <v>2</v>
      </c>
      <c r="K407" s="265">
        <f t="shared" si="6"/>
        <v>0.35859414261160716</v>
      </c>
      <c r="L407" s="164" t="s">
        <v>120</v>
      </c>
    </row>
    <row r="408" spans="1:12">
      <c r="A408" s="34" t="s">
        <v>123</v>
      </c>
      <c r="B408" s="344">
        <v>1996</v>
      </c>
      <c r="C408" s="59" t="s">
        <v>106</v>
      </c>
      <c r="D408" s="59">
        <v>502</v>
      </c>
      <c r="E408" s="504" t="s">
        <v>119</v>
      </c>
      <c r="F408" s="29">
        <v>1</v>
      </c>
      <c r="G408" s="9">
        <v>1</v>
      </c>
      <c r="H408" s="9">
        <v>1</v>
      </c>
      <c r="I408" s="9">
        <v>2</v>
      </c>
      <c r="J408" s="43">
        <v>2</v>
      </c>
      <c r="K408" s="265">
        <f t="shared" si="6"/>
        <v>0.35859414261160716</v>
      </c>
      <c r="L408" s="164" t="s">
        <v>120</v>
      </c>
    </row>
    <row r="409" spans="1:12">
      <c r="A409" s="34" t="s">
        <v>123</v>
      </c>
      <c r="B409" s="344">
        <v>1997</v>
      </c>
      <c r="C409" s="59" t="s">
        <v>93</v>
      </c>
      <c r="D409" s="59">
        <v>405</v>
      </c>
      <c r="E409" s="504" t="s">
        <v>119</v>
      </c>
      <c r="F409" s="29">
        <v>1</v>
      </c>
      <c r="G409" s="9">
        <v>1</v>
      </c>
      <c r="H409" s="9">
        <v>1</v>
      </c>
      <c r="I409" s="9">
        <v>2</v>
      </c>
      <c r="J409" s="43">
        <v>2</v>
      </c>
      <c r="K409" s="265">
        <f t="shared" si="6"/>
        <v>0.35859414261160716</v>
      </c>
      <c r="L409" s="164" t="s">
        <v>120</v>
      </c>
    </row>
    <row r="410" spans="1:12">
      <c r="A410" s="34" t="s">
        <v>123</v>
      </c>
      <c r="B410" s="344">
        <v>1997</v>
      </c>
      <c r="C410" s="59" t="s">
        <v>94</v>
      </c>
      <c r="D410" s="59">
        <v>148</v>
      </c>
      <c r="E410" s="504" t="s">
        <v>119</v>
      </c>
      <c r="F410" s="29">
        <v>1</v>
      </c>
      <c r="G410" s="9">
        <v>1</v>
      </c>
      <c r="H410" s="9">
        <v>1</v>
      </c>
      <c r="I410" s="9">
        <v>2</v>
      </c>
      <c r="J410" s="43">
        <v>2</v>
      </c>
      <c r="K410" s="265">
        <f t="shared" si="6"/>
        <v>0.35859414261160716</v>
      </c>
      <c r="L410" s="164" t="s">
        <v>120</v>
      </c>
    </row>
    <row r="411" spans="1:12">
      <c r="A411" s="34" t="s">
        <v>123</v>
      </c>
      <c r="B411" s="344">
        <v>1997</v>
      </c>
      <c r="C411" s="59" t="s">
        <v>95</v>
      </c>
      <c r="D411" s="59">
        <v>199</v>
      </c>
      <c r="E411" s="504" t="s">
        <v>119</v>
      </c>
      <c r="F411" s="29">
        <v>1</v>
      </c>
      <c r="G411" s="9">
        <v>1</v>
      </c>
      <c r="H411" s="9">
        <v>1</v>
      </c>
      <c r="I411" s="9">
        <v>2</v>
      </c>
      <c r="J411" s="43">
        <v>2</v>
      </c>
      <c r="K411" s="265">
        <f t="shared" si="6"/>
        <v>0.35859414261160716</v>
      </c>
      <c r="L411" s="164" t="s">
        <v>120</v>
      </c>
    </row>
    <row r="412" spans="1:12">
      <c r="A412" s="34" t="s">
        <v>123</v>
      </c>
      <c r="B412" s="344">
        <v>1997</v>
      </c>
      <c r="C412" s="59" t="s">
        <v>96</v>
      </c>
      <c r="D412" s="59">
        <v>77</v>
      </c>
      <c r="E412" s="504" t="s">
        <v>119</v>
      </c>
      <c r="F412" s="29">
        <v>1</v>
      </c>
      <c r="G412" s="9">
        <v>1</v>
      </c>
      <c r="H412" s="9">
        <v>1</v>
      </c>
      <c r="I412" s="9">
        <v>2</v>
      </c>
      <c r="J412" s="43">
        <v>2</v>
      </c>
      <c r="K412" s="265">
        <f t="shared" si="6"/>
        <v>0.35859414261160716</v>
      </c>
      <c r="L412" s="164" t="s">
        <v>120</v>
      </c>
    </row>
    <row r="413" spans="1:12">
      <c r="A413" s="34" t="s">
        <v>123</v>
      </c>
      <c r="B413" s="344">
        <v>1997</v>
      </c>
      <c r="C413" s="59" t="s">
        <v>97</v>
      </c>
      <c r="D413" s="59">
        <v>43</v>
      </c>
      <c r="E413" s="504" t="s">
        <v>119</v>
      </c>
      <c r="F413" s="29">
        <v>1</v>
      </c>
      <c r="G413" s="9">
        <v>1</v>
      </c>
      <c r="H413" s="9">
        <v>1</v>
      </c>
      <c r="I413" s="9">
        <v>2</v>
      </c>
      <c r="J413" s="43">
        <v>2</v>
      </c>
      <c r="K413" s="265">
        <f t="shared" si="6"/>
        <v>0.35859414261160716</v>
      </c>
      <c r="L413" s="164" t="s">
        <v>120</v>
      </c>
    </row>
    <row r="414" spans="1:12">
      <c r="A414" s="34" t="s">
        <v>123</v>
      </c>
      <c r="B414" s="344">
        <v>1997</v>
      </c>
      <c r="C414" s="59" t="s">
        <v>98</v>
      </c>
      <c r="D414" s="59">
        <v>210</v>
      </c>
      <c r="E414" s="504" t="s">
        <v>119</v>
      </c>
      <c r="F414" s="29">
        <v>1</v>
      </c>
      <c r="G414" s="9">
        <v>1</v>
      </c>
      <c r="H414" s="9">
        <v>1</v>
      </c>
      <c r="I414" s="9">
        <v>2</v>
      </c>
      <c r="J414" s="43">
        <v>2</v>
      </c>
      <c r="K414" s="265">
        <f t="shared" si="6"/>
        <v>0.35859414261160716</v>
      </c>
      <c r="L414" s="164" t="s">
        <v>120</v>
      </c>
    </row>
    <row r="415" spans="1:12">
      <c r="A415" s="34" t="s">
        <v>123</v>
      </c>
      <c r="B415" s="344">
        <v>1997</v>
      </c>
      <c r="C415" s="59" t="s">
        <v>99</v>
      </c>
      <c r="D415" s="59">
        <v>0</v>
      </c>
      <c r="E415" s="504" t="s">
        <v>119</v>
      </c>
      <c r="F415" s="29">
        <v>1</v>
      </c>
      <c r="G415" s="9">
        <v>1</v>
      </c>
      <c r="H415" s="9">
        <v>1</v>
      </c>
      <c r="I415" s="9">
        <v>2</v>
      </c>
      <c r="J415" s="43">
        <v>2</v>
      </c>
      <c r="K415" s="265">
        <f t="shared" si="6"/>
        <v>0.35859414261160716</v>
      </c>
      <c r="L415" s="164" t="s">
        <v>120</v>
      </c>
    </row>
    <row r="416" spans="1:12">
      <c r="A416" s="34" t="s">
        <v>123</v>
      </c>
      <c r="B416" s="344">
        <v>1997</v>
      </c>
      <c r="C416" s="59" t="s">
        <v>102</v>
      </c>
      <c r="D416" s="59">
        <v>28</v>
      </c>
      <c r="E416" s="504" t="s">
        <v>119</v>
      </c>
      <c r="F416" s="29">
        <v>1</v>
      </c>
      <c r="G416" s="9">
        <v>1</v>
      </c>
      <c r="H416" s="9">
        <v>1</v>
      </c>
      <c r="I416" s="9">
        <v>2</v>
      </c>
      <c r="J416" s="43">
        <v>2</v>
      </c>
      <c r="K416" s="265">
        <f t="shared" si="6"/>
        <v>0.35859414261160716</v>
      </c>
      <c r="L416" s="164" t="s">
        <v>120</v>
      </c>
    </row>
    <row r="417" spans="1:12">
      <c r="A417" s="34" t="s">
        <v>123</v>
      </c>
      <c r="B417" s="344">
        <v>1997</v>
      </c>
      <c r="C417" s="59" t="s">
        <v>104</v>
      </c>
      <c r="D417" s="59">
        <v>47</v>
      </c>
      <c r="E417" s="504" t="s">
        <v>119</v>
      </c>
      <c r="F417" s="29">
        <v>1</v>
      </c>
      <c r="G417" s="9">
        <v>1</v>
      </c>
      <c r="H417" s="9">
        <v>1</v>
      </c>
      <c r="I417" s="9">
        <v>2</v>
      </c>
      <c r="J417" s="43">
        <v>2</v>
      </c>
      <c r="K417" s="265">
        <f t="shared" si="6"/>
        <v>0.35859414261160716</v>
      </c>
      <c r="L417" s="164" t="s">
        <v>120</v>
      </c>
    </row>
    <row r="418" spans="1:12">
      <c r="A418" s="34" t="s">
        <v>123</v>
      </c>
      <c r="B418" s="344">
        <v>1997</v>
      </c>
      <c r="C418" s="59" t="s">
        <v>105</v>
      </c>
      <c r="D418" s="59">
        <v>104</v>
      </c>
      <c r="E418" s="504" t="s">
        <v>119</v>
      </c>
      <c r="F418" s="29">
        <v>1</v>
      </c>
      <c r="G418" s="9">
        <v>1</v>
      </c>
      <c r="H418" s="9">
        <v>1</v>
      </c>
      <c r="I418" s="9">
        <v>2</v>
      </c>
      <c r="J418" s="43">
        <v>2</v>
      </c>
      <c r="K418" s="265">
        <f t="shared" si="6"/>
        <v>0.35859414261160716</v>
      </c>
      <c r="L418" s="164" t="s">
        <v>120</v>
      </c>
    </row>
    <row r="419" spans="1:12">
      <c r="A419" s="34" t="s">
        <v>123</v>
      </c>
      <c r="B419" s="344">
        <v>1997</v>
      </c>
      <c r="C419" s="59" t="s">
        <v>103</v>
      </c>
      <c r="D419" s="59">
        <v>135</v>
      </c>
      <c r="E419" s="504" t="s">
        <v>119</v>
      </c>
      <c r="F419" s="29">
        <v>1</v>
      </c>
      <c r="G419" s="9">
        <v>1</v>
      </c>
      <c r="H419" s="9">
        <v>1</v>
      </c>
      <c r="I419" s="9">
        <v>2</v>
      </c>
      <c r="J419" s="43">
        <v>2</v>
      </c>
      <c r="K419" s="265">
        <f t="shared" si="6"/>
        <v>0.35859414261160716</v>
      </c>
      <c r="L419" s="164" t="s">
        <v>120</v>
      </c>
    </row>
    <row r="420" spans="1:12">
      <c r="A420" s="34" t="s">
        <v>123</v>
      </c>
      <c r="B420" s="344">
        <v>1997</v>
      </c>
      <c r="C420" s="59" t="s">
        <v>101</v>
      </c>
      <c r="D420" s="59">
        <v>17</v>
      </c>
      <c r="E420" s="504" t="s">
        <v>119</v>
      </c>
      <c r="F420" s="29">
        <v>1</v>
      </c>
      <c r="G420" s="9">
        <v>1</v>
      </c>
      <c r="H420" s="9">
        <v>1</v>
      </c>
      <c r="I420" s="9">
        <v>2</v>
      </c>
      <c r="J420" s="43">
        <v>2</v>
      </c>
      <c r="K420" s="265">
        <f t="shared" si="6"/>
        <v>0.35859414261160716</v>
      </c>
      <c r="L420" s="164" t="s">
        <v>120</v>
      </c>
    </row>
    <row r="421" spans="1:12">
      <c r="A421" s="34" t="s">
        <v>123</v>
      </c>
      <c r="B421" s="344">
        <v>1997</v>
      </c>
      <c r="C421" s="59" t="s">
        <v>106</v>
      </c>
      <c r="D421" s="59">
        <v>556</v>
      </c>
      <c r="E421" s="504" t="s">
        <v>119</v>
      </c>
      <c r="F421" s="29">
        <v>1</v>
      </c>
      <c r="G421" s="9">
        <v>1</v>
      </c>
      <c r="H421" s="9">
        <v>1</v>
      </c>
      <c r="I421" s="9">
        <v>2</v>
      </c>
      <c r="J421" s="43">
        <v>2</v>
      </c>
      <c r="K421" s="265">
        <f t="shared" si="6"/>
        <v>0.35859414261160716</v>
      </c>
      <c r="L421" s="164" t="s">
        <v>120</v>
      </c>
    </row>
    <row r="422" spans="1:12">
      <c r="A422" s="34" t="s">
        <v>123</v>
      </c>
      <c r="B422" s="344">
        <v>1998</v>
      </c>
      <c r="C422" s="59" t="s">
        <v>93</v>
      </c>
      <c r="D422" s="59">
        <v>403</v>
      </c>
      <c r="E422" s="504" t="s">
        <v>119</v>
      </c>
      <c r="F422" s="29">
        <v>1</v>
      </c>
      <c r="G422" s="9">
        <v>1</v>
      </c>
      <c r="H422" s="9">
        <v>1</v>
      </c>
      <c r="I422" s="9">
        <v>2</v>
      </c>
      <c r="J422" s="43">
        <v>2</v>
      </c>
      <c r="K422" s="265">
        <f t="shared" si="6"/>
        <v>0.35859414261160716</v>
      </c>
      <c r="L422" s="164" t="s">
        <v>120</v>
      </c>
    </row>
    <row r="423" spans="1:12">
      <c r="A423" s="34" t="s">
        <v>123</v>
      </c>
      <c r="B423" s="344">
        <v>1998</v>
      </c>
      <c r="C423" s="59" t="s">
        <v>94</v>
      </c>
      <c r="D423" s="59">
        <v>195</v>
      </c>
      <c r="E423" s="504" t="s">
        <v>119</v>
      </c>
      <c r="F423" s="29">
        <v>1</v>
      </c>
      <c r="G423" s="9">
        <v>1</v>
      </c>
      <c r="H423" s="9">
        <v>1</v>
      </c>
      <c r="I423" s="9">
        <v>2</v>
      </c>
      <c r="J423" s="43">
        <v>2</v>
      </c>
      <c r="K423" s="265">
        <f t="shared" si="6"/>
        <v>0.35859414261160716</v>
      </c>
      <c r="L423" s="164" t="s">
        <v>120</v>
      </c>
    </row>
    <row r="424" spans="1:12">
      <c r="A424" s="34" t="s">
        <v>123</v>
      </c>
      <c r="B424" s="344">
        <v>1998</v>
      </c>
      <c r="C424" s="59" t="s">
        <v>95</v>
      </c>
      <c r="D424" s="59">
        <v>167</v>
      </c>
      <c r="E424" s="504" t="s">
        <v>119</v>
      </c>
      <c r="F424" s="29">
        <v>1</v>
      </c>
      <c r="G424" s="9">
        <v>1</v>
      </c>
      <c r="H424" s="9">
        <v>1</v>
      </c>
      <c r="I424" s="9">
        <v>2</v>
      </c>
      <c r="J424" s="43">
        <v>2</v>
      </c>
      <c r="K424" s="265">
        <f t="shared" si="6"/>
        <v>0.35859414261160716</v>
      </c>
      <c r="L424" s="164" t="s">
        <v>120</v>
      </c>
    </row>
    <row r="425" spans="1:12">
      <c r="A425" s="34" t="s">
        <v>123</v>
      </c>
      <c r="B425" s="344">
        <v>1998</v>
      </c>
      <c r="C425" s="59" t="s">
        <v>96</v>
      </c>
      <c r="D425" s="59">
        <v>79</v>
      </c>
      <c r="E425" s="504" t="s">
        <v>119</v>
      </c>
      <c r="F425" s="29">
        <v>1</v>
      </c>
      <c r="G425" s="9">
        <v>1</v>
      </c>
      <c r="H425" s="9">
        <v>1</v>
      </c>
      <c r="I425" s="9">
        <v>2</v>
      </c>
      <c r="J425" s="43">
        <v>2</v>
      </c>
      <c r="K425" s="265">
        <f t="shared" si="6"/>
        <v>0.35859414261160716</v>
      </c>
      <c r="L425" s="164" t="s">
        <v>120</v>
      </c>
    </row>
    <row r="426" spans="1:12">
      <c r="A426" s="34" t="s">
        <v>123</v>
      </c>
      <c r="B426" s="344">
        <v>1998</v>
      </c>
      <c r="C426" s="59" t="s">
        <v>97</v>
      </c>
      <c r="D426" s="59">
        <v>36</v>
      </c>
      <c r="E426" s="504" t="s">
        <v>119</v>
      </c>
      <c r="F426" s="29">
        <v>1</v>
      </c>
      <c r="G426" s="9">
        <v>1</v>
      </c>
      <c r="H426" s="9">
        <v>1</v>
      </c>
      <c r="I426" s="9">
        <v>2</v>
      </c>
      <c r="J426" s="43">
        <v>2</v>
      </c>
      <c r="K426" s="265">
        <f t="shared" si="6"/>
        <v>0.35859414261160716</v>
      </c>
      <c r="L426" s="164" t="s">
        <v>120</v>
      </c>
    </row>
    <row r="427" spans="1:12">
      <c r="A427" s="34" t="s">
        <v>123</v>
      </c>
      <c r="B427" s="344">
        <v>1998</v>
      </c>
      <c r="C427" s="59" t="s">
        <v>98</v>
      </c>
      <c r="D427" s="59">
        <v>219</v>
      </c>
      <c r="E427" s="504" t="s">
        <v>119</v>
      </c>
      <c r="F427" s="29">
        <v>1</v>
      </c>
      <c r="G427" s="9">
        <v>1</v>
      </c>
      <c r="H427" s="9">
        <v>1</v>
      </c>
      <c r="I427" s="9">
        <v>2</v>
      </c>
      <c r="J427" s="43">
        <v>2</v>
      </c>
      <c r="K427" s="265">
        <f t="shared" si="6"/>
        <v>0.35859414261160716</v>
      </c>
      <c r="L427" s="164" t="s">
        <v>120</v>
      </c>
    </row>
    <row r="428" spans="1:12">
      <c r="A428" s="34" t="s">
        <v>123</v>
      </c>
      <c r="B428" s="344">
        <v>1998</v>
      </c>
      <c r="C428" s="59" t="s">
        <v>99</v>
      </c>
      <c r="D428" s="59">
        <v>0</v>
      </c>
      <c r="E428" s="504" t="s">
        <v>119</v>
      </c>
      <c r="F428" s="29">
        <v>1</v>
      </c>
      <c r="G428" s="9">
        <v>1</v>
      </c>
      <c r="H428" s="9">
        <v>1</v>
      </c>
      <c r="I428" s="9">
        <v>2</v>
      </c>
      <c r="J428" s="43">
        <v>2</v>
      </c>
      <c r="K428" s="265">
        <f t="shared" si="6"/>
        <v>0.35859414261160716</v>
      </c>
      <c r="L428" s="164" t="s">
        <v>120</v>
      </c>
    </row>
    <row r="429" spans="1:12">
      <c r="A429" s="34" t="s">
        <v>123</v>
      </c>
      <c r="B429" s="344">
        <v>1998</v>
      </c>
      <c r="C429" s="59" t="s">
        <v>102</v>
      </c>
      <c r="D429" s="59">
        <v>20</v>
      </c>
      <c r="E429" s="504" t="s">
        <v>119</v>
      </c>
      <c r="F429" s="29">
        <v>1</v>
      </c>
      <c r="G429" s="9">
        <v>1</v>
      </c>
      <c r="H429" s="9">
        <v>1</v>
      </c>
      <c r="I429" s="9">
        <v>2</v>
      </c>
      <c r="J429" s="43">
        <v>2</v>
      </c>
      <c r="K429" s="265">
        <f t="shared" si="6"/>
        <v>0.35859414261160716</v>
      </c>
      <c r="L429" s="164" t="s">
        <v>120</v>
      </c>
    </row>
    <row r="430" spans="1:12">
      <c r="A430" s="34" t="s">
        <v>123</v>
      </c>
      <c r="B430" s="344">
        <v>1998</v>
      </c>
      <c r="C430" s="59" t="s">
        <v>104</v>
      </c>
      <c r="D430" s="59">
        <v>67</v>
      </c>
      <c r="E430" s="504" t="s">
        <v>119</v>
      </c>
      <c r="F430" s="29">
        <v>1</v>
      </c>
      <c r="G430" s="9">
        <v>1</v>
      </c>
      <c r="H430" s="9">
        <v>1</v>
      </c>
      <c r="I430" s="9">
        <v>2</v>
      </c>
      <c r="J430" s="43">
        <v>2</v>
      </c>
      <c r="K430" s="265">
        <f t="shared" si="6"/>
        <v>0.35859414261160716</v>
      </c>
      <c r="L430" s="164" t="s">
        <v>120</v>
      </c>
    </row>
    <row r="431" spans="1:12">
      <c r="A431" s="34" t="s">
        <v>123</v>
      </c>
      <c r="B431" s="344">
        <v>1998</v>
      </c>
      <c r="C431" s="59" t="s">
        <v>105</v>
      </c>
      <c r="D431" s="59">
        <v>96</v>
      </c>
      <c r="E431" s="504" t="s">
        <v>119</v>
      </c>
      <c r="F431" s="29">
        <v>1</v>
      </c>
      <c r="G431" s="9">
        <v>1</v>
      </c>
      <c r="H431" s="9">
        <v>1</v>
      </c>
      <c r="I431" s="9">
        <v>2</v>
      </c>
      <c r="J431" s="43">
        <v>2</v>
      </c>
      <c r="K431" s="265">
        <f t="shared" si="6"/>
        <v>0.35859414261160716</v>
      </c>
      <c r="L431" s="164" t="s">
        <v>120</v>
      </c>
    </row>
    <row r="432" spans="1:12">
      <c r="A432" s="34" t="s">
        <v>123</v>
      </c>
      <c r="B432" s="344">
        <v>1998</v>
      </c>
      <c r="C432" s="59" t="s">
        <v>103</v>
      </c>
      <c r="D432" s="59">
        <v>141</v>
      </c>
      <c r="E432" s="504" t="s">
        <v>119</v>
      </c>
      <c r="F432" s="29">
        <v>1</v>
      </c>
      <c r="G432" s="9">
        <v>1</v>
      </c>
      <c r="H432" s="9">
        <v>1</v>
      </c>
      <c r="I432" s="9">
        <v>2</v>
      </c>
      <c r="J432" s="43">
        <v>2</v>
      </c>
      <c r="K432" s="265">
        <f t="shared" si="6"/>
        <v>0.35859414261160716</v>
      </c>
      <c r="L432" s="164" t="s">
        <v>120</v>
      </c>
    </row>
    <row r="433" spans="1:12">
      <c r="A433" s="34" t="s">
        <v>123</v>
      </c>
      <c r="B433" s="344">
        <v>1998</v>
      </c>
      <c r="C433" s="59" t="s">
        <v>101</v>
      </c>
      <c r="D433" s="59">
        <v>16</v>
      </c>
      <c r="E433" s="504" t="s">
        <v>119</v>
      </c>
      <c r="F433" s="29">
        <v>1</v>
      </c>
      <c r="G433" s="9">
        <v>1</v>
      </c>
      <c r="H433" s="9">
        <v>1</v>
      </c>
      <c r="I433" s="9">
        <v>2</v>
      </c>
      <c r="J433" s="43">
        <v>2</v>
      </c>
      <c r="K433" s="265">
        <f t="shared" si="6"/>
        <v>0.35859414261160716</v>
      </c>
      <c r="L433" s="164" t="s">
        <v>120</v>
      </c>
    </row>
    <row r="434" spans="1:12">
      <c r="A434" s="34" t="s">
        <v>123</v>
      </c>
      <c r="B434" s="344">
        <v>1998</v>
      </c>
      <c r="C434" s="59" t="s">
        <v>106</v>
      </c>
      <c r="D434" s="59">
        <v>544</v>
      </c>
      <c r="E434" s="504" t="s">
        <v>119</v>
      </c>
      <c r="F434" s="29">
        <v>1</v>
      </c>
      <c r="G434" s="9">
        <v>1</v>
      </c>
      <c r="H434" s="9">
        <v>1</v>
      </c>
      <c r="I434" s="9">
        <v>2</v>
      </c>
      <c r="J434" s="43">
        <v>2</v>
      </c>
      <c r="K434" s="265">
        <f t="shared" si="6"/>
        <v>0.35859414261160716</v>
      </c>
      <c r="L434" s="164" t="s">
        <v>120</v>
      </c>
    </row>
    <row r="435" spans="1:12">
      <c r="A435" s="34" t="s">
        <v>123</v>
      </c>
      <c r="B435" s="344">
        <v>1999</v>
      </c>
      <c r="C435" s="59" t="s">
        <v>93</v>
      </c>
      <c r="D435" s="59">
        <v>379</v>
      </c>
      <c r="E435" s="504" t="s">
        <v>119</v>
      </c>
      <c r="F435" s="29">
        <v>1</v>
      </c>
      <c r="G435" s="9">
        <v>1</v>
      </c>
      <c r="H435" s="9">
        <v>1</v>
      </c>
      <c r="I435" s="9">
        <v>2</v>
      </c>
      <c r="J435" s="43">
        <v>2</v>
      </c>
      <c r="K435" s="265">
        <f t="shared" si="6"/>
        <v>0.35859414261160716</v>
      </c>
      <c r="L435" s="164" t="s">
        <v>120</v>
      </c>
    </row>
    <row r="436" spans="1:12">
      <c r="A436" s="34" t="s">
        <v>123</v>
      </c>
      <c r="B436" s="344">
        <v>1999</v>
      </c>
      <c r="C436" s="59" t="s">
        <v>94</v>
      </c>
      <c r="D436" s="59">
        <v>170</v>
      </c>
      <c r="E436" s="504" t="s">
        <v>119</v>
      </c>
      <c r="F436" s="29">
        <v>1</v>
      </c>
      <c r="G436" s="9">
        <v>1</v>
      </c>
      <c r="H436" s="9">
        <v>1</v>
      </c>
      <c r="I436" s="9">
        <v>2</v>
      </c>
      <c r="J436" s="43">
        <v>2</v>
      </c>
      <c r="K436" s="265">
        <f t="shared" si="6"/>
        <v>0.35859414261160716</v>
      </c>
      <c r="L436" s="164" t="s">
        <v>120</v>
      </c>
    </row>
    <row r="437" spans="1:12">
      <c r="A437" s="34" t="s">
        <v>123</v>
      </c>
      <c r="B437" s="344">
        <v>1999</v>
      </c>
      <c r="C437" s="59" t="s">
        <v>95</v>
      </c>
      <c r="D437" s="59">
        <v>180</v>
      </c>
      <c r="E437" s="504" t="s">
        <v>119</v>
      </c>
      <c r="F437" s="29">
        <v>1</v>
      </c>
      <c r="G437" s="9">
        <v>1</v>
      </c>
      <c r="H437" s="9">
        <v>1</v>
      </c>
      <c r="I437" s="9">
        <v>2</v>
      </c>
      <c r="J437" s="43">
        <v>2</v>
      </c>
      <c r="K437" s="265">
        <f t="shared" si="6"/>
        <v>0.35859414261160716</v>
      </c>
      <c r="L437" s="164" t="s">
        <v>120</v>
      </c>
    </row>
    <row r="438" spans="1:12">
      <c r="A438" s="34" t="s">
        <v>123</v>
      </c>
      <c r="B438" s="344">
        <v>1999</v>
      </c>
      <c r="C438" s="59" t="s">
        <v>96</v>
      </c>
      <c r="D438" s="59">
        <v>80</v>
      </c>
      <c r="E438" s="504" t="s">
        <v>119</v>
      </c>
      <c r="F438" s="29">
        <v>1</v>
      </c>
      <c r="G438" s="9">
        <v>1</v>
      </c>
      <c r="H438" s="9">
        <v>1</v>
      </c>
      <c r="I438" s="9">
        <v>2</v>
      </c>
      <c r="J438" s="43">
        <v>2</v>
      </c>
      <c r="K438" s="265">
        <f t="shared" si="6"/>
        <v>0.35859414261160716</v>
      </c>
      <c r="L438" s="164" t="s">
        <v>120</v>
      </c>
    </row>
    <row r="439" spans="1:12">
      <c r="A439" s="34" t="s">
        <v>123</v>
      </c>
      <c r="B439" s="344">
        <v>1999</v>
      </c>
      <c r="C439" s="59" t="s">
        <v>97</v>
      </c>
      <c r="D439" s="59">
        <v>26</v>
      </c>
      <c r="E439" s="504" t="s">
        <v>119</v>
      </c>
      <c r="F439" s="29">
        <v>1</v>
      </c>
      <c r="G439" s="9">
        <v>1</v>
      </c>
      <c r="H439" s="9">
        <v>1</v>
      </c>
      <c r="I439" s="9">
        <v>2</v>
      </c>
      <c r="J439" s="43">
        <v>2</v>
      </c>
      <c r="K439" s="265">
        <f t="shared" si="6"/>
        <v>0.35859414261160716</v>
      </c>
      <c r="L439" s="164" t="s">
        <v>120</v>
      </c>
    </row>
    <row r="440" spans="1:12">
      <c r="A440" s="34" t="s">
        <v>123</v>
      </c>
      <c r="B440" s="344">
        <v>1999</v>
      </c>
      <c r="C440" s="59" t="s">
        <v>98</v>
      </c>
      <c r="D440" s="59">
        <v>245</v>
      </c>
      <c r="E440" s="504" t="s">
        <v>119</v>
      </c>
      <c r="F440" s="29">
        <v>1</v>
      </c>
      <c r="G440" s="9">
        <v>1</v>
      </c>
      <c r="H440" s="9">
        <v>1</v>
      </c>
      <c r="I440" s="9">
        <v>2</v>
      </c>
      <c r="J440" s="43">
        <v>2</v>
      </c>
      <c r="K440" s="265">
        <f t="shared" si="6"/>
        <v>0.35859414261160716</v>
      </c>
      <c r="L440" s="164" t="s">
        <v>120</v>
      </c>
    </row>
    <row r="441" spans="1:12">
      <c r="A441" s="34" t="s">
        <v>123</v>
      </c>
      <c r="B441" s="344">
        <v>1999</v>
      </c>
      <c r="C441" s="59" t="s">
        <v>99</v>
      </c>
      <c r="D441" s="59">
        <v>0</v>
      </c>
      <c r="E441" s="504" t="s">
        <v>119</v>
      </c>
      <c r="F441" s="29">
        <v>1</v>
      </c>
      <c r="G441" s="9">
        <v>1</v>
      </c>
      <c r="H441" s="9">
        <v>1</v>
      </c>
      <c r="I441" s="9">
        <v>2</v>
      </c>
      <c r="J441" s="43">
        <v>2</v>
      </c>
      <c r="K441" s="265">
        <f t="shared" si="6"/>
        <v>0.35859414261160716</v>
      </c>
      <c r="L441" s="164" t="s">
        <v>120</v>
      </c>
    </row>
    <row r="442" spans="1:12">
      <c r="A442" s="34" t="s">
        <v>123</v>
      </c>
      <c r="B442" s="344">
        <v>1999</v>
      </c>
      <c r="C442" s="59" t="s">
        <v>102</v>
      </c>
      <c r="D442" s="59">
        <v>15</v>
      </c>
      <c r="E442" s="504" t="s">
        <v>119</v>
      </c>
      <c r="F442" s="29">
        <v>1</v>
      </c>
      <c r="G442" s="9">
        <v>1</v>
      </c>
      <c r="H442" s="9">
        <v>1</v>
      </c>
      <c r="I442" s="9">
        <v>2</v>
      </c>
      <c r="J442" s="43">
        <v>2</v>
      </c>
      <c r="K442" s="265">
        <f t="shared" si="6"/>
        <v>0.35859414261160716</v>
      </c>
      <c r="L442" s="164" t="s">
        <v>120</v>
      </c>
    </row>
    <row r="443" spans="1:12">
      <c r="A443" s="34" t="s">
        <v>123</v>
      </c>
      <c r="B443" s="344">
        <v>1999</v>
      </c>
      <c r="C443" s="59" t="s">
        <v>104</v>
      </c>
      <c r="D443" s="59">
        <v>39</v>
      </c>
      <c r="E443" s="504" t="s">
        <v>119</v>
      </c>
      <c r="F443" s="29">
        <v>1</v>
      </c>
      <c r="G443" s="9">
        <v>1</v>
      </c>
      <c r="H443" s="9">
        <v>1</v>
      </c>
      <c r="I443" s="9">
        <v>2</v>
      </c>
      <c r="J443" s="43">
        <v>2</v>
      </c>
      <c r="K443" s="265">
        <f t="shared" si="6"/>
        <v>0.35859414261160716</v>
      </c>
      <c r="L443" s="164" t="s">
        <v>120</v>
      </c>
    </row>
    <row r="444" spans="1:12">
      <c r="A444" s="34" t="s">
        <v>123</v>
      </c>
      <c r="B444" s="344">
        <v>1999</v>
      </c>
      <c r="C444" s="59" t="s">
        <v>105</v>
      </c>
      <c r="D444" s="59">
        <v>117</v>
      </c>
      <c r="E444" s="504" t="s">
        <v>119</v>
      </c>
      <c r="F444" s="29">
        <v>1</v>
      </c>
      <c r="G444" s="9">
        <v>1</v>
      </c>
      <c r="H444" s="9">
        <v>1</v>
      </c>
      <c r="I444" s="9">
        <v>2</v>
      </c>
      <c r="J444" s="43">
        <v>2</v>
      </c>
      <c r="K444" s="265">
        <f t="shared" si="6"/>
        <v>0.35859414261160716</v>
      </c>
      <c r="L444" s="164" t="s">
        <v>120</v>
      </c>
    </row>
    <row r="445" spans="1:12">
      <c r="A445" s="34" t="s">
        <v>123</v>
      </c>
      <c r="B445" s="344">
        <v>1999</v>
      </c>
      <c r="C445" s="59" t="s">
        <v>103</v>
      </c>
      <c r="D445" s="59">
        <v>58</v>
      </c>
      <c r="E445" s="504" t="s">
        <v>119</v>
      </c>
      <c r="F445" s="29">
        <v>1</v>
      </c>
      <c r="G445" s="9">
        <v>1</v>
      </c>
      <c r="H445" s="9">
        <v>1</v>
      </c>
      <c r="I445" s="9">
        <v>2</v>
      </c>
      <c r="J445" s="43">
        <v>2</v>
      </c>
      <c r="K445" s="265">
        <f t="shared" si="6"/>
        <v>0.35859414261160716</v>
      </c>
      <c r="L445" s="164" t="s">
        <v>120</v>
      </c>
    </row>
    <row r="446" spans="1:12">
      <c r="A446" s="34" t="s">
        <v>123</v>
      </c>
      <c r="B446" s="344">
        <v>1999</v>
      </c>
      <c r="C446" s="59" t="s">
        <v>101</v>
      </c>
      <c r="D446" s="59">
        <v>20</v>
      </c>
      <c r="E446" s="504" t="s">
        <v>119</v>
      </c>
      <c r="F446" s="29">
        <v>1</v>
      </c>
      <c r="G446" s="9">
        <v>1</v>
      </c>
      <c r="H446" s="9">
        <v>1</v>
      </c>
      <c r="I446" s="9">
        <v>2</v>
      </c>
      <c r="J446" s="43">
        <v>2</v>
      </c>
      <c r="K446" s="265">
        <f t="shared" si="6"/>
        <v>0.35859414261160716</v>
      </c>
      <c r="L446" s="164" t="s">
        <v>120</v>
      </c>
    </row>
    <row r="447" spans="1:12">
      <c r="A447" s="34" t="s">
        <v>123</v>
      </c>
      <c r="B447" s="344">
        <v>1999</v>
      </c>
      <c r="C447" s="59" t="s">
        <v>106</v>
      </c>
      <c r="D447" s="59">
        <v>511</v>
      </c>
      <c r="E447" s="504" t="s">
        <v>119</v>
      </c>
      <c r="F447" s="29">
        <v>1</v>
      </c>
      <c r="G447" s="9">
        <v>1</v>
      </c>
      <c r="H447" s="9">
        <v>1</v>
      </c>
      <c r="I447" s="9">
        <v>2</v>
      </c>
      <c r="J447" s="43">
        <v>2</v>
      </c>
      <c r="K447" s="265">
        <f t="shared" si="6"/>
        <v>0.35859414261160716</v>
      </c>
      <c r="L447" s="164" t="s">
        <v>120</v>
      </c>
    </row>
    <row r="448" spans="1:12">
      <c r="A448" s="34" t="s">
        <v>123</v>
      </c>
      <c r="B448" s="344">
        <v>2000</v>
      </c>
      <c r="C448" s="59" t="s">
        <v>93</v>
      </c>
      <c r="D448" s="59">
        <v>388</v>
      </c>
      <c r="E448" s="504" t="s">
        <v>119</v>
      </c>
      <c r="F448" s="29">
        <v>1</v>
      </c>
      <c r="G448" s="9">
        <v>1</v>
      </c>
      <c r="H448" s="9">
        <v>1</v>
      </c>
      <c r="I448" s="9">
        <v>2</v>
      </c>
      <c r="J448" s="43">
        <v>2</v>
      </c>
      <c r="K448" s="265">
        <f t="shared" si="6"/>
        <v>0.35859414261160716</v>
      </c>
      <c r="L448" s="164" t="s">
        <v>120</v>
      </c>
    </row>
    <row r="449" spans="1:12">
      <c r="A449" s="34" t="s">
        <v>123</v>
      </c>
      <c r="B449" s="344">
        <v>2000</v>
      </c>
      <c r="C449" s="59" t="s">
        <v>94</v>
      </c>
      <c r="D449" s="59">
        <v>167</v>
      </c>
      <c r="E449" s="504" t="s">
        <v>119</v>
      </c>
      <c r="F449" s="29">
        <v>1</v>
      </c>
      <c r="G449" s="9">
        <v>1</v>
      </c>
      <c r="H449" s="9">
        <v>1</v>
      </c>
      <c r="I449" s="9">
        <v>2</v>
      </c>
      <c r="J449" s="43">
        <v>2</v>
      </c>
      <c r="K449" s="265">
        <f t="shared" si="6"/>
        <v>0.35859414261160716</v>
      </c>
      <c r="L449" s="164" t="s">
        <v>120</v>
      </c>
    </row>
    <row r="450" spans="1:12">
      <c r="A450" s="34" t="s">
        <v>123</v>
      </c>
      <c r="B450" s="344">
        <v>2000</v>
      </c>
      <c r="C450" s="59" t="s">
        <v>95</v>
      </c>
      <c r="D450" s="59">
        <v>176</v>
      </c>
      <c r="E450" s="504" t="s">
        <v>119</v>
      </c>
      <c r="F450" s="29">
        <v>1</v>
      </c>
      <c r="G450" s="9">
        <v>1</v>
      </c>
      <c r="H450" s="9">
        <v>1</v>
      </c>
      <c r="I450" s="9">
        <v>2</v>
      </c>
      <c r="J450" s="43">
        <v>2</v>
      </c>
      <c r="K450" s="265">
        <f t="shared" ref="K450:K513" si="7">IF( OR( ISBLANK(F450),ISBLANK(G450), ISBLANK(H450), ISBLANK(I450), ISBLANK(J450) ), "", 1.5*SQRT(   EXP(2.21*(F450-1)) + EXP(2.21*(G450-1)) + EXP(2.21*(H450-1)) + EXP(2.21*(I450-1)) + EXP(2.21*J450)   )/100*2.45 )</f>
        <v>0.35859414261160716</v>
      </c>
      <c r="L450" s="164" t="s">
        <v>120</v>
      </c>
    </row>
    <row r="451" spans="1:12">
      <c r="A451" s="34" t="s">
        <v>123</v>
      </c>
      <c r="B451" s="344">
        <v>2000</v>
      </c>
      <c r="C451" s="59" t="s">
        <v>96</v>
      </c>
      <c r="D451" s="59">
        <v>76</v>
      </c>
      <c r="E451" s="504" t="s">
        <v>119</v>
      </c>
      <c r="F451" s="29">
        <v>1</v>
      </c>
      <c r="G451" s="9">
        <v>1</v>
      </c>
      <c r="H451" s="9">
        <v>1</v>
      </c>
      <c r="I451" s="9">
        <v>2</v>
      </c>
      <c r="J451" s="43">
        <v>2</v>
      </c>
      <c r="K451" s="265">
        <f t="shared" si="7"/>
        <v>0.35859414261160716</v>
      </c>
      <c r="L451" s="164" t="s">
        <v>120</v>
      </c>
    </row>
    <row r="452" spans="1:12">
      <c r="A452" s="34" t="s">
        <v>123</v>
      </c>
      <c r="B452" s="344">
        <v>2000</v>
      </c>
      <c r="C452" s="59" t="s">
        <v>97</v>
      </c>
      <c r="D452" s="59">
        <v>17</v>
      </c>
      <c r="E452" s="504" t="s">
        <v>119</v>
      </c>
      <c r="F452" s="29">
        <v>1</v>
      </c>
      <c r="G452" s="9">
        <v>1</v>
      </c>
      <c r="H452" s="9">
        <v>1</v>
      </c>
      <c r="I452" s="9">
        <v>2</v>
      </c>
      <c r="J452" s="43">
        <v>2</v>
      </c>
      <c r="K452" s="265">
        <f t="shared" si="7"/>
        <v>0.35859414261160716</v>
      </c>
      <c r="L452" s="164" t="s">
        <v>120</v>
      </c>
    </row>
    <row r="453" spans="1:12">
      <c r="A453" s="34" t="s">
        <v>123</v>
      </c>
      <c r="B453" s="344">
        <v>2000</v>
      </c>
      <c r="C453" s="59" t="s">
        <v>98</v>
      </c>
      <c r="D453" s="59">
        <v>204</v>
      </c>
      <c r="E453" s="504" t="s">
        <v>119</v>
      </c>
      <c r="F453" s="29">
        <v>1</v>
      </c>
      <c r="G453" s="9">
        <v>1</v>
      </c>
      <c r="H453" s="9">
        <v>1</v>
      </c>
      <c r="I453" s="9">
        <v>2</v>
      </c>
      <c r="J453" s="43">
        <v>2</v>
      </c>
      <c r="K453" s="265">
        <f t="shared" si="7"/>
        <v>0.35859414261160716</v>
      </c>
      <c r="L453" s="164" t="s">
        <v>120</v>
      </c>
    </row>
    <row r="454" spans="1:12">
      <c r="A454" s="34" t="s">
        <v>123</v>
      </c>
      <c r="B454" s="344">
        <v>2000</v>
      </c>
      <c r="C454" s="59" t="s">
        <v>99</v>
      </c>
      <c r="D454" s="59">
        <v>115</v>
      </c>
      <c r="E454" s="504" t="s">
        <v>119</v>
      </c>
      <c r="F454" s="29">
        <v>1</v>
      </c>
      <c r="G454" s="9">
        <v>1</v>
      </c>
      <c r="H454" s="9">
        <v>1</v>
      </c>
      <c r="I454" s="9">
        <v>2</v>
      </c>
      <c r="J454" s="43">
        <v>2</v>
      </c>
      <c r="K454" s="265">
        <f t="shared" si="7"/>
        <v>0.35859414261160716</v>
      </c>
      <c r="L454" s="164" t="s">
        <v>120</v>
      </c>
    </row>
    <row r="455" spans="1:12">
      <c r="A455" s="34" t="s">
        <v>123</v>
      </c>
      <c r="B455" s="344">
        <v>2000</v>
      </c>
      <c r="C455" s="59" t="s">
        <v>102</v>
      </c>
      <c r="D455" s="59">
        <v>16</v>
      </c>
      <c r="E455" s="504" t="s">
        <v>119</v>
      </c>
      <c r="F455" s="29">
        <v>1</v>
      </c>
      <c r="G455" s="9">
        <v>1</v>
      </c>
      <c r="H455" s="9">
        <v>1</v>
      </c>
      <c r="I455" s="9">
        <v>2</v>
      </c>
      <c r="J455" s="43">
        <v>2</v>
      </c>
      <c r="K455" s="265">
        <f t="shared" si="7"/>
        <v>0.35859414261160716</v>
      </c>
      <c r="L455" s="164" t="s">
        <v>120</v>
      </c>
    </row>
    <row r="456" spans="1:12">
      <c r="A456" s="34" t="s">
        <v>123</v>
      </c>
      <c r="B456" s="344">
        <v>2000</v>
      </c>
      <c r="C456" s="59" t="s">
        <v>104</v>
      </c>
      <c r="D456" s="59">
        <v>49</v>
      </c>
      <c r="E456" s="504" t="s">
        <v>119</v>
      </c>
      <c r="F456" s="29">
        <v>1</v>
      </c>
      <c r="G456" s="9">
        <v>1</v>
      </c>
      <c r="H456" s="9">
        <v>1</v>
      </c>
      <c r="I456" s="9">
        <v>2</v>
      </c>
      <c r="J456" s="43">
        <v>2</v>
      </c>
      <c r="K456" s="265">
        <f t="shared" si="7"/>
        <v>0.35859414261160716</v>
      </c>
      <c r="L456" s="164" t="s">
        <v>120</v>
      </c>
    </row>
    <row r="457" spans="1:12">
      <c r="A457" s="34" t="s">
        <v>123</v>
      </c>
      <c r="B457" s="344">
        <v>2000</v>
      </c>
      <c r="C457" s="59" t="s">
        <v>105</v>
      </c>
      <c r="D457" s="59">
        <v>116</v>
      </c>
      <c r="E457" s="504" t="s">
        <v>119</v>
      </c>
      <c r="F457" s="29">
        <v>1</v>
      </c>
      <c r="G457" s="9">
        <v>1</v>
      </c>
      <c r="H457" s="9">
        <v>1</v>
      </c>
      <c r="I457" s="9">
        <v>2</v>
      </c>
      <c r="J457" s="43">
        <v>2</v>
      </c>
      <c r="K457" s="265">
        <f t="shared" si="7"/>
        <v>0.35859414261160716</v>
      </c>
      <c r="L457" s="164" t="s">
        <v>120</v>
      </c>
    </row>
    <row r="458" spans="1:12">
      <c r="A458" s="34" t="s">
        <v>123</v>
      </c>
      <c r="B458" s="344">
        <v>2000</v>
      </c>
      <c r="C458" s="59" t="s">
        <v>103</v>
      </c>
      <c r="D458" s="59">
        <v>57</v>
      </c>
      <c r="E458" s="504" t="s">
        <v>119</v>
      </c>
      <c r="F458" s="29">
        <v>1</v>
      </c>
      <c r="G458" s="9">
        <v>1</v>
      </c>
      <c r="H458" s="9">
        <v>1</v>
      </c>
      <c r="I458" s="9">
        <v>2</v>
      </c>
      <c r="J458" s="43">
        <v>2</v>
      </c>
      <c r="K458" s="265">
        <f t="shared" si="7"/>
        <v>0.35859414261160716</v>
      </c>
      <c r="L458" s="164" t="s">
        <v>120</v>
      </c>
    </row>
    <row r="459" spans="1:12">
      <c r="A459" s="34" t="s">
        <v>123</v>
      </c>
      <c r="B459" s="344">
        <v>2000</v>
      </c>
      <c r="C459" s="59" t="s">
        <v>101</v>
      </c>
      <c r="D459" s="59">
        <v>26</v>
      </c>
      <c r="E459" s="504" t="s">
        <v>119</v>
      </c>
      <c r="F459" s="29">
        <v>1</v>
      </c>
      <c r="G459" s="9">
        <v>1</v>
      </c>
      <c r="H459" s="9">
        <v>1</v>
      </c>
      <c r="I459" s="9">
        <v>2</v>
      </c>
      <c r="J459" s="43">
        <v>2</v>
      </c>
      <c r="K459" s="265">
        <f t="shared" si="7"/>
        <v>0.35859414261160716</v>
      </c>
      <c r="L459" s="164" t="s">
        <v>120</v>
      </c>
    </row>
    <row r="460" spans="1:12">
      <c r="A460" s="34" t="s">
        <v>123</v>
      </c>
      <c r="B460" s="344">
        <v>2000</v>
      </c>
      <c r="C460" s="59" t="s">
        <v>106</v>
      </c>
      <c r="D460" s="59">
        <v>546</v>
      </c>
      <c r="E460" s="504" t="s">
        <v>119</v>
      </c>
      <c r="F460" s="29">
        <v>1</v>
      </c>
      <c r="G460" s="9">
        <v>1</v>
      </c>
      <c r="H460" s="9">
        <v>1</v>
      </c>
      <c r="I460" s="9">
        <v>2</v>
      </c>
      <c r="J460" s="43">
        <v>2</v>
      </c>
      <c r="K460" s="265">
        <f t="shared" si="7"/>
        <v>0.35859414261160716</v>
      </c>
      <c r="L460" s="164" t="s">
        <v>120</v>
      </c>
    </row>
    <row r="461" spans="1:12">
      <c r="A461" s="34" t="s">
        <v>123</v>
      </c>
      <c r="B461" s="344">
        <v>2001</v>
      </c>
      <c r="C461" s="59" t="s">
        <v>93</v>
      </c>
      <c r="D461" s="59">
        <v>404</v>
      </c>
      <c r="E461" s="504" t="s">
        <v>119</v>
      </c>
      <c r="F461" s="29">
        <v>1</v>
      </c>
      <c r="G461" s="9">
        <v>1</v>
      </c>
      <c r="H461" s="9">
        <v>1</v>
      </c>
      <c r="I461" s="9">
        <v>2</v>
      </c>
      <c r="J461" s="43">
        <v>2</v>
      </c>
      <c r="K461" s="265">
        <f t="shared" si="7"/>
        <v>0.35859414261160716</v>
      </c>
      <c r="L461" s="164" t="s">
        <v>120</v>
      </c>
    </row>
    <row r="462" spans="1:12">
      <c r="A462" s="34" t="s">
        <v>123</v>
      </c>
      <c r="B462" s="344">
        <v>2001</v>
      </c>
      <c r="C462" s="59" t="s">
        <v>94</v>
      </c>
      <c r="D462" s="59">
        <v>135</v>
      </c>
      <c r="E462" s="504" t="s">
        <v>119</v>
      </c>
      <c r="F462" s="29">
        <v>1</v>
      </c>
      <c r="G462" s="9">
        <v>1</v>
      </c>
      <c r="H462" s="9">
        <v>1</v>
      </c>
      <c r="I462" s="9">
        <v>2</v>
      </c>
      <c r="J462" s="43">
        <v>2</v>
      </c>
      <c r="K462" s="265">
        <f t="shared" si="7"/>
        <v>0.35859414261160716</v>
      </c>
      <c r="L462" s="164" t="s">
        <v>120</v>
      </c>
    </row>
    <row r="463" spans="1:12">
      <c r="A463" s="34" t="s">
        <v>123</v>
      </c>
      <c r="B463" s="344">
        <v>2001</v>
      </c>
      <c r="C463" s="59" t="s">
        <v>95</v>
      </c>
      <c r="D463" s="59">
        <v>169</v>
      </c>
      <c r="E463" s="504" t="s">
        <v>119</v>
      </c>
      <c r="F463" s="29">
        <v>1</v>
      </c>
      <c r="G463" s="9">
        <v>1</v>
      </c>
      <c r="H463" s="9">
        <v>1</v>
      </c>
      <c r="I463" s="9">
        <v>2</v>
      </c>
      <c r="J463" s="43">
        <v>2</v>
      </c>
      <c r="K463" s="265">
        <f t="shared" si="7"/>
        <v>0.35859414261160716</v>
      </c>
      <c r="L463" s="164" t="s">
        <v>120</v>
      </c>
    </row>
    <row r="464" spans="1:12">
      <c r="A464" s="34" t="s">
        <v>123</v>
      </c>
      <c r="B464" s="344">
        <v>2001</v>
      </c>
      <c r="C464" s="59" t="s">
        <v>96</v>
      </c>
      <c r="D464" s="59">
        <v>75</v>
      </c>
      <c r="E464" s="504" t="s">
        <v>119</v>
      </c>
      <c r="F464" s="29">
        <v>1</v>
      </c>
      <c r="G464" s="9">
        <v>1</v>
      </c>
      <c r="H464" s="9">
        <v>1</v>
      </c>
      <c r="I464" s="9">
        <v>2</v>
      </c>
      <c r="J464" s="43">
        <v>2</v>
      </c>
      <c r="K464" s="265">
        <f t="shared" si="7"/>
        <v>0.35859414261160716</v>
      </c>
      <c r="L464" s="164" t="s">
        <v>120</v>
      </c>
    </row>
    <row r="465" spans="1:12">
      <c r="A465" s="34" t="s">
        <v>123</v>
      </c>
      <c r="B465" s="344">
        <v>2001</v>
      </c>
      <c r="C465" s="59" t="s">
        <v>97</v>
      </c>
      <c r="D465" s="59">
        <v>27</v>
      </c>
      <c r="E465" s="504" t="s">
        <v>119</v>
      </c>
      <c r="F465" s="29">
        <v>1</v>
      </c>
      <c r="G465" s="9">
        <v>1</v>
      </c>
      <c r="H465" s="9">
        <v>1</v>
      </c>
      <c r="I465" s="9">
        <v>2</v>
      </c>
      <c r="J465" s="43">
        <v>2</v>
      </c>
      <c r="K465" s="265">
        <f t="shared" si="7"/>
        <v>0.35859414261160716</v>
      </c>
      <c r="L465" s="164" t="s">
        <v>120</v>
      </c>
    </row>
    <row r="466" spans="1:12">
      <c r="A466" s="34" t="s">
        <v>123</v>
      </c>
      <c r="B466" s="344">
        <v>2001</v>
      </c>
      <c r="C466" s="59" t="s">
        <v>98</v>
      </c>
      <c r="D466" s="59">
        <v>198</v>
      </c>
      <c r="E466" s="504" t="s">
        <v>119</v>
      </c>
      <c r="F466" s="29">
        <v>1</v>
      </c>
      <c r="G466" s="9">
        <v>1</v>
      </c>
      <c r="H466" s="9">
        <v>1</v>
      </c>
      <c r="I466" s="9">
        <v>2</v>
      </c>
      <c r="J466" s="43">
        <v>2</v>
      </c>
      <c r="K466" s="265">
        <f t="shared" si="7"/>
        <v>0.35859414261160716</v>
      </c>
      <c r="L466" s="164" t="s">
        <v>120</v>
      </c>
    </row>
    <row r="467" spans="1:12">
      <c r="A467" s="34" t="s">
        <v>123</v>
      </c>
      <c r="B467" s="344">
        <v>2001</v>
      </c>
      <c r="C467" s="59" t="s">
        <v>99</v>
      </c>
      <c r="D467" s="59">
        <v>126</v>
      </c>
      <c r="E467" s="504" t="s">
        <v>119</v>
      </c>
      <c r="F467" s="29">
        <v>1</v>
      </c>
      <c r="G467" s="9">
        <v>1</v>
      </c>
      <c r="H467" s="9">
        <v>1</v>
      </c>
      <c r="I467" s="9">
        <v>2</v>
      </c>
      <c r="J467" s="43">
        <v>2</v>
      </c>
      <c r="K467" s="265">
        <f t="shared" si="7"/>
        <v>0.35859414261160716</v>
      </c>
      <c r="L467" s="164" t="s">
        <v>120</v>
      </c>
    </row>
    <row r="468" spans="1:12">
      <c r="A468" s="34" t="s">
        <v>123</v>
      </c>
      <c r="B468" s="344">
        <v>2001</v>
      </c>
      <c r="C468" s="59" t="s">
        <v>102</v>
      </c>
      <c r="D468" s="59">
        <v>19</v>
      </c>
      <c r="E468" s="504" t="s">
        <v>119</v>
      </c>
      <c r="F468" s="29">
        <v>1</v>
      </c>
      <c r="G468" s="9">
        <v>1</v>
      </c>
      <c r="H468" s="9">
        <v>1</v>
      </c>
      <c r="I468" s="9">
        <v>2</v>
      </c>
      <c r="J468" s="43">
        <v>2</v>
      </c>
      <c r="K468" s="265">
        <f t="shared" si="7"/>
        <v>0.35859414261160716</v>
      </c>
      <c r="L468" s="164" t="s">
        <v>120</v>
      </c>
    </row>
    <row r="469" spans="1:12">
      <c r="A469" s="34" t="s">
        <v>123</v>
      </c>
      <c r="B469" s="344">
        <v>2001</v>
      </c>
      <c r="C469" s="59" t="s">
        <v>104</v>
      </c>
      <c r="D469" s="59">
        <v>54</v>
      </c>
      <c r="E469" s="504" t="s">
        <v>119</v>
      </c>
      <c r="F469" s="29">
        <v>1</v>
      </c>
      <c r="G469" s="9">
        <v>1</v>
      </c>
      <c r="H469" s="9">
        <v>1</v>
      </c>
      <c r="I469" s="9">
        <v>2</v>
      </c>
      <c r="J469" s="43">
        <v>2</v>
      </c>
      <c r="K469" s="265">
        <f t="shared" si="7"/>
        <v>0.35859414261160716</v>
      </c>
      <c r="L469" s="164" t="s">
        <v>120</v>
      </c>
    </row>
    <row r="470" spans="1:12">
      <c r="A470" s="34" t="s">
        <v>123</v>
      </c>
      <c r="B470" s="344">
        <v>2001</v>
      </c>
      <c r="C470" s="59" t="s">
        <v>105</v>
      </c>
      <c r="D470" s="59">
        <v>102</v>
      </c>
      <c r="E470" s="504" t="s">
        <v>119</v>
      </c>
      <c r="F470" s="29">
        <v>1</v>
      </c>
      <c r="G470" s="9">
        <v>1</v>
      </c>
      <c r="H470" s="9">
        <v>1</v>
      </c>
      <c r="I470" s="9">
        <v>2</v>
      </c>
      <c r="J470" s="43">
        <v>2</v>
      </c>
      <c r="K470" s="265">
        <f t="shared" si="7"/>
        <v>0.35859414261160716</v>
      </c>
      <c r="L470" s="164" t="s">
        <v>120</v>
      </c>
    </row>
    <row r="471" spans="1:12">
      <c r="A471" s="34" t="s">
        <v>123</v>
      </c>
      <c r="B471" s="344">
        <v>2001</v>
      </c>
      <c r="C471" s="59" t="s">
        <v>103</v>
      </c>
      <c r="D471" s="59">
        <v>43</v>
      </c>
      <c r="E471" s="504" t="s">
        <v>119</v>
      </c>
      <c r="F471" s="29">
        <v>1</v>
      </c>
      <c r="G471" s="9">
        <v>1</v>
      </c>
      <c r="H471" s="9">
        <v>1</v>
      </c>
      <c r="I471" s="9">
        <v>2</v>
      </c>
      <c r="J471" s="43">
        <v>2</v>
      </c>
      <c r="K471" s="265">
        <f t="shared" si="7"/>
        <v>0.35859414261160716</v>
      </c>
      <c r="L471" s="164" t="s">
        <v>120</v>
      </c>
    </row>
    <row r="472" spans="1:12">
      <c r="A472" s="34" t="s">
        <v>123</v>
      </c>
      <c r="B472" s="344">
        <v>2001</v>
      </c>
      <c r="C472" s="59" t="s">
        <v>101</v>
      </c>
      <c r="D472" s="59">
        <v>23</v>
      </c>
      <c r="E472" s="504" t="s">
        <v>119</v>
      </c>
      <c r="F472" s="29">
        <v>1</v>
      </c>
      <c r="G472" s="9">
        <v>1</v>
      </c>
      <c r="H472" s="9">
        <v>1</v>
      </c>
      <c r="I472" s="9">
        <v>2</v>
      </c>
      <c r="J472" s="43">
        <v>2</v>
      </c>
      <c r="K472" s="265">
        <f t="shared" si="7"/>
        <v>0.35859414261160716</v>
      </c>
      <c r="L472" s="164" t="s">
        <v>120</v>
      </c>
    </row>
    <row r="473" spans="1:12">
      <c r="A473" s="34" t="s">
        <v>123</v>
      </c>
      <c r="B473" s="344">
        <v>2001</v>
      </c>
      <c r="C473" s="59" t="s">
        <v>106</v>
      </c>
      <c r="D473" s="59">
        <v>600</v>
      </c>
      <c r="E473" s="504" t="s">
        <v>119</v>
      </c>
      <c r="F473" s="29">
        <v>1</v>
      </c>
      <c r="G473" s="9">
        <v>1</v>
      </c>
      <c r="H473" s="9">
        <v>1</v>
      </c>
      <c r="I473" s="9">
        <v>2</v>
      </c>
      <c r="J473" s="43">
        <v>2</v>
      </c>
      <c r="K473" s="265">
        <f t="shared" si="7"/>
        <v>0.35859414261160716</v>
      </c>
      <c r="L473" s="164" t="s">
        <v>120</v>
      </c>
    </row>
    <row r="474" spans="1:12">
      <c r="A474" s="34" t="s">
        <v>123</v>
      </c>
      <c r="B474" s="344">
        <v>2002</v>
      </c>
      <c r="C474" s="59" t="s">
        <v>93</v>
      </c>
      <c r="D474" s="59">
        <v>494</v>
      </c>
      <c r="E474" s="504" t="s">
        <v>119</v>
      </c>
      <c r="F474" s="29">
        <v>1</v>
      </c>
      <c r="G474" s="9">
        <v>1</v>
      </c>
      <c r="H474" s="9">
        <v>1</v>
      </c>
      <c r="I474" s="9">
        <v>2</v>
      </c>
      <c r="J474" s="43">
        <v>2</v>
      </c>
      <c r="K474" s="265">
        <f t="shared" si="7"/>
        <v>0.35859414261160716</v>
      </c>
      <c r="L474" s="164" t="s">
        <v>120</v>
      </c>
    </row>
    <row r="475" spans="1:12">
      <c r="A475" s="34" t="s">
        <v>123</v>
      </c>
      <c r="B475" s="344">
        <v>2002</v>
      </c>
      <c r="C475" s="59" t="s">
        <v>94</v>
      </c>
      <c r="D475" s="59">
        <v>146</v>
      </c>
      <c r="E475" s="504" t="s">
        <v>119</v>
      </c>
      <c r="F475" s="29">
        <v>1</v>
      </c>
      <c r="G475" s="9">
        <v>1</v>
      </c>
      <c r="H475" s="9">
        <v>1</v>
      </c>
      <c r="I475" s="9">
        <v>2</v>
      </c>
      <c r="J475" s="43">
        <v>2</v>
      </c>
      <c r="K475" s="265">
        <f t="shared" si="7"/>
        <v>0.35859414261160716</v>
      </c>
      <c r="L475" s="164" t="s">
        <v>120</v>
      </c>
    </row>
    <row r="476" spans="1:12">
      <c r="A476" s="34" t="s">
        <v>123</v>
      </c>
      <c r="B476" s="344">
        <v>2002</v>
      </c>
      <c r="C476" s="59" t="s">
        <v>95</v>
      </c>
      <c r="D476" s="59">
        <v>243</v>
      </c>
      <c r="E476" s="504" t="s">
        <v>119</v>
      </c>
      <c r="F476" s="29">
        <v>1</v>
      </c>
      <c r="G476" s="9">
        <v>1</v>
      </c>
      <c r="H476" s="9">
        <v>1</v>
      </c>
      <c r="I476" s="9">
        <v>2</v>
      </c>
      <c r="J476" s="43">
        <v>2</v>
      </c>
      <c r="K476" s="265">
        <f t="shared" si="7"/>
        <v>0.35859414261160716</v>
      </c>
      <c r="L476" s="164" t="s">
        <v>120</v>
      </c>
    </row>
    <row r="477" spans="1:12">
      <c r="A477" s="34" t="s">
        <v>123</v>
      </c>
      <c r="B477" s="344">
        <v>2002</v>
      </c>
      <c r="C477" s="59" t="s">
        <v>96</v>
      </c>
      <c r="D477" s="59">
        <v>73</v>
      </c>
      <c r="E477" s="504" t="s">
        <v>119</v>
      </c>
      <c r="F477" s="29">
        <v>1</v>
      </c>
      <c r="G477" s="9">
        <v>1</v>
      </c>
      <c r="H477" s="9">
        <v>1</v>
      </c>
      <c r="I477" s="9">
        <v>2</v>
      </c>
      <c r="J477" s="43">
        <v>2</v>
      </c>
      <c r="K477" s="265">
        <f t="shared" si="7"/>
        <v>0.35859414261160716</v>
      </c>
      <c r="L477" s="164" t="s">
        <v>120</v>
      </c>
    </row>
    <row r="478" spans="1:12">
      <c r="A478" s="34" t="s">
        <v>123</v>
      </c>
      <c r="B478" s="344">
        <v>2002</v>
      </c>
      <c r="C478" s="59" t="s">
        <v>97</v>
      </c>
      <c r="D478" s="59">
        <v>30</v>
      </c>
      <c r="E478" s="504" t="s">
        <v>119</v>
      </c>
      <c r="F478" s="29">
        <v>1</v>
      </c>
      <c r="G478" s="9">
        <v>1</v>
      </c>
      <c r="H478" s="9">
        <v>1</v>
      </c>
      <c r="I478" s="9">
        <v>2</v>
      </c>
      <c r="J478" s="43">
        <v>2</v>
      </c>
      <c r="K478" s="265">
        <f t="shared" si="7"/>
        <v>0.35859414261160716</v>
      </c>
      <c r="L478" s="164" t="s">
        <v>120</v>
      </c>
    </row>
    <row r="479" spans="1:12">
      <c r="A479" s="34" t="s">
        <v>123</v>
      </c>
      <c r="B479" s="344">
        <v>2002</v>
      </c>
      <c r="C479" s="59" t="s">
        <v>98</v>
      </c>
      <c r="D479" s="59">
        <v>197</v>
      </c>
      <c r="E479" s="504" t="s">
        <v>119</v>
      </c>
      <c r="F479" s="29">
        <v>1</v>
      </c>
      <c r="G479" s="9">
        <v>1</v>
      </c>
      <c r="H479" s="9">
        <v>1</v>
      </c>
      <c r="I479" s="9">
        <v>2</v>
      </c>
      <c r="J479" s="43">
        <v>2</v>
      </c>
      <c r="K479" s="265">
        <f t="shared" si="7"/>
        <v>0.35859414261160716</v>
      </c>
      <c r="L479" s="164" t="s">
        <v>120</v>
      </c>
    </row>
    <row r="480" spans="1:12">
      <c r="A480" s="34" t="s">
        <v>123</v>
      </c>
      <c r="B480" s="344">
        <v>2002</v>
      </c>
      <c r="C480" s="59" t="s">
        <v>99</v>
      </c>
      <c r="D480" s="59">
        <v>118</v>
      </c>
      <c r="E480" s="504" t="s">
        <v>119</v>
      </c>
      <c r="F480" s="29">
        <v>1</v>
      </c>
      <c r="G480" s="9">
        <v>1</v>
      </c>
      <c r="H480" s="9">
        <v>1</v>
      </c>
      <c r="I480" s="9">
        <v>2</v>
      </c>
      <c r="J480" s="43">
        <v>2</v>
      </c>
      <c r="K480" s="265">
        <f t="shared" si="7"/>
        <v>0.35859414261160716</v>
      </c>
      <c r="L480" s="164" t="s">
        <v>120</v>
      </c>
    </row>
    <row r="481" spans="1:12">
      <c r="A481" s="34" t="s">
        <v>123</v>
      </c>
      <c r="B481" s="344">
        <v>2002</v>
      </c>
      <c r="C481" s="59" t="s">
        <v>102</v>
      </c>
      <c r="D481" s="59">
        <v>30</v>
      </c>
      <c r="E481" s="504" t="s">
        <v>119</v>
      </c>
      <c r="F481" s="29">
        <v>1</v>
      </c>
      <c r="G481" s="9">
        <v>1</v>
      </c>
      <c r="H481" s="9">
        <v>1</v>
      </c>
      <c r="I481" s="9">
        <v>2</v>
      </c>
      <c r="J481" s="43">
        <v>2</v>
      </c>
      <c r="K481" s="265">
        <f t="shared" si="7"/>
        <v>0.35859414261160716</v>
      </c>
      <c r="L481" s="164" t="s">
        <v>120</v>
      </c>
    </row>
    <row r="482" spans="1:12">
      <c r="A482" s="34" t="s">
        <v>123</v>
      </c>
      <c r="B482" s="344">
        <v>2002</v>
      </c>
      <c r="C482" s="59" t="s">
        <v>104</v>
      </c>
      <c r="D482" s="59">
        <v>62</v>
      </c>
      <c r="E482" s="504" t="s">
        <v>119</v>
      </c>
      <c r="F482" s="29">
        <v>1</v>
      </c>
      <c r="G482" s="9">
        <v>1</v>
      </c>
      <c r="H482" s="9">
        <v>1</v>
      </c>
      <c r="I482" s="9">
        <v>2</v>
      </c>
      <c r="J482" s="43">
        <v>2</v>
      </c>
      <c r="K482" s="265">
        <f t="shared" si="7"/>
        <v>0.35859414261160716</v>
      </c>
      <c r="L482" s="164" t="s">
        <v>120</v>
      </c>
    </row>
    <row r="483" spans="1:12">
      <c r="A483" s="34" t="s">
        <v>123</v>
      </c>
      <c r="B483" s="344">
        <v>2002</v>
      </c>
      <c r="C483" s="59" t="s">
        <v>105</v>
      </c>
      <c r="D483" s="59">
        <v>179</v>
      </c>
      <c r="E483" s="504" t="s">
        <v>119</v>
      </c>
      <c r="F483" s="29">
        <v>1</v>
      </c>
      <c r="G483" s="9">
        <v>1</v>
      </c>
      <c r="H483" s="9">
        <v>1</v>
      </c>
      <c r="I483" s="9">
        <v>2</v>
      </c>
      <c r="J483" s="43">
        <v>2</v>
      </c>
      <c r="K483" s="265">
        <f t="shared" si="7"/>
        <v>0.35859414261160716</v>
      </c>
      <c r="L483" s="164" t="s">
        <v>120</v>
      </c>
    </row>
    <row r="484" spans="1:12">
      <c r="A484" s="34" t="s">
        <v>123</v>
      </c>
      <c r="B484" s="344">
        <v>2002</v>
      </c>
      <c r="C484" s="59" t="s">
        <v>103</v>
      </c>
      <c r="D484" s="59">
        <v>44</v>
      </c>
      <c r="E484" s="504" t="s">
        <v>119</v>
      </c>
      <c r="F484" s="29">
        <v>1</v>
      </c>
      <c r="G484" s="9">
        <v>1</v>
      </c>
      <c r="H484" s="9">
        <v>1</v>
      </c>
      <c r="I484" s="9">
        <v>2</v>
      </c>
      <c r="J484" s="43">
        <v>2</v>
      </c>
      <c r="K484" s="265">
        <f t="shared" si="7"/>
        <v>0.35859414261160716</v>
      </c>
      <c r="L484" s="164" t="s">
        <v>120</v>
      </c>
    </row>
    <row r="485" spans="1:12">
      <c r="A485" s="34" t="s">
        <v>123</v>
      </c>
      <c r="B485" s="344">
        <v>2002</v>
      </c>
      <c r="C485" s="59" t="s">
        <v>101</v>
      </c>
      <c r="D485" s="59">
        <v>20</v>
      </c>
      <c r="E485" s="504" t="s">
        <v>119</v>
      </c>
      <c r="F485" s="29">
        <v>1</v>
      </c>
      <c r="G485" s="9">
        <v>1</v>
      </c>
      <c r="H485" s="9">
        <v>1</v>
      </c>
      <c r="I485" s="9">
        <v>2</v>
      </c>
      <c r="J485" s="43">
        <v>2</v>
      </c>
      <c r="K485" s="265">
        <f t="shared" si="7"/>
        <v>0.35859414261160716</v>
      </c>
      <c r="L485" s="164" t="s">
        <v>120</v>
      </c>
    </row>
    <row r="486" spans="1:12">
      <c r="A486" s="34" t="s">
        <v>123</v>
      </c>
      <c r="B486" s="344">
        <v>2002</v>
      </c>
      <c r="C486" s="59" t="s">
        <v>106</v>
      </c>
      <c r="D486" s="59">
        <v>723</v>
      </c>
      <c r="E486" s="504" t="s">
        <v>119</v>
      </c>
      <c r="F486" s="29">
        <v>1</v>
      </c>
      <c r="G486" s="9">
        <v>1</v>
      </c>
      <c r="H486" s="9">
        <v>1</v>
      </c>
      <c r="I486" s="9">
        <v>2</v>
      </c>
      <c r="J486" s="43">
        <v>2</v>
      </c>
      <c r="K486" s="265">
        <f t="shared" si="7"/>
        <v>0.35859414261160716</v>
      </c>
      <c r="L486" s="164" t="s">
        <v>120</v>
      </c>
    </row>
    <row r="487" spans="1:12">
      <c r="A487" s="34" t="s">
        <v>123</v>
      </c>
      <c r="B487" s="344">
        <v>2003</v>
      </c>
      <c r="C487" s="59" t="s">
        <v>93</v>
      </c>
      <c r="D487" s="59">
        <v>534</v>
      </c>
      <c r="E487" s="504" t="s">
        <v>119</v>
      </c>
      <c r="F487" s="29">
        <v>1</v>
      </c>
      <c r="G487" s="9">
        <v>1</v>
      </c>
      <c r="H487" s="9">
        <v>1</v>
      </c>
      <c r="I487" s="9">
        <v>2</v>
      </c>
      <c r="J487" s="43">
        <v>2</v>
      </c>
      <c r="K487" s="265">
        <f t="shared" si="7"/>
        <v>0.35859414261160716</v>
      </c>
      <c r="L487" s="164" t="s">
        <v>120</v>
      </c>
    </row>
    <row r="488" spans="1:12">
      <c r="A488" s="34" t="s">
        <v>123</v>
      </c>
      <c r="B488" s="344">
        <v>2003</v>
      </c>
      <c r="C488" s="59" t="s">
        <v>94</v>
      </c>
      <c r="D488" s="59">
        <v>157</v>
      </c>
      <c r="E488" s="504" t="s">
        <v>119</v>
      </c>
      <c r="F488" s="29">
        <v>1</v>
      </c>
      <c r="G488" s="9">
        <v>1</v>
      </c>
      <c r="H488" s="9">
        <v>1</v>
      </c>
      <c r="I488" s="9">
        <v>2</v>
      </c>
      <c r="J488" s="43">
        <v>2</v>
      </c>
      <c r="K488" s="265">
        <f t="shared" si="7"/>
        <v>0.35859414261160716</v>
      </c>
      <c r="L488" s="164" t="s">
        <v>120</v>
      </c>
    </row>
    <row r="489" spans="1:12">
      <c r="A489" s="34" t="s">
        <v>123</v>
      </c>
      <c r="B489" s="344">
        <v>2003</v>
      </c>
      <c r="C489" s="59" t="s">
        <v>95</v>
      </c>
      <c r="D489" s="59">
        <v>190</v>
      </c>
      <c r="E489" s="504" t="s">
        <v>119</v>
      </c>
      <c r="F489" s="29">
        <v>1</v>
      </c>
      <c r="G489" s="9">
        <v>1</v>
      </c>
      <c r="H489" s="9">
        <v>1</v>
      </c>
      <c r="I489" s="9">
        <v>2</v>
      </c>
      <c r="J489" s="43">
        <v>2</v>
      </c>
      <c r="K489" s="265">
        <f t="shared" si="7"/>
        <v>0.35859414261160716</v>
      </c>
      <c r="L489" s="164" t="s">
        <v>120</v>
      </c>
    </row>
    <row r="490" spans="1:12">
      <c r="A490" s="34" t="s">
        <v>123</v>
      </c>
      <c r="B490" s="344">
        <v>2003</v>
      </c>
      <c r="C490" s="59" t="s">
        <v>96</v>
      </c>
      <c r="D490" s="59">
        <v>68</v>
      </c>
      <c r="E490" s="504" t="s">
        <v>119</v>
      </c>
      <c r="F490" s="29">
        <v>1</v>
      </c>
      <c r="G490" s="9">
        <v>1</v>
      </c>
      <c r="H490" s="9">
        <v>1</v>
      </c>
      <c r="I490" s="9">
        <v>2</v>
      </c>
      <c r="J490" s="43">
        <v>2</v>
      </c>
      <c r="K490" s="265">
        <f t="shared" si="7"/>
        <v>0.35859414261160716</v>
      </c>
      <c r="L490" s="164" t="s">
        <v>120</v>
      </c>
    </row>
    <row r="491" spans="1:12">
      <c r="A491" s="34" t="s">
        <v>123</v>
      </c>
      <c r="B491" s="344">
        <v>2003</v>
      </c>
      <c r="C491" s="59" t="s">
        <v>97</v>
      </c>
      <c r="D491" s="59">
        <v>34</v>
      </c>
      <c r="E491" s="504" t="s">
        <v>119</v>
      </c>
      <c r="F491" s="29">
        <v>1</v>
      </c>
      <c r="G491" s="9">
        <v>1</v>
      </c>
      <c r="H491" s="9">
        <v>1</v>
      </c>
      <c r="I491" s="9">
        <v>2</v>
      </c>
      <c r="J491" s="43">
        <v>2</v>
      </c>
      <c r="K491" s="265">
        <f t="shared" si="7"/>
        <v>0.35859414261160716</v>
      </c>
      <c r="L491" s="164" t="s">
        <v>120</v>
      </c>
    </row>
    <row r="492" spans="1:12">
      <c r="A492" s="34" t="s">
        <v>123</v>
      </c>
      <c r="B492" s="344">
        <v>2003</v>
      </c>
      <c r="C492" s="59" t="s">
        <v>98</v>
      </c>
      <c r="D492" s="59">
        <v>151</v>
      </c>
      <c r="E492" s="504" t="s">
        <v>119</v>
      </c>
      <c r="F492" s="29">
        <v>1</v>
      </c>
      <c r="G492" s="9">
        <v>1</v>
      </c>
      <c r="H492" s="9">
        <v>1</v>
      </c>
      <c r="I492" s="9">
        <v>2</v>
      </c>
      <c r="J492" s="43">
        <v>2</v>
      </c>
      <c r="K492" s="265">
        <f t="shared" si="7"/>
        <v>0.35859414261160716</v>
      </c>
      <c r="L492" s="164" t="s">
        <v>120</v>
      </c>
    </row>
    <row r="493" spans="1:12">
      <c r="A493" s="34" t="s">
        <v>123</v>
      </c>
      <c r="B493" s="344">
        <v>2003</v>
      </c>
      <c r="C493" s="59" t="s">
        <v>99</v>
      </c>
      <c r="D493" s="59">
        <v>119</v>
      </c>
      <c r="E493" s="504" t="s">
        <v>119</v>
      </c>
      <c r="F493" s="29">
        <v>1</v>
      </c>
      <c r="G493" s="9">
        <v>1</v>
      </c>
      <c r="H493" s="9">
        <v>1</v>
      </c>
      <c r="I493" s="9">
        <v>2</v>
      </c>
      <c r="J493" s="43">
        <v>2</v>
      </c>
      <c r="K493" s="265">
        <f t="shared" si="7"/>
        <v>0.35859414261160716</v>
      </c>
      <c r="L493" s="164" t="s">
        <v>120</v>
      </c>
    </row>
    <row r="494" spans="1:12">
      <c r="A494" s="34" t="s">
        <v>123</v>
      </c>
      <c r="B494" s="344">
        <v>2003</v>
      </c>
      <c r="C494" s="59" t="s">
        <v>102</v>
      </c>
      <c r="D494" s="59">
        <v>31</v>
      </c>
      <c r="E494" s="504" t="s">
        <v>119</v>
      </c>
      <c r="F494" s="29">
        <v>1</v>
      </c>
      <c r="G494" s="9">
        <v>1</v>
      </c>
      <c r="H494" s="9">
        <v>1</v>
      </c>
      <c r="I494" s="9">
        <v>2</v>
      </c>
      <c r="J494" s="43">
        <v>2</v>
      </c>
      <c r="K494" s="265">
        <f t="shared" si="7"/>
        <v>0.35859414261160716</v>
      </c>
      <c r="L494" s="164" t="s">
        <v>120</v>
      </c>
    </row>
    <row r="495" spans="1:12">
      <c r="A495" s="34" t="s">
        <v>123</v>
      </c>
      <c r="B495" s="344">
        <v>2003</v>
      </c>
      <c r="C495" s="59" t="s">
        <v>104</v>
      </c>
      <c r="D495" s="59">
        <v>78</v>
      </c>
      <c r="E495" s="504" t="s">
        <v>119</v>
      </c>
      <c r="F495" s="29">
        <v>1</v>
      </c>
      <c r="G495" s="9">
        <v>1</v>
      </c>
      <c r="H495" s="9">
        <v>1</v>
      </c>
      <c r="I495" s="9">
        <v>2</v>
      </c>
      <c r="J495" s="43">
        <v>2</v>
      </c>
      <c r="K495" s="265">
        <f t="shared" si="7"/>
        <v>0.35859414261160716</v>
      </c>
      <c r="L495" s="164" t="s">
        <v>120</v>
      </c>
    </row>
    <row r="496" spans="1:12">
      <c r="A496" s="34" t="s">
        <v>123</v>
      </c>
      <c r="B496" s="344">
        <v>2003</v>
      </c>
      <c r="C496" s="59" t="s">
        <v>105</v>
      </c>
      <c r="D496" s="59">
        <v>117</v>
      </c>
      <c r="E496" s="504" t="s">
        <v>119</v>
      </c>
      <c r="F496" s="29">
        <v>1</v>
      </c>
      <c r="G496" s="9">
        <v>1</v>
      </c>
      <c r="H496" s="9">
        <v>1</v>
      </c>
      <c r="I496" s="9">
        <v>2</v>
      </c>
      <c r="J496" s="43">
        <v>2</v>
      </c>
      <c r="K496" s="265">
        <f t="shared" si="7"/>
        <v>0.35859414261160716</v>
      </c>
      <c r="L496" s="164" t="s">
        <v>120</v>
      </c>
    </row>
    <row r="497" spans="1:12">
      <c r="A497" s="34" t="s">
        <v>123</v>
      </c>
      <c r="B497" s="344">
        <v>2003</v>
      </c>
      <c r="C497" s="59" t="s">
        <v>103</v>
      </c>
      <c r="D497" s="59">
        <v>57</v>
      </c>
      <c r="E497" s="504" t="s">
        <v>119</v>
      </c>
      <c r="F497" s="29">
        <v>1</v>
      </c>
      <c r="G497" s="9">
        <v>1</v>
      </c>
      <c r="H497" s="9">
        <v>1</v>
      </c>
      <c r="I497" s="9">
        <v>2</v>
      </c>
      <c r="J497" s="43">
        <v>2</v>
      </c>
      <c r="K497" s="265">
        <f t="shared" si="7"/>
        <v>0.35859414261160716</v>
      </c>
      <c r="L497" s="164" t="s">
        <v>120</v>
      </c>
    </row>
    <row r="498" spans="1:12">
      <c r="A498" s="34" t="s">
        <v>123</v>
      </c>
      <c r="B498" s="344">
        <v>2003</v>
      </c>
      <c r="C498" s="59" t="s">
        <v>101</v>
      </c>
      <c r="D498" s="59">
        <v>19</v>
      </c>
      <c r="E498" s="504" t="s">
        <v>119</v>
      </c>
      <c r="F498" s="29">
        <v>1</v>
      </c>
      <c r="G498" s="9">
        <v>1</v>
      </c>
      <c r="H498" s="9">
        <v>1</v>
      </c>
      <c r="I498" s="9">
        <v>2</v>
      </c>
      <c r="J498" s="43">
        <v>2</v>
      </c>
      <c r="K498" s="265">
        <f t="shared" si="7"/>
        <v>0.35859414261160716</v>
      </c>
      <c r="L498" s="164" t="s">
        <v>120</v>
      </c>
    </row>
    <row r="499" spans="1:12">
      <c r="A499" s="34" t="s">
        <v>123</v>
      </c>
      <c r="B499" s="344">
        <v>2003</v>
      </c>
      <c r="C499" s="59" t="s">
        <v>106</v>
      </c>
      <c r="D499" s="59">
        <v>698</v>
      </c>
      <c r="E499" s="504" t="s">
        <v>119</v>
      </c>
      <c r="F499" s="29">
        <v>1</v>
      </c>
      <c r="G499" s="9">
        <v>1</v>
      </c>
      <c r="H499" s="9">
        <v>1</v>
      </c>
      <c r="I499" s="9">
        <v>2</v>
      </c>
      <c r="J499" s="43">
        <v>2</v>
      </c>
      <c r="K499" s="265">
        <f t="shared" si="7"/>
        <v>0.35859414261160716</v>
      </c>
      <c r="L499" s="164" t="s">
        <v>120</v>
      </c>
    </row>
    <row r="500" spans="1:12">
      <c r="A500" s="34" t="s">
        <v>123</v>
      </c>
      <c r="B500" s="344">
        <v>2004</v>
      </c>
      <c r="C500" s="59" t="s">
        <v>93</v>
      </c>
      <c r="D500" s="59">
        <v>602</v>
      </c>
      <c r="E500" s="504" t="s">
        <v>119</v>
      </c>
      <c r="F500" s="29">
        <v>1</v>
      </c>
      <c r="G500" s="9">
        <v>1</v>
      </c>
      <c r="H500" s="9">
        <v>1</v>
      </c>
      <c r="I500" s="9">
        <v>2</v>
      </c>
      <c r="J500" s="43">
        <v>2</v>
      </c>
      <c r="K500" s="265">
        <f t="shared" si="7"/>
        <v>0.35859414261160716</v>
      </c>
      <c r="L500" s="164" t="s">
        <v>120</v>
      </c>
    </row>
    <row r="501" spans="1:12">
      <c r="A501" s="34" t="s">
        <v>123</v>
      </c>
      <c r="B501" s="344">
        <v>2004</v>
      </c>
      <c r="C501" s="59" t="s">
        <v>94</v>
      </c>
      <c r="D501" s="59">
        <v>162</v>
      </c>
      <c r="E501" s="504" t="s">
        <v>119</v>
      </c>
      <c r="F501" s="29">
        <v>1</v>
      </c>
      <c r="G501" s="9">
        <v>1</v>
      </c>
      <c r="H501" s="9">
        <v>1</v>
      </c>
      <c r="I501" s="9">
        <v>2</v>
      </c>
      <c r="J501" s="43">
        <v>2</v>
      </c>
      <c r="K501" s="265">
        <f t="shared" si="7"/>
        <v>0.35859414261160716</v>
      </c>
      <c r="L501" s="164" t="s">
        <v>120</v>
      </c>
    </row>
    <row r="502" spans="1:12">
      <c r="A502" s="34" t="s">
        <v>123</v>
      </c>
      <c r="B502" s="344">
        <v>2004</v>
      </c>
      <c r="C502" s="59" t="s">
        <v>95</v>
      </c>
      <c r="D502" s="59">
        <v>190</v>
      </c>
      <c r="E502" s="504" t="s">
        <v>119</v>
      </c>
      <c r="F502" s="29">
        <v>1</v>
      </c>
      <c r="G502" s="9">
        <v>1</v>
      </c>
      <c r="H502" s="9">
        <v>1</v>
      </c>
      <c r="I502" s="9">
        <v>2</v>
      </c>
      <c r="J502" s="43">
        <v>2</v>
      </c>
      <c r="K502" s="265">
        <f t="shared" si="7"/>
        <v>0.35859414261160716</v>
      </c>
      <c r="L502" s="164" t="s">
        <v>120</v>
      </c>
    </row>
    <row r="503" spans="1:12">
      <c r="A503" s="34" t="s">
        <v>123</v>
      </c>
      <c r="B503" s="344">
        <v>2004</v>
      </c>
      <c r="C503" s="59" t="s">
        <v>96</v>
      </c>
      <c r="D503" s="59">
        <v>69</v>
      </c>
      <c r="E503" s="504" t="s">
        <v>119</v>
      </c>
      <c r="F503" s="29">
        <v>1</v>
      </c>
      <c r="G503" s="9">
        <v>1</v>
      </c>
      <c r="H503" s="9">
        <v>1</v>
      </c>
      <c r="I503" s="9">
        <v>2</v>
      </c>
      <c r="J503" s="43">
        <v>2</v>
      </c>
      <c r="K503" s="265">
        <f t="shared" si="7"/>
        <v>0.35859414261160716</v>
      </c>
      <c r="L503" s="164" t="s">
        <v>120</v>
      </c>
    </row>
    <row r="504" spans="1:12">
      <c r="A504" s="34" t="s">
        <v>123</v>
      </c>
      <c r="B504" s="344">
        <v>2004</v>
      </c>
      <c r="C504" s="59" t="s">
        <v>97</v>
      </c>
      <c r="D504" s="59">
        <v>40</v>
      </c>
      <c r="E504" s="504" t="s">
        <v>119</v>
      </c>
      <c r="F504" s="29">
        <v>1</v>
      </c>
      <c r="G504" s="9">
        <v>1</v>
      </c>
      <c r="H504" s="9">
        <v>1</v>
      </c>
      <c r="I504" s="9">
        <v>2</v>
      </c>
      <c r="J504" s="43">
        <v>2</v>
      </c>
      <c r="K504" s="265">
        <f t="shared" si="7"/>
        <v>0.35859414261160716</v>
      </c>
      <c r="L504" s="164" t="s">
        <v>120</v>
      </c>
    </row>
    <row r="505" spans="1:12">
      <c r="A505" s="34" t="s">
        <v>123</v>
      </c>
      <c r="B505" s="344">
        <v>2004</v>
      </c>
      <c r="C505" s="59" t="s">
        <v>98</v>
      </c>
      <c r="D505" s="59">
        <v>162</v>
      </c>
      <c r="E505" s="504" t="s">
        <v>119</v>
      </c>
      <c r="F505" s="29">
        <v>1</v>
      </c>
      <c r="G505" s="9">
        <v>1</v>
      </c>
      <c r="H505" s="9">
        <v>1</v>
      </c>
      <c r="I505" s="9">
        <v>2</v>
      </c>
      <c r="J505" s="43">
        <v>2</v>
      </c>
      <c r="K505" s="265">
        <f t="shared" si="7"/>
        <v>0.35859414261160716</v>
      </c>
      <c r="L505" s="164" t="s">
        <v>120</v>
      </c>
    </row>
    <row r="506" spans="1:12">
      <c r="A506" s="34" t="s">
        <v>123</v>
      </c>
      <c r="B506" s="344">
        <v>2004</v>
      </c>
      <c r="C506" s="59" t="s">
        <v>99</v>
      </c>
      <c r="D506" s="59">
        <v>107</v>
      </c>
      <c r="E506" s="504" t="s">
        <v>119</v>
      </c>
      <c r="F506" s="29">
        <v>1</v>
      </c>
      <c r="G506" s="9">
        <v>1</v>
      </c>
      <c r="H506" s="9">
        <v>1</v>
      </c>
      <c r="I506" s="9">
        <v>2</v>
      </c>
      <c r="J506" s="43">
        <v>2</v>
      </c>
      <c r="K506" s="265">
        <f t="shared" si="7"/>
        <v>0.35859414261160716</v>
      </c>
      <c r="L506" s="164" t="s">
        <v>120</v>
      </c>
    </row>
    <row r="507" spans="1:12">
      <c r="A507" s="34" t="s">
        <v>123</v>
      </c>
      <c r="B507" s="344">
        <v>2004</v>
      </c>
      <c r="C507" s="59" t="s">
        <v>102</v>
      </c>
      <c r="D507" s="59">
        <v>16</v>
      </c>
      <c r="E507" s="504" t="s">
        <v>119</v>
      </c>
      <c r="F507" s="29">
        <v>1</v>
      </c>
      <c r="G507" s="9">
        <v>1</v>
      </c>
      <c r="H507" s="9">
        <v>1</v>
      </c>
      <c r="I507" s="9">
        <v>2</v>
      </c>
      <c r="J507" s="43">
        <v>2</v>
      </c>
      <c r="K507" s="265">
        <f t="shared" si="7"/>
        <v>0.35859414261160716</v>
      </c>
      <c r="L507" s="164" t="s">
        <v>120</v>
      </c>
    </row>
    <row r="508" spans="1:12">
      <c r="A508" s="34" t="s">
        <v>123</v>
      </c>
      <c r="B508" s="344">
        <v>2004</v>
      </c>
      <c r="C508" s="59" t="s">
        <v>104</v>
      </c>
      <c r="D508" s="59">
        <v>82</v>
      </c>
      <c r="E508" s="504" t="s">
        <v>119</v>
      </c>
      <c r="F508" s="29">
        <v>1</v>
      </c>
      <c r="G508" s="9">
        <v>1</v>
      </c>
      <c r="H508" s="9">
        <v>1</v>
      </c>
      <c r="I508" s="9">
        <v>2</v>
      </c>
      <c r="J508" s="43">
        <v>2</v>
      </c>
      <c r="K508" s="265">
        <f t="shared" si="7"/>
        <v>0.35859414261160716</v>
      </c>
      <c r="L508" s="164" t="s">
        <v>120</v>
      </c>
    </row>
    <row r="509" spans="1:12">
      <c r="A509" s="34" t="s">
        <v>123</v>
      </c>
      <c r="B509" s="344">
        <v>2004</v>
      </c>
      <c r="C509" s="59" t="s">
        <v>105</v>
      </c>
      <c r="D509" s="59">
        <v>192</v>
      </c>
      <c r="E509" s="504" t="s">
        <v>119</v>
      </c>
      <c r="F509" s="29">
        <v>1</v>
      </c>
      <c r="G509" s="9">
        <v>1</v>
      </c>
      <c r="H509" s="9">
        <v>1</v>
      </c>
      <c r="I509" s="9">
        <v>2</v>
      </c>
      <c r="J509" s="43">
        <v>2</v>
      </c>
      <c r="K509" s="265">
        <f t="shared" si="7"/>
        <v>0.35859414261160716</v>
      </c>
      <c r="L509" s="164" t="s">
        <v>120</v>
      </c>
    </row>
    <row r="510" spans="1:12">
      <c r="A510" s="34" t="s">
        <v>123</v>
      </c>
      <c r="B510" s="344">
        <v>2004</v>
      </c>
      <c r="C510" s="59" t="s">
        <v>103</v>
      </c>
      <c r="D510" s="59">
        <v>75</v>
      </c>
      <c r="E510" s="504" t="s">
        <v>119</v>
      </c>
      <c r="F510" s="29">
        <v>1</v>
      </c>
      <c r="G510" s="9">
        <v>1</v>
      </c>
      <c r="H510" s="9">
        <v>1</v>
      </c>
      <c r="I510" s="9">
        <v>2</v>
      </c>
      <c r="J510" s="43">
        <v>2</v>
      </c>
      <c r="K510" s="265">
        <f t="shared" si="7"/>
        <v>0.35859414261160716</v>
      </c>
      <c r="L510" s="164" t="s">
        <v>120</v>
      </c>
    </row>
    <row r="511" spans="1:12">
      <c r="A511" s="34" t="s">
        <v>123</v>
      </c>
      <c r="B511" s="344">
        <v>2004</v>
      </c>
      <c r="C511" s="59" t="s">
        <v>101</v>
      </c>
      <c r="D511" s="59">
        <v>21</v>
      </c>
      <c r="E511" s="504" t="s">
        <v>119</v>
      </c>
      <c r="F511" s="29">
        <v>1</v>
      </c>
      <c r="G511" s="9">
        <v>1</v>
      </c>
      <c r="H511" s="9">
        <v>1</v>
      </c>
      <c r="I511" s="9">
        <v>2</v>
      </c>
      <c r="J511" s="43">
        <v>2</v>
      </c>
      <c r="K511" s="265">
        <f t="shared" si="7"/>
        <v>0.35859414261160716</v>
      </c>
      <c r="L511" s="164" t="s">
        <v>120</v>
      </c>
    </row>
    <row r="512" spans="1:12">
      <c r="A512" s="34" t="s">
        <v>123</v>
      </c>
      <c r="B512" s="344">
        <v>2004</v>
      </c>
      <c r="C512" s="59" t="s">
        <v>106</v>
      </c>
      <c r="D512" s="59">
        <v>802</v>
      </c>
      <c r="E512" s="504" t="s">
        <v>119</v>
      </c>
      <c r="F512" s="29">
        <v>1</v>
      </c>
      <c r="G512" s="9">
        <v>1</v>
      </c>
      <c r="H512" s="9">
        <v>1</v>
      </c>
      <c r="I512" s="9">
        <v>2</v>
      </c>
      <c r="J512" s="43">
        <v>2</v>
      </c>
      <c r="K512" s="265">
        <f t="shared" si="7"/>
        <v>0.35859414261160716</v>
      </c>
      <c r="L512" s="164" t="s">
        <v>120</v>
      </c>
    </row>
    <row r="513" spans="1:12">
      <c r="A513" s="34" t="s">
        <v>123</v>
      </c>
      <c r="B513" s="344">
        <v>2005</v>
      </c>
      <c r="C513" s="59" t="s">
        <v>93</v>
      </c>
      <c r="D513" s="59">
        <v>700</v>
      </c>
      <c r="E513" s="504" t="s">
        <v>119</v>
      </c>
      <c r="F513" s="29">
        <v>1</v>
      </c>
      <c r="G513" s="9">
        <v>1</v>
      </c>
      <c r="H513" s="9">
        <v>1</v>
      </c>
      <c r="I513" s="9">
        <v>2</v>
      </c>
      <c r="J513" s="43">
        <v>2</v>
      </c>
      <c r="K513" s="265">
        <f t="shared" si="7"/>
        <v>0.35859414261160716</v>
      </c>
      <c r="L513" s="164" t="s">
        <v>120</v>
      </c>
    </row>
    <row r="514" spans="1:12">
      <c r="A514" s="34" t="s">
        <v>123</v>
      </c>
      <c r="B514" s="344">
        <v>2005</v>
      </c>
      <c r="C514" s="59" t="s">
        <v>94</v>
      </c>
      <c r="D514" s="59">
        <v>172</v>
      </c>
      <c r="E514" s="504" t="s">
        <v>119</v>
      </c>
      <c r="F514" s="29">
        <v>1</v>
      </c>
      <c r="G514" s="9">
        <v>1</v>
      </c>
      <c r="H514" s="9">
        <v>1</v>
      </c>
      <c r="I514" s="9">
        <v>2</v>
      </c>
      <c r="J514" s="43">
        <v>2</v>
      </c>
      <c r="K514" s="265">
        <f t="shared" ref="K514:K577" si="8">IF( OR( ISBLANK(F514),ISBLANK(G514), ISBLANK(H514), ISBLANK(I514), ISBLANK(J514) ), "", 1.5*SQRT(   EXP(2.21*(F514-1)) + EXP(2.21*(G514-1)) + EXP(2.21*(H514-1)) + EXP(2.21*(I514-1)) + EXP(2.21*J514)   )/100*2.45 )</f>
        <v>0.35859414261160716</v>
      </c>
      <c r="L514" s="164" t="s">
        <v>120</v>
      </c>
    </row>
    <row r="515" spans="1:12">
      <c r="A515" s="34" t="s">
        <v>123</v>
      </c>
      <c r="B515" s="344">
        <v>2005</v>
      </c>
      <c r="C515" s="59" t="s">
        <v>95</v>
      </c>
      <c r="D515" s="59">
        <v>214</v>
      </c>
      <c r="E515" s="504" t="s">
        <v>119</v>
      </c>
      <c r="F515" s="29">
        <v>1</v>
      </c>
      <c r="G515" s="9">
        <v>1</v>
      </c>
      <c r="H515" s="9">
        <v>1</v>
      </c>
      <c r="I515" s="9">
        <v>2</v>
      </c>
      <c r="J515" s="43">
        <v>2</v>
      </c>
      <c r="K515" s="265">
        <f t="shared" si="8"/>
        <v>0.35859414261160716</v>
      </c>
      <c r="L515" s="164" t="s">
        <v>120</v>
      </c>
    </row>
    <row r="516" spans="1:12">
      <c r="A516" s="34" t="s">
        <v>123</v>
      </c>
      <c r="B516" s="344">
        <v>2005</v>
      </c>
      <c r="C516" s="59" t="s">
        <v>96</v>
      </c>
      <c r="D516" s="59">
        <v>96</v>
      </c>
      <c r="E516" s="504" t="s">
        <v>119</v>
      </c>
      <c r="F516" s="29">
        <v>1</v>
      </c>
      <c r="G516" s="9">
        <v>1</v>
      </c>
      <c r="H516" s="9">
        <v>1</v>
      </c>
      <c r="I516" s="9">
        <v>2</v>
      </c>
      <c r="J516" s="43">
        <v>2</v>
      </c>
      <c r="K516" s="265">
        <f t="shared" si="8"/>
        <v>0.35859414261160716</v>
      </c>
      <c r="L516" s="164" t="s">
        <v>120</v>
      </c>
    </row>
    <row r="517" spans="1:12">
      <c r="A517" s="34" t="s">
        <v>123</v>
      </c>
      <c r="B517" s="344">
        <v>2005</v>
      </c>
      <c r="C517" s="59" t="s">
        <v>97</v>
      </c>
      <c r="D517" s="59">
        <v>32</v>
      </c>
      <c r="E517" s="504" t="s">
        <v>119</v>
      </c>
      <c r="F517" s="29">
        <v>1</v>
      </c>
      <c r="G517" s="9">
        <v>1</v>
      </c>
      <c r="H517" s="9">
        <v>1</v>
      </c>
      <c r="I517" s="9">
        <v>2</v>
      </c>
      <c r="J517" s="43">
        <v>2</v>
      </c>
      <c r="K517" s="265">
        <f t="shared" si="8"/>
        <v>0.35859414261160716</v>
      </c>
      <c r="L517" s="164" t="s">
        <v>120</v>
      </c>
    </row>
    <row r="518" spans="1:12">
      <c r="A518" s="34" t="s">
        <v>123</v>
      </c>
      <c r="B518" s="344">
        <v>2005</v>
      </c>
      <c r="C518" s="59" t="s">
        <v>98</v>
      </c>
      <c r="D518" s="59">
        <v>134</v>
      </c>
      <c r="E518" s="504" t="s">
        <v>119</v>
      </c>
      <c r="F518" s="29">
        <v>1</v>
      </c>
      <c r="G518" s="9">
        <v>1</v>
      </c>
      <c r="H518" s="9">
        <v>1</v>
      </c>
      <c r="I518" s="9">
        <v>2</v>
      </c>
      <c r="J518" s="43">
        <v>2</v>
      </c>
      <c r="K518" s="265">
        <f t="shared" si="8"/>
        <v>0.35859414261160716</v>
      </c>
      <c r="L518" s="164" t="s">
        <v>120</v>
      </c>
    </row>
    <row r="519" spans="1:12">
      <c r="A519" s="34" t="s">
        <v>123</v>
      </c>
      <c r="B519" s="344">
        <v>2005</v>
      </c>
      <c r="C519" s="59" t="s">
        <v>99</v>
      </c>
      <c r="D519" s="59">
        <v>161</v>
      </c>
      <c r="E519" s="504" t="s">
        <v>119</v>
      </c>
      <c r="F519" s="29">
        <v>1</v>
      </c>
      <c r="G519" s="9">
        <v>1</v>
      </c>
      <c r="H519" s="9">
        <v>1</v>
      </c>
      <c r="I519" s="9">
        <v>2</v>
      </c>
      <c r="J519" s="43">
        <v>2</v>
      </c>
      <c r="K519" s="265">
        <f t="shared" si="8"/>
        <v>0.35859414261160716</v>
      </c>
      <c r="L519" s="164" t="s">
        <v>120</v>
      </c>
    </row>
    <row r="520" spans="1:12">
      <c r="A520" s="34" t="s">
        <v>123</v>
      </c>
      <c r="B520" s="344">
        <v>2005</v>
      </c>
      <c r="C520" s="59" t="s">
        <v>102</v>
      </c>
      <c r="D520" s="59">
        <v>16</v>
      </c>
      <c r="E520" s="504" t="s">
        <v>119</v>
      </c>
      <c r="F520" s="29">
        <v>1</v>
      </c>
      <c r="G520" s="9">
        <v>1</v>
      </c>
      <c r="H520" s="9">
        <v>1</v>
      </c>
      <c r="I520" s="9">
        <v>2</v>
      </c>
      <c r="J520" s="43">
        <v>2</v>
      </c>
      <c r="K520" s="265">
        <f t="shared" si="8"/>
        <v>0.35859414261160716</v>
      </c>
      <c r="L520" s="164" t="s">
        <v>120</v>
      </c>
    </row>
    <row r="521" spans="1:12">
      <c r="A521" s="34" t="s">
        <v>123</v>
      </c>
      <c r="B521" s="344">
        <v>2005</v>
      </c>
      <c r="C521" s="59" t="s">
        <v>104</v>
      </c>
      <c r="D521" s="59">
        <v>84</v>
      </c>
      <c r="E521" s="504" t="s">
        <v>119</v>
      </c>
      <c r="F521" s="29">
        <v>1</v>
      </c>
      <c r="G521" s="9">
        <v>1</v>
      </c>
      <c r="H521" s="9">
        <v>1</v>
      </c>
      <c r="I521" s="9">
        <v>2</v>
      </c>
      <c r="J521" s="43">
        <v>2</v>
      </c>
      <c r="K521" s="265">
        <f t="shared" si="8"/>
        <v>0.35859414261160716</v>
      </c>
      <c r="L521" s="164" t="s">
        <v>120</v>
      </c>
    </row>
    <row r="522" spans="1:12">
      <c r="A522" s="34" t="s">
        <v>123</v>
      </c>
      <c r="B522" s="344">
        <v>2005</v>
      </c>
      <c r="C522" s="59" t="s">
        <v>105</v>
      </c>
      <c r="D522" s="59">
        <v>187</v>
      </c>
      <c r="E522" s="504" t="s">
        <v>119</v>
      </c>
      <c r="F522" s="29">
        <v>1</v>
      </c>
      <c r="G522" s="9">
        <v>1</v>
      </c>
      <c r="H522" s="9">
        <v>1</v>
      </c>
      <c r="I522" s="9">
        <v>2</v>
      </c>
      <c r="J522" s="43">
        <v>2</v>
      </c>
      <c r="K522" s="265">
        <f t="shared" si="8"/>
        <v>0.35859414261160716</v>
      </c>
      <c r="L522" s="164" t="s">
        <v>120</v>
      </c>
    </row>
    <row r="523" spans="1:12">
      <c r="A523" s="34" t="s">
        <v>123</v>
      </c>
      <c r="B523" s="344">
        <v>2005</v>
      </c>
      <c r="C523" s="59" t="s">
        <v>103</v>
      </c>
      <c r="D523" s="59">
        <v>111</v>
      </c>
      <c r="E523" s="504" t="s">
        <v>119</v>
      </c>
      <c r="F523" s="29">
        <v>1</v>
      </c>
      <c r="G523" s="9">
        <v>1</v>
      </c>
      <c r="H523" s="9">
        <v>1</v>
      </c>
      <c r="I523" s="9">
        <v>2</v>
      </c>
      <c r="J523" s="43">
        <v>2</v>
      </c>
      <c r="K523" s="265">
        <f t="shared" si="8"/>
        <v>0.35859414261160716</v>
      </c>
      <c r="L523" s="164" t="s">
        <v>120</v>
      </c>
    </row>
    <row r="524" spans="1:12">
      <c r="A524" s="34" t="s">
        <v>123</v>
      </c>
      <c r="B524" s="344">
        <v>2005</v>
      </c>
      <c r="C524" s="59" t="s">
        <v>101</v>
      </c>
      <c r="D524" s="59">
        <v>65</v>
      </c>
      <c r="E524" s="504" t="s">
        <v>119</v>
      </c>
      <c r="F524" s="29">
        <v>1</v>
      </c>
      <c r="G524" s="9">
        <v>1</v>
      </c>
      <c r="H524" s="9">
        <v>1</v>
      </c>
      <c r="I524" s="9">
        <v>2</v>
      </c>
      <c r="J524" s="43">
        <v>2</v>
      </c>
      <c r="K524" s="265">
        <f t="shared" si="8"/>
        <v>0.35859414261160716</v>
      </c>
      <c r="L524" s="164" t="s">
        <v>120</v>
      </c>
    </row>
    <row r="525" spans="1:12">
      <c r="A525" s="34" t="s">
        <v>123</v>
      </c>
      <c r="B525" s="344">
        <v>2005</v>
      </c>
      <c r="C525" s="59" t="s">
        <v>106</v>
      </c>
      <c r="D525" s="59">
        <v>783</v>
      </c>
      <c r="E525" s="504" t="s">
        <v>119</v>
      </c>
      <c r="F525" s="29">
        <v>1</v>
      </c>
      <c r="G525" s="9">
        <v>1</v>
      </c>
      <c r="H525" s="9">
        <v>1</v>
      </c>
      <c r="I525" s="9">
        <v>2</v>
      </c>
      <c r="J525" s="43">
        <v>2</v>
      </c>
      <c r="K525" s="265">
        <f t="shared" si="8"/>
        <v>0.35859414261160716</v>
      </c>
      <c r="L525" s="164" t="s">
        <v>120</v>
      </c>
    </row>
    <row r="526" spans="1:12">
      <c r="A526" s="34" t="s">
        <v>123</v>
      </c>
      <c r="B526" s="344">
        <v>2006</v>
      </c>
      <c r="C526" s="59" t="s">
        <v>93</v>
      </c>
      <c r="D526" s="59">
        <v>601</v>
      </c>
      <c r="E526" s="504" t="s">
        <v>119</v>
      </c>
      <c r="F526" s="29">
        <v>1</v>
      </c>
      <c r="G526" s="9">
        <v>1</v>
      </c>
      <c r="H526" s="9">
        <v>1</v>
      </c>
      <c r="I526" s="9">
        <v>2</v>
      </c>
      <c r="J526" s="43">
        <v>2</v>
      </c>
      <c r="K526" s="265">
        <f t="shared" si="8"/>
        <v>0.35859414261160716</v>
      </c>
      <c r="L526" s="164" t="s">
        <v>120</v>
      </c>
    </row>
    <row r="527" spans="1:12">
      <c r="A527" s="34" t="s">
        <v>123</v>
      </c>
      <c r="B527" s="344">
        <v>2006</v>
      </c>
      <c r="C527" s="59" t="s">
        <v>94</v>
      </c>
      <c r="D527" s="59">
        <v>161</v>
      </c>
      <c r="E527" s="504" t="s">
        <v>119</v>
      </c>
      <c r="F527" s="29">
        <v>1</v>
      </c>
      <c r="G527" s="9">
        <v>1</v>
      </c>
      <c r="H527" s="9">
        <v>1</v>
      </c>
      <c r="I527" s="9">
        <v>2</v>
      </c>
      <c r="J527" s="43">
        <v>2</v>
      </c>
      <c r="K527" s="265">
        <f t="shared" si="8"/>
        <v>0.35859414261160716</v>
      </c>
      <c r="L527" s="164" t="s">
        <v>120</v>
      </c>
    </row>
    <row r="528" spans="1:12">
      <c r="A528" s="34" t="s">
        <v>123</v>
      </c>
      <c r="B528" s="344">
        <v>2006</v>
      </c>
      <c r="C528" s="59" t="s">
        <v>95</v>
      </c>
      <c r="D528" s="59">
        <v>251</v>
      </c>
      <c r="E528" s="504" t="s">
        <v>119</v>
      </c>
      <c r="F528" s="29">
        <v>1</v>
      </c>
      <c r="G528" s="9">
        <v>1</v>
      </c>
      <c r="H528" s="9">
        <v>1</v>
      </c>
      <c r="I528" s="9">
        <v>2</v>
      </c>
      <c r="J528" s="43">
        <v>2</v>
      </c>
      <c r="K528" s="265">
        <f t="shared" si="8"/>
        <v>0.35859414261160716</v>
      </c>
      <c r="L528" s="164" t="s">
        <v>120</v>
      </c>
    </row>
    <row r="529" spans="1:12">
      <c r="A529" s="34" t="s">
        <v>123</v>
      </c>
      <c r="B529" s="344">
        <v>2006</v>
      </c>
      <c r="C529" s="59" t="s">
        <v>96</v>
      </c>
      <c r="D529" s="59">
        <v>52</v>
      </c>
      <c r="E529" s="504" t="s">
        <v>119</v>
      </c>
      <c r="F529" s="29">
        <v>1</v>
      </c>
      <c r="G529" s="9">
        <v>1</v>
      </c>
      <c r="H529" s="9">
        <v>1</v>
      </c>
      <c r="I529" s="9">
        <v>2</v>
      </c>
      <c r="J529" s="43">
        <v>2</v>
      </c>
      <c r="K529" s="265">
        <f t="shared" si="8"/>
        <v>0.35859414261160716</v>
      </c>
      <c r="L529" s="164" t="s">
        <v>120</v>
      </c>
    </row>
    <row r="530" spans="1:12">
      <c r="A530" s="34" t="s">
        <v>123</v>
      </c>
      <c r="B530" s="344">
        <v>2006</v>
      </c>
      <c r="C530" s="59" t="s">
        <v>97</v>
      </c>
      <c r="D530" s="59">
        <v>41</v>
      </c>
      <c r="E530" s="504" t="s">
        <v>119</v>
      </c>
      <c r="F530" s="29">
        <v>1</v>
      </c>
      <c r="G530" s="9">
        <v>1</v>
      </c>
      <c r="H530" s="9">
        <v>1</v>
      </c>
      <c r="I530" s="9">
        <v>2</v>
      </c>
      <c r="J530" s="43">
        <v>2</v>
      </c>
      <c r="K530" s="265">
        <f t="shared" si="8"/>
        <v>0.35859414261160716</v>
      </c>
      <c r="L530" s="164" t="s">
        <v>120</v>
      </c>
    </row>
    <row r="531" spans="1:12">
      <c r="A531" s="34" t="s">
        <v>123</v>
      </c>
      <c r="B531" s="344">
        <v>2006</v>
      </c>
      <c r="C531" s="59" t="s">
        <v>98</v>
      </c>
      <c r="D531" s="59">
        <v>130</v>
      </c>
      <c r="E531" s="504" t="s">
        <v>119</v>
      </c>
      <c r="F531" s="29">
        <v>1</v>
      </c>
      <c r="G531" s="9">
        <v>1</v>
      </c>
      <c r="H531" s="9">
        <v>1</v>
      </c>
      <c r="I531" s="9">
        <v>2</v>
      </c>
      <c r="J531" s="43">
        <v>2</v>
      </c>
      <c r="K531" s="265">
        <f t="shared" si="8"/>
        <v>0.35859414261160716</v>
      </c>
      <c r="L531" s="164" t="s">
        <v>120</v>
      </c>
    </row>
    <row r="532" spans="1:12">
      <c r="A532" s="34" t="s">
        <v>123</v>
      </c>
      <c r="B532" s="344">
        <v>2006</v>
      </c>
      <c r="C532" s="59" t="s">
        <v>99</v>
      </c>
      <c r="D532" s="59">
        <v>157</v>
      </c>
      <c r="E532" s="504" t="s">
        <v>119</v>
      </c>
      <c r="F532" s="29">
        <v>1</v>
      </c>
      <c r="G532" s="9">
        <v>1</v>
      </c>
      <c r="H532" s="9">
        <v>1</v>
      </c>
      <c r="I532" s="9">
        <v>2</v>
      </c>
      <c r="J532" s="43">
        <v>2</v>
      </c>
      <c r="K532" s="265">
        <f t="shared" si="8"/>
        <v>0.35859414261160716</v>
      </c>
      <c r="L532" s="164" t="s">
        <v>120</v>
      </c>
    </row>
    <row r="533" spans="1:12">
      <c r="A533" s="34" t="s">
        <v>123</v>
      </c>
      <c r="B533" s="344">
        <v>2006</v>
      </c>
      <c r="C533" s="59" t="s">
        <v>102</v>
      </c>
      <c r="D533" s="59">
        <v>15</v>
      </c>
      <c r="E533" s="504" t="s">
        <v>119</v>
      </c>
      <c r="F533" s="29">
        <v>1</v>
      </c>
      <c r="G533" s="9">
        <v>1</v>
      </c>
      <c r="H533" s="9">
        <v>1</v>
      </c>
      <c r="I533" s="9">
        <v>2</v>
      </c>
      <c r="J533" s="43">
        <v>2</v>
      </c>
      <c r="K533" s="265">
        <f t="shared" si="8"/>
        <v>0.35859414261160716</v>
      </c>
      <c r="L533" s="164" t="s">
        <v>120</v>
      </c>
    </row>
    <row r="534" spans="1:12">
      <c r="A534" s="34" t="s">
        <v>123</v>
      </c>
      <c r="B534" s="344">
        <v>2006</v>
      </c>
      <c r="C534" s="59" t="s">
        <v>104</v>
      </c>
      <c r="D534" s="59">
        <v>75</v>
      </c>
      <c r="E534" s="504" t="s">
        <v>119</v>
      </c>
      <c r="F534" s="29">
        <v>1</v>
      </c>
      <c r="G534" s="9">
        <v>1</v>
      </c>
      <c r="H534" s="9">
        <v>1</v>
      </c>
      <c r="I534" s="9">
        <v>2</v>
      </c>
      <c r="J534" s="43">
        <v>2</v>
      </c>
      <c r="K534" s="265">
        <f t="shared" si="8"/>
        <v>0.35859414261160716</v>
      </c>
      <c r="L534" s="164" t="s">
        <v>120</v>
      </c>
    </row>
    <row r="535" spans="1:12">
      <c r="A535" s="34" t="s">
        <v>123</v>
      </c>
      <c r="B535" s="344">
        <v>2006</v>
      </c>
      <c r="C535" s="59" t="s">
        <v>105</v>
      </c>
      <c r="D535" s="59">
        <v>202</v>
      </c>
      <c r="E535" s="504" t="s">
        <v>119</v>
      </c>
      <c r="F535" s="29">
        <v>1</v>
      </c>
      <c r="G535" s="9">
        <v>1</v>
      </c>
      <c r="H535" s="9">
        <v>1</v>
      </c>
      <c r="I535" s="9">
        <v>2</v>
      </c>
      <c r="J535" s="43">
        <v>2</v>
      </c>
      <c r="K535" s="265">
        <f t="shared" si="8"/>
        <v>0.35859414261160716</v>
      </c>
      <c r="L535" s="164" t="s">
        <v>120</v>
      </c>
    </row>
    <row r="536" spans="1:12">
      <c r="A536" s="34" t="s">
        <v>123</v>
      </c>
      <c r="B536" s="344">
        <v>2006</v>
      </c>
      <c r="C536" s="59" t="s">
        <v>103</v>
      </c>
      <c r="D536" s="59">
        <v>81</v>
      </c>
      <c r="E536" s="504" t="s">
        <v>119</v>
      </c>
      <c r="F536" s="29">
        <v>1</v>
      </c>
      <c r="G536" s="9">
        <v>1</v>
      </c>
      <c r="H536" s="9">
        <v>1</v>
      </c>
      <c r="I536" s="9">
        <v>2</v>
      </c>
      <c r="J536" s="43">
        <v>2</v>
      </c>
      <c r="K536" s="265">
        <f t="shared" si="8"/>
        <v>0.35859414261160716</v>
      </c>
      <c r="L536" s="164" t="s">
        <v>120</v>
      </c>
    </row>
    <row r="537" spans="1:12">
      <c r="A537" s="34" t="s">
        <v>123</v>
      </c>
      <c r="B537" s="344">
        <v>2006</v>
      </c>
      <c r="C537" s="59" t="s">
        <v>101</v>
      </c>
      <c r="D537" s="59">
        <v>60</v>
      </c>
      <c r="E537" s="504" t="s">
        <v>119</v>
      </c>
      <c r="F537" s="29">
        <v>1</v>
      </c>
      <c r="G537" s="9">
        <v>1</v>
      </c>
      <c r="H537" s="9">
        <v>1</v>
      </c>
      <c r="I537" s="9">
        <v>2</v>
      </c>
      <c r="J537" s="43">
        <v>2</v>
      </c>
      <c r="K537" s="265">
        <f t="shared" si="8"/>
        <v>0.35859414261160716</v>
      </c>
      <c r="L537" s="164" t="s">
        <v>120</v>
      </c>
    </row>
    <row r="538" spans="1:12">
      <c r="A538" s="34" t="s">
        <v>123</v>
      </c>
      <c r="B538" s="344">
        <v>2006</v>
      </c>
      <c r="C538" s="59" t="s">
        <v>106</v>
      </c>
      <c r="D538" s="59">
        <v>841</v>
      </c>
      <c r="E538" s="504" t="s">
        <v>119</v>
      </c>
      <c r="F538" s="29">
        <v>1</v>
      </c>
      <c r="G538" s="9">
        <v>1</v>
      </c>
      <c r="H538" s="9">
        <v>1</v>
      </c>
      <c r="I538" s="9">
        <v>2</v>
      </c>
      <c r="J538" s="43">
        <v>2</v>
      </c>
      <c r="K538" s="265">
        <f t="shared" si="8"/>
        <v>0.35859414261160716</v>
      </c>
      <c r="L538" s="164" t="s">
        <v>120</v>
      </c>
    </row>
    <row r="539" spans="1:12">
      <c r="A539" s="34" t="s">
        <v>123</v>
      </c>
      <c r="B539" s="344">
        <v>2007</v>
      </c>
      <c r="C539" s="59" t="s">
        <v>93</v>
      </c>
      <c r="D539" s="59">
        <v>651</v>
      </c>
      <c r="E539" s="504" t="s">
        <v>119</v>
      </c>
      <c r="F539" s="29">
        <v>1</v>
      </c>
      <c r="G539" s="9">
        <v>1</v>
      </c>
      <c r="H539" s="9">
        <v>1</v>
      </c>
      <c r="I539" s="9">
        <v>2</v>
      </c>
      <c r="J539" s="43">
        <v>2</v>
      </c>
      <c r="K539" s="265">
        <f t="shared" si="8"/>
        <v>0.35859414261160716</v>
      </c>
      <c r="L539" s="164" t="s">
        <v>120</v>
      </c>
    </row>
    <row r="540" spans="1:12">
      <c r="A540" s="34" t="s">
        <v>123</v>
      </c>
      <c r="B540" s="344">
        <v>2007</v>
      </c>
      <c r="C540" s="59" t="s">
        <v>94</v>
      </c>
      <c r="D540" s="59">
        <v>160</v>
      </c>
      <c r="E540" s="504" t="s">
        <v>119</v>
      </c>
      <c r="F540" s="29">
        <v>1</v>
      </c>
      <c r="G540" s="9">
        <v>1</v>
      </c>
      <c r="H540" s="9">
        <v>1</v>
      </c>
      <c r="I540" s="9">
        <v>2</v>
      </c>
      <c r="J540" s="43">
        <v>2</v>
      </c>
      <c r="K540" s="265">
        <f t="shared" si="8"/>
        <v>0.35859414261160716</v>
      </c>
      <c r="L540" s="164" t="s">
        <v>120</v>
      </c>
    </row>
    <row r="541" spans="1:12">
      <c r="A541" s="34" t="s">
        <v>123</v>
      </c>
      <c r="B541" s="344">
        <v>2007</v>
      </c>
      <c r="C541" s="59" t="s">
        <v>95</v>
      </c>
      <c r="D541" s="59">
        <v>239</v>
      </c>
      <c r="E541" s="504" t="s">
        <v>119</v>
      </c>
      <c r="F541" s="29">
        <v>1</v>
      </c>
      <c r="G541" s="9">
        <v>1</v>
      </c>
      <c r="H541" s="9">
        <v>1</v>
      </c>
      <c r="I541" s="9">
        <v>2</v>
      </c>
      <c r="J541" s="43">
        <v>2</v>
      </c>
      <c r="K541" s="265">
        <f t="shared" si="8"/>
        <v>0.35859414261160716</v>
      </c>
      <c r="L541" s="164" t="s">
        <v>120</v>
      </c>
    </row>
    <row r="542" spans="1:12">
      <c r="A542" s="34" t="s">
        <v>123</v>
      </c>
      <c r="B542" s="344">
        <v>2007</v>
      </c>
      <c r="C542" s="59" t="s">
        <v>96</v>
      </c>
      <c r="D542" s="59">
        <v>58</v>
      </c>
      <c r="E542" s="504" t="s">
        <v>119</v>
      </c>
      <c r="F542" s="29">
        <v>1</v>
      </c>
      <c r="G542" s="9">
        <v>1</v>
      </c>
      <c r="H542" s="9">
        <v>1</v>
      </c>
      <c r="I542" s="9">
        <v>2</v>
      </c>
      <c r="J542" s="43">
        <v>2</v>
      </c>
      <c r="K542" s="265">
        <f t="shared" si="8"/>
        <v>0.35859414261160716</v>
      </c>
      <c r="L542" s="164" t="s">
        <v>120</v>
      </c>
    </row>
    <row r="543" spans="1:12">
      <c r="A543" s="34" t="s">
        <v>123</v>
      </c>
      <c r="B543" s="344">
        <v>2007</v>
      </c>
      <c r="C543" s="59" t="s">
        <v>97</v>
      </c>
      <c r="D543" s="59">
        <v>41</v>
      </c>
      <c r="E543" s="504" t="s">
        <v>119</v>
      </c>
      <c r="F543" s="29">
        <v>1</v>
      </c>
      <c r="G543" s="9">
        <v>1</v>
      </c>
      <c r="H543" s="9">
        <v>1</v>
      </c>
      <c r="I543" s="9">
        <v>2</v>
      </c>
      <c r="J543" s="43">
        <v>2</v>
      </c>
      <c r="K543" s="265">
        <f t="shared" si="8"/>
        <v>0.35859414261160716</v>
      </c>
      <c r="L543" s="164" t="s">
        <v>120</v>
      </c>
    </row>
    <row r="544" spans="1:12">
      <c r="A544" s="34" t="s">
        <v>123</v>
      </c>
      <c r="B544" s="344">
        <v>2007</v>
      </c>
      <c r="C544" s="59" t="s">
        <v>98</v>
      </c>
      <c r="D544" s="59">
        <v>148</v>
      </c>
      <c r="E544" s="504" t="s">
        <v>119</v>
      </c>
      <c r="F544" s="29">
        <v>1</v>
      </c>
      <c r="G544" s="9">
        <v>1</v>
      </c>
      <c r="H544" s="9">
        <v>1</v>
      </c>
      <c r="I544" s="9">
        <v>2</v>
      </c>
      <c r="J544" s="43">
        <v>2</v>
      </c>
      <c r="K544" s="265">
        <f t="shared" si="8"/>
        <v>0.35859414261160716</v>
      </c>
      <c r="L544" s="164" t="s">
        <v>120</v>
      </c>
    </row>
    <row r="545" spans="1:12">
      <c r="A545" s="34" t="s">
        <v>123</v>
      </c>
      <c r="B545" s="344">
        <v>2007</v>
      </c>
      <c r="C545" s="59" t="s">
        <v>99</v>
      </c>
      <c r="D545" s="59">
        <v>116</v>
      </c>
      <c r="E545" s="504" t="s">
        <v>119</v>
      </c>
      <c r="F545" s="29">
        <v>1</v>
      </c>
      <c r="G545" s="9">
        <v>1</v>
      </c>
      <c r="H545" s="9">
        <v>1</v>
      </c>
      <c r="I545" s="9">
        <v>2</v>
      </c>
      <c r="J545" s="43">
        <v>2</v>
      </c>
      <c r="K545" s="265">
        <f t="shared" si="8"/>
        <v>0.35859414261160716</v>
      </c>
      <c r="L545" s="164" t="s">
        <v>120</v>
      </c>
    </row>
    <row r="546" spans="1:12">
      <c r="A546" s="34" t="s">
        <v>123</v>
      </c>
      <c r="B546" s="344">
        <v>2007</v>
      </c>
      <c r="C546" s="59" t="s">
        <v>102</v>
      </c>
      <c r="D546" s="59">
        <v>18</v>
      </c>
      <c r="E546" s="504" t="s">
        <v>119</v>
      </c>
      <c r="F546" s="29">
        <v>1</v>
      </c>
      <c r="G546" s="9">
        <v>1</v>
      </c>
      <c r="H546" s="9">
        <v>1</v>
      </c>
      <c r="I546" s="9">
        <v>2</v>
      </c>
      <c r="J546" s="43">
        <v>2</v>
      </c>
      <c r="K546" s="265">
        <f t="shared" si="8"/>
        <v>0.35859414261160716</v>
      </c>
      <c r="L546" s="164" t="s">
        <v>120</v>
      </c>
    </row>
    <row r="547" spans="1:12">
      <c r="A547" s="34" t="s">
        <v>123</v>
      </c>
      <c r="B547" s="344">
        <v>2007</v>
      </c>
      <c r="C547" s="59" t="s">
        <v>104</v>
      </c>
      <c r="D547" s="59">
        <v>80</v>
      </c>
      <c r="E547" s="504" t="s">
        <v>119</v>
      </c>
      <c r="F547" s="29">
        <v>1</v>
      </c>
      <c r="G547" s="9">
        <v>1</v>
      </c>
      <c r="H547" s="9">
        <v>1</v>
      </c>
      <c r="I547" s="9">
        <v>2</v>
      </c>
      <c r="J547" s="43">
        <v>2</v>
      </c>
      <c r="K547" s="265">
        <f t="shared" si="8"/>
        <v>0.35859414261160716</v>
      </c>
      <c r="L547" s="164" t="s">
        <v>120</v>
      </c>
    </row>
    <row r="548" spans="1:12">
      <c r="A548" s="34" t="s">
        <v>123</v>
      </c>
      <c r="B548" s="344">
        <v>2007</v>
      </c>
      <c r="C548" s="59" t="s">
        <v>105</v>
      </c>
      <c r="D548" s="59">
        <v>204</v>
      </c>
      <c r="E548" s="504" t="s">
        <v>119</v>
      </c>
      <c r="F548" s="29">
        <v>1</v>
      </c>
      <c r="G548" s="9">
        <v>1</v>
      </c>
      <c r="H548" s="9">
        <v>1</v>
      </c>
      <c r="I548" s="9">
        <v>2</v>
      </c>
      <c r="J548" s="43">
        <v>2</v>
      </c>
      <c r="K548" s="265">
        <f t="shared" si="8"/>
        <v>0.35859414261160716</v>
      </c>
      <c r="L548" s="164" t="s">
        <v>120</v>
      </c>
    </row>
    <row r="549" spans="1:12">
      <c r="A549" s="34" t="s">
        <v>123</v>
      </c>
      <c r="B549" s="344">
        <v>2007</v>
      </c>
      <c r="C549" s="59" t="s">
        <v>103</v>
      </c>
      <c r="D549" s="59">
        <v>121</v>
      </c>
      <c r="E549" s="504" t="s">
        <v>119</v>
      </c>
      <c r="F549" s="29">
        <v>1</v>
      </c>
      <c r="G549" s="9">
        <v>1</v>
      </c>
      <c r="H549" s="9">
        <v>1</v>
      </c>
      <c r="I549" s="9">
        <v>2</v>
      </c>
      <c r="J549" s="43">
        <v>2</v>
      </c>
      <c r="K549" s="265">
        <f t="shared" si="8"/>
        <v>0.35859414261160716</v>
      </c>
      <c r="L549" s="164" t="s">
        <v>120</v>
      </c>
    </row>
    <row r="550" spans="1:12">
      <c r="A550" s="34" t="s">
        <v>123</v>
      </c>
      <c r="B550" s="344">
        <v>2007</v>
      </c>
      <c r="C550" s="59" t="s">
        <v>101</v>
      </c>
      <c r="D550" s="59">
        <v>30</v>
      </c>
      <c r="E550" s="504" t="s">
        <v>119</v>
      </c>
      <c r="F550" s="29">
        <v>1</v>
      </c>
      <c r="G550" s="9">
        <v>1</v>
      </c>
      <c r="H550" s="9">
        <v>1</v>
      </c>
      <c r="I550" s="9">
        <v>2</v>
      </c>
      <c r="J550" s="43">
        <v>2</v>
      </c>
      <c r="K550" s="265">
        <f t="shared" si="8"/>
        <v>0.35859414261160716</v>
      </c>
      <c r="L550" s="164" t="s">
        <v>120</v>
      </c>
    </row>
    <row r="551" spans="1:12">
      <c r="A551" s="34" t="s">
        <v>123</v>
      </c>
      <c r="B551" s="344">
        <v>2007</v>
      </c>
      <c r="C551" s="59" t="s">
        <v>106</v>
      </c>
      <c r="D551" s="59">
        <v>953</v>
      </c>
      <c r="E551" s="504" t="s">
        <v>119</v>
      </c>
      <c r="F551" s="29">
        <v>1</v>
      </c>
      <c r="G551" s="9">
        <v>1</v>
      </c>
      <c r="H551" s="9">
        <v>1</v>
      </c>
      <c r="I551" s="9">
        <v>2</v>
      </c>
      <c r="J551" s="43">
        <v>2</v>
      </c>
      <c r="K551" s="265">
        <f t="shared" si="8"/>
        <v>0.35859414261160716</v>
      </c>
      <c r="L551" s="164" t="s">
        <v>120</v>
      </c>
    </row>
    <row r="552" spans="1:12">
      <c r="A552" s="34" t="s">
        <v>123</v>
      </c>
      <c r="B552" s="344">
        <v>2008</v>
      </c>
      <c r="C552" s="59" t="s">
        <v>93</v>
      </c>
      <c r="D552" s="59">
        <v>662</v>
      </c>
      <c r="E552" s="504" t="s">
        <v>119</v>
      </c>
      <c r="F552" s="29">
        <v>1</v>
      </c>
      <c r="G552" s="9">
        <v>1</v>
      </c>
      <c r="H552" s="9">
        <v>1</v>
      </c>
      <c r="I552" s="9">
        <v>2</v>
      </c>
      <c r="J552" s="43">
        <v>2</v>
      </c>
      <c r="K552" s="265">
        <f t="shared" si="8"/>
        <v>0.35859414261160716</v>
      </c>
      <c r="L552" s="164" t="s">
        <v>120</v>
      </c>
    </row>
    <row r="553" spans="1:12">
      <c r="A553" s="34" t="s">
        <v>123</v>
      </c>
      <c r="B553" s="344">
        <v>2008</v>
      </c>
      <c r="C553" s="59" t="s">
        <v>94</v>
      </c>
      <c r="D553" s="59">
        <v>151</v>
      </c>
      <c r="E553" s="504" t="s">
        <v>119</v>
      </c>
      <c r="F553" s="29">
        <v>1</v>
      </c>
      <c r="G553" s="9">
        <v>1</v>
      </c>
      <c r="H553" s="9">
        <v>1</v>
      </c>
      <c r="I553" s="9">
        <v>2</v>
      </c>
      <c r="J553" s="43">
        <v>2</v>
      </c>
      <c r="K553" s="265">
        <f t="shared" si="8"/>
        <v>0.35859414261160716</v>
      </c>
      <c r="L553" s="164" t="s">
        <v>120</v>
      </c>
    </row>
    <row r="554" spans="1:12">
      <c r="A554" s="34" t="s">
        <v>123</v>
      </c>
      <c r="B554" s="344">
        <v>2008</v>
      </c>
      <c r="C554" s="59" t="s">
        <v>95</v>
      </c>
      <c r="D554" s="59">
        <v>235</v>
      </c>
      <c r="E554" s="504" t="s">
        <v>119</v>
      </c>
      <c r="F554" s="29">
        <v>1</v>
      </c>
      <c r="G554" s="9">
        <v>1</v>
      </c>
      <c r="H554" s="9">
        <v>1</v>
      </c>
      <c r="I554" s="9">
        <v>2</v>
      </c>
      <c r="J554" s="43">
        <v>2</v>
      </c>
      <c r="K554" s="265">
        <f t="shared" si="8"/>
        <v>0.35859414261160716</v>
      </c>
      <c r="L554" s="164" t="s">
        <v>120</v>
      </c>
    </row>
    <row r="555" spans="1:12">
      <c r="A555" s="34" t="s">
        <v>123</v>
      </c>
      <c r="B555" s="344">
        <v>2008</v>
      </c>
      <c r="C555" s="59" t="s">
        <v>96</v>
      </c>
      <c r="D555" s="59">
        <v>43</v>
      </c>
      <c r="E555" s="504" t="s">
        <v>119</v>
      </c>
      <c r="F555" s="29">
        <v>1</v>
      </c>
      <c r="G555" s="9">
        <v>1</v>
      </c>
      <c r="H555" s="9">
        <v>1</v>
      </c>
      <c r="I555" s="9">
        <v>2</v>
      </c>
      <c r="J555" s="43">
        <v>2</v>
      </c>
      <c r="K555" s="265">
        <f t="shared" si="8"/>
        <v>0.35859414261160716</v>
      </c>
      <c r="L555" s="164" t="s">
        <v>120</v>
      </c>
    </row>
    <row r="556" spans="1:12">
      <c r="A556" s="34" t="s">
        <v>123</v>
      </c>
      <c r="B556" s="344">
        <v>2008</v>
      </c>
      <c r="C556" s="59" t="s">
        <v>97</v>
      </c>
      <c r="D556" s="59">
        <v>31</v>
      </c>
      <c r="E556" s="504" t="s">
        <v>119</v>
      </c>
      <c r="F556" s="29">
        <v>1</v>
      </c>
      <c r="G556" s="9">
        <v>1</v>
      </c>
      <c r="H556" s="9">
        <v>1</v>
      </c>
      <c r="I556" s="9">
        <v>2</v>
      </c>
      <c r="J556" s="43">
        <v>2</v>
      </c>
      <c r="K556" s="265">
        <f t="shared" si="8"/>
        <v>0.35859414261160716</v>
      </c>
      <c r="L556" s="164" t="s">
        <v>120</v>
      </c>
    </row>
    <row r="557" spans="1:12">
      <c r="A557" s="34" t="s">
        <v>123</v>
      </c>
      <c r="B557" s="344">
        <v>2008</v>
      </c>
      <c r="C557" s="59" t="s">
        <v>98</v>
      </c>
      <c r="D557" s="59">
        <v>124</v>
      </c>
      <c r="E557" s="504" t="s">
        <v>119</v>
      </c>
      <c r="F557" s="29">
        <v>1</v>
      </c>
      <c r="G557" s="9">
        <v>1</v>
      </c>
      <c r="H557" s="9">
        <v>1</v>
      </c>
      <c r="I557" s="9">
        <v>2</v>
      </c>
      <c r="J557" s="43">
        <v>2</v>
      </c>
      <c r="K557" s="265">
        <f t="shared" si="8"/>
        <v>0.35859414261160716</v>
      </c>
      <c r="L557" s="164" t="s">
        <v>120</v>
      </c>
    </row>
    <row r="558" spans="1:12">
      <c r="A558" s="34" t="s">
        <v>123</v>
      </c>
      <c r="B558" s="344">
        <v>2008</v>
      </c>
      <c r="C558" s="59" t="s">
        <v>99</v>
      </c>
      <c r="D558" s="59">
        <v>94</v>
      </c>
      <c r="E558" s="504" t="s">
        <v>119</v>
      </c>
      <c r="F558" s="29">
        <v>1</v>
      </c>
      <c r="G558" s="9">
        <v>1</v>
      </c>
      <c r="H558" s="9">
        <v>1</v>
      </c>
      <c r="I558" s="9">
        <v>2</v>
      </c>
      <c r="J558" s="43">
        <v>2</v>
      </c>
      <c r="K558" s="265">
        <f t="shared" si="8"/>
        <v>0.35859414261160716</v>
      </c>
      <c r="L558" s="164" t="s">
        <v>120</v>
      </c>
    </row>
    <row r="559" spans="1:12">
      <c r="A559" s="34" t="s">
        <v>123</v>
      </c>
      <c r="B559" s="344">
        <v>2008</v>
      </c>
      <c r="C559" s="59" t="s">
        <v>102</v>
      </c>
      <c r="D559" s="59">
        <v>23</v>
      </c>
      <c r="E559" s="504" t="s">
        <v>119</v>
      </c>
      <c r="F559" s="29">
        <v>1</v>
      </c>
      <c r="G559" s="9">
        <v>1</v>
      </c>
      <c r="H559" s="9">
        <v>1</v>
      </c>
      <c r="I559" s="9">
        <v>2</v>
      </c>
      <c r="J559" s="43">
        <v>2</v>
      </c>
      <c r="K559" s="265">
        <f t="shared" si="8"/>
        <v>0.35859414261160716</v>
      </c>
      <c r="L559" s="164" t="s">
        <v>120</v>
      </c>
    </row>
    <row r="560" spans="1:12">
      <c r="A560" s="34" t="s">
        <v>123</v>
      </c>
      <c r="B560" s="344">
        <v>2008</v>
      </c>
      <c r="C560" s="59" t="s">
        <v>104</v>
      </c>
      <c r="D560" s="59">
        <v>117</v>
      </c>
      <c r="E560" s="504" t="s">
        <v>119</v>
      </c>
      <c r="F560" s="29">
        <v>1</v>
      </c>
      <c r="G560" s="9">
        <v>1</v>
      </c>
      <c r="H560" s="9">
        <v>1</v>
      </c>
      <c r="I560" s="9">
        <v>2</v>
      </c>
      <c r="J560" s="43">
        <v>2</v>
      </c>
      <c r="K560" s="265">
        <f t="shared" si="8"/>
        <v>0.35859414261160716</v>
      </c>
      <c r="L560" s="164" t="s">
        <v>120</v>
      </c>
    </row>
    <row r="561" spans="1:12">
      <c r="A561" s="34" t="s">
        <v>123</v>
      </c>
      <c r="B561" s="344">
        <v>2008</v>
      </c>
      <c r="C561" s="59" t="s">
        <v>105</v>
      </c>
      <c r="D561" s="59">
        <v>197</v>
      </c>
      <c r="E561" s="504" t="s">
        <v>119</v>
      </c>
      <c r="F561" s="29">
        <v>1</v>
      </c>
      <c r="G561" s="9">
        <v>1</v>
      </c>
      <c r="H561" s="9">
        <v>1</v>
      </c>
      <c r="I561" s="9">
        <v>2</v>
      </c>
      <c r="J561" s="43">
        <v>2</v>
      </c>
      <c r="K561" s="265">
        <f t="shared" si="8"/>
        <v>0.35859414261160716</v>
      </c>
      <c r="L561" s="164" t="s">
        <v>120</v>
      </c>
    </row>
    <row r="562" spans="1:12">
      <c r="A562" s="34" t="s">
        <v>123</v>
      </c>
      <c r="B562" s="344">
        <v>2008</v>
      </c>
      <c r="C562" s="59" t="s">
        <v>103</v>
      </c>
      <c r="D562" s="59">
        <v>101</v>
      </c>
      <c r="E562" s="504" t="s">
        <v>119</v>
      </c>
      <c r="F562" s="29">
        <v>1</v>
      </c>
      <c r="G562" s="9">
        <v>1</v>
      </c>
      <c r="H562" s="9">
        <v>1</v>
      </c>
      <c r="I562" s="9">
        <v>2</v>
      </c>
      <c r="J562" s="43">
        <v>2</v>
      </c>
      <c r="K562" s="265">
        <f t="shared" si="8"/>
        <v>0.35859414261160716</v>
      </c>
      <c r="L562" s="164" t="s">
        <v>120</v>
      </c>
    </row>
    <row r="563" spans="1:12">
      <c r="A563" s="34" t="s">
        <v>123</v>
      </c>
      <c r="B563" s="344">
        <v>2008</v>
      </c>
      <c r="C563" s="59" t="s">
        <v>101</v>
      </c>
      <c r="D563" s="59">
        <v>28</v>
      </c>
      <c r="E563" s="504" t="s">
        <v>119</v>
      </c>
      <c r="F563" s="29">
        <v>1</v>
      </c>
      <c r="G563" s="9">
        <v>1</v>
      </c>
      <c r="H563" s="9">
        <v>1</v>
      </c>
      <c r="I563" s="9">
        <v>2</v>
      </c>
      <c r="J563" s="43">
        <v>2</v>
      </c>
      <c r="K563" s="265">
        <f t="shared" si="8"/>
        <v>0.35859414261160716</v>
      </c>
      <c r="L563" s="164" t="s">
        <v>120</v>
      </c>
    </row>
    <row r="564" spans="1:12">
      <c r="A564" s="34" t="s">
        <v>123</v>
      </c>
      <c r="B564" s="344">
        <v>2008</v>
      </c>
      <c r="C564" s="59" t="s">
        <v>106</v>
      </c>
      <c r="D564" s="59">
        <v>868</v>
      </c>
      <c r="E564" s="504" t="s">
        <v>119</v>
      </c>
      <c r="F564" s="29">
        <v>1</v>
      </c>
      <c r="G564" s="9">
        <v>1</v>
      </c>
      <c r="H564" s="9">
        <v>1</v>
      </c>
      <c r="I564" s="9">
        <v>2</v>
      </c>
      <c r="J564" s="43">
        <v>2</v>
      </c>
      <c r="K564" s="265">
        <f t="shared" si="8"/>
        <v>0.35859414261160716</v>
      </c>
      <c r="L564" s="164" t="s">
        <v>120</v>
      </c>
    </row>
    <row r="565" spans="1:12">
      <c r="A565" s="34" t="s">
        <v>123</v>
      </c>
      <c r="B565" s="344">
        <v>2009</v>
      </c>
      <c r="C565" s="59" t="s">
        <v>93</v>
      </c>
      <c r="D565" s="59">
        <v>593</v>
      </c>
      <c r="E565" s="504" t="s">
        <v>119</v>
      </c>
      <c r="F565" s="29">
        <v>1</v>
      </c>
      <c r="G565" s="9">
        <v>1</v>
      </c>
      <c r="H565" s="9">
        <v>1</v>
      </c>
      <c r="I565" s="9">
        <v>2</v>
      </c>
      <c r="J565" s="43">
        <v>2</v>
      </c>
      <c r="K565" s="265">
        <f t="shared" si="8"/>
        <v>0.35859414261160716</v>
      </c>
      <c r="L565" s="164" t="s">
        <v>120</v>
      </c>
    </row>
    <row r="566" spans="1:12">
      <c r="A566" s="34" t="s">
        <v>123</v>
      </c>
      <c r="B566" s="344">
        <v>2009</v>
      </c>
      <c r="C566" s="59" t="s">
        <v>94</v>
      </c>
      <c r="D566" s="59">
        <v>162</v>
      </c>
      <c r="E566" s="504" t="s">
        <v>119</v>
      </c>
      <c r="F566" s="29">
        <v>1</v>
      </c>
      <c r="G566" s="9">
        <v>1</v>
      </c>
      <c r="H566" s="9">
        <v>1</v>
      </c>
      <c r="I566" s="9">
        <v>2</v>
      </c>
      <c r="J566" s="43">
        <v>2</v>
      </c>
      <c r="K566" s="265">
        <f t="shared" si="8"/>
        <v>0.35859414261160716</v>
      </c>
      <c r="L566" s="164" t="s">
        <v>120</v>
      </c>
    </row>
    <row r="567" spans="1:12">
      <c r="A567" s="34" t="s">
        <v>123</v>
      </c>
      <c r="B567" s="344">
        <v>2009</v>
      </c>
      <c r="C567" s="59" t="s">
        <v>95</v>
      </c>
      <c r="D567" s="59">
        <v>246</v>
      </c>
      <c r="E567" s="504" t="s">
        <v>119</v>
      </c>
      <c r="F567" s="29">
        <v>1</v>
      </c>
      <c r="G567" s="9">
        <v>1</v>
      </c>
      <c r="H567" s="9">
        <v>1</v>
      </c>
      <c r="I567" s="9">
        <v>2</v>
      </c>
      <c r="J567" s="43">
        <v>2</v>
      </c>
      <c r="K567" s="265">
        <f t="shared" si="8"/>
        <v>0.35859414261160716</v>
      </c>
      <c r="L567" s="164" t="s">
        <v>120</v>
      </c>
    </row>
    <row r="568" spans="1:12">
      <c r="A568" s="34" t="s">
        <v>123</v>
      </c>
      <c r="B568" s="344">
        <v>2009</v>
      </c>
      <c r="C568" s="59" t="s">
        <v>96</v>
      </c>
      <c r="D568" s="59">
        <v>41</v>
      </c>
      <c r="E568" s="504" t="s">
        <v>119</v>
      </c>
      <c r="F568" s="29">
        <v>1</v>
      </c>
      <c r="G568" s="9">
        <v>1</v>
      </c>
      <c r="H568" s="9">
        <v>1</v>
      </c>
      <c r="I568" s="9">
        <v>2</v>
      </c>
      <c r="J568" s="43">
        <v>2</v>
      </c>
      <c r="K568" s="265">
        <f t="shared" si="8"/>
        <v>0.35859414261160716</v>
      </c>
      <c r="L568" s="164" t="s">
        <v>120</v>
      </c>
    </row>
    <row r="569" spans="1:12">
      <c r="A569" s="34" t="s">
        <v>123</v>
      </c>
      <c r="B569" s="344">
        <v>2009</v>
      </c>
      <c r="C569" s="59" t="s">
        <v>97</v>
      </c>
      <c r="D569" s="59">
        <v>28</v>
      </c>
      <c r="E569" s="504" t="s">
        <v>119</v>
      </c>
      <c r="F569" s="29">
        <v>1</v>
      </c>
      <c r="G569" s="9">
        <v>1</v>
      </c>
      <c r="H569" s="9">
        <v>1</v>
      </c>
      <c r="I569" s="9">
        <v>2</v>
      </c>
      <c r="J569" s="43">
        <v>2</v>
      </c>
      <c r="K569" s="265">
        <f t="shared" si="8"/>
        <v>0.35859414261160716</v>
      </c>
      <c r="L569" s="164" t="s">
        <v>120</v>
      </c>
    </row>
    <row r="570" spans="1:12">
      <c r="A570" s="34" t="s">
        <v>123</v>
      </c>
      <c r="B570" s="344">
        <v>2009</v>
      </c>
      <c r="C570" s="59" t="s">
        <v>98</v>
      </c>
      <c r="D570" s="59">
        <v>159</v>
      </c>
      <c r="E570" s="504" t="s">
        <v>119</v>
      </c>
      <c r="F570" s="29">
        <v>1</v>
      </c>
      <c r="G570" s="9">
        <v>1</v>
      </c>
      <c r="H570" s="9">
        <v>1</v>
      </c>
      <c r="I570" s="9">
        <v>2</v>
      </c>
      <c r="J570" s="43">
        <v>2</v>
      </c>
      <c r="K570" s="265">
        <f t="shared" si="8"/>
        <v>0.35859414261160716</v>
      </c>
      <c r="L570" s="164" t="s">
        <v>120</v>
      </c>
    </row>
    <row r="571" spans="1:12">
      <c r="A571" s="34" t="s">
        <v>123</v>
      </c>
      <c r="B571" s="344">
        <v>2009</v>
      </c>
      <c r="C571" s="59" t="s">
        <v>99</v>
      </c>
      <c r="D571" s="59">
        <v>92</v>
      </c>
      <c r="E571" s="504" t="s">
        <v>119</v>
      </c>
      <c r="F571" s="29">
        <v>1</v>
      </c>
      <c r="G571" s="9">
        <v>1</v>
      </c>
      <c r="H571" s="9">
        <v>1</v>
      </c>
      <c r="I571" s="9">
        <v>2</v>
      </c>
      <c r="J571" s="43">
        <v>2</v>
      </c>
      <c r="K571" s="265">
        <f t="shared" si="8"/>
        <v>0.35859414261160716</v>
      </c>
      <c r="L571" s="164" t="s">
        <v>120</v>
      </c>
    </row>
    <row r="572" spans="1:12">
      <c r="A572" s="34" t="s">
        <v>123</v>
      </c>
      <c r="B572" s="344">
        <v>2009</v>
      </c>
      <c r="C572" s="59" t="s">
        <v>102</v>
      </c>
      <c r="D572" s="59">
        <v>23</v>
      </c>
      <c r="E572" s="504" t="s">
        <v>119</v>
      </c>
      <c r="F572" s="29">
        <v>1</v>
      </c>
      <c r="G572" s="9">
        <v>1</v>
      </c>
      <c r="H572" s="9">
        <v>1</v>
      </c>
      <c r="I572" s="9">
        <v>2</v>
      </c>
      <c r="J572" s="43">
        <v>2</v>
      </c>
      <c r="K572" s="265">
        <f t="shared" si="8"/>
        <v>0.35859414261160716</v>
      </c>
      <c r="L572" s="164" t="s">
        <v>120</v>
      </c>
    </row>
    <row r="573" spans="1:12">
      <c r="A573" s="34" t="s">
        <v>123</v>
      </c>
      <c r="B573" s="344">
        <v>2009</v>
      </c>
      <c r="C573" s="59" t="s">
        <v>104</v>
      </c>
      <c r="D573" s="59">
        <v>50</v>
      </c>
      <c r="E573" s="504" t="s">
        <v>119</v>
      </c>
      <c r="F573" s="29">
        <v>1</v>
      </c>
      <c r="G573" s="9">
        <v>1</v>
      </c>
      <c r="H573" s="9">
        <v>1</v>
      </c>
      <c r="I573" s="9">
        <v>2</v>
      </c>
      <c r="J573" s="43">
        <v>2</v>
      </c>
      <c r="K573" s="265">
        <f t="shared" si="8"/>
        <v>0.35859414261160716</v>
      </c>
      <c r="L573" s="164" t="s">
        <v>120</v>
      </c>
    </row>
    <row r="574" spans="1:12">
      <c r="A574" s="34" t="s">
        <v>123</v>
      </c>
      <c r="B574" s="344">
        <v>2009</v>
      </c>
      <c r="C574" s="59" t="s">
        <v>105</v>
      </c>
      <c r="D574" s="59">
        <v>173</v>
      </c>
      <c r="E574" s="504" t="s">
        <v>119</v>
      </c>
      <c r="F574" s="29">
        <v>1</v>
      </c>
      <c r="G574" s="9">
        <v>1</v>
      </c>
      <c r="H574" s="9">
        <v>1</v>
      </c>
      <c r="I574" s="9">
        <v>2</v>
      </c>
      <c r="J574" s="43">
        <v>2</v>
      </c>
      <c r="K574" s="265">
        <f t="shared" si="8"/>
        <v>0.35859414261160716</v>
      </c>
      <c r="L574" s="164" t="s">
        <v>120</v>
      </c>
    </row>
    <row r="575" spans="1:12">
      <c r="A575" s="34" t="s">
        <v>123</v>
      </c>
      <c r="B575" s="344">
        <v>2009</v>
      </c>
      <c r="C575" s="59" t="s">
        <v>103</v>
      </c>
      <c r="D575" s="59">
        <v>41</v>
      </c>
      <c r="E575" s="504" t="s">
        <v>119</v>
      </c>
      <c r="F575" s="29">
        <v>1</v>
      </c>
      <c r="G575" s="9">
        <v>1</v>
      </c>
      <c r="H575" s="9">
        <v>1</v>
      </c>
      <c r="I575" s="9">
        <v>2</v>
      </c>
      <c r="J575" s="43">
        <v>2</v>
      </c>
      <c r="K575" s="265">
        <f t="shared" si="8"/>
        <v>0.35859414261160716</v>
      </c>
      <c r="L575" s="164" t="s">
        <v>120</v>
      </c>
    </row>
    <row r="576" spans="1:12">
      <c r="A576" s="34" t="s">
        <v>123</v>
      </c>
      <c r="B576" s="344">
        <v>2009</v>
      </c>
      <c r="C576" s="59" t="s">
        <v>101</v>
      </c>
      <c r="D576" s="59">
        <v>35</v>
      </c>
      <c r="E576" s="504" t="s">
        <v>119</v>
      </c>
      <c r="F576" s="29">
        <v>1</v>
      </c>
      <c r="G576" s="9">
        <v>1</v>
      </c>
      <c r="H576" s="9">
        <v>1</v>
      </c>
      <c r="I576" s="9">
        <v>2</v>
      </c>
      <c r="J576" s="43">
        <v>2</v>
      </c>
      <c r="K576" s="265">
        <f t="shared" si="8"/>
        <v>0.35859414261160716</v>
      </c>
      <c r="L576" s="164" t="s">
        <v>120</v>
      </c>
    </row>
    <row r="577" spans="1:12">
      <c r="A577" s="34" t="s">
        <v>123</v>
      </c>
      <c r="B577" s="344">
        <v>2009</v>
      </c>
      <c r="C577" s="59" t="s">
        <v>106</v>
      </c>
      <c r="D577" s="59">
        <v>701</v>
      </c>
      <c r="E577" s="504" t="s">
        <v>119</v>
      </c>
      <c r="F577" s="29">
        <v>1</v>
      </c>
      <c r="G577" s="9">
        <v>1</v>
      </c>
      <c r="H577" s="9">
        <v>1</v>
      </c>
      <c r="I577" s="9">
        <v>2</v>
      </c>
      <c r="J577" s="43">
        <v>2</v>
      </c>
      <c r="K577" s="265">
        <f t="shared" si="8"/>
        <v>0.35859414261160716</v>
      </c>
      <c r="L577" s="164" t="s">
        <v>120</v>
      </c>
    </row>
    <row r="578" spans="1:12">
      <c r="A578" s="34" t="s">
        <v>123</v>
      </c>
      <c r="B578" s="344">
        <v>2010</v>
      </c>
      <c r="C578" s="59" t="s">
        <v>93</v>
      </c>
      <c r="D578" s="59">
        <v>706</v>
      </c>
      <c r="E578" s="504" t="s">
        <v>119</v>
      </c>
      <c r="F578" s="29">
        <v>1</v>
      </c>
      <c r="G578" s="9">
        <v>1</v>
      </c>
      <c r="H578" s="9">
        <v>1</v>
      </c>
      <c r="I578" s="9">
        <v>2</v>
      </c>
      <c r="J578" s="43">
        <v>2</v>
      </c>
      <c r="K578" s="265">
        <f t="shared" ref="K578:K641" si="9">IF( OR( ISBLANK(F578),ISBLANK(G578), ISBLANK(H578), ISBLANK(I578), ISBLANK(J578) ), "", 1.5*SQRT(   EXP(2.21*(F578-1)) + EXP(2.21*(G578-1)) + EXP(2.21*(H578-1)) + EXP(2.21*(I578-1)) + EXP(2.21*J578)   )/100*2.45 )</f>
        <v>0.35859414261160716</v>
      </c>
      <c r="L578" s="164" t="s">
        <v>120</v>
      </c>
    </row>
    <row r="579" spans="1:12">
      <c r="A579" s="34" t="s">
        <v>123</v>
      </c>
      <c r="B579" s="344">
        <v>2010</v>
      </c>
      <c r="C579" s="59" t="s">
        <v>94</v>
      </c>
      <c r="D579" s="59">
        <v>182</v>
      </c>
      <c r="E579" s="504" t="s">
        <v>119</v>
      </c>
      <c r="F579" s="29">
        <v>1</v>
      </c>
      <c r="G579" s="9">
        <v>1</v>
      </c>
      <c r="H579" s="9">
        <v>1</v>
      </c>
      <c r="I579" s="9">
        <v>2</v>
      </c>
      <c r="J579" s="43">
        <v>2</v>
      </c>
      <c r="K579" s="265">
        <f t="shared" si="9"/>
        <v>0.35859414261160716</v>
      </c>
      <c r="L579" s="164" t="s">
        <v>120</v>
      </c>
    </row>
    <row r="580" spans="1:12">
      <c r="A580" s="34" t="s">
        <v>123</v>
      </c>
      <c r="B580" s="344">
        <v>2010</v>
      </c>
      <c r="C580" s="59" t="s">
        <v>95</v>
      </c>
      <c r="D580" s="59">
        <v>225</v>
      </c>
      <c r="E580" s="504" t="s">
        <v>119</v>
      </c>
      <c r="F580" s="29">
        <v>1</v>
      </c>
      <c r="G580" s="9">
        <v>1</v>
      </c>
      <c r="H580" s="9">
        <v>1</v>
      </c>
      <c r="I580" s="9">
        <v>2</v>
      </c>
      <c r="J580" s="43">
        <v>2</v>
      </c>
      <c r="K580" s="265">
        <f t="shared" si="9"/>
        <v>0.35859414261160716</v>
      </c>
      <c r="L580" s="164" t="s">
        <v>120</v>
      </c>
    </row>
    <row r="581" spans="1:12">
      <c r="A581" s="34" t="s">
        <v>123</v>
      </c>
      <c r="B581" s="344">
        <v>2010</v>
      </c>
      <c r="C581" s="59" t="s">
        <v>96</v>
      </c>
      <c r="D581" s="59">
        <v>41</v>
      </c>
      <c r="E581" s="504" t="s">
        <v>119</v>
      </c>
      <c r="F581" s="29">
        <v>1</v>
      </c>
      <c r="G581" s="9">
        <v>1</v>
      </c>
      <c r="H581" s="9">
        <v>1</v>
      </c>
      <c r="I581" s="9">
        <v>2</v>
      </c>
      <c r="J581" s="43">
        <v>2</v>
      </c>
      <c r="K581" s="265">
        <f t="shared" si="9"/>
        <v>0.35859414261160716</v>
      </c>
      <c r="L581" s="164" t="s">
        <v>120</v>
      </c>
    </row>
    <row r="582" spans="1:12">
      <c r="A582" s="34" t="s">
        <v>123</v>
      </c>
      <c r="B582" s="344">
        <v>2010</v>
      </c>
      <c r="C582" s="59" t="s">
        <v>97</v>
      </c>
      <c r="D582" s="59">
        <v>28</v>
      </c>
      <c r="E582" s="504" t="s">
        <v>119</v>
      </c>
      <c r="F582" s="29">
        <v>1</v>
      </c>
      <c r="G582" s="9">
        <v>1</v>
      </c>
      <c r="H582" s="9">
        <v>1</v>
      </c>
      <c r="I582" s="9">
        <v>2</v>
      </c>
      <c r="J582" s="43">
        <v>2</v>
      </c>
      <c r="K582" s="265">
        <f t="shared" si="9"/>
        <v>0.35859414261160716</v>
      </c>
      <c r="L582" s="164" t="s">
        <v>120</v>
      </c>
    </row>
    <row r="583" spans="1:12">
      <c r="A583" s="34" t="s">
        <v>123</v>
      </c>
      <c r="B583" s="344">
        <v>2010</v>
      </c>
      <c r="C583" s="59" t="s">
        <v>98</v>
      </c>
      <c r="D583" s="59">
        <v>121</v>
      </c>
      <c r="E583" s="504" t="s">
        <v>119</v>
      </c>
      <c r="F583" s="29">
        <v>1</v>
      </c>
      <c r="G583" s="9">
        <v>1</v>
      </c>
      <c r="H583" s="9">
        <v>1</v>
      </c>
      <c r="I583" s="9">
        <v>2</v>
      </c>
      <c r="J583" s="43">
        <v>2</v>
      </c>
      <c r="K583" s="265">
        <f t="shared" si="9"/>
        <v>0.35859414261160716</v>
      </c>
      <c r="L583" s="164" t="s">
        <v>120</v>
      </c>
    </row>
    <row r="584" spans="1:12">
      <c r="A584" s="34" t="s">
        <v>123</v>
      </c>
      <c r="B584" s="344">
        <v>2010</v>
      </c>
      <c r="C584" s="59" t="s">
        <v>99</v>
      </c>
      <c r="D584" s="59">
        <v>55</v>
      </c>
      <c r="E584" s="504" t="s">
        <v>119</v>
      </c>
      <c r="F584" s="29">
        <v>1</v>
      </c>
      <c r="G584" s="9">
        <v>1</v>
      </c>
      <c r="H584" s="9">
        <v>1</v>
      </c>
      <c r="I584" s="9">
        <v>2</v>
      </c>
      <c r="J584" s="43">
        <v>2</v>
      </c>
      <c r="K584" s="265">
        <f t="shared" si="9"/>
        <v>0.35859414261160716</v>
      </c>
      <c r="L584" s="164" t="s">
        <v>120</v>
      </c>
    </row>
    <row r="585" spans="1:12">
      <c r="A585" s="34" t="s">
        <v>123</v>
      </c>
      <c r="B585" s="344">
        <v>2010</v>
      </c>
      <c r="C585" s="59" t="s">
        <v>102</v>
      </c>
      <c r="D585" s="59">
        <v>20</v>
      </c>
      <c r="E585" s="504" t="s">
        <v>119</v>
      </c>
      <c r="F585" s="29">
        <v>1</v>
      </c>
      <c r="G585" s="9">
        <v>1</v>
      </c>
      <c r="H585" s="9">
        <v>1</v>
      </c>
      <c r="I585" s="9">
        <v>2</v>
      </c>
      <c r="J585" s="43">
        <v>2</v>
      </c>
      <c r="K585" s="265">
        <f t="shared" si="9"/>
        <v>0.35859414261160716</v>
      </c>
      <c r="L585" s="164" t="s">
        <v>120</v>
      </c>
    </row>
    <row r="586" spans="1:12">
      <c r="A586" s="34" t="s">
        <v>123</v>
      </c>
      <c r="B586" s="344">
        <v>2010</v>
      </c>
      <c r="C586" s="59" t="s">
        <v>104</v>
      </c>
      <c r="D586" s="59">
        <v>34</v>
      </c>
      <c r="E586" s="504" t="s">
        <v>119</v>
      </c>
      <c r="F586" s="29">
        <v>1</v>
      </c>
      <c r="G586" s="9">
        <v>1</v>
      </c>
      <c r="H586" s="9">
        <v>1</v>
      </c>
      <c r="I586" s="9">
        <v>2</v>
      </c>
      <c r="J586" s="43">
        <v>2</v>
      </c>
      <c r="K586" s="265">
        <f t="shared" si="9"/>
        <v>0.35859414261160716</v>
      </c>
      <c r="L586" s="164" t="s">
        <v>120</v>
      </c>
    </row>
    <row r="587" spans="1:12">
      <c r="A587" s="34" t="s">
        <v>123</v>
      </c>
      <c r="B587" s="344">
        <v>2010</v>
      </c>
      <c r="C587" s="59" t="s">
        <v>105</v>
      </c>
      <c r="D587" s="59">
        <v>204</v>
      </c>
      <c r="E587" s="504" t="s">
        <v>119</v>
      </c>
      <c r="F587" s="29">
        <v>1</v>
      </c>
      <c r="G587" s="9">
        <v>1</v>
      </c>
      <c r="H587" s="9">
        <v>1</v>
      </c>
      <c r="I587" s="9">
        <v>2</v>
      </c>
      <c r="J587" s="43">
        <v>2</v>
      </c>
      <c r="K587" s="265">
        <f t="shared" si="9"/>
        <v>0.35859414261160716</v>
      </c>
      <c r="L587" s="164" t="s">
        <v>120</v>
      </c>
    </row>
    <row r="588" spans="1:12">
      <c r="A588" s="34" t="s">
        <v>123</v>
      </c>
      <c r="B588" s="344">
        <v>2010</v>
      </c>
      <c r="C588" s="59" t="s">
        <v>103</v>
      </c>
      <c r="D588" s="59">
        <v>52</v>
      </c>
      <c r="E588" s="504" t="s">
        <v>119</v>
      </c>
      <c r="F588" s="29">
        <v>1</v>
      </c>
      <c r="G588" s="9">
        <v>1</v>
      </c>
      <c r="H588" s="9">
        <v>1</v>
      </c>
      <c r="I588" s="9">
        <v>2</v>
      </c>
      <c r="J588" s="43">
        <v>2</v>
      </c>
      <c r="K588" s="265">
        <f t="shared" si="9"/>
        <v>0.35859414261160716</v>
      </c>
      <c r="L588" s="164" t="s">
        <v>120</v>
      </c>
    </row>
    <row r="589" spans="1:12">
      <c r="A589" s="34" t="s">
        <v>123</v>
      </c>
      <c r="B589" s="344">
        <v>2010</v>
      </c>
      <c r="C589" s="59" t="s">
        <v>101</v>
      </c>
      <c r="D589" s="59">
        <v>25</v>
      </c>
      <c r="E589" s="504" t="s">
        <v>119</v>
      </c>
      <c r="F589" s="29">
        <v>1</v>
      </c>
      <c r="G589" s="9">
        <v>1</v>
      </c>
      <c r="H589" s="9">
        <v>1</v>
      </c>
      <c r="I589" s="9">
        <v>2</v>
      </c>
      <c r="J589" s="43">
        <v>2</v>
      </c>
      <c r="K589" s="265">
        <f t="shared" si="9"/>
        <v>0.35859414261160716</v>
      </c>
      <c r="L589" s="164" t="s">
        <v>120</v>
      </c>
    </row>
    <row r="590" spans="1:12">
      <c r="A590" s="34" t="s">
        <v>123</v>
      </c>
      <c r="B590" s="344">
        <v>2010</v>
      </c>
      <c r="C590" s="59" t="s">
        <v>106</v>
      </c>
      <c r="D590" s="59">
        <v>784</v>
      </c>
      <c r="E590" s="504" t="s">
        <v>119</v>
      </c>
      <c r="F590" s="29">
        <v>1</v>
      </c>
      <c r="G590" s="9">
        <v>1</v>
      </c>
      <c r="H590" s="9">
        <v>1</v>
      </c>
      <c r="I590" s="9">
        <v>2</v>
      </c>
      <c r="J590" s="43">
        <v>2</v>
      </c>
      <c r="K590" s="265">
        <f t="shared" si="9"/>
        <v>0.35859414261160716</v>
      </c>
      <c r="L590" s="164" t="s">
        <v>120</v>
      </c>
    </row>
    <row r="591" spans="1:12">
      <c r="A591" s="34" t="s">
        <v>123</v>
      </c>
      <c r="B591" s="344">
        <v>2011</v>
      </c>
      <c r="C591" s="59" t="s">
        <v>93</v>
      </c>
      <c r="D591" s="59">
        <v>756</v>
      </c>
      <c r="E591" s="504" t="s">
        <v>119</v>
      </c>
      <c r="F591" s="29">
        <v>1</v>
      </c>
      <c r="G591" s="9">
        <v>1</v>
      </c>
      <c r="H591" s="9">
        <v>1</v>
      </c>
      <c r="I591" s="9">
        <v>2</v>
      </c>
      <c r="J591" s="43">
        <v>2</v>
      </c>
      <c r="K591" s="265">
        <f t="shared" si="9"/>
        <v>0.35859414261160716</v>
      </c>
      <c r="L591" s="164" t="s">
        <v>120</v>
      </c>
    </row>
    <row r="592" spans="1:12">
      <c r="A592" s="34" t="s">
        <v>123</v>
      </c>
      <c r="B592" s="344">
        <v>2011</v>
      </c>
      <c r="C592" s="59" t="s">
        <v>94</v>
      </c>
      <c r="D592" s="59">
        <v>165</v>
      </c>
      <c r="E592" s="504" t="s">
        <v>119</v>
      </c>
      <c r="F592" s="29">
        <v>1</v>
      </c>
      <c r="G592" s="9">
        <v>1</v>
      </c>
      <c r="H592" s="9">
        <v>1</v>
      </c>
      <c r="I592" s="9">
        <v>2</v>
      </c>
      <c r="J592" s="43">
        <v>2</v>
      </c>
      <c r="K592" s="265">
        <f t="shared" si="9"/>
        <v>0.35859414261160716</v>
      </c>
      <c r="L592" s="164" t="s">
        <v>120</v>
      </c>
    </row>
    <row r="593" spans="1:12">
      <c r="A593" s="34" t="s">
        <v>123</v>
      </c>
      <c r="B593" s="344">
        <v>2011</v>
      </c>
      <c r="C593" s="59" t="s">
        <v>95</v>
      </c>
      <c r="D593" s="59">
        <v>300</v>
      </c>
      <c r="E593" s="504" t="s">
        <v>119</v>
      </c>
      <c r="F593" s="29">
        <v>1</v>
      </c>
      <c r="G593" s="9">
        <v>1</v>
      </c>
      <c r="H593" s="9">
        <v>1</v>
      </c>
      <c r="I593" s="9">
        <v>2</v>
      </c>
      <c r="J593" s="43">
        <v>2</v>
      </c>
      <c r="K593" s="265">
        <f t="shared" si="9"/>
        <v>0.35859414261160716</v>
      </c>
      <c r="L593" s="164" t="s">
        <v>120</v>
      </c>
    </row>
    <row r="594" spans="1:12">
      <c r="A594" s="34" t="s">
        <v>123</v>
      </c>
      <c r="B594" s="344">
        <v>2011</v>
      </c>
      <c r="C594" s="59" t="s">
        <v>96</v>
      </c>
      <c r="D594" s="59">
        <v>48</v>
      </c>
      <c r="E594" s="504" t="s">
        <v>119</v>
      </c>
      <c r="F594" s="29">
        <v>1</v>
      </c>
      <c r="G594" s="9">
        <v>1</v>
      </c>
      <c r="H594" s="9">
        <v>1</v>
      </c>
      <c r="I594" s="9">
        <v>2</v>
      </c>
      <c r="J594" s="43">
        <v>2</v>
      </c>
      <c r="K594" s="265">
        <f t="shared" si="9"/>
        <v>0.35859414261160716</v>
      </c>
      <c r="L594" s="164" t="s">
        <v>120</v>
      </c>
    </row>
    <row r="595" spans="1:12">
      <c r="A595" s="34" t="s">
        <v>123</v>
      </c>
      <c r="B595" s="344">
        <v>2011</v>
      </c>
      <c r="C595" s="59" t="s">
        <v>97</v>
      </c>
      <c r="D595" s="59">
        <v>36</v>
      </c>
      <c r="E595" s="504" t="s">
        <v>119</v>
      </c>
      <c r="F595" s="29">
        <v>1</v>
      </c>
      <c r="G595" s="9">
        <v>1</v>
      </c>
      <c r="H595" s="9">
        <v>1</v>
      </c>
      <c r="I595" s="9">
        <v>2</v>
      </c>
      <c r="J595" s="43">
        <v>2</v>
      </c>
      <c r="K595" s="265">
        <f t="shared" si="9"/>
        <v>0.35859414261160716</v>
      </c>
      <c r="L595" s="164" t="s">
        <v>120</v>
      </c>
    </row>
    <row r="596" spans="1:12">
      <c r="A596" s="34" t="s">
        <v>123</v>
      </c>
      <c r="B596" s="344">
        <v>2011</v>
      </c>
      <c r="C596" s="59" t="s">
        <v>98</v>
      </c>
      <c r="D596" s="59">
        <v>122</v>
      </c>
      <c r="E596" s="504" t="s">
        <v>119</v>
      </c>
      <c r="F596" s="29">
        <v>1</v>
      </c>
      <c r="G596" s="9">
        <v>1</v>
      </c>
      <c r="H596" s="9">
        <v>1</v>
      </c>
      <c r="I596" s="9">
        <v>2</v>
      </c>
      <c r="J596" s="43">
        <v>2</v>
      </c>
      <c r="K596" s="265">
        <f t="shared" si="9"/>
        <v>0.35859414261160716</v>
      </c>
      <c r="L596" s="164" t="s">
        <v>120</v>
      </c>
    </row>
    <row r="597" spans="1:12">
      <c r="A597" s="34" t="s">
        <v>123</v>
      </c>
      <c r="B597" s="344">
        <v>2011</v>
      </c>
      <c r="C597" s="59" t="s">
        <v>99</v>
      </c>
      <c r="D597" s="59">
        <v>60</v>
      </c>
      <c r="E597" s="504" t="s">
        <v>119</v>
      </c>
      <c r="F597" s="29">
        <v>1</v>
      </c>
      <c r="G597" s="9">
        <v>1</v>
      </c>
      <c r="H597" s="9">
        <v>1</v>
      </c>
      <c r="I597" s="9">
        <v>2</v>
      </c>
      <c r="J597" s="43">
        <v>2</v>
      </c>
      <c r="K597" s="265">
        <f t="shared" si="9"/>
        <v>0.35859414261160716</v>
      </c>
      <c r="L597" s="164" t="s">
        <v>120</v>
      </c>
    </row>
    <row r="598" spans="1:12">
      <c r="A598" s="34" t="s">
        <v>123</v>
      </c>
      <c r="B598" s="344">
        <v>2011</v>
      </c>
      <c r="C598" s="59" t="s">
        <v>102</v>
      </c>
      <c r="D598" s="59">
        <v>18</v>
      </c>
      <c r="E598" s="504" t="s">
        <v>119</v>
      </c>
      <c r="F598" s="29">
        <v>1</v>
      </c>
      <c r="G598" s="9">
        <v>1</v>
      </c>
      <c r="H598" s="9">
        <v>1</v>
      </c>
      <c r="I598" s="9">
        <v>2</v>
      </c>
      <c r="J598" s="43">
        <v>2</v>
      </c>
      <c r="K598" s="265">
        <f t="shared" si="9"/>
        <v>0.35859414261160716</v>
      </c>
      <c r="L598" s="164" t="s">
        <v>120</v>
      </c>
    </row>
    <row r="599" spans="1:12">
      <c r="A599" s="34" t="s">
        <v>123</v>
      </c>
      <c r="B599" s="344">
        <v>2011</v>
      </c>
      <c r="C599" s="59" t="s">
        <v>104</v>
      </c>
      <c r="D599" s="59">
        <v>48</v>
      </c>
      <c r="E599" s="504" t="s">
        <v>119</v>
      </c>
      <c r="F599" s="29">
        <v>1</v>
      </c>
      <c r="G599" s="9">
        <v>1</v>
      </c>
      <c r="H599" s="9">
        <v>1</v>
      </c>
      <c r="I599" s="9">
        <v>2</v>
      </c>
      <c r="J599" s="43">
        <v>2</v>
      </c>
      <c r="K599" s="265">
        <f t="shared" si="9"/>
        <v>0.35859414261160716</v>
      </c>
      <c r="L599" s="164" t="s">
        <v>120</v>
      </c>
    </row>
    <row r="600" spans="1:12">
      <c r="A600" s="34" t="s">
        <v>123</v>
      </c>
      <c r="B600" s="344">
        <v>2011</v>
      </c>
      <c r="C600" s="59" t="s">
        <v>105</v>
      </c>
      <c r="D600" s="59">
        <v>196</v>
      </c>
      <c r="E600" s="504" t="s">
        <v>119</v>
      </c>
      <c r="F600" s="29">
        <v>1</v>
      </c>
      <c r="G600" s="9">
        <v>1</v>
      </c>
      <c r="H600" s="9">
        <v>1</v>
      </c>
      <c r="I600" s="9">
        <v>2</v>
      </c>
      <c r="J600" s="43">
        <v>2</v>
      </c>
      <c r="K600" s="265">
        <f t="shared" si="9"/>
        <v>0.35859414261160716</v>
      </c>
      <c r="L600" s="164" t="s">
        <v>120</v>
      </c>
    </row>
    <row r="601" spans="1:12">
      <c r="A601" s="34" t="s">
        <v>123</v>
      </c>
      <c r="B601" s="344">
        <v>2011</v>
      </c>
      <c r="C601" s="59" t="s">
        <v>103</v>
      </c>
      <c r="D601" s="59">
        <v>53</v>
      </c>
      <c r="E601" s="504" t="s">
        <v>119</v>
      </c>
      <c r="F601" s="29">
        <v>1</v>
      </c>
      <c r="G601" s="9">
        <v>1</v>
      </c>
      <c r="H601" s="9">
        <v>1</v>
      </c>
      <c r="I601" s="9">
        <v>2</v>
      </c>
      <c r="J601" s="43">
        <v>2</v>
      </c>
      <c r="K601" s="265">
        <f t="shared" si="9"/>
        <v>0.35859414261160716</v>
      </c>
      <c r="L601" s="164" t="s">
        <v>120</v>
      </c>
    </row>
    <row r="602" spans="1:12">
      <c r="A602" s="34" t="s">
        <v>123</v>
      </c>
      <c r="B602" s="344">
        <v>2011</v>
      </c>
      <c r="C602" s="59" t="s">
        <v>101</v>
      </c>
      <c r="D602" s="59">
        <v>30</v>
      </c>
      <c r="E602" s="504" t="s">
        <v>119</v>
      </c>
      <c r="F602" s="29">
        <v>1</v>
      </c>
      <c r="G602" s="9">
        <v>1</v>
      </c>
      <c r="H602" s="9">
        <v>1</v>
      </c>
      <c r="I602" s="9">
        <v>2</v>
      </c>
      <c r="J602" s="43">
        <v>2</v>
      </c>
      <c r="K602" s="265">
        <f t="shared" si="9"/>
        <v>0.35859414261160716</v>
      </c>
      <c r="L602" s="164" t="s">
        <v>120</v>
      </c>
    </row>
    <row r="603" spans="1:12">
      <c r="A603" s="34" t="s">
        <v>123</v>
      </c>
      <c r="B603" s="344">
        <v>2011</v>
      </c>
      <c r="C603" s="59" t="s">
        <v>106</v>
      </c>
      <c r="D603" s="59">
        <v>907</v>
      </c>
      <c r="E603" s="504" t="s">
        <v>119</v>
      </c>
      <c r="F603" s="29">
        <v>1</v>
      </c>
      <c r="G603" s="9">
        <v>1</v>
      </c>
      <c r="H603" s="9">
        <v>1</v>
      </c>
      <c r="I603" s="9">
        <v>2</v>
      </c>
      <c r="J603" s="43">
        <v>2</v>
      </c>
      <c r="K603" s="265">
        <f t="shared" si="9"/>
        <v>0.35859414261160716</v>
      </c>
      <c r="L603" s="164" t="s">
        <v>120</v>
      </c>
    </row>
    <row r="604" spans="1:12">
      <c r="A604" s="34" t="s">
        <v>123</v>
      </c>
      <c r="B604" s="344">
        <v>2012</v>
      </c>
      <c r="C604" s="59" t="s">
        <v>93</v>
      </c>
      <c r="D604" s="59">
        <v>853</v>
      </c>
      <c r="E604" s="504" t="s">
        <v>119</v>
      </c>
      <c r="F604" s="29">
        <v>1</v>
      </c>
      <c r="G604" s="9">
        <v>1</v>
      </c>
      <c r="H604" s="9">
        <v>1</v>
      </c>
      <c r="I604" s="9">
        <v>2</v>
      </c>
      <c r="J604" s="43">
        <v>2</v>
      </c>
      <c r="K604" s="265">
        <f t="shared" si="9"/>
        <v>0.35859414261160716</v>
      </c>
      <c r="L604" s="164" t="s">
        <v>120</v>
      </c>
    </row>
    <row r="605" spans="1:12">
      <c r="A605" s="34" t="s">
        <v>123</v>
      </c>
      <c r="B605" s="344">
        <v>2012</v>
      </c>
      <c r="C605" s="59" t="s">
        <v>94</v>
      </c>
      <c r="D605" s="59">
        <v>190</v>
      </c>
      <c r="E605" s="504" t="s">
        <v>119</v>
      </c>
      <c r="F605" s="29">
        <v>1</v>
      </c>
      <c r="G605" s="9">
        <v>1</v>
      </c>
      <c r="H605" s="9">
        <v>1</v>
      </c>
      <c r="I605" s="9">
        <v>2</v>
      </c>
      <c r="J605" s="43">
        <v>2</v>
      </c>
      <c r="K605" s="265">
        <f t="shared" si="9"/>
        <v>0.35859414261160716</v>
      </c>
      <c r="L605" s="164" t="s">
        <v>120</v>
      </c>
    </row>
    <row r="606" spans="1:12">
      <c r="A606" s="34" t="s">
        <v>123</v>
      </c>
      <c r="B606" s="344">
        <v>2012</v>
      </c>
      <c r="C606" s="59" t="s">
        <v>95</v>
      </c>
      <c r="D606" s="59">
        <v>258</v>
      </c>
      <c r="E606" s="504" t="s">
        <v>119</v>
      </c>
      <c r="F606" s="29">
        <v>1</v>
      </c>
      <c r="G606" s="9">
        <v>1</v>
      </c>
      <c r="H606" s="9">
        <v>1</v>
      </c>
      <c r="I606" s="9">
        <v>2</v>
      </c>
      <c r="J606" s="43">
        <v>2</v>
      </c>
      <c r="K606" s="265">
        <f t="shared" si="9"/>
        <v>0.35859414261160716</v>
      </c>
      <c r="L606" s="164" t="s">
        <v>120</v>
      </c>
    </row>
    <row r="607" spans="1:12">
      <c r="A607" s="34" t="s">
        <v>123</v>
      </c>
      <c r="B607" s="344">
        <v>2012</v>
      </c>
      <c r="C607" s="59" t="s">
        <v>96</v>
      </c>
      <c r="D607" s="59">
        <v>44</v>
      </c>
      <c r="E607" s="504" t="s">
        <v>119</v>
      </c>
      <c r="F607" s="29">
        <v>1</v>
      </c>
      <c r="G607" s="9">
        <v>1</v>
      </c>
      <c r="H607" s="9">
        <v>1</v>
      </c>
      <c r="I607" s="9">
        <v>2</v>
      </c>
      <c r="J607" s="43">
        <v>2</v>
      </c>
      <c r="K607" s="265">
        <f t="shared" si="9"/>
        <v>0.35859414261160716</v>
      </c>
      <c r="L607" s="164" t="s">
        <v>120</v>
      </c>
    </row>
    <row r="608" spans="1:12">
      <c r="A608" s="34" t="s">
        <v>123</v>
      </c>
      <c r="B608" s="344">
        <v>2012</v>
      </c>
      <c r="C608" s="59" t="s">
        <v>97</v>
      </c>
      <c r="D608" s="59">
        <v>38</v>
      </c>
      <c r="E608" s="504" t="s">
        <v>119</v>
      </c>
      <c r="F608" s="29">
        <v>1</v>
      </c>
      <c r="G608" s="9">
        <v>1</v>
      </c>
      <c r="H608" s="9">
        <v>1</v>
      </c>
      <c r="I608" s="9">
        <v>2</v>
      </c>
      <c r="J608" s="43">
        <v>2</v>
      </c>
      <c r="K608" s="265">
        <f t="shared" si="9"/>
        <v>0.35859414261160716</v>
      </c>
      <c r="L608" s="164" t="s">
        <v>120</v>
      </c>
    </row>
    <row r="609" spans="1:12">
      <c r="A609" s="34" t="s">
        <v>123</v>
      </c>
      <c r="B609" s="344">
        <v>2012</v>
      </c>
      <c r="C609" s="59" t="s">
        <v>98</v>
      </c>
      <c r="D609" s="59">
        <v>181</v>
      </c>
      <c r="E609" s="504" t="s">
        <v>119</v>
      </c>
      <c r="F609" s="29">
        <v>1</v>
      </c>
      <c r="G609" s="9">
        <v>1</v>
      </c>
      <c r="H609" s="9">
        <v>1</v>
      </c>
      <c r="I609" s="9">
        <v>2</v>
      </c>
      <c r="J609" s="43">
        <v>2</v>
      </c>
      <c r="K609" s="265">
        <f t="shared" si="9"/>
        <v>0.35859414261160716</v>
      </c>
      <c r="L609" s="164" t="s">
        <v>120</v>
      </c>
    </row>
    <row r="610" spans="1:12">
      <c r="A610" s="34" t="s">
        <v>123</v>
      </c>
      <c r="B610" s="344">
        <v>2012</v>
      </c>
      <c r="C610" s="59" t="s">
        <v>99</v>
      </c>
      <c r="D610" s="59">
        <v>77</v>
      </c>
      <c r="E610" s="504" t="s">
        <v>119</v>
      </c>
      <c r="F610" s="29">
        <v>1</v>
      </c>
      <c r="G610" s="9">
        <v>1</v>
      </c>
      <c r="H610" s="9">
        <v>1</v>
      </c>
      <c r="I610" s="9">
        <v>2</v>
      </c>
      <c r="J610" s="43">
        <v>2</v>
      </c>
      <c r="K610" s="265">
        <f t="shared" si="9"/>
        <v>0.35859414261160716</v>
      </c>
      <c r="L610" s="164" t="s">
        <v>120</v>
      </c>
    </row>
    <row r="611" spans="1:12">
      <c r="A611" s="34" t="s">
        <v>123</v>
      </c>
      <c r="B611" s="344">
        <v>2012</v>
      </c>
      <c r="C611" s="59" t="s">
        <v>102</v>
      </c>
      <c r="D611" s="59">
        <v>20</v>
      </c>
      <c r="E611" s="504" t="s">
        <v>119</v>
      </c>
      <c r="F611" s="29">
        <v>1</v>
      </c>
      <c r="G611" s="9">
        <v>1</v>
      </c>
      <c r="H611" s="9">
        <v>1</v>
      </c>
      <c r="I611" s="9">
        <v>2</v>
      </c>
      <c r="J611" s="43">
        <v>2</v>
      </c>
      <c r="K611" s="265">
        <f t="shared" si="9"/>
        <v>0.35859414261160716</v>
      </c>
      <c r="L611" s="164" t="s">
        <v>120</v>
      </c>
    </row>
    <row r="612" spans="1:12">
      <c r="A612" s="34" t="s">
        <v>123</v>
      </c>
      <c r="B612" s="344">
        <v>2012</v>
      </c>
      <c r="C612" s="59" t="s">
        <v>104</v>
      </c>
      <c r="D612" s="59">
        <v>46</v>
      </c>
      <c r="E612" s="504" t="s">
        <v>119</v>
      </c>
      <c r="F612" s="29">
        <v>1</v>
      </c>
      <c r="G612" s="9">
        <v>1</v>
      </c>
      <c r="H612" s="9">
        <v>1</v>
      </c>
      <c r="I612" s="9">
        <v>2</v>
      </c>
      <c r="J612" s="43">
        <v>2</v>
      </c>
      <c r="K612" s="265">
        <f t="shared" si="9"/>
        <v>0.35859414261160716</v>
      </c>
      <c r="L612" s="164" t="s">
        <v>120</v>
      </c>
    </row>
    <row r="613" spans="1:12">
      <c r="A613" s="34" t="s">
        <v>123</v>
      </c>
      <c r="B613" s="344">
        <v>2012</v>
      </c>
      <c r="C613" s="59" t="s">
        <v>105</v>
      </c>
      <c r="D613" s="59">
        <v>187</v>
      </c>
      <c r="E613" s="504" t="s">
        <v>119</v>
      </c>
      <c r="F613" s="29">
        <v>1</v>
      </c>
      <c r="G613" s="9">
        <v>1</v>
      </c>
      <c r="H613" s="9">
        <v>1</v>
      </c>
      <c r="I613" s="9">
        <v>2</v>
      </c>
      <c r="J613" s="43">
        <v>2</v>
      </c>
      <c r="K613" s="265">
        <f t="shared" si="9"/>
        <v>0.35859414261160716</v>
      </c>
      <c r="L613" s="164" t="s">
        <v>120</v>
      </c>
    </row>
    <row r="614" spans="1:12">
      <c r="A614" s="34" t="s">
        <v>123</v>
      </c>
      <c r="B614" s="344">
        <v>2012</v>
      </c>
      <c r="C614" s="59" t="s">
        <v>103</v>
      </c>
      <c r="D614" s="59">
        <v>55</v>
      </c>
      <c r="E614" s="504" t="s">
        <v>119</v>
      </c>
      <c r="F614" s="29">
        <v>1</v>
      </c>
      <c r="G614" s="9">
        <v>1</v>
      </c>
      <c r="H614" s="9">
        <v>1</v>
      </c>
      <c r="I614" s="9">
        <v>2</v>
      </c>
      <c r="J614" s="43">
        <v>2</v>
      </c>
      <c r="K614" s="265">
        <f t="shared" si="9"/>
        <v>0.35859414261160716</v>
      </c>
      <c r="L614" s="164" t="s">
        <v>120</v>
      </c>
    </row>
    <row r="615" spans="1:12">
      <c r="A615" s="34" t="s">
        <v>123</v>
      </c>
      <c r="B615" s="344">
        <v>2012</v>
      </c>
      <c r="C615" s="59" t="s">
        <v>101</v>
      </c>
      <c r="D615" s="59">
        <v>28</v>
      </c>
      <c r="E615" s="504" t="s">
        <v>119</v>
      </c>
      <c r="F615" s="29">
        <v>1</v>
      </c>
      <c r="G615" s="9">
        <v>1</v>
      </c>
      <c r="H615" s="9">
        <v>1</v>
      </c>
      <c r="I615" s="9">
        <v>2</v>
      </c>
      <c r="J615" s="43">
        <v>2</v>
      </c>
      <c r="K615" s="265">
        <f t="shared" si="9"/>
        <v>0.35859414261160716</v>
      </c>
      <c r="L615" s="164" t="s">
        <v>120</v>
      </c>
    </row>
    <row r="616" spans="1:12">
      <c r="A616" s="34" t="s">
        <v>123</v>
      </c>
      <c r="B616" s="344">
        <v>2012</v>
      </c>
      <c r="C616" s="59" t="s">
        <v>106</v>
      </c>
      <c r="D616" s="59">
        <v>922</v>
      </c>
      <c r="E616" s="504" t="s">
        <v>119</v>
      </c>
      <c r="F616" s="29">
        <v>1</v>
      </c>
      <c r="G616" s="9">
        <v>1</v>
      </c>
      <c r="H616" s="9">
        <v>1</v>
      </c>
      <c r="I616" s="9">
        <v>2</v>
      </c>
      <c r="J616" s="43">
        <v>2</v>
      </c>
      <c r="K616" s="265">
        <f t="shared" si="9"/>
        <v>0.35859414261160716</v>
      </c>
      <c r="L616" s="164" t="s">
        <v>120</v>
      </c>
    </row>
    <row r="617" spans="1:12">
      <c r="A617" s="34" t="s">
        <v>123</v>
      </c>
      <c r="B617" s="344">
        <v>2013</v>
      </c>
      <c r="C617" s="59" t="s">
        <v>93</v>
      </c>
      <c r="D617" s="59">
        <v>984</v>
      </c>
      <c r="E617" s="504" t="s">
        <v>119</v>
      </c>
      <c r="F617" s="29">
        <v>1</v>
      </c>
      <c r="G617" s="9">
        <v>1</v>
      </c>
      <c r="H617" s="9">
        <v>1</v>
      </c>
      <c r="I617" s="9">
        <v>2</v>
      </c>
      <c r="J617" s="43">
        <v>2</v>
      </c>
      <c r="K617" s="265">
        <f t="shared" si="9"/>
        <v>0.35859414261160716</v>
      </c>
      <c r="L617" s="164" t="s">
        <v>120</v>
      </c>
    </row>
    <row r="618" spans="1:12">
      <c r="A618" s="34" t="s">
        <v>123</v>
      </c>
      <c r="B618" s="344">
        <v>2013</v>
      </c>
      <c r="C618" s="59" t="s">
        <v>94</v>
      </c>
      <c r="D618" s="59">
        <v>222</v>
      </c>
      <c r="E618" s="504" t="s">
        <v>119</v>
      </c>
      <c r="F618" s="29">
        <v>1</v>
      </c>
      <c r="G618" s="9">
        <v>1</v>
      </c>
      <c r="H618" s="9">
        <v>1</v>
      </c>
      <c r="I618" s="9">
        <v>2</v>
      </c>
      <c r="J618" s="43">
        <v>2</v>
      </c>
      <c r="K618" s="265">
        <f t="shared" si="9"/>
        <v>0.35859414261160716</v>
      </c>
      <c r="L618" s="164" t="s">
        <v>120</v>
      </c>
    </row>
    <row r="619" spans="1:12">
      <c r="A619" s="34" t="s">
        <v>123</v>
      </c>
      <c r="B619" s="344">
        <v>2013</v>
      </c>
      <c r="C619" s="59" t="s">
        <v>95</v>
      </c>
      <c r="D619" s="59">
        <v>232</v>
      </c>
      <c r="E619" s="504" t="s">
        <v>119</v>
      </c>
      <c r="F619" s="29">
        <v>1</v>
      </c>
      <c r="G619" s="9">
        <v>1</v>
      </c>
      <c r="H619" s="9">
        <v>1</v>
      </c>
      <c r="I619" s="9">
        <v>2</v>
      </c>
      <c r="J619" s="43">
        <v>2</v>
      </c>
      <c r="K619" s="265">
        <f t="shared" si="9"/>
        <v>0.35859414261160716</v>
      </c>
      <c r="L619" s="164" t="s">
        <v>120</v>
      </c>
    </row>
    <row r="620" spans="1:12">
      <c r="A620" s="34" t="s">
        <v>123</v>
      </c>
      <c r="B620" s="344">
        <v>2013</v>
      </c>
      <c r="C620" s="59" t="s">
        <v>96</v>
      </c>
      <c r="D620" s="59">
        <v>47</v>
      </c>
      <c r="E620" s="504" t="s">
        <v>119</v>
      </c>
      <c r="F620" s="29">
        <v>1</v>
      </c>
      <c r="G620" s="9">
        <v>1</v>
      </c>
      <c r="H620" s="9">
        <v>1</v>
      </c>
      <c r="I620" s="9">
        <v>2</v>
      </c>
      <c r="J620" s="43">
        <v>2</v>
      </c>
      <c r="K620" s="265">
        <f t="shared" si="9"/>
        <v>0.35859414261160716</v>
      </c>
      <c r="L620" s="164" t="s">
        <v>120</v>
      </c>
    </row>
    <row r="621" spans="1:12">
      <c r="A621" s="34" t="s">
        <v>123</v>
      </c>
      <c r="B621" s="344">
        <v>2013</v>
      </c>
      <c r="C621" s="59" t="s">
        <v>97</v>
      </c>
      <c r="D621" s="59">
        <v>37</v>
      </c>
      <c r="E621" s="504" t="s">
        <v>119</v>
      </c>
      <c r="F621" s="29">
        <v>1</v>
      </c>
      <c r="G621" s="9">
        <v>1</v>
      </c>
      <c r="H621" s="9">
        <v>1</v>
      </c>
      <c r="I621" s="9">
        <v>2</v>
      </c>
      <c r="J621" s="43">
        <v>2</v>
      </c>
      <c r="K621" s="265">
        <f t="shared" si="9"/>
        <v>0.35859414261160716</v>
      </c>
      <c r="L621" s="164" t="s">
        <v>120</v>
      </c>
    </row>
    <row r="622" spans="1:12">
      <c r="A622" s="34" t="s">
        <v>123</v>
      </c>
      <c r="B622" s="344">
        <v>2013</v>
      </c>
      <c r="C622" s="59" t="s">
        <v>98</v>
      </c>
      <c r="D622" s="59">
        <v>164</v>
      </c>
      <c r="E622" s="504" t="s">
        <v>119</v>
      </c>
      <c r="F622" s="29">
        <v>1</v>
      </c>
      <c r="G622" s="9">
        <v>1</v>
      </c>
      <c r="H622" s="9">
        <v>1</v>
      </c>
      <c r="I622" s="9">
        <v>2</v>
      </c>
      <c r="J622" s="43">
        <v>2</v>
      </c>
      <c r="K622" s="265">
        <f t="shared" si="9"/>
        <v>0.35859414261160716</v>
      </c>
      <c r="L622" s="164" t="s">
        <v>120</v>
      </c>
    </row>
    <row r="623" spans="1:12">
      <c r="A623" s="34" t="s">
        <v>123</v>
      </c>
      <c r="B623" s="344">
        <v>2013</v>
      </c>
      <c r="C623" s="59" t="s">
        <v>99</v>
      </c>
      <c r="D623" s="59">
        <v>40</v>
      </c>
      <c r="E623" s="504" t="s">
        <v>119</v>
      </c>
      <c r="F623" s="29">
        <v>1</v>
      </c>
      <c r="G623" s="9">
        <v>1</v>
      </c>
      <c r="H623" s="9">
        <v>1</v>
      </c>
      <c r="I623" s="9">
        <v>2</v>
      </c>
      <c r="J623" s="43">
        <v>2</v>
      </c>
      <c r="K623" s="265">
        <f t="shared" si="9"/>
        <v>0.35859414261160716</v>
      </c>
      <c r="L623" s="164" t="s">
        <v>120</v>
      </c>
    </row>
    <row r="624" spans="1:12">
      <c r="A624" s="34" t="s">
        <v>123</v>
      </c>
      <c r="B624" s="344">
        <v>2013</v>
      </c>
      <c r="C624" s="59" t="s">
        <v>102</v>
      </c>
      <c r="D624" s="59">
        <v>15</v>
      </c>
      <c r="E624" s="504" t="s">
        <v>119</v>
      </c>
      <c r="F624" s="29">
        <v>1</v>
      </c>
      <c r="G624" s="9">
        <v>1</v>
      </c>
      <c r="H624" s="9">
        <v>1</v>
      </c>
      <c r="I624" s="9">
        <v>2</v>
      </c>
      <c r="J624" s="43">
        <v>2</v>
      </c>
      <c r="K624" s="265">
        <f t="shared" si="9"/>
        <v>0.35859414261160716</v>
      </c>
      <c r="L624" s="164" t="s">
        <v>120</v>
      </c>
    </row>
    <row r="625" spans="1:12">
      <c r="A625" s="34" t="s">
        <v>123</v>
      </c>
      <c r="B625" s="344">
        <v>2013</v>
      </c>
      <c r="C625" s="59" t="s">
        <v>104</v>
      </c>
      <c r="D625" s="59">
        <v>42</v>
      </c>
      <c r="E625" s="504" t="s">
        <v>119</v>
      </c>
      <c r="F625" s="29">
        <v>1</v>
      </c>
      <c r="G625" s="9">
        <v>1</v>
      </c>
      <c r="H625" s="9">
        <v>1</v>
      </c>
      <c r="I625" s="9">
        <v>2</v>
      </c>
      <c r="J625" s="43">
        <v>2</v>
      </c>
      <c r="K625" s="265">
        <f t="shared" si="9"/>
        <v>0.35859414261160716</v>
      </c>
      <c r="L625" s="164" t="s">
        <v>120</v>
      </c>
    </row>
    <row r="626" spans="1:12">
      <c r="A626" s="34" t="s">
        <v>123</v>
      </c>
      <c r="B626" s="344">
        <v>2013</v>
      </c>
      <c r="C626" s="59" t="s">
        <v>105</v>
      </c>
      <c r="D626" s="59">
        <v>176</v>
      </c>
      <c r="E626" s="504" t="s">
        <v>119</v>
      </c>
      <c r="F626" s="29">
        <v>1</v>
      </c>
      <c r="G626" s="9">
        <v>1</v>
      </c>
      <c r="H626" s="9">
        <v>1</v>
      </c>
      <c r="I626" s="9">
        <v>2</v>
      </c>
      <c r="J626" s="43">
        <v>2</v>
      </c>
      <c r="K626" s="265">
        <f t="shared" si="9"/>
        <v>0.35859414261160716</v>
      </c>
      <c r="L626" s="164" t="s">
        <v>120</v>
      </c>
    </row>
    <row r="627" spans="1:12">
      <c r="A627" s="34" t="s">
        <v>123</v>
      </c>
      <c r="B627" s="344">
        <v>2013</v>
      </c>
      <c r="C627" s="59" t="s">
        <v>103</v>
      </c>
      <c r="D627" s="59">
        <v>54</v>
      </c>
      <c r="E627" s="504" t="s">
        <v>119</v>
      </c>
      <c r="F627" s="29">
        <v>1</v>
      </c>
      <c r="G627" s="9">
        <v>1</v>
      </c>
      <c r="H627" s="9">
        <v>1</v>
      </c>
      <c r="I627" s="9">
        <v>2</v>
      </c>
      <c r="J627" s="43">
        <v>2</v>
      </c>
      <c r="K627" s="265">
        <f t="shared" si="9"/>
        <v>0.35859414261160716</v>
      </c>
      <c r="L627" s="164" t="s">
        <v>120</v>
      </c>
    </row>
    <row r="628" spans="1:12">
      <c r="A628" s="34" t="s">
        <v>123</v>
      </c>
      <c r="B628" s="344">
        <v>2013</v>
      </c>
      <c r="C628" s="59" t="s">
        <v>101</v>
      </c>
      <c r="D628" s="59">
        <v>26</v>
      </c>
      <c r="E628" s="504" t="s">
        <v>119</v>
      </c>
      <c r="F628" s="29">
        <v>1</v>
      </c>
      <c r="G628" s="9">
        <v>1</v>
      </c>
      <c r="H628" s="9">
        <v>1</v>
      </c>
      <c r="I628" s="9">
        <v>2</v>
      </c>
      <c r="J628" s="43">
        <v>2</v>
      </c>
      <c r="K628" s="265">
        <f t="shared" si="9"/>
        <v>0.35859414261160716</v>
      </c>
      <c r="L628" s="164" t="s">
        <v>120</v>
      </c>
    </row>
    <row r="629" spans="1:12">
      <c r="A629" s="34" t="s">
        <v>123</v>
      </c>
      <c r="B629" s="344">
        <v>2013</v>
      </c>
      <c r="C629" s="59" t="s">
        <v>106</v>
      </c>
      <c r="D629" s="59">
        <v>1210</v>
      </c>
      <c r="E629" s="504" t="s">
        <v>119</v>
      </c>
      <c r="F629" s="29">
        <v>1</v>
      </c>
      <c r="G629" s="9">
        <v>1</v>
      </c>
      <c r="H629" s="9">
        <v>1</v>
      </c>
      <c r="I629" s="9">
        <v>2</v>
      </c>
      <c r="J629" s="43">
        <v>2</v>
      </c>
      <c r="K629" s="265">
        <f t="shared" si="9"/>
        <v>0.35859414261160716</v>
      </c>
      <c r="L629" s="164" t="s">
        <v>120</v>
      </c>
    </row>
    <row r="630" spans="1:12">
      <c r="A630" s="34" t="s">
        <v>123</v>
      </c>
      <c r="B630" s="344">
        <v>2014</v>
      </c>
      <c r="C630" s="59" t="s">
        <v>93</v>
      </c>
      <c r="D630" s="59">
        <v>1013</v>
      </c>
      <c r="E630" s="504" t="s">
        <v>119</v>
      </c>
      <c r="F630" s="29">
        <v>1</v>
      </c>
      <c r="G630" s="9">
        <v>1</v>
      </c>
      <c r="H630" s="9">
        <v>1</v>
      </c>
      <c r="I630" s="9">
        <v>2</v>
      </c>
      <c r="J630" s="43">
        <v>2</v>
      </c>
      <c r="K630" s="265">
        <f t="shared" si="9"/>
        <v>0.35859414261160716</v>
      </c>
      <c r="L630" s="164" t="s">
        <v>120</v>
      </c>
    </row>
    <row r="631" spans="1:12">
      <c r="A631" s="34" t="s">
        <v>123</v>
      </c>
      <c r="B631" s="344">
        <v>2014</v>
      </c>
      <c r="C631" s="59" t="s">
        <v>94</v>
      </c>
      <c r="D631" s="59">
        <v>192</v>
      </c>
      <c r="E631" s="504" t="s">
        <v>119</v>
      </c>
      <c r="F631" s="29">
        <v>1</v>
      </c>
      <c r="G631" s="9">
        <v>1</v>
      </c>
      <c r="H631" s="9">
        <v>1</v>
      </c>
      <c r="I631" s="9">
        <v>2</v>
      </c>
      <c r="J631" s="43">
        <v>2</v>
      </c>
      <c r="K631" s="265">
        <f t="shared" si="9"/>
        <v>0.35859414261160716</v>
      </c>
      <c r="L631" s="164" t="s">
        <v>120</v>
      </c>
    </row>
    <row r="632" spans="1:12">
      <c r="A632" s="34" t="s">
        <v>123</v>
      </c>
      <c r="B632" s="344">
        <v>2014</v>
      </c>
      <c r="C632" s="59" t="s">
        <v>95</v>
      </c>
      <c r="D632" s="59">
        <v>207</v>
      </c>
      <c r="E632" s="504" t="s">
        <v>119</v>
      </c>
      <c r="F632" s="29">
        <v>1</v>
      </c>
      <c r="G632" s="9">
        <v>1</v>
      </c>
      <c r="H632" s="9">
        <v>1</v>
      </c>
      <c r="I632" s="9">
        <v>2</v>
      </c>
      <c r="J632" s="43">
        <v>2</v>
      </c>
      <c r="K632" s="265">
        <f t="shared" si="9"/>
        <v>0.35859414261160716</v>
      </c>
      <c r="L632" s="164" t="s">
        <v>120</v>
      </c>
    </row>
    <row r="633" spans="1:12">
      <c r="A633" s="34" t="s">
        <v>123</v>
      </c>
      <c r="B633" s="344">
        <v>2014</v>
      </c>
      <c r="C633" s="59" t="s">
        <v>96</v>
      </c>
      <c r="D633" s="59">
        <v>47</v>
      </c>
      <c r="E633" s="504" t="s">
        <v>119</v>
      </c>
      <c r="F633" s="29">
        <v>1</v>
      </c>
      <c r="G633" s="9">
        <v>1</v>
      </c>
      <c r="H633" s="9">
        <v>1</v>
      </c>
      <c r="I633" s="9">
        <v>2</v>
      </c>
      <c r="J633" s="43">
        <v>2</v>
      </c>
      <c r="K633" s="265">
        <f t="shared" si="9"/>
        <v>0.35859414261160716</v>
      </c>
      <c r="L633" s="164" t="s">
        <v>120</v>
      </c>
    </row>
    <row r="634" spans="1:12">
      <c r="A634" s="34" t="s">
        <v>123</v>
      </c>
      <c r="B634" s="344">
        <v>2014</v>
      </c>
      <c r="C634" s="59" t="s">
        <v>97</v>
      </c>
      <c r="D634" s="59">
        <v>43</v>
      </c>
      <c r="E634" s="504" t="s">
        <v>119</v>
      </c>
      <c r="F634" s="29">
        <v>1</v>
      </c>
      <c r="G634" s="9">
        <v>1</v>
      </c>
      <c r="H634" s="9">
        <v>1</v>
      </c>
      <c r="I634" s="9">
        <v>2</v>
      </c>
      <c r="J634" s="43">
        <v>2</v>
      </c>
      <c r="K634" s="265">
        <f t="shared" si="9"/>
        <v>0.35859414261160716</v>
      </c>
      <c r="L634" s="164" t="s">
        <v>120</v>
      </c>
    </row>
    <row r="635" spans="1:12">
      <c r="A635" s="34" t="s">
        <v>123</v>
      </c>
      <c r="B635" s="344">
        <v>2014</v>
      </c>
      <c r="C635" s="59" t="s">
        <v>98</v>
      </c>
      <c r="D635" s="59">
        <v>142</v>
      </c>
      <c r="E635" s="504" t="s">
        <v>119</v>
      </c>
      <c r="F635" s="29">
        <v>1</v>
      </c>
      <c r="G635" s="9">
        <v>1</v>
      </c>
      <c r="H635" s="9">
        <v>1</v>
      </c>
      <c r="I635" s="9">
        <v>2</v>
      </c>
      <c r="J635" s="43">
        <v>2</v>
      </c>
      <c r="K635" s="265">
        <f t="shared" si="9"/>
        <v>0.35859414261160716</v>
      </c>
      <c r="L635" s="164" t="s">
        <v>120</v>
      </c>
    </row>
    <row r="636" spans="1:12">
      <c r="A636" s="34" t="s">
        <v>123</v>
      </c>
      <c r="B636" s="344">
        <v>2014</v>
      </c>
      <c r="C636" s="59" t="s">
        <v>99</v>
      </c>
      <c r="D636" s="59">
        <v>64</v>
      </c>
      <c r="E636" s="504" t="s">
        <v>119</v>
      </c>
      <c r="F636" s="29">
        <v>1</v>
      </c>
      <c r="G636" s="9">
        <v>1</v>
      </c>
      <c r="H636" s="9">
        <v>1</v>
      </c>
      <c r="I636" s="9">
        <v>2</v>
      </c>
      <c r="J636" s="43">
        <v>2</v>
      </c>
      <c r="K636" s="265">
        <f t="shared" si="9"/>
        <v>0.35859414261160716</v>
      </c>
      <c r="L636" s="164" t="s">
        <v>120</v>
      </c>
    </row>
    <row r="637" spans="1:12">
      <c r="A637" s="34" t="s">
        <v>123</v>
      </c>
      <c r="B637" s="344">
        <v>2014</v>
      </c>
      <c r="C637" s="59" t="s">
        <v>102</v>
      </c>
      <c r="D637" s="59">
        <v>18</v>
      </c>
      <c r="E637" s="504" t="s">
        <v>119</v>
      </c>
      <c r="F637" s="29">
        <v>1</v>
      </c>
      <c r="G637" s="9">
        <v>1</v>
      </c>
      <c r="H637" s="9">
        <v>1</v>
      </c>
      <c r="I637" s="9">
        <v>2</v>
      </c>
      <c r="J637" s="43">
        <v>2</v>
      </c>
      <c r="K637" s="265">
        <f t="shared" si="9"/>
        <v>0.35859414261160716</v>
      </c>
      <c r="L637" s="164" t="s">
        <v>120</v>
      </c>
    </row>
    <row r="638" spans="1:12">
      <c r="A638" s="34" t="s">
        <v>123</v>
      </c>
      <c r="B638" s="344">
        <v>2014</v>
      </c>
      <c r="C638" s="59" t="s">
        <v>104</v>
      </c>
      <c r="D638" s="59">
        <v>39</v>
      </c>
      <c r="E638" s="504" t="s">
        <v>119</v>
      </c>
      <c r="F638" s="29">
        <v>1</v>
      </c>
      <c r="G638" s="9">
        <v>1</v>
      </c>
      <c r="H638" s="9">
        <v>1</v>
      </c>
      <c r="I638" s="9">
        <v>2</v>
      </c>
      <c r="J638" s="43">
        <v>2</v>
      </c>
      <c r="K638" s="265">
        <f t="shared" si="9"/>
        <v>0.35859414261160716</v>
      </c>
      <c r="L638" s="164" t="s">
        <v>120</v>
      </c>
    </row>
    <row r="639" spans="1:12">
      <c r="A639" s="34" t="s">
        <v>123</v>
      </c>
      <c r="B639" s="344">
        <v>2014</v>
      </c>
      <c r="C639" s="59" t="s">
        <v>105</v>
      </c>
      <c r="D639" s="59">
        <v>204</v>
      </c>
      <c r="E639" s="504" t="s">
        <v>119</v>
      </c>
      <c r="F639" s="29">
        <v>1</v>
      </c>
      <c r="G639" s="9">
        <v>1</v>
      </c>
      <c r="H639" s="9">
        <v>1</v>
      </c>
      <c r="I639" s="9">
        <v>2</v>
      </c>
      <c r="J639" s="43">
        <v>2</v>
      </c>
      <c r="K639" s="265">
        <f t="shared" si="9"/>
        <v>0.35859414261160716</v>
      </c>
      <c r="L639" s="164" t="s">
        <v>120</v>
      </c>
    </row>
    <row r="640" spans="1:12">
      <c r="A640" s="34" t="s">
        <v>123</v>
      </c>
      <c r="B640" s="344">
        <v>2014</v>
      </c>
      <c r="C640" s="59" t="s">
        <v>103</v>
      </c>
      <c r="D640" s="59">
        <v>56</v>
      </c>
      <c r="E640" s="504" t="s">
        <v>119</v>
      </c>
      <c r="F640" s="29">
        <v>1</v>
      </c>
      <c r="G640" s="9">
        <v>1</v>
      </c>
      <c r="H640" s="9">
        <v>1</v>
      </c>
      <c r="I640" s="9">
        <v>2</v>
      </c>
      <c r="J640" s="43">
        <v>2</v>
      </c>
      <c r="K640" s="265">
        <f t="shared" si="9"/>
        <v>0.35859414261160716</v>
      </c>
      <c r="L640" s="164" t="s">
        <v>120</v>
      </c>
    </row>
    <row r="641" spans="1:12">
      <c r="A641" s="34" t="s">
        <v>123</v>
      </c>
      <c r="B641" s="344">
        <v>2014</v>
      </c>
      <c r="C641" s="59" t="s">
        <v>101</v>
      </c>
      <c r="D641" s="59">
        <v>29</v>
      </c>
      <c r="E641" s="504" t="s">
        <v>119</v>
      </c>
      <c r="F641" s="29">
        <v>1</v>
      </c>
      <c r="G641" s="9">
        <v>1</v>
      </c>
      <c r="H641" s="9">
        <v>1</v>
      </c>
      <c r="I641" s="9">
        <v>2</v>
      </c>
      <c r="J641" s="43">
        <v>2</v>
      </c>
      <c r="K641" s="265">
        <f t="shared" si="9"/>
        <v>0.35859414261160716</v>
      </c>
      <c r="L641" s="164" t="s">
        <v>120</v>
      </c>
    </row>
    <row r="642" spans="1:12">
      <c r="A642" s="34" t="s">
        <v>123</v>
      </c>
      <c r="B642" s="344">
        <v>2014</v>
      </c>
      <c r="C642" s="59" t="s">
        <v>106</v>
      </c>
      <c r="D642" s="59">
        <v>912</v>
      </c>
      <c r="E642" s="504" t="s">
        <v>119</v>
      </c>
      <c r="F642" s="29">
        <v>1</v>
      </c>
      <c r="G642" s="9">
        <v>1</v>
      </c>
      <c r="H642" s="9">
        <v>1</v>
      </c>
      <c r="I642" s="9">
        <v>2</v>
      </c>
      <c r="J642" s="43">
        <v>2</v>
      </c>
      <c r="K642" s="265">
        <f t="shared" ref="K642:K705" si="10">IF( OR( ISBLANK(F642),ISBLANK(G642), ISBLANK(H642), ISBLANK(I642), ISBLANK(J642) ), "", 1.5*SQRT(   EXP(2.21*(F642-1)) + EXP(2.21*(G642-1)) + EXP(2.21*(H642-1)) + EXP(2.21*(I642-1)) + EXP(2.21*J642)   )/100*2.45 )</f>
        <v>0.35859414261160716</v>
      </c>
      <c r="L642" s="164" t="s">
        <v>120</v>
      </c>
    </row>
    <row r="643" spans="1:12">
      <c r="A643" s="34" t="s">
        <v>123</v>
      </c>
      <c r="B643" s="344">
        <v>2015</v>
      </c>
      <c r="C643" s="59" t="s">
        <v>93</v>
      </c>
      <c r="D643" s="59">
        <v>1105</v>
      </c>
      <c r="E643" s="504" t="s">
        <v>119</v>
      </c>
      <c r="F643" s="29">
        <v>1</v>
      </c>
      <c r="G643" s="9">
        <v>1</v>
      </c>
      <c r="H643" s="9">
        <v>1</v>
      </c>
      <c r="I643" s="9">
        <v>2</v>
      </c>
      <c r="J643" s="43">
        <v>2</v>
      </c>
      <c r="K643" s="265">
        <f t="shared" si="10"/>
        <v>0.35859414261160716</v>
      </c>
      <c r="L643" s="164" t="s">
        <v>120</v>
      </c>
    </row>
    <row r="644" spans="1:12">
      <c r="A644" s="34" t="s">
        <v>123</v>
      </c>
      <c r="B644" s="344">
        <v>2015</v>
      </c>
      <c r="C644" s="59" t="s">
        <v>94</v>
      </c>
      <c r="D644" s="59">
        <v>217</v>
      </c>
      <c r="E644" s="504" t="s">
        <v>119</v>
      </c>
      <c r="F644" s="29">
        <v>1</v>
      </c>
      <c r="G644" s="9">
        <v>1</v>
      </c>
      <c r="H644" s="9">
        <v>1</v>
      </c>
      <c r="I644" s="9">
        <v>2</v>
      </c>
      <c r="J644" s="43">
        <v>2</v>
      </c>
      <c r="K644" s="265">
        <f t="shared" si="10"/>
        <v>0.35859414261160716</v>
      </c>
      <c r="L644" s="164" t="s">
        <v>120</v>
      </c>
    </row>
    <row r="645" spans="1:12">
      <c r="A645" s="34" t="s">
        <v>123</v>
      </c>
      <c r="B645" s="344">
        <v>2015</v>
      </c>
      <c r="C645" s="59" t="s">
        <v>95</v>
      </c>
      <c r="D645" s="59">
        <v>247</v>
      </c>
      <c r="E645" s="504" t="s">
        <v>119</v>
      </c>
      <c r="F645" s="29">
        <v>1</v>
      </c>
      <c r="G645" s="9">
        <v>1</v>
      </c>
      <c r="H645" s="9">
        <v>1</v>
      </c>
      <c r="I645" s="9">
        <v>2</v>
      </c>
      <c r="J645" s="43">
        <v>2</v>
      </c>
      <c r="K645" s="265">
        <f t="shared" si="10"/>
        <v>0.35859414261160716</v>
      </c>
      <c r="L645" s="164" t="s">
        <v>120</v>
      </c>
    </row>
    <row r="646" spans="1:12">
      <c r="A646" s="34" t="s">
        <v>123</v>
      </c>
      <c r="B646" s="344">
        <v>2015</v>
      </c>
      <c r="C646" s="59" t="s">
        <v>96</v>
      </c>
      <c r="D646" s="59">
        <v>50</v>
      </c>
      <c r="E646" s="504" t="s">
        <v>119</v>
      </c>
      <c r="F646" s="29">
        <v>1</v>
      </c>
      <c r="G646" s="9">
        <v>1</v>
      </c>
      <c r="H646" s="9">
        <v>1</v>
      </c>
      <c r="I646" s="9">
        <v>2</v>
      </c>
      <c r="J646" s="43">
        <v>2</v>
      </c>
      <c r="K646" s="265">
        <f t="shared" si="10"/>
        <v>0.35859414261160716</v>
      </c>
      <c r="L646" s="164" t="s">
        <v>120</v>
      </c>
    </row>
    <row r="647" spans="1:12">
      <c r="A647" s="34" t="s">
        <v>123</v>
      </c>
      <c r="B647" s="344">
        <v>2015</v>
      </c>
      <c r="C647" s="59" t="s">
        <v>97</v>
      </c>
      <c r="D647" s="59">
        <v>46</v>
      </c>
      <c r="E647" s="504" t="s">
        <v>119</v>
      </c>
      <c r="F647" s="29">
        <v>1</v>
      </c>
      <c r="G647" s="9">
        <v>1</v>
      </c>
      <c r="H647" s="9">
        <v>1</v>
      </c>
      <c r="I647" s="9">
        <v>2</v>
      </c>
      <c r="J647" s="43">
        <v>2</v>
      </c>
      <c r="K647" s="265">
        <f t="shared" si="10"/>
        <v>0.35859414261160716</v>
      </c>
      <c r="L647" s="164" t="s">
        <v>120</v>
      </c>
    </row>
    <row r="648" spans="1:12">
      <c r="A648" s="34" t="s">
        <v>123</v>
      </c>
      <c r="B648" s="344">
        <v>2015</v>
      </c>
      <c r="C648" s="59" t="s">
        <v>98</v>
      </c>
      <c r="D648" s="59">
        <v>163</v>
      </c>
      <c r="E648" s="504" t="s">
        <v>119</v>
      </c>
      <c r="F648" s="29">
        <v>1</v>
      </c>
      <c r="G648" s="9">
        <v>1</v>
      </c>
      <c r="H648" s="9">
        <v>1</v>
      </c>
      <c r="I648" s="9">
        <v>2</v>
      </c>
      <c r="J648" s="43">
        <v>2</v>
      </c>
      <c r="K648" s="265">
        <f t="shared" si="10"/>
        <v>0.35859414261160716</v>
      </c>
      <c r="L648" s="164" t="s">
        <v>120</v>
      </c>
    </row>
    <row r="649" spans="1:12">
      <c r="A649" s="34" t="s">
        <v>123</v>
      </c>
      <c r="B649" s="344">
        <v>2015</v>
      </c>
      <c r="C649" s="59" t="s">
        <v>99</v>
      </c>
      <c r="D649" s="59">
        <v>76</v>
      </c>
      <c r="E649" s="504" t="s">
        <v>119</v>
      </c>
      <c r="F649" s="29">
        <v>1</v>
      </c>
      <c r="G649" s="9">
        <v>1</v>
      </c>
      <c r="H649" s="9">
        <v>1</v>
      </c>
      <c r="I649" s="9">
        <v>2</v>
      </c>
      <c r="J649" s="43">
        <v>2</v>
      </c>
      <c r="K649" s="265">
        <f t="shared" si="10"/>
        <v>0.35859414261160716</v>
      </c>
      <c r="L649" s="164" t="s">
        <v>120</v>
      </c>
    </row>
    <row r="650" spans="1:12">
      <c r="A650" s="34" t="s">
        <v>123</v>
      </c>
      <c r="B650" s="344">
        <v>2015</v>
      </c>
      <c r="C650" s="59" t="s">
        <v>102</v>
      </c>
      <c r="D650" s="59">
        <v>17</v>
      </c>
      <c r="E650" s="504" t="s">
        <v>119</v>
      </c>
      <c r="F650" s="29">
        <v>1</v>
      </c>
      <c r="G650" s="9">
        <v>1</v>
      </c>
      <c r="H650" s="9">
        <v>1</v>
      </c>
      <c r="I650" s="9">
        <v>2</v>
      </c>
      <c r="J650" s="43">
        <v>2</v>
      </c>
      <c r="K650" s="265">
        <f t="shared" si="10"/>
        <v>0.35859414261160716</v>
      </c>
      <c r="L650" s="164" t="s">
        <v>120</v>
      </c>
    </row>
    <row r="651" spans="1:12">
      <c r="A651" s="34" t="s">
        <v>123</v>
      </c>
      <c r="B651" s="344">
        <v>2015</v>
      </c>
      <c r="C651" s="59" t="s">
        <v>104</v>
      </c>
      <c r="D651" s="59">
        <v>42</v>
      </c>
      <c r="E651" s="504" t="s">
        <v>119</v>
      </c>
      <c r="F651" s="29">
        <v>1</v>
      </c>
      <c r="G651" s="9">
        <v>1</v>
      </c>
      <c r="H651" s="9">
        <v>1</v>
      </c>
      <c r="I651" s="9">
        <v>2</v>
      </c>
      <c r="J651" s="43">
        <v>2</v>
      </c>
      <c r="K651" s="265">
        <f t="shared" si="10"/>
        <v>0.35859414261160716</v>
      </c>
      <c r="L651" s="164" t="s">
        <v>120</v>
      </c>
    </row>
    <row r="652" spans="1:12">
      <c r="A652" s="34" t="s">
        <v>123</v>
      </c>
      <c r="B652" s="344">
        <v>2015</v>
      </c>
      <c r="C652" s="59" t="s">
        <v>105</v>
      </c>
      <c r="D652" s="59">
        <v>204</v>
      </c>
      <c r="E652" s="504" t="s">
        <v>119</v>
      </c>
      <c r="F652" s="29">
        <v>1</v>
      </c>
      <c r="G652" s="9">
        <v>1</v>
      </c>
      <c r="H652" s="9">
        <v>1</v>
      </c>
      <c r="I652" s="9">
        <v>2</v>
      </c>
      <c r="J652" s="43">
        <v>2</v>
      </c>
      <c r="K652" s="265">
        <f t="shared" si="10"/>
        <v>0.35859414261160716</v>
      </c>
      <c r="L652" s="164" t="s">
        <v>120</v>
      </c>
    </row>
    <row r="653" spans="1:12">
      <c r="A653" s="34" t="s">
        <v>123</v>
      </c>
      <c r="B653" s="344">
        <v>2015</v>
      </c>
      <c r="C653" s="59" t="s">
        <v>103</v>
      </c>
      <c r="D653" s="59">
        <v>54</v>
      </c>
      <c r="E653" s="504" t="s">
        <v>119</v>
      </c>
      <c r="F653" s="29">
        <v>1</v>
      </c>
      <c r="G653" s="9">
        <v>1</v>
      </c>
      <c r="H653" s="9">
        <v>1</v>
      </c>
      <c r="I653" s="9">
        <v>2</v>
      </c>
      <c r="J653" s="43">
        <v>2</v>
      </c>
      <c r="K653" s="265">
        <f t="shared" si="10"/>
        <v>0.35859414261160716</v>
      </c>
      <c r="L653" s="164" t="s">
        <v>120</v>
      </c>
    </row>
    <row r="654" spans="1:12">
      <c r="A654" s="34" t="s">
        <v>123</v>
      </c>
      <c r="B654" s="344">
        <v>2015</v>
      </c>
      <c r="C654" s="59" t="s">
        <v>101</v>
      </c>
      <c r="D654" s="59">
        <v>32</v>
      </c>
      <c r="E654" s="504" t="s">
        <v>119</v>
      </c>
      <c r="F654" s="29">
        <v>1</v>
      </c>
      <c r="G654" s="9">
        <v>1</v>
      </c>
      <c r="H654" s="9">
        <v>1</v>
      </c>
      <c r="I654" s="9">
        <v>2</v>
      </c>
      <c r="J654" s="43">
        <v>2</v>
      </c>
      <c r="K654" s="265">
        <f t="shared" si="10"/>
        <v>0.35859414261160716</v>
      </c>
      <c r="L654" s="164" t="s">
        <v>120</v>
      </c>
    </row>
    <row r="655" spans="1:12">
      <c r="A655" s="34" t="s">
        <v>123</v>
      </c>
      <c r="B655" s="344">
        <v>2015</v>
      </c>
      <c r="C655" s="59" t="s">
        <v>106</v>
      </c>
      <c r="D655" s="59">
        <v>983</v>
      </c>
      <c r="E655" s="504" t="s">
        <v>119</v>
      </c>
      <c r="F655" s="29">
        <v>1</v>
      </c>
      <c r="G655" s="9">
        <v>1</v>
      </c>
      <c r="H655" s="9">
        <v>1</v>
      </c>
      <c r="I655" s="9">
        <v>2</v>
      </c>
      <c r="J655" s="43">
        <v>2</v>
      </c>
      <c r="K655" s="265">
        <f t="shared" si="10"/>
        <v>0.35859414261160716</v>
      </c>
      <c r="L655" s="164" t="s">
        <v>120</v>
      </c>
    </row>
    <row r="656" spans="1:12">
      <c r="A656" s="34" t="s">
        <v>123</v>
      </c>
      <c r="B656" s="344">
        <v>2016</v>
      </c>
      <c r="C656" s="59" t="s">
        <v>93</v>
      </c>
      <c r="D656" s="59">
        <v>1245</v>
      </c>
      <c r="E656" s="504" t="s">
        <v>119</v>
      </c>
      <c r="F656" s="29">
        <v>1</v>
      </c>
      <c r="G656" s="9">
        <v>1</v>
      </c>
      <c r="H656" s="9">
        <v>1</v>
      </c>
      <c r="I656" s="9">
        <v>2</v>
      </c>
      <c r="J656" s="43">
        <v>2</v>
      </c>
      <c r="K656" s="265">
        <f t="shared" si="10"/>
        <v>0.35859414261160716</v>
      </c>
      <c r="L656" s="164" t="s">
        <v>120</v>
      </c>
    </row>
    <row r="657" spans="1:12">
      <c r="A657" s="34" t="s">
        <v>123</v>
      </c>
      <c r="B657" s="344">
        <v>2016</v>
      </c>
      <c r="C657" s="59" t="s">
        <v>94</v>
      </c>
      <c r="D657" s="59">
        <v>223</v>
      </c>
      <c r="E657" s="504" t="s">
        <v>119</v>
      </c>
      <c r="F657" s="29">
        <v>1</v>
      </c>
      <c r="G657" s="9">
        <v>1</v>
      </c>
      <c r="H657" s="9">
        <v>1</v>
      </c>
      <c r="I657" s="9">
        <v>2</v>
      </c>
      <c r="J657" s="43">
        <v>2</v>
      </c>
      <c r="K657" s="265">
        <f t="shared" si="10"/>
        <v>0.35859414261160716</v>
      </c>
      <c r="L657" s="164" t="s">
        <v>120</v>
      </c>
    </row>
    <row r="658" spans="1:12">
      <c r="A658" s="34" t="s">
        <v>123</v>
      </c>
      <c r="B658" s="344">
        <v>2016</v>
      </c>
      <c r="C658" s="59" t="s">
        <v>95</v>
      </c>
      <c r="D658" s="59">
        <v>279</v>
      </c>
      <c r="E658" s="504" t="s">
        <v>119</v>
      </c>
      <c r="F658" s="29">
        <v>1</v>
      </c>
      <c r="G658" s="9">
        <v>1</v>
      </c>
      <c r="H658" s="9">
        <v>1</v>
      </c>
      <c r="I658" s="9">
        <v>2</v>
      </c>
      <c r="J658" s="43">
        <v>2</v>
      </c>
      <c r="K658" s="265">
        <f t="shared" si="10"/>
        <v>0.35859414261160716</v>
      </c>
      <c r="L658" s="164" t="s">
        <v>120</v>
      </c>
    </row>
    <row r="659" spans="1:12">
      <c r="A659" s="34" t="s">
        <v>123</v>
      </c>
      <c r="B659" s="344">
        <v>2016</v>
      </c>
      <c r="C659" s="59" t="s">
        <v>96</v>
      </c>
      <c r="D659" s="59">
        <v>46</v>
      </c>
      <c r="E659" s="504" t="s">
        <v>119</v>
      </c>
      <c r="F659" s="29">
        <v>1</v>
      </c>
      <c r="G659" s="9">
        <v>1</v>
      </c>
      <c r="H659" s="9">
        <v>1</v>
      </c>
      <c r="I659" s="9">
        <v>2</v>
      </c>
      <c r="J659" s="43">
        <v>2</v>
      </c>
      <c r="K659" s="265">
        <f t="shared" si="10"/>
        <v>0.35859414261160716</v>
      </c>
      <c r="L659" s="164" t="s">
        <v>120</v>
      </c>
    </row>
    <row r="660" spans="1:12">
      <c r="A660" s="34" t="s">
        <v>123</v>
      </c>
      <c r="B660" s="344">
        <v>2016</v>
      </c>
      <c r="C660" s="59" t="s">
        <v>97</v>
      </c>
      <c r="D660" s="59">
        <v>51</v>
      </c>
      <c r="E660" s="504" t="s">
        <v>119</v>
      </c>
      <c r="F660" s="29">
        <v>1</v>
      </c>
      <c r="G660" s="9">
        <v>1</v>
      </c>
      <c r="H660" s="9">
        <v>1</v>
      </c>
      <c r="I660" s="9">
        <v>2</v>
      </c>
      <c r="J660" s="43">
        <v>2</v>
      </c>
      <c r="K660" s="265">
        <f t="shared" si="10"/>
        <v>0.35859414261160716</v>
      </c>
      <c r="L660" s="164" t="s">
        <v>120</v>
      </c>
    </row>
    <row r="661" spans="1:12">
      <c r="A661" s="34" t="s">
        <v>123</v>
      </c>
      <c r="B661" s="344">
        <v>2016</v>
      </c>
      <c r="C661" s="59" t="s">
        <v>98</v>
      </c>
      <c r="D661" s="59">
        <v>185</v>
      </c>
      <c r="E661" s="504" t="s">
        <v>119</v>
      </c>
      <c r="F661" s="29">
        <v>1</v>
      </c>
      <c r="G661" s="9">
        <v>1</v>
      </c>
      <c r="H661" s="9">
        <v>1</v>
      </c>
      <c r="I661" s="9">
        <v>2</v>
      </c>
      <c r="J661" s="43">
        <v>2</v>
      </c>
      <c r="K661" s="265">
        <f t="shared" si="10"/>
        <v>0.35859414261160716</v>
      </c>
      <c r="L661" s="164" t="s">
        <v>120</v>
      </c>
    </row>
    <row r="662" spans="1:12">
      <c r="A662" s="34" t="s">
        <v>123</v>
      </c>
      <c r="B662" s="344">
        <v>2016</v>
      </c>
      <c r="C662" s="59" t="s">
        <v>99</v>
      </c>
      <c r="D662" s="59">
        <v>95</v>
      </c>
      <c r="E662" s="504" t="s">
        <v>119</v>
      </c>
      <c r="F662" s="29">
        <v>1</v>
      </c>
      <c r="G662" s="9">
        <v>1</v>
      </c>
      <c r="H662" s="9">
        <v>1</v>
      </c>
      <c r="I662" s="9">
        <v>2</v>
      </c>
      <c r="J662" s="43">
        <v>2</v>
      </c>
      <c r="K662" s="265">
        <f t="shared" si="10"/>
        <v>0.35859414261160716</v>
      </c>
      <c r="L662" s="164" t="s">
        <v>120</v>
      </c>
    </row>
    <row r="663" spans="1:12">
      <c r="A663" s="34" t="s">
        <v>123</v>
      </c>
      <c r="B663" s="344">
        <v>2016</v>
      </c>
      <c r="C663" s="59" t="s">
        <v>102</v>
      </c>
      <c r="D663" s="59">
        <v>22</v>
      </c>
      <c r="E663" s="504" t="s">
        <v>119</v>
      </c>
      <c r="F663" s="29">
        <v>1</v>
      </c>
      <c r="G663" s="9">
        <v>1</v>
      </c>
      <c r="H663" s="9">
        <v>1</v>
      </c>
      <c r="I663" s="9">
        <v>2</v>
      </c>
      <c r="J663" s="43">
        <v>2</v>
      </c>
      <c r="K663" s="265">
        <f t="shared" si="10"/>
        <v>0.35859414261160716</v>
      </c>
      <c r="L663" s="164" t="s">
        <v>120</v>
      </c>
    </row>
    <row r="664" spans="1:12">
      <c r="A664" s="34" t="s">
        <v>123</v>
      </c>
      <c r="B664" s="344">
        <v>2016</v>
      </c>
      <c r="C664" s="59" t="s">
        <v>104</v>
      </c>
      <c r="D664" s="59">
        <v>48</v>
      </c>
      <c r="E664" s="504" t="s">
        <v>119</v>
      </c>
      <c r="F664" s="29">
        <v>1</v>
      </c>
      <c r="G664" s="9">
        <v>1</v>
      </c>
      <c r="H664" s="9">
        <v>1</v>
      </c>
      <c r="I664" s="9">
        <v>2</v>
      </c>
      <c r="J664" s="43">
        <v>2</v>
      </c>
      <c r="K664" s="265">
        <f t="shared" si="10"/>
        <v>0.35859414261160716</v>
      </c>
      <c r="L664" s="164" t="s">
        <v>120</v>
      </c>
    </row>
    <row r="665" spans="1:12">
      <c r="A665" s="34" t="s">
        <v>123</v>
      </c>
      <c r="B665" s="344">
        <v>2016</v>
      </c>
      <c r="C665" s="59" t="s">
        <v>105</v>
      </c>
      <c r="D665" s="59">
        <v>236</v>
      </c>
      <c r="E665" s="504" t="s">
        <v>119</v>
      </c>
      <c r="F665" s="29">
        <v>1</v>
      </c>
      <c r="G665" s="9">
        <v>1</v>
      </c>
      <c r="H665" s="9">
        <v>1</v>
      </c>
      <c r="I665" s="9">
        <v>2</v>
      </c>
      <c r="J665" s="43">
        <v>2</v>
      </c>
      <c r="K665" s="265">
        <f t="shared" si="10"/>
        <v>0.35859414261160716</v>
      </c>
      <c r="L665" s="164" t="s">
        <v>120</v>
      </c>
    </row>
    <row r="666" spans="1:12">
      <c r="A666" s="34" t="s">
        <v>123</v>
      </c>
      <c r="B666" s="344">
        <v>2016</v>
      </c>
      <c r="C666" s="59" t="s">
        <v>103</v>
      </c>
      <c r="D666" s="59">
        <v>70</v>
      </c>
      <c r="E666" s="504" t="s">
        <v>119</v>
      </c>
      <c r="F666" s="29">
        <v>1</v>
      </c>
      <c r="G666" s="9">
        <v>1</v>
      </c>
      <c r="H666" s="9">
        <v>1</v>
      </c>
      <c r="I666" s="9">
        <v>2</v>
      </c>
      <c r="J666" s="43">
        <v>2</v>
      </c>
      <c r="K666" s="265">
        <f t="shared" si="10"/>
        <v>0.35859414261160716</v>
      </c>
      <c r="L666" s="164" t="s">
        <v>120</v>
      </c>
    </row>
    <row r="667" spans="1:12">
      <c r="A667" s="34" t="s">
        <v>123</v>
      </c>
      <c r="B667" s="344">
        <v>2016</v>
      </c>
      <c r="C667" s="59" t="s">
        <v>101</v>
      </c>
      <c r="D667" s="59">
        <v>39</v>
      </c>
      <c r="E667" s="504" t="s">
        <v>119</v>
      </c>
      <c r="F667" s="29">
        <v>1</v>
      </c>
      <c r="G667" s="9">
        <v>1</v>
      </c>
      <c r="H667" s="9">
        <v>1</v>
      </c>
      <c r="I667" s="9">
        <v>2</v>
      </c>
      <c r="J667" s="43">
        <v>2</v>
      </c>
      <c r="K667" s="265">
        <f t="shared" si="10"/>
        <v>0.35859414261160716</v>
      </c>
      <c r="L667" s="164" t="s">
        <v>120</v>
      </c>
    </row>
    <row r="668" spans="1:12">
      <c r="A668" s="34" t="s">
        <v>123</v>
      </c>
      <c r="B668" s="344">
        <v>2016</v>
      </c>
      <c r="C668" s="59" t="s">
        <v>106</v>
      </c>
      <c r="D668" s="59">
        <v>1123</v>
      </c>
      <c r="E668" s="504" t="s">
        <v>119</v>
      </c>
      <c r="F668" s="29">
        <v>1</v>
      </c>
      <c r="G668" s="9">
        <v>1</v>
      </c>
      <c r="H668" s="9">
        <v>1</v>
      </c>
      <c r="I668" s="9">
        <v>2</v>
      </c>
      <c r="J668" s="43">
        <v>2</v>
      </c>
      <c r="K668" s="265">
        <f t="shared" si="10"/>
        <v>0.35859414261160716</v>
      </c>
      <c r="L668" s="164" t="s">
        <v>120</v>
      </c>
    </row>
    <row r="669" spans="1:12">
      <c r="A669" s="34" t="s">
        <v>123</v>
      </c>
      <c r="B669" s="344">
        <v>2017</v>
      </c>
      <c r="C669" s="59" t="s">
        <v>93</v>
      </c>
      <c r="D669" s="59">
        <v>1197</v>
      </c>
      <c r="E669" s="504" t="s">
        <v>119</v>
      </c>
      <c r="F669" s="29">
        <v>1</v>
      </c>
      <c r="G669" s="9">
        <v>1</v>
      </c>
      <c r="H669" s="9">
        <v>1</v>
      </c>
      <c r="I669" s="9">
        <v>2</v>
      </c>
      <c r="J669" s="43">
        <v>2</v>
      </c>
      <c r="K669" s="265">
        <f t="shared" si="10"/>
        <v>0.35859414261160716</v>
      </c>
      <c r="L669" s="164" t="s">
        <v>120</v>
      </c>
    </row>
    <row r="670" spans="1:12">
      <c r="A670" s="34" t="s">
        <v>123</v>
      </c>
      <c r="B670" s="344">
        <v>2017</v>
      </c>
      <c r="C670" s="59" t="s">
        <v>94</v>
      </c>
      <c r="D670" s="59">
        <v>231</v>
      </c>
      <c r="E670" s="504" t="s">
        <v>119</v>
      </c>
      <c r="F670" s="29">
        <v>1</v>
      </c>
      <c r="G670" s="9">
        <v>1</v>
      </c>
      <c r="H670" s="9">
        <v>1</v>
      </c>
      <c r="I670" s="9">
        <v>2</v>
      </c>
      <c r="J670" s="43">
        <v>2</v>
      </c>
      <c r="K670" s="265">
        <f t="shared" si="10"/>
        <v>0.35859414261160716</v>
      </c>
      <c r="L670" s="164" t="s">
        <v>120</v>
      </c>
    </row>
    <row r="671" spans="1:12">
      <c r="A671" s="34" t="s">
        <v>123</v>
      </c>
      <c r="B671" s="344">
        <v>2017</v>
      </c>
      <c r="C671" s="59" t="s">
        <v>95</v>
      </c>
      <c r="D671" s="59">
        <v>316</v>
      </c>
      <c r="E671" s="504" t="s">
        <v>119</v>
      </c>
      <c r="F671" s="29">
        <v>1</v>
      </c>
      <c r="G671" s="9">
        <v>1</v>
      </c>
      <c r="H671" s="9">
        <v>1</v>
      </c>
      <c r="I671" s="9">
        <v>2</v>
      </c>
      <c r="J671" s="43">
        <v>2</v>
      </c>
      <c r="K671" s="265">
        <f t="shared" si="10"/>
        <v>0.35859414261160716</v>
      </c>
      <c r="L671" s="164" t="s">
        <v>120</v>
      </c>
    </row>
    <row r="672" spans="1:12">
      <c r="A672" s="34" t="s">
        <v>123</v>
      </c>
      <c r="B672" s="344">
        <v>2017</v>
      </c>
      <c r="C672" s="59" t="s">
        <v>96</v>
      </c>
      <c r="D672" s="59">
        <v>43</v>
      </c>
      <c r="E672" s="504" t="s">
        <v>119</v>
      </c>
      <c r="F672" s="29">
        <v>1</v>
      </c>
      <c r="G672" s="9">
        <v>1</v>
      </c>
      <c r="H672" s="9">
        <v>1</v>
      </c>
      <c r="I672" s="9">
        <v>2</v>
      </c>
      <c r="J672" s="43">
        <v>2</v>
      </c>
      <c r="K672" s="265">
        <f t="shared" si="10"/>
        <v>0.35859414261160716</v>
      </c>
      <c r="L672" s="164" t="s">
        <v>120</v>
      </c>
    </row>
    <row r="673" spans="1:12">
      <c r="A673" s="34" t="s">
        <v>123</v>
      </c>
      <c r="B673" s="344">
        <v>2017</v>
      </c>
      <c r="C673" s="59" t="s">
        <v>97</v>
      </c>
      <c r="D673" s="59">
        <v>53</v>
      </c>
      <c r="E673" s="504" t="s">
        <v>119</v>
      </c>
      <c r="F673" s="29">
        <v>1</v>
      </c>
      <c r="G673" s="9">
        <v>1</v>
      </c>
      <c r="H673" s="9">
        <v>1</v>
      </c>
      <c r="I673" s="9">
        <v>2</v>
      </c>
      <c r="J673" s="43">
        <v>2</v>
      </c>
      <c r="K673" s="265">
        <f t="shared" si="10"/>
        <v>0.35859414261160716</v>
      </c>
      <c r="L673" s="164" t="s">
        <v>120</v>
      </c>
    </row>
    <row r="674" spans="1:12">
      <c r="A674" s="34" t="s">
        <v>123</v>
      </c>
      <c r="B674" s="344">
        <v>2017</v>
      </c>
      <c r="C674" s="59" t="s">
        <v>98</v>
      </c>
      <c r="D674" s="59">
        <v>212</v>
      </c>
      <c r="E674" s="504" t="s">
        <v>119</v>
      </c>
      <c r="F674" s="29">
        <v>1</v>
      </c>
      <c r="G674" s="9">
        <v>1</v>
      </c>
      <c r="H674" s="9">
        <v>1</v>
      </c>
      <c r="I674" s="9">
        <v>2</v>
      </c>
      <c r="J674" s="43">
        <v>2</v>
      </c>
      <c r="K674" s="265">
        <f t="shared" si="10"/>
        <v>0.35859414261160716</v>
      </c>
      <c r="L674" s="164" t="s">
        <v>120</v>
      </c>
    </row>
    <row r="675" spans="1:12">
      <c r="A675" s="34" t="s">
        <v>123</v>
      </c>
      <c r="B675" s="344">
        <v>2017</v>
      </c>
      <c r="C675" s="59" t="s">
        <v>99</v>
      </c>
      <c r="D675" s="59">
        <v>112</v>
      </c>
      <c r="E675" s="504" t="s">
        <v>119</v>
      </c>
      <c r="F675" s="29">
        <v>1</v>
      </c>
      <c r="G675" s="9">
        <v>1</v>
      </c>
      <c r="H675" s="9">
        <v>1</v>
      </c>
      <c r="I675" s="9">
        <v>2</v>
      </c>
      <c r="J675" s="43">
        <v>2</v>
      </c>
      <c r="K675" s="265">
        <f t="shared" si="10"/>
        <v>0.35859414261160716</v>
      </c>
      <c r="L675" s="164" t="s">
        <v>120</v>
      </c>
    </row>
    <row r="676" spans="1:12">
      <c r="A676" s="34" t="s">
        <v>123</v>
      </c>
      <c r="B676" s="344">
        <v>2017</v>
      </c>
      <c r="C676" s="59" t="s">
        <v>102</v>
      </c>
      <c r="D676" s="59">
        <v>29</v>
      </c>
      <c r="E676" s="504" t="s">
        <v>119</v>
      </c>
      <c r="F676" s="29">
        <v>1</v>
      </c>
      <c r="G676" s="9">
        <v>1</v>
      </c>
      <c r="H676" s="9">
        <v>1</v>
      </c>
      <c r="I676" s="9">
        <v>2</v>
      </c>
      <c r="J676" s="43">
        <v>2</v>
      </c>
      <c r="K676" s="265">
        <f t="shared" si="10"/>
        <v>0.35859414261160716</v>
      </c>
      <c r="L676" s="164" t="s">
        <v>120</v>
      </c>
    </row>
    <row r="677" spans="1:12">
      <c r="A677" s="34" t="s">
        <v>123</v>
      </c>
      <c r="B677" s="344">
        <v>2017</v>
      </c>
      <c r="C677" s="59" t="s">
        <v>104</v>
      </c>
      <c r="D677" s="59">
        <v>53</v>
      </c>
      <c r="E677" s="504" t="s">
        <v>119</v>
      </c>
      <c r="F677" s="29">
        <v>1</v>
      </c>
      <c r="G677" s="9">
        <v>1</v>
      </c>
      <c r="H677" s="9">
        <v>1</v>
      </c>
      <c r="I677" s="9">
        <v>2</v>
      </c>
      <c r="J677" s="43">
        <v>2</v>
      </c>
      <c r="K677" s="265">
        <f t="shared" si="10"/>
        <v>0.35859414261160716</v>
      </c>
      <c r="L677" s="164" t="s">
        <v>120</v>
      </c>
    </row>
    <row r="678" spans="1:12">
      <c r="A678" s="34" t="s">
        <v>123</v>
      </c>
      <c r="B678" s="344">
        <v>2017</v>
      </c>
      <c r="C678" s="59" t="s">
        <v>105</v>
      </c>
      <c r="D678" s="59">
        <v>232</v>
      </c>
      <c r="E678" s="504" t="s">
        <v>119</v>
      </c>
      <c r="F678" s="29">
        <v>1</v>
      </c>
      <c r="G678" s="9">
        <v>1</v>
      </c>
      <c r="H678" s="9">
        <v>1</v>
      </c>
      <c r="I678" s="9">
        <v>2</v>
      </c>
      <c r="J678" s="43">
        <v>2</v>
      </c>
      <c r="K678" s="265">
        <f t="shared" si="10"/>
        <v>0.35859414261160716</v>
      </c>
      <c r="L678" s="164" t="s">
        <v>120</v>
      </c>
    </row>
    <row r="679" spans="1:12">
      <c r="A679" s="34" t="s">
        <v>123</v>
      </c>
      <c r="B679" s="344">
        <v>2017</v>
      </c>
      <c r="C679" s="59" t="s">
        <v>103</v>
      </c>
      <c r="D679" s="59">
        <v>72</v>
      </c>
      <c r="E679" s="504" t="s">
        <v>119</v>
      </c>
      <c r="F679" s="29">
        <v>1</v>
      </c>
      <c r="G679" s="9">
        <v>1</v>
      </c>
      <c r="H679" s="9">
        <v>1</v>
      </c>
      <c r="I679" s="9">
        <v>2</v>
      </c>
      <c r="J679" s="43">
        <v>2</v>
      </c>
      <c r="K679" s="265">
        <f t="shared" si="10"/>
        <v>0.35859414261160716</v>
      </c>
      <c r="L679" s="164" t="s">
        <v>120</v>
      </c>
    </row>
    <row r="680" spans="1:12">
      <c r="A680" s="34" t="s">
        <v>123</v>
      </c>
      <c r="B680" s="344">
        <v>2017</v>
      </c>
      <c r="C680" s="59" t="s">
        <v>101</v>
      </c>
      <c r="D680" s="59">
        <v>41</v>
      </c>
      <c r="E680" s="504" t="s">
        <v>119</v>
      </c>
      <c r="F680" s="29">
        <v>1</v>
      </c>
      <c r="G680" s="9">
        <v>1</v>
      </c>
      <c r="H680" s="9">
        <v>1</v>
      </c>
      <c r="I680" s="9">
        <v>2</v>
      </c>
      <c r="J680" s="43">
        <v>2</v>
      </c>
      <c r="K680" s="265">
        <f t="shared" si="10"/>
        <v>0.35859414261160716</v>
      </c>
      <c r="L680" s="164" t="s">
        <v>120</v>
      </c>
    </row>
    <row r="681" spans="1:12">
      <c r="A681" s="34" t="s">
        <v>123</v>
      </c>
      <c r="B681" s="344">
        <v>2017</v>
      </c>
      <c r="C681" s="59" t="s">
        <v>106</v>
      </c>
      <c r="D681" s="59">
        <v>1172</v>
      </c>
      <c r="E681" s="504" t="s">
        <v>119</v>
      </c>
      <c r="F681" s="29">
        <v>1</v>
      </c>
      <c r="G681" s="9">
        <v>1</v>
      </c>
      <c r="H681" s="9">
        <v>1</v>
      </c>
      <c r="I681" s="9">
        <v>2</v>
      </c>
      <c r="J681" s="43">
        <v>2</v>
      </c>
      <c r="K681" s="265">
        <f t="shared" si="10"/>
        <v>0.35859414261160716</v>
      </c>
      <c r="L681" s="164" t="s">
        <v>120</v>
      </c>
    </row>
    <row r="682" spans="1:12">
      <c r="A682" s="34" t="s">
        <v>123</v>
      </c>
      <c r="B682" s="344">
        <v>2018</v>
      </c>
      <c r="C682" s="59" t="s">
        <v>93</v>
      </c>
      <c r="D682" s="59">
        <v>1084</v>
      </c>
      <c r="E682" s="504" t="s">
        <v>119</v>
      </c>
      <c r="F682" s="29">
        <v>1</v>
      </c>
      <c r="G682" s="9">
        <v>1</v>
      </c>
      <c r="H682" s="9">
        <v>1</v>
      </c>
      <c r="I682" s="9">
        <v>2</v>
      </c>
      <c r="J682" s="43">
        <v>2</v>
      </c>
      <c r="K682" s="265">
        <f t="shared" si="10"/>
        <v>0.35859414261160716</v>
      </c>
      <c r="L682" s="164" t="s">
        <v>120</v>
      </c>
    </row>
    <row r="683" spans="1:12">
      <c r="A683" s="34" t="s">
        <v>123</v>
      </c>
      <c r="B683" s="344">
        <v>2018</v>
      </c>
      <c r="C683" s="59" t="s">
        <v>94</v>
      </c>
      <c r="D683" s="59">
        <v>243</v>
      </c>
      <c r="E683" s="504" t="s">
        <v>119</v>
      </c>
      <c r="F683" s="29">
        <v>1</v>
      </c>
      <c r="G683" s="9">
        <v>1</v>
      </c>
      <c r="H683" s="9">
        <v>1</v>
      </c>
      <c r="I683" s="9">
        <v>2</v>
      </c>
      <c r="J683" s="43">
        <v>2</v>
      </c>
      <c r="K683" s="265">
        <f t="shared" si="10"/>
        <v>0.35859414261160716</v>
      </c>
      <c r="L683" s="164" t="s">
        <v>120</v>
      </c>
    </row>
    <row r="684" spans="1:12">
      <c r="A684" s="34" t="s">
        <v>123</v>
      </c>
      <c r="B684" s="344">
        <v>2018</v>
      </c>
      <c r="C684" s="59" t="s">
        <v>95</v>
      </c>
      <c r="D684" s="59">
        <v>323</v>
      </c>
      <c r="E684" s="504" t="s">
        <v>119</v>
      </c>
      <c r="F684" s="29">
        <v>1</v>
      </c>
      <c r="G684" s="9">
        <v>1</v>
      </c>
      <c r="H684" s="9">
        <v>1</v>
      </c>
      <c r="I684" s="9">
        <v>2</v>
      </c>
      <c r="J684" s="43">
        <v>2</v>
      </c>
      <c r="K684" s="265">
        <f t="shared" si="10"/>
        <v>0.35859414261160716</v>
      </c>
      <c r="L684" s="164" t="s">
        <v>120</v>
      </c>
    </row>
    <row r="685" spans="1:12">
      <c r="A685" s="34" t="s">
        <v>123</v>
      </c>
      <c r="B685" s="344">
        <v>2018</v>
      </c>
      <c r="C685" s="59" t="s">
        <v>96</v>
      </c>
      <c r="D685" s="59">
        <v>41</v>
      </c>
      <c r="E685" s="504" t="s">
        <v>119</v>
      </c>
      <c r="F685" s="29">
        <v>1</v>
      </c>
      <c r="G685" s="9">
        <v>1</v>
      </c>
      <c r="H685" s="9">
        <v>1</v>
      </c>
      <c r="I685" s="9">
        <v>2</v>
      </c>
      <c r="J685" s="43">
        <v>2</v>
      </c>
      <c r="K685" s="265">
        <f t="shared" si="10"/>
        <v>0.35859414261160716</v>
      </c>
      <c r="L685" s="164" t="s">
        <v>120</v>
      </c>
    </row>
    <row r="686" spans="1:12">
      <c r="A686" s="34" t="s">
        <v>123</v>
      </c>
      <c r="B686" s="344">
        <v>2018</v>
      </c>
      <c r="C686" s="59" t="s">
        <v>97</v>
      </c>
      <c r="D686" s="59">
        <v>56</v>
      </c>
      <c r="E686" s="504" t="s">
        <v>119</v>
      </c>
      <c r="F686" s="29">
        <v>1</v>
      </c>
      <c r="G686" s="9">
        <v>1</v>
      </c>
      <c r="H686" s="9">
        <v>1</v>
      </c>
      <c r="I686" s="9">
        <v>2</v>
      </c>
      <c r="J686" s="43">
        <v>2</v>
      </c>
      <c r="K686" s="265">
        <f t="shared" si="10"/>
        <v>0.35859414261160716</v>
      </c>
      <c r="L686" s="164" t="s">
        <v>120</v>
      </c>
    </row>
    <row r="687" spans="1:12">
      <c r="A687" s="34" t="s">
        <v>123</v>
      </c>
      <c r="B687" s="344">
        <v>2018</v>
      </c>
      <c r="C687" s="59" t="s">
        <v>98</v>
      </c>
      <c r="D687" s="59">
        <v>221</v>
      </c>
      <c r="E687" s="504" t="s">
        <v>119</v>
      </c>
      <c r="F687" s="29">
        <v>1</v>
      </c>
      <c r="G687" s="9">
        <v>1</v>
      </c>
      <c r="H687" s="9">
        <v>1</v>
      </c>
      <c r="I687" s="9">
        <v>2</v>
      </c>
      <c r="J687" s="43">
        <v>2</v>
      </c>
      <c r="K687" s="265">
        <f t="shared" si="10"/>
        <v>0.35859414261160716</v>
      </c>
      <c r="L687" s="164" t="s">
        <v>120</v>
      </c>
    </row>
    <row r="688" spans="1:12">
      <c r="A688" s="34" t="s">
        <v>123</v>
      </c>
      <c r="B688" s="344">
        <v>2018</v>
      </c>
      <c r="C688" s="59" t="s">
        <v>99</v>
      </c>
      <c r="D688" s="59">
        <v>103</v>
      </c>
      <c r="E688" s="504" t="s">
        <v>119</v>
      </c>
      <c r="F688" s="29">
        <v>1</v>
      </c>
      <c r="G688" s="9">
        <v>1</v>
      </c>
      <c r="H688" s="9">
        <v>1</v>
      </c>
      <c r="I688" s="9">
        <v>2</v>
      </c>
      <c r="J688" s="43">
        <v>2</v>
      </c>
      <c r="K688" s="265">
        <f t="shared" si="10"/>
        <v>0.35859414261160716</v>
      </c>
      <c r="L688" s="164" t="s">
        <v>120</v>
      </c>
    </row>
    <row r="689" spans="1:12">
      <c r="A689" s="34" t="s">
        <v>123</v>
      </c>
      <c r="B689" s="344">
        <v>2018</v>
      </c>
      <c r="C689" s="59" t="s">
        <v>102</v>
      </c>
      <c r="D689" s="59">
        <v>35</v>
      </c>
      <c r="E689" s="504" t="s">
        <v>119</v>
      </c>
      <c r="F689" s="29">
        <v>1</v>
      </c>
      <c r="G689" s="9">
        <v>1</v>
      </c>
      <c r="H689" s="9">
        <v>1</v>
      </c>
      <c r="I689" s="9">
        <v>2</v>
      </c>
      <c r="J689" s="43">
        <v>2</v>
      </c>
      <c r="K689" s="265">
        <f t="shared" si="10"/>
        <v>0.35859414261160716</v>
      </c>
      <c r="L689" s="164" t="s">
        <v>120</v>
      </c>
    </row>
    <row r="690" spans="1:12">
      <c r="A690" s="34" t="s">
        <v>123</v>
      </c>
      <c r="B690" s="344">
        <v>2018</v>
      </c>
      <c r="C690" s="59" t="s">
        <v>104</v>
      </c>
      <c r="D690" s="59">
        <v>55</v>
      </c>
      <c r="E690" s="504" t="s">
        <v>119</v>
      </c>
      <c r="F690" s="29">
        <v>1</v>
      </c>
      <c r="G690" s="9">
        <v>1</v>
      </c>
      <c r="H690" s="9">
        <v>1</v>
      </c>
      <c r="I690" s="9">
        <v>2</v>
      </c>
      <c r="J690" s="43">
        <v>2</v>
      </c>
      <c r="K690" s="265">
        <f t="shared" si="10"/>
        <v>0.35859414261160716</v>
      </c>
      <c r="L690" s="164" t="s">
        <v>120</v>
      </c>
    </row>
    <row r="691" spans="1:12">
      <c r="A691" s="34" t="s">
        <v>123</v>
      </c>
      <c r="B691" s="344">
        <v>2018</v>
      </c>
      <c r="C691" s="59" t="s">
        <v>105</v>
      </c>
      <c r="D691" s="59">
        <v>229</v>
      </c>
      <c r="E691" s="504" t="s">
        <v>119</v>
      </c>
      <c r="F691" s="29">
        <v>1</v>
      </c>
      <c r="G691" s="9">
        <v>1</v>
      </c>
      <c r="H691" s="9">
        <v>1</v>
      </c>
      <c r="I691" s="9">
        <v>2</v>
      </c>
      <c r="J691" s="43">
        <v>2</v>
      </c>
      <c r="K691" s="265">
        <f t="shared" si="10"/>
        <v>0.35859414261160716</v>
      </c>
      <c r="L691" s="164" t="s">
        <v>120</v>
      </c>
    </row>
    <row r="692" spans="1:12">
      <c r="A692" s="34" t="s">
        <v>123</v>
      </c>
      <c r="B692" s="344">
        <v>2018</v>
      </c>
      <c r="C692" s="59" t="s">
        <v>103</v>
      </c>
      <c r="D692" s="59">
        <v>80</v>
      </c>
      <c r="E692" s="504" t="s">
        <v>119</v>
      </c>
      <c r="F692" s="29">
        <v>1</v>
      </c>
      <c r="G692" s="9">
        <v>1</v>
      </c>
      <c r="H692" s="9">
        <v>1</v>
      </c>
      <c r="I692" s="9">
        <v>2</v>
      </c>
      <c r="J692" s="43">
        <v>2</v>
      </c>
      <c r="K692" s="265">
        <f t="shared" si="10"/>
        <v>0.35859414261160716</v>
      </c>
      <c r="L692" s="164" t="s">
        <v>120</v>
      </c>
    </row>
    <row r="693" spans="1:12">
      <c r="A693" s="34" t="s">
        <v>123</v>
      </c>
      <c r="B693" s="344">
        <v>2018</v>
      </c>
      <c r="C693" s="59" t="s">
        <v>101</v>
      </c>
      <c r="D693" s="59">
        <v>42</v>
      </c>
      <c r="E693" s="504" t="s">
        <v>119</v>
      </c>
      <c r="F693" s="29">
        <v>1</v>
      </c>
      <c r="G693" s="9">
        <v>1</v>
      </c>
      <c r="H693" s="9">
        <v>1</v>
      </c>
      <c r="I693" s="9">
        <v>2</v>
      </c>
      <c r="J693" s="43">
        <v>2</v>
      </c>
      <c r="K693" s="265">
        <f t="shared" si="10"/>
        <v>0.35859414261160716</v>
      </c>
      <c r="L693" s="164" t="s">
        <v>120</v>
      </c>
    </row>
    <row r="694" spans="1:12">
      <c r="A694" s="34" t="s">
        <v>123</v>
      </c>
      <c r="B694" s="344">
        <v>2018</v>
      </c>
      <c r="C694" s="59" t="s">
        <v>106</v>
      </c>
      <c r="D694" s="59">
        <v>1272</v>
      </c>
      <c r="E694" s="504" t="s">
        <v>119</v>
      </c>
      <c r="F694" s="29">
        <v>1</v>
      </c>
      <c r="G694" s="9">
        <v>1</v>
      </c>
      <c r="H694" s="9">
        <v>1</v>
      </c>
      <c r="I694" s="9">
        <v>2</v>
      </c>
      <c r="J694" s="43">
        <v>2</v>
      </c>
      <c r="K694" s="265">
        <f t="shared" si="10"/>
        <v>0.35859414261160716</v>
      </c>
      <c r="L694" s="164" t="s">
        <v>120</v>
      </c>
    </row>
    <row r="695" spans="1:12">
      <c r="A695" s="34" t="s">
        <v>123</v>
      </c>
      <c r="B695" s="344">
        <v>2019</v>
      </c>
      <c r="C695" s="59" t="s">
        <v>93</v>
      </c>
      <c r="D695" s="59">
        <v>942</v>
      </c>
      <c r="E695" s="504" t="s">
        <v>119</v>
      </c>
      <c r="F695" s="29">
        <v>1</v>
      </c>
      <c r="G695" s="9">
        <v>1</v>
      </c>
      <c r="H695" s="9">
        <v>1</v>
      </c>
      <c r="I695" s="9">
        <v>2</v>
      </c>
      <c r="J695" s="43">
        <v>2</v>
      </c>
      <c r="K695" s="265">
        <f t="shared" si="10"/>
        <v>0.35859414261160716</v>
      </c>
      <c r="L695" s="164" t="s">
        <v>120</v>
      </c>
    </row>
    <row r="696" spans="1:12">
      <c r="A696" s="34" t="s">
        <v>123</v>
      </c>
      <c r="B696" s="344">
        <v>2019</v>
      </c>
      <c r="C696" s="59" t="s">
        <v>94</v>
      </c>
      <c r="D696" s="59">
        <v>270</v>
      </c>
      <c r="E696" s="504" t="s">
        <v>119</v>
      </c>
      <c r="F696" s="29">
        <v>1</v>
      </c>
      <c r="G696" s="9">
        <v>1</v>
      </c>
      <c r="H696" s="9">
        <v>1</v>
      </c>
      <c r="I696" s="9">
        <v>2</v>
      </c>
      <c r="J696" s="43">
        <v>2</v>
      </c>
      <c r="K696" s="265">
        <f t="shared" si="10"/>
        <v>0.35859414261160716</v>
      </c>
      <c r="L696" s="164" t="s">
        <v>120</v>
      </c>
    </row>
    <row r="697" spans="1:12">
      <c r="A697" s="34" t="s">
        <v>123</v>
      </c>
      <c r="B697" s="344">
        <v>2019</v>
      </c>
      <c r="C697" s="59" t="s">
        <v>95</v>
      </c>
      <c r="D697" s="59">
        <v>302</v>
      </c>
      <c r="E697" s="504" t="s">
        <v>119</v>
      </c>
      <c r="F697" s="29">
        <v>1</v>
      </c>
      <c r="G697" s="9">
        <v>1</v>
      </c>
      <c r="H697" s="9">
        <v>1</v>
      </c>
      <c r="I697" s="9">
        <v>2</v>
      </c>
      <c r="J697" s="43">
        <v>2</v>
      </c>
      <c r="K697" s="265">
        <f t="shared" si="10"/>
        <v>0.35859414261160716</v>
      </c>
      <c r="L697" s="164" t="s">
        <v>120</v>
      </c>
    </row>
    <row r="698" spans="1:12">
      <c r="A698" s="34" t="s">
        <v>123</v>
      </c>
      <c r="B698" s="344">
        <v>2019</v>
      </c>
      <c r="C698" s="59" t="s">
        <v>96</v>
      </c>
      <c r="D698" s="59">
        <v>111</v>
      </c>
      <c r="E698" s="504" t="s">
        <v>119</v>
      </c>
      <c r="F698" s="29">
        <v>1</v>
      </c>
      <c r="G698" s="9">
        <v>1</v>
      </c>
      <c r="H698" s="9">
        <v>1</v>
      </c>
      <c r="I698" s="9">
        <v>2</v>
      </c>
      <c r="J698" s="43">
        <v>2</v>
      </c>
      <c r="K698" s="265">
        <f t="shared" si="10"/>
        <v>0.35859414261160716</v>
      </c>
      <c r="L698" s="164" t="s">
        <v>120</v>
      </c>
    </row>
    <row r="699" spans="1:12">
      <c r="A699" s="34" t="s">
        <v>123</v>
      </c>
      <c r="B699" s="344">
        <v>2019</v>
      </c>
      <c r="C699" s="59" t="s">
        <v>97</v>
      </c>
      <c r="D699" s="59">
        <v>56</v>
      </c>
      <c r="E699" s="504" t="s">
        <v>119</v>
      </c>
      <c r="F699" s="29">
        <v>1</v>
      </c>
      <c r="G699" s="9">
        <v>1</v>
      </c>
      <c r="H699" s="9">
        <v>1</v>
      </c>
      <c r="I699" s="9">
        <v>2</v>
      </c>
      <c r="J699" s="43">
        <v>2</v>
      </c>
      <c r="K699" s="265">
        <f t="shared" si="10"/>
        <v>0.35859414261160716</v>
      </c>
      <c r="L699" s="164" t="s">
        <v>120</v>
      </c>
    </row>
    <row r="700" spans="1:12">
      <c r="A700" s="34" t="s">
        <v>123</v>
      </c>
      <c r="B700" s="344">
        <v>2019</v>
      </c>
      <c r="C700" s="59" t="s">
        <v>98</v>
      </c>
      <c r="D700" s="59">
        <v>217</v>
      </c>
      <c r="E700" s="504" t="s">
        <v>119</v>
      </c>
      <c r="F700" s="29">
        <v>1</v>
      </c>
      <c r="G700" s="9">
        <v>1</v>
      </c>
      <c r="H700" s="9">
        <v>1</v>
      </c>
      <c r="I700" s="9">
        <v>2</v>
      </c>
      <c r="J700" s="43">
        <v>2</v>
      </c>
      <c r="K700" s="265">
        <f t="shared" si="10"/>
        <v>0.35859414261160716</v>
      </c>
      <c r="L700" s="164" t="s">
        <v>120</v>
      </c>
    </row>
    <row r="701" spans="1:12">
      <c r="A701" s="34" t="s">
        <v>123</v>
      </c>
      <c r="B701" s="344">
        <v>2019</v>
      </c>
      <c r="C701" s="59" t="s">
        <v>99</v>
      </c>
      <c r="D701" s="59">
        <v>134</v>
      </c>
      <c r="E701" s="504" t="s">
        <v>119</v>
      </c>
      <c r="F701" s="29">
        <v>1</v>
      </c>
      <c r="G701" s="9">
        <v>1</v>
      </c>
      <c r="H701" s="9">
        <v>1</v>
      </c>
      <c r="I701" s="9">
        <v>2</v>
      </c>
      <c r="J701" s="43">
        <v>2</v>
      </c>
      <c r="K701" s="265">
        <f t="shared" si="10"/>
        <v>0.35859414261160716</v>
      </c>
      <c r="L701" s="164" t="s">
        <v>120</v>
      </c>
    </row>
    <row r="702" spans="1:12">
      <c r="A702" s="34" t="s">
        <v>123</v>
      </c>
      <c r="B702" s="344">
        <v>2019</v>
      </c>
      <c r="C702" s="59" t="s">
        <v>102</v>
      </c>
      <c r="D702" s="59">
        <v>17</v>
      </c>
      <c r="E702" s="504" t="s">
        <v>119</v>
      </c>
      <c r="F702" s="29">
        <v>1</v>
      </c>
      <c r="G702" s="9">
        <v>1</v>
      </c>
      <c r="H702" s="9">
        <v>1</v>
      </c>
      <c r="I702" s="9">
        <v>2</v>
      </c>
      <c r="J702" s="43">
        <v>2</v>
      </c>
      <c r="K702" s="265">
        <f t="shared" si="10"/>
        <v>0.35859414261160716</v>
      </c>
      <c r="L702" s="164" t="s">
        <v>120</v>
      </c>
    </row>
    <row r="703" spans="1:12">
      <c r="A703" s="34" t="s">
        <v>123</v>
      </c>
      <c r="B703" s="344">
        <v>2019</v>
      </c>
      <c r="C703" s="59" t="s">
        <v>104</v>
      </c>
      <c r="D703" s="59">
        <v>70</v>
      </c>
      <c r="E703" s="504" t="s">
        <v>119</v>
      </c>
      <c r="F703" s="29">
        <v>1</v>
      </c>
      <c r="G703" s="9">
        <v>1</v>
      </c>
      <c r="H703" s="9">
        <v>1</v>
      </c>
      <c r="I703" s="9">
        <v>2</v>
      </c>
      <c r="J703" s="43">
        <v>2</v>
      </c>
      <c r="K703" s="265">
        <f t="shared" si="10"/>
        <v>0.35859414261160716</v>
      </c>
      <c r="L703" s="164" t="s">
        <v>120</v>
      </c>
    </row>
    <row r="704" spans="1:12">
      <c r="A704" s="34" t="s">
        <v>123</v>
      </c>
      <c r="B704" s="344">
        <v>2019</v>
      </c>
      <c r="C704" s="59" t="s">
        <v>105</v>
      </c>
      <c r="D704" s="59">
        <v>243</v>
      </c>
      <c r="E704" s="504" t="s">
        <v>119</v>
      </c>
      <c r="F704" s="29">
        <v>1</v>
      </c>
      <c r="G704" s="9">
        <v>1</v>
      </c>
      <c r="H704" s="9">
        <v>1</v>
      </c>
      <c r="I704" s="9">
        <v>2</v>
      </c>
      <c r="J704" s="43">
        <v>2</v>
      </c>
      <c r="K704" s="265">
        <f t="shared" si="10"/>
        <v>0.35859414261160716</v>
      </c>
      <c r="L704" s="164" t="s">
        <v>120</v>
      </c>
    </row>
    <row r="705" spans="1:12">
      <c r="A705" s="34" t="s">
        <v>123</v>
      </c>
      <c r="B705" s="344">
        <v>2019</v>
      </c>
      <c r="C705" s="59" t="s">
        <v>103</v>
      </c>
      <c r="D705" s="59">
        <v>79</v>
      </c>
      <c r="E705" s="504" t="s">
        <v>119</v>
      </c>
      <c r="F705" s="29">
        <v>1</v>
      </c>
      <c r="G705" s="9">
        <v>1</v>
      </c>
      <c r="H705" s="9">
        <v>1</v>
      </c>
      <c r="I705" s="9">
        <v>2</v>
      </c>
      <c r="J705" s="43">
        <v>2</v>
      </c>
      <c r="K705" s="265">
        <f t="shared" si="10"/>
        <v>0.35859414261160716</v>
      </c>
      <c r="L705" s="164" t="s">
        <v>120</v>
      </c>
    </row>
    <row r="706" spans="1:12">
      <c r="A706" s="34" t="s">
        <v>123</v>
      </c>
      <c r="B706" s="344">
        <v>2019</v>
      </c>
      <c r="C706" s="59" t="s">
        <v>101</v>
      </c>
      <c r="D706" s="59">
        <v>40</v>
      </c>
      <c r="E706" s="504" t="s">
        <v>119</v>
      </c>
      <c r="F706" s="29">
        <v>1</v>
      </c>
      <c r="G706" s="9">
        <v>1</v>
      </c>
      <c r="H706" s="9">
        <v>1</v>
      </c>
      <c r="I706" s="9">
        <v>2</v>
      </c>
      <c r="J706" s="43">
        <v>2</v>
      </c>
      <c r="K706" s="265">
        <f t="shared" ref="K706:K769" si="11">IF( OR( ISBLANK(F706),ISBLANK(G706), ISBLANK(H706), ISBLANK(I706), ISBLANK(J706) ), "", 1.5*SQRT(   EXP(2.21*(F706-1)) + EXP(2.21*(G706-1)) + EXP(2.21*(H706-1)) + EXP(2.21*(I706-1)) + EXP(2.21*J706)   )/100*2.45 )</f>
        <v>0.35859414261160716</v>
      </c>
      <c r="L706" s="164" t="s">
        <v>120</v>
      </c>
    </row>
    <row r="707" spans="1:12">
      <c r="A707" s="34" t="s">
        <v>123</v>
      </c>
      <c r="B707" s="344">
        <v>2019</v>
      </c>
      <c r="C707" s="59" t="s">
        <v>106</v>
      </c>
      <c r="D707" s="59">
        <v>1386</v>
      </c>
      <c r="E707" s="504" t="s">
        <v>119</v>
      </c>
      <c r="F707" s="29">
        <v>1</v>
      </c>
      <c r="G707" s="9">
        <v>1</v>
      </c>
      <c r="H707" s="9">
        <v>1</v>
      </c>
      <c r="I707" s="9">
        <v>2</v>
      </c>
      <c r="J707" s="43">
        <v>2</v>
      </c>
      <c r="K707" s="265">
        <f t="shared" si="11"/>
        <v>0.35859414261160716</v>
      </c>
      <c r="L707" s="164" t="s">
        <v>120</v>
      </c>
    </row>
    <row r="708" spans="1:12">
      <c r="A708" s="34" t="s">
        <v>123</v>
      </c>
      <c r="B708" s="344">
        <v>2020</v>
      </c>
      <c r="C708" s="59" t="s">
        <v>93</v>
      </c>
      <c r="D708" s="59">
        <v>713</v>
      </c>
      <c r="E708" s="504" t="s">
        <v>119</v>
      </c>
      <c r="F708" s="29">
        <v>1</v>
      </c>
      <c r="G708" s="9">
        <v>1</v>
      </c>
      <c r="H708" s="9">
        <v>1</v>
      </c>
      <c r="I708" s="9">
        <v>2</v>
      </c>
      <c r="J708" s="43">
        <v>2</v>
      </c>
      <c r="K708" s="265">
        <f t="shared" si="11"/>
        <v>0.35859414261160716</v>
      </c>
      <c r="L708" s="164" t="s">
        <v>120</v>
      </c>
    </row>
    <row r="709" spans="1:12">
      <c r="A709" s="34" t="s">
        <v>123</v>
      </c>
      <c r="B709" s="344">
        <v>2020</v>
      </c>
      <c r="C709" s="59" t="s">
        <v>94</v>
      </c>
      <c r="D709" s="59">
        <v>239</v>
      </c>
      <c r="E709" s="504" t="s">
        <v>119</v>
      </c>
      <c r="F709" s="29">
        <v>1</v>
      </c>
      <c r="G709" s="9">
        <v>1</v>
      </c>
      <c r="H709" s="9">
        <v>1</v>
      </c>
      <c r="I709" s="9">
        <v>2</v>
      </c>
      <c r="J709" s="43">
        <v>2</v>
      </c>
      <c r="K709" s="265">
        <f t="shared" si="11"/>
        <v>0.35859414261160716</v>
      </c>
      <c r="L709" s="164" t="s">
        <v>120</v>
      </c>
    </row>
    <row r="710" spans="1:12">
      <c r="A710" s="34" t="s">
        <v>123</v>
      </c>
      <c r="B710" s="344">
        <v>2020</v>
      </c>
      <c r="C710" s="59" t="s">
        <v>95</v>
      </c>
      <c r="D710" s="59">
        <v>303</v>
      </c>
      <c r="E710" s="504" t="s">
        <v>119</v>
      </c>
      <c r="F710" s="29">
        <v>1</v>
      </c>
      <c r="G710" s="9">
        <v>1</v>
      </c>
      <c r="H710" s="9">
        <v>1</v>
      </c>
      <c r="I710" s="9">
        <v>2</v>
      </c>
      <c r="J710" s="43">
        <v>2</v>
      </c>
      <c r="K710" s="265">
        <f t="shared" si="11"/>
        <v>0.35859414261160716</v>
      </c>
      <c r="L710" s="164" t="s">
        <v>120</v>
      </c>
    </row>
    <row r="711" spans="1:12">
      <c r="A711" s="34" t="s">
        <v>123</v>
      </c>
      <c r="B711" s="344">
        <v>2020</v>
      </c>
      <c r="C711" s="59" t="s">
        <v>96</v>
      </c>
      <c r="D711" s="59">
        <v>34</v>
      </c>
      <c r="E711" s="504" t="s">
        <v>119</v>
      </c>
      <c r="F711" s="29">
        <v>1</v>
      </c>
      <c r="G711" s="9">
        <v>1</v>
      </c>
      <c r="H711" s="9">
        <v>1</v>
      </c>
      <c r="I711" s="9">
        <v>2</v>
      </c>
      <c r="J711" s="43">
        <v>2</v>
      </c>
      <c r="K711" s="265">
        <f t="shared" si="11"/>
        <v>0.35859414261160716</v>
      </c>
      <c r="L711" s="164" t="s">
        <v>120</v>
      </c>
    </row>
    <row r="712" spans="1:12">
      <c r="A712" s="34" t="s">
        <v>123</v>
      </c>
      <c r="B712" s="344">
        <v>2020</v>
      </c>
      <c r="C712" s="59" t="s">
        <v>97</v>
      </c>
      <c r="D712" s="59">
        <v>48</v>
      </c>
      <c r="E712" s="504" t="s">
        <v>119</v>
      </c>
      <c r="F712" s="29">
        <v>1</v>
      </c>
      <c r="G712" s="9">
        <v>1</v>
      </c>
      <c r="H712" s="9">
        <v>1</v>
      </c>
      <c r="I712" s="9">
        <v>2</v>
      </c>
      <c r="J712" s="43">
        <v>2</v>
      </c>
      <c r="K712" s="265">
        <f t="shared" si="11"/>
        <v>0.35859414261160716</v>
      </c>
      <c r="L712" s="164" t="s">
        <v>120</v>
      </c>
    </row>
    <row r="713" spans="1:12">
      <c r="A713" s="34" t="s">
        <v>123</v>
      </c>
      <c r="B713" s="344">
        <v>2020</v>
      </c>
      <c r="C713" s="59" t="s">
        <v>98</v>
      </c>
      <c r="D713" s="59">
        <v>186</v>
      </c>
      <c r="E713" s="504" t="s">
        <v>119</v>
      </c>
      <c r="F713" s="29">
        <v>1</v>
      </c>
      <c r="G713" s="9">
        <v>1</v>
      </c>
      <c r="H713" s="9">
        <v>1</v>
      </c>
      <c r="I713" s="9">
        <v>2</v>
      </c>
      <c r="J713" s="43">
        <v>2</v>
      </c>
      <c r="K713" s="265">
        <f t="shared" si="11"/>
        <v>0.35859414261160716</v>
      </c>
      <c r="L713" s="164" t="s">
        <v>120</v>
      </c>
    </row>
    <row r="714" spans="1:12">
      <c r="A714" s="34" t="s">
        <v>123</v>
      </c>
      <c r="B714" s="344">
        <v>2020</v>
      </c>
      <c r="C714" s="59" t="s">
        <v>99</v>
      </c>
      <c r="D714" s="59">
        <v>130</v>
      </c>
      <c r="E714" s="504" t="s">
        <v>119</v>
      </c>
      <c r="F714" s="29">
        <v>1</v>
      </c>
      <c r="G714" s="9">
        <v>1</v>
      </c>
      <c r="H714" s="9">
        <v>1</v>
      </c>
      <c r="I714" s="9">
        <v>2</v>
      </c>
      <c r="J714" s="43">
        <v>2</v>
      </c>
      <c r="K714" s="265">
        <f t="shared" si="11"/>
        <v>0.35859414261160716</v>
      </c>
      <c r="L714" s="164" t="s">
        <v>120</v>
      </c>
    </row>
    <row r="715" spans="1:12">
      <c r="A715" s="34" t="s">
        <v>123</v>
      </c>
      <c r="B715" s="344">
        <v>2020</v>
      </c>
      <c r="C715" s="59" t="s">
        <v>102</v>
      </c>
      <c r="D715" s="59">
        <v>16</v>
      </c>
      <c r="E715" s="504" t="s">
        <v>119</v>
      </c>
      <c r="F715" s="29">
        <v>1</v>
      </c>
      <c r="G715" s="9">
        <v>1</v>
      </c>
      <c r="H715" s="9">
        <v>1</v>
      </c>
      <c r="I715" s="9">
        <v>2</v>
      </c>
      <c r="J715" s="43">
        <v>2</v>
      </c>
      <c r="K715" s="265">
        <f t="shared" si="11"/>
        <v>0.35859414261160716</v>
      </c>
      <c r="L715" s="164" t="s">
        <v>120</v>
      </c>
    </row>
    <row r="716" spans="1:12">
      <c r="A716" s="34" t="s">
        <v>123</v>
      </c>
      <c r="B716" s="344">
        <v>2020</v>
      </c>
      <c r="C716" s="59" t="s">
        <v>104</v>
      </c>
      <c r="D716" s="59">
        <v>65</v>
      </c>
      <c r="E716" s="504" t="s">
        <v>119</v>
      </c>
      <c r="F716" s="29">
        <v>1</v>
      </c>
      <c r="G716" s="9">
        <v>1</v>
      </c>
      <c r="H716" s="9">
        <v>1</v>
      </c>
      <c r="I716" s="9">
        <v>2</v>
      </c>
      <c r="J716" s="43">
        <v>2</v>
      </c>
      <c r="K716" s="265">
        <f t="shared" si="11"/>
        <v>0.35859414261160716</v>
      </c>
      <c r="L716" s="164" t="s">
        <v>120</v>
      </c>
    </row>
    <row r="717" spans="1:12">
      <c r="A717" s="34" t="s">
        <v>123</v>
      </c>
      <c r="B717" s="344">
        <v>2020</v>
      </c>
      <c r="C717" s="59" t="s">
        <v>105</v>
      </c>
      <c r="D717" s="59">
        <v>242</v>
      </c>
      <c r="E717" s="504" t="s">
        <v>119</v>
      </c>
      <c r="F717" s="29">
        <v>1</v>
      </c>
      <c r="G717" s="9">
        <v>1</v>
      </c>
      <c r="H717" s="9">
        <v>1</v>
      </c>
      <c r="I717" s="9">
        <v>2</v>
      </c>
      <c r="J717" s="43">
        <v>2</v>
      </c>
      <c r="K717" s="265">
        <f t="shared" si="11"/>
        <v>0.35859414261160716</v>
      </c>
      <c r="L717" s="164" t="s">
        <v>120</v>
      </c>
    </row>
    <row r="718" spans="1:12">
      <c r="A718" s="34" t="s">
        <v>123</v>
      </c>
      <c r="B718" s="344">
        <v>2020</v>
      </c>
      <c r="C718" s="59" t="s">
        <v>103</v>
      </c>
      <c r="D718" s="59">
        <v>71</v>
      </c>
      <c r="E718" s="504" t="s">
        <v>119</v>
      </c>
      <c r="F718" s="29">
        <v>1</v>
      </c>
      <c r="G718" s="9">
        <v>1</v>
      </c>
      <c r="H718" s="9">
        <v>1</v>
      </c>
      <c r="I718" s="9">
        <v>2</v>
      </c>
      <c r="J718" s="43">
        <v>2</v>
      </c>
      <c r="K718" s="265">
        <f t="shared" si="11"/>
        <v>0.35859414261160716</v>
      </c>
      <c r="L718" s="164" t="s">
        <v>120</v>
      </c>
    </row>
    <row r="719" spans="1:12">
      <c r="A719" s="34" t="s">
        <v>123</v>
      </c>
      <c r="B719" s="344">
        <v>2020</v>
      </c>
      <c r="C719" s="59" t="s">
        <v>101</v>
      </c>
      <c r="D719" s="59">
        <v>43</v>
      </c>
      <c r="E719" s="504" t="s">
        <v>119</v>
      </c>
      <c r="F719" s="29">
        <v>1</v>
      </c>
      <c r="G719" s="9">
        <v>1</v>
      </c>
      <c r="H719" s="9">
        <v>1</v>
      </c>
      <c r="I719" s="9">
        <v>2</v>
      </c>
      <c r="J719" s="43">
        <v>2</v>
      </c>
      <c r="K719" s="265">
        <f t="shared" si="11"/>
        <v>0.35859414261160716</v>
      </c>
      <c r="L719" s="164" t="s">
        <v>120</v>
      </c>
    </row>
    <row r="720" spans="1:12">
      <c r="A720" s="34" t="s">
        <v>123</v>
      </c>
      <c r="B720" s="344">
        <v>2020</v>
      </c>
      <c r="C720" s="59" t="s">
        <v>106</v>
      </c>
      <c r="D720" s="59">
        <v>1355</v>
      </c>
      <c r="E720" s="504" t="s">
        <v>119</v>
      </c>
      <c r="F720" s="29">
        <v>1</v>
      </c>
      <c r="G720" s="9">
        <v>1</v>
      </c>
      <c r="H720" s="9">
        <v>1</v>
      </c>
      <c r="I720" s="9">
        <v>2</v>
      </c>
      <c r="J720" s="43">
        <v>2</v>
      </c>
      <c r="K720" s="265">
        <f t="shared" si="11"/>
        <v>0.35859414261160716</v>
      </c>
      <c r="L720" s="164" t="s">
        <v>120</v>
      </c>
    </row>
    <row r="721" spans="1:12">
      <c r="A721" s="34" t="s">
        <v>123</v>
      </c>
      <c r="B721" s="344">
        <v>2021</v>
      </c>
      <c r="C721" s="59" t="s">
        <v>93</v>
      </c>
      <c r="D721" s="59">
        <v>1052</v>
      </c>
      <c r="E721" s="504" t="s">
        <v>119</v>
      </c>
      <c r="F721" s="29">
        <v>1</v>
      </c>
      <c r="G721" s="9">
        <v>1</v>
      </c>
      <c r="H721" s="9">
        <v>1</v>
      </c>
      <c r="I721" s="9">
        <v>2</v>
      </c>
      <c r="J721" s="43">
        <v>2</v>
      </c>
      <c r="K721" s="265">
        <f t="shared" si="11"/>
        <v>0.35859414261160716</v>
      </c>
      <c r="L721" s="164" t="s">
        <v>120</v>
      </c>
    </row>
    <row r="722" spans="1:12">
      <c r="A722" s="34" t="s">
        <v>123</v>
      </c>
      <c r="B722" s="344">
        <v>2021</v>
      </c>
      <c r="C722" s="59" t="s">
        <v>94</v>
      </c>
      <c r="D722" s="59">
        <v>261</v>
      </c>
      <c r="E722" s="504" t="s">
        <v>119</v>
      </c>
      <c r="F722" s="29">
        <v>1</v>
      </c>
      <c r="G722" s="9">
        <v>1</v>
      </c>
      <c r="H722" s="9">
        <v>1</v>
      </c>
      <c r="I722" s="9">
        <v>2</v>
      </c>
      <c r="J722" s="43">
        <v>2</v>
      </c>
      <c r="K722" s="265">
        <f t="shared" si="11"/>
        <v>0.35859414261160716</v>
      </c>
      <c r="L722" s="164" t="s">
        <v>120</v>
      </c>
    </row>
    <row r="723" spans="1:12">
      <c r="A723" s="34" t="s">
        <v>123</v>
      </c>
      <c r="B723" s="344">
        <v>2021</v>
      </c>
      <c r="C723" s="59" t="s">
        <v>95</v>
      </c>
      <c r="D723" s="59">
        <v>371</v>
      </c>
      <c r="E723" s="504" t="s">
        <v>119</v>
      </c>
      <c r="F723" s="29">
        <v>1</v>
      </c>
      <c r="G723" s="9">
        <v>1</v>
      </c>
      <c r="H723" s="9">
        <v>1</v>
      </c>
      <c r="I723" s="9">
        <v>2</v>
      </c>
      <c r="J723" s="43">
        <v>2</v>
      </c>
      <c r="K723" s="265">
        <f t="shared" si="11"/>
        <v>0.35859414261160716</v>
      </c>
      <c r="L723" s="164" t="s">
        <v>120</v>
      </c>
    </row>
    <row r="724" spans="1:12">
      <c r="A724" s="34" t="s">
        <v>123</v>
      </c>
      <c r="B724" s="344">
        <v>2021</v>
      </c>
      <c r="C724" s="59" t="s">
        <v>96</v>
      </c>
      <c r="D724" s="59">
        <v>35</v>
      </c>
      <c r="E724" s="504" t="s">
        <v>119</v>
      </c>
      <c r="F724" s="29">
        <v>1</v>
      </c>
      <c r="G724" s="9">
        <v>1</v>
      </c>
      <c r="H724" s="9">
        <v>1</v>
      </c>
      <c r="I724" s="9">
        <v>2</v>
      </c>
      <c r="J724" s="43">
        <v>2</v>
      </c>
      <c r="K724" s="265">
        <f t="shared" si="11"/>
        <v>0.35859414261160716</v>
      </c>
      <c r="L724" s="164" t="s">
        <v>120</v>
      </c>
    </row>
    <row r="725" spans="1:12">
      <c r="A725" s="34" t="s">
        <v>123</v>
      </c>
      <c r="B725" s="344">
        <v>2021</v>
      </c>
      <c r="C725" s="59" t="s">
        <v>97</v>
      </c>
      <c r="D725" s="59">
        <v>55</v>
      </c>
      <c r="E725" s="504" t="s">
        <v>119</v>
      </c>
      <c r="F725" s="29">
        <v>1</v>
      </c>
      <c r="G725" s="9">
        <v>1</v>
      </c>
      <c r="H725" s="9">
        <v>1</v>
      </c>
      <c r="I725" s="9">
        <v>2</v>
      </c>
      <c r="J725" s="43">
        <v>2</v>
      </c>
      <c r="K725" s="265">
        <f t="shared" si="11"/>
        <v>0.35859414261160716</v>
      </c>
      <c r="L725" s="164" t="s">
        <v>120</v>
      </c>
    </row>
    <row r="726" spans="1:12">
      <c r="A726" s="34" t="s">
        <v>123</v>
      </c>
      <c r="B726" s="344">
        <v>2021</v>
      </c>
      <c r="C726" s="59" t="s">
        <v>98</v>
      </c>
      <c r="D726" s="59">
        <v>198</v>
      </c>
      <c r="E726" s="504" t="s">
        <v>119</v>
      </c>
      <c r="F726" s="29">
        <v>1</v>
      </c>
      <c r="G726" s="9">
        <v>1</v>
      </c>
      <c r="H726" s="9">
        <v>1</v>
      </c>
      <c r="I726" s="9">
        <v>2</v>
      </c>
      <c r="J726" s="43">
        <v>2</v>
      </c>
      <c r="K726" s="265">
        <f t="shared" si="11"/>
        <v>0.35859414261160716</v>
      </c>
      <c r="L726" s="164" t="s">
        <v>120</v>
      </c>
    </row>
    <row r="727" spans="1:12">
      <c r="A727" s="34" t="s">
        <v>123</v>
      </c>
      <c r="B727" s="344">
        <v>2021</v>
      </c>
      <c r="C727" s="59" t="s">
        <v>99</v>
      </c>
      <c r="D727" s="59">
        <v>124</v>
      </c>
      <c r="E727" s="504" t="s">
        <v>119</v>
      </c>
      <c r="F727" s="29">
        <v>1</v>
      </c>
      <c r="G727" s="9">
        <v>1</v>
      </c>
      <c r="H727" s="9">
        <v>1</v>
      </c>
      <c r="I727" s="9">
        <v>2</v>
      </c>
      <c r="J727" s="43">
        <v>2</v>
      </c>
      <c r="K727" s="265">
        <f t="shared" si="11"/>
        <v>0.35859414261160716</v>
      </c>
      <c r="L727" s="164" t="s">
        <v>120</v>
      </c>
    </row>
    <row r="728" spans="1:12">
      <c r="A728" s="34" t="s">
        <v>123</v>
      </c>
      <c r="B728" s="344">
        <v>2021</v>
      </c>
      <c r="C728" s="59" t="s">
        <v>102</v>
      </c>
      <c r="D728" s="59">
        <v>18</v>
      </c>
      <c r="E728" s="504" t="s">
        <v>119</v>
      </c>
      <c r="F728" s="29">
        <v>1</v>
      </c>
      <c r="G728" s="9">
        <v>1</v>
      </c>
      <c r="H728" s="9">
        <v>1</v>
      </c>
      <c r="I728" s="9">
        <v>2</v>
      </c>
      <c r="J728" s="43">
        <v>2</v>
      </c>
      <c r="K728" s="265">
        <f t="shared" si="11"/>
        <v>0.35859414261160716</v>
      </c>
      <c r="L728" s="164" t="s">
        <v>120</v>
      </c>
    </row>
    <row r="729" spans="1:12">
      <c r="A729" s="34" t="s">
        <v>123</v>
      </c>
      <c r="B729" s="344">
        <v>2021</v>
      </c>
      <c r="C729" s="59" t="s">
        <v>104</v>
      </c>
      <c r="D729" s="59">
        <v>79</v>
      </c>
      <c r="E729" s="504" t="s">
        <v>119</v>
      </c>
      <c r="F729" s="29">
        <v>1</v>
      </c>
      <c r="G729" s="9">
        <v>1</v>
      </c>
      <c r="H729" s="9">
        <v>1</v>
      </c>
      <c r="I729" s="9">
        <v>2</v>
      </c>
      <c r="J729" s="43">
        <v>2</v>
      </c>
      <c r="K729" s="265">
        <f t="shared" si="11"/>
        <v>0.35859414261160716</v>
      </c>
      <c r="L729" s="164" t="s">
        <v>120</v>
      </c>
    </row>
    <row r="730" spans="1:12">
      <c r="A730" s="34" t="s">
        <v>123</v>
      </c>
      <c r="B730" s="344">
        <v>2021</v>
      </c>
      <c r="C730" s="59" t="s">
        <v>105</v>
      </c>
      <c r="D730" s="59">
        <v>243</v>
      </c>
      <c r="E730" s="504" t="s">
        <v>119</v>
      </c>
      <c r="F730" s="29">
        <v>1</v>
      </c>
      <c r="G730" s="9">
        <v>1</v>
      </c>
      <c r="H730" s="9">
        <v>1</v>
      </c>
      <c r="I730" s="9">
        <v>2</v>
      </c>
      <c r="J730" s="43">
        <v>2</v>
      </c>
      <c r="K730" s="265">
        <f t="shared" si="11"/>
        <v>0.35859414261160716</v>
      </c>
      <c r="L730" s="164" t="s">
        <v>120</v>
      </c>
    </row>
    <row r="731" spans="1:12">
      <c r="A731" s="34" t="s">
        <v>123</v>
      </c>
      <c r="B731" s="344">
        <v>2021</v>
      </c>
      <c r="C731" s="59" t="s">
        <v>103</v>
      </c>
      <c r="D731" s="59">
        <v>92</v>
      </c>
      <c r="E731" s="504" t="s">
        <v>119</v>
      </c>
      <c r="F731" s="29">
        <v>1</v>
      </c>
      <c r="G731" s="9">
        <v>1</v>
      </c>
      <c r="H731" s="9">
        <v>1</v>
      </c>
      <c r="I731" s="9">
        <v>2</v>
      </c>
      <c r="J731" s="43">
        <v>2</v>
      </c>
      <c r="K731" s="265">
        <f t="shared" si="11"/>
        <v>0.35859414261160716</v>
      </c>
      <c r="L731" s="164" t="s">
        <v>120</v>
      </c>
    </row>
    <row r="732" spans="1:12">
      <c r="A732" s="34" t="s">
        <v>123</v>
      </c>
      <c r="B732" s="344">
        <v>2021</v>
      </c>
      <c r="C732" s="59" t="s">
        <v>101</v>
      </c>
      <c r="D732" s="59">
        <v>50</v>
      </c>
      <c r="E732" s="504" t="s">
        <v>119</v>
      </c>
      <c r="F732" s="29">
        <v>1</v>
      </c>
      <c r="G732" s="9">
        <v>1</v>
      </c>
      <c r="H732" s="9">
        <v>1</v>
      </c>
      <c r="I732" s="9">
        <v>2</v>
      </c>
      <c r="J732" s="43">
        <v>2</v>
      </c>
      <c r="K732" s="265">
        <f t="shared" si="11"/>
        <v>0.35859414261160716</v>
      </c>
      <c r="L732" s="164" t="s">
        <v>120</v>
      </c>
    </row>
    <row r="733" spans="1:12" ht="15.75" thickBot="1">
      <c r="A733" s="150" t="s">
        <v>123</v>
      </c>
      <c r="B733" s="660">
        <v>2021</v>
      </c>
      <c r="C733" s="822" t="s">
        <v>106</v>
      </c>
      <c r="D733" s="822">
        <v>1446</v>
      </c>
      <c r="E733" s="802" t="s">
        <v>119</v>
      </c>
      <c r="F733" s="155">
        <v>1</v>
      </c>
      <c r="G733" s="119">
        <v>1</v>
      </c>
      <c r="H733" s="119">
        <v>1</v>
      </c>
      <c r="I733" s="119">
        <v>2</v>
      </c>
      <c r="J733" s="156">
        <v>2</v>
      </c>
      <c r="K733" s="293">
        <f t="shared" si="11"/>
        <v>0.35859414261160716</v>
      </c>
      <c r="L733" s="819" t="s">
        <v>120</v>
      </c>
    </row>
    <row r="734" spans="1:12">
      <c r="A734" s="33" t="s">
        <v>37</v>
      </c>
      <c r="B734" s="39">
        <v>2016</v>
      </c>
      <c r="C734" s="823" t="s">
        <v>100</v>
      </c>
      <c r="D734" s="33">
        <v>18</v>
      </c>
      <c r="E734" s="151" t="s">
        <v>124</v>
      </c>
      <c r="F734" s="28">
        <v>1</v>
      </c>
      <c r="G734" s="11">
        <v>1</v>
      </c>
      <c r="H734" s="11">
        <v>1</v>
      </c>
      <c r="I734" s="11">
        <v>1</v>
      </c>
      <c r="J734" s="42">
        <v>1</v>
      </c>
      <c r="K734" s="264">
        <f t="shared" si="11"/>
        <v>0.13309242924026707</v>
      </c>
      <c r="L734" s="163"/>
    </row>
    <row r="735" spans="1:12">
      <c r="A735" s="34" t="s">
        <v>37</v>
      </c>
      <c r="B735" s="40">
        <v>2020</v>
      </c>
      <c r="C735" s="59" t="s">
        <v>100</v>
      </c>
      <c r="D735" s="813">
        <f>Intentionally_produced_MPs!K106</f>
        <v>12.105</v>
      </c>
      <c r="E735" s="152" t="s">
        <v>124</v>
      </c>
      <c r="F735" s="29">
        <v>1</v>
      </c>
      <c r="G735" s="9">
        <v>1</v>
      </c>
      <c r="H735" s="9">
        <v>1</v>
      </c>
      <c r="I735" s="9">
        <v>1</v>
      </c>
      <c r="J735" s="43">
        <v>1</v>
      </c>
      <c r="K735" s="265">
        <f t="shared" si="11"/>
        <v>0.13309242924026707</v>
      </c>
      <c r="L735" s="164"/>
    </row>
    <row r="736" spans="1:12">
      <c r="A736" s="34" t="s">
        <v>37</v>
      </c>
      <c r="B736" s="40">
        <v>2019</v>
      </c>
      <c r="C736" s="59" t="s">
        <v>100</v>
      </c>
      <c r="D736" s="34">
        <v>11.4</v>
      </c>
      <c r="E736" s="152" t="s">
        <v>124</v>
      </c>
      <c r="F736" s="29">
        <v>1</v>
      </c>
      <c r="G736" s="9">
        <v>1</v>
      </c>
      <c r="H736" s="9">
        <v>1</v>
      </c>
      <c r="I736" s="9">
        <v>1</v>
      </c>
      <c r="J736" s="43">
        <v>1</v>
      </c>
      <c r="K736" s="265">
        <f t="shared" si="11"/>
        <v>0.13309242924026707</v>
      </c>
      <c r="L736" s="164"/>
    </row>
    <row r="737" spans="1:12">
      <c r="A737" s="34" t="s">
        <v>37</v>
      </c>
      <c r="B737" s="40">
        <v>2021</v>
      </c>
      <c r="C737" s="59" t="s">
        <v>100</v>
      </c>
      <c r="D737" s="34">
        <v>10.331</v>
      </c>
      <c r="E737" s="152" t="s">
        <v>124</v>
      </c>
      <c r="F737" s="29">
        <v>1</v>
      </c>
      <c r="G737" s="9">
        <v>1</v>
      </c>
      <c r="H737" s="9">
        <v>1</v>
      </c>
      <c r="I737" s="9">
        <v>1</v>
      </c>
      <c r="J737" s="43">
        <v>1</v>
      </c>
      <c r="K737" s="265">
        <f t="shared" si="11"/>
        <v>0.13309242924026707</v>
      </c>
      <c r="L737" s="164"/>
    </row>
    <row r="738" spans="1:12">
      <c r="A738" s="34" t="s">
        <v>37</v>
      </c>
      <c r="B738" s="40">
        <v>2020</v>
      </c>
      <c r="C738" s="34" t="s">
        <v>101</v>
      </c>
      <c r="D738" s="813">
        <f>Intentionally_produced_MPs!L106</f>
        <v>0.88557259919129572</v>
      </c>
      <c r="E738" s="152" t="s">
        <v>125</v>
      </c>
      <c r="F738" s="29">
        <v>2</v>
      </c>
      <c r="G738" s="9">
        <v>1</v>
      </c>
      <c r="H738" s="9">
        <v>3</v>
      </c>
      <c r="I738" s="9">
        <v>1</v>
      </c>
      <c r="J738" s="43">
        <v>2</v>
      </c>
      <c r="K738" s="265">
        <f t="shared" si="11"/>
        <v>0.48935255543384243</v>
      </c>
      <c r="L738" s="164"/>
    </row>
    <row r="739" spans="1:12">
      <c r="A739" s="34" t="s">
        <v>37</v>
      </c>
      <c r="B739" s="40">
        <v>2020</v>
      </c>
      <c r="C739" s="59" t="s">
        <v>106</v>
      </c>
      <c r="D739" s="813">
        <f>Intentionally_produced_MPs!Q106</f>
        <v>0.61395725887587771</v>
      </c>
      <c r="E739" s="152" t="s">
        <v>125</v>
      </c>
      <c r="F739" s="29">
        <v>2</v>
      </c>
      <c r="G739" s="9">
        <v>1</v>
      </c>
      <c r="H739" s="9">
        <v>3</v>
      </c>
      <c r="I739" s="9">
        <v>1</v>
      </c>
      <c r="J739" s="43">
        <v>2</v>
      </c>
      <c r="K739" s="265">
        <f t="shared" si="11"/>
        <v>0.48935255543384243</v>
      </c>
      <c r="L739" s="164"/>
    </row>
    <row r="740" spans="1:12">
      <c r="A740" s="34" t="s">
        <v>37</v>
      </c>
      <c r="B740" s="40">
        <v>2020</v>
      </c>
      <c r="C740" s="34" t="s">
        <v>94</v>
      </c>
      <c r="D740" s="813">
        <f>Intentionally_produced_MPs!E106</f>
        <v>0.47206704477479411</v>
      </c>
      <c r="E740" s="152" t="s">
        <v>125</v>
      </c>
      <c r="F740" s="29">
        <v>2</v>
      </c>
      <c r="G740" s="9">
        <v>1</v>
      </c>
      <c r="H740" s="9">
        <v>3</v>
      </c>
      <c r="I740" s="9">
        <v>1</v>
      </c>
      <c r="J740" s="43">
        <v>2</v>
      </c>
      <c r="K740" s="265">
        <f t="shared" si="11"/>
        <v>0.48935255543384243</v>
      </c>
      <c r="L740" s="164"/>
    </row>
    <row r="741" spans="1:12">
      <c r="A741" s="34" t="s">
        <v>37</v>
      </c>
      <c r="B741" s="40">
        <v>2020</v>
      </c>
      <c r="C741" s="34" t="s">
        <v>103</v>
      </c>
      <c r="D741" s="813">
        <f>Intentionally_produced_MPs!N106</f>
        <v>9.4626657606709394E-2</v>
      </c>
      <c r="E741" s="152" t="s">
        <v>125</v>
      </c>
      <c r="F741" s="29">
        <v>2</v>
      </c>
      <c r="G741" s="9">
        <v>1</v>
      </c>
      <c r="H741" s="9">
        <v>3</v>
      </c>
      <c r="I741" s="9">
        <v>1</v>
      </c>
      <c r="J741" s="43">
        <v>2</v>
      </c>
      <c r="K741" s="265">
        <f t="shared" si="11"/>
        <v>0.48935255543384243</v>
      </c>
      <c r="L741" s="164"/>
    </row>
    <row r="742" spans="1:12">
      <c r="A742" s="34" t="s">
        <v>37</v>
      </c>
      <c r="B742" s="40">
        <v>2020</v>
      </c>
      <c r="C742" s="34" t="s">
        <v>105</v>
      </c>
      <c r="D742" s="813">
        <f>Intentionally_produced_MPs!P106</f>
        <v>9.4091020248298574E-2</v>
      </c>
      <c r="E742" s="152" t="s">
        <v>125</v>
      </c>
      <c r="F742" s="29">
        <v>2</v>
      </c>
      <c r="G742" s="9">
        <v>1</v>
      </c>
      <c r="H742" s="9">
        <v>3</v>
      </c>
      <c r="I742" s="9">
        <v>1</v>
      </c>
      <c r="J742" s="43">
        <v>2</v>
      </c>
      <c r="K742" s="265">
        <f t="shared" si="11"/>
        <v>0.48935255543384243</v>
      </c>
      <c r="L742" s="164"/>
    </row>
    <row r="743" spans="1:12">
      <c r="A743" s="34" t="s">
        <v>37</v>
      </c>
      <c r="B743" s="40">
        <v>2020</v>
      </c>
      <c r="C743" s="34" t="s">
        <v>93</v>
      </c>
      <c r="D743" s="813">
        <f>Intentionally_produced_MPs!D106</f>
        <v>7.5513119408761431E-2</v>
      </c>
      <c r="E743" s="152" t="s">
        <v>125</v>
      </c>
      <c r="F743" s="29">
        <v>2</v>
      </c>
      <c r="G743" s="9">
        <v>1</v>
      </c>
      <c r="H743" s="9">
        <v>3</v>
      </c>
      <c r="I743" s="9">
        <v>1</v>
      </c>
      <c r="J743" s="43">
        <v>2</v>
      </c>
      <c r="K743" s="265">
        <f t="shared" si="11"/>
        <v>0.48935255543384243</v>
      </c>
      <c r="L743" s="164"/>
    </row>
    <row r="744" spans="1:12">
      <c r="A744" s="34" t="s">
        <v>37</v>
      </c>
      <c r="B744" s="40">
        <v>2020</v>
      </c>
      <c r="C744" s="34" t="s">
        <v>98</v>
      </c>
      <c r="D744" s="813">
        <f>Intentionally_produced_MPs!I106</f>
        <v>7.5513119408761431E-2</v>
      </c>
      <c r="E744" s="152" t="s">
        <v>125</v>
      </c>
      <c r="F744" s="29">
        <v>2</v>
      </c>
      <c r="G744" s="9">
        <v>1</v>
      </c>
      <c r="H744" s="9">
        <v>3</v>
      </c>
      <c r="I744" s="9">
        <v>1</v>
      </c>
      <c r="J744" s="43">
        <v>2</v>
      </c>
      <c r="K744" s="265">
        <f t="shared" si="11"/>
        <v>0.48935255543384243</v>
      </c>
      <c r="L744" s="164"/>
    </row>
    <row r="745" spans="1:12">
      <c r="A745" s="34" t="s">
        <v>37</v>
      </c>
      <c r="B745" s="40">
        <v>2020</v>
      </c>
      <c r="C745" s="34" t="s">
        <v>95</v>
      </c>
      <c r="D745" s="813">
        <f>Intentionally_produced_MPs!F106</f>
        <v>6.7122772807787945E-2</v>
      </c>
      <c r="E745" s="152" t="s">
        <v>125</v>
      </c>
      <c r="F745" s="29">
        <v>2</v>
      </c>
      <c r="G745" s="9">
        <v>1</v>
      </c>
      <c r="H745" s="9">
        <v>3</v>
      </c>
      <c r="I745" s="9">
        <v>1</v>
      </c>
      <c r="J745" s="43">
        <v>2</v>
      </c>
      <c r="K745" s="265">
        <f t="shared" si="11"/>
        <v>0.48935255543384243</v>
      </c>
      <c r="L745" s="164"/>
    </row>
    <row r="746" spans="1:12" ht="15.75" thickBot="1">
      <c r="A746" s="35" t="s">
        <v>37</v>
      </c>
      <c r="B746" s="41">
        <v>2020</v>
      </c>
      <c r="C746" s="35" t="s">
        <v>99</v>
      </c>
      <c r="D746" s="816">
        <f>Intentionally_produced_MPs!J106</f>
        <v>2.6968247440510646E-2</v>
      </c>
      <c r="E746" s="153" t="s">
        <v>125</v>
      </c>
      <c r="F746" s="30">
        <v>2</v>
      </c>
      <c r="G746" s="12">
        <v>1</v>
      </c>
      <c r="H746" s="12">
        <v>3</v>
      </c>
      <c r="I746" s="12">
        <v>1</v>
      </c>
      <c r="J746" s="44">
        <v>2</v>
      </c>
      <c r="K746" s="266">
        <f t="shared" si="11"/>
        <v>0.48935255543384243</v>
      </c>
      <c r="L746" s="165"/>
    </row>
    <row r="747" spans="1:12">
      <c r="A747" s="60" t="s">
        <v>39</v>
      </c>
      <c r="B747" s="162">
        <v>2020</v>
      </c>
      <c r="C747" s="60" t="s">
        <v>93</v>
      </c>
      <c r="D747" s="815">
        <f>Packaging!E19</f>
        <v>179.20538768005665</v>
      </c>
      <c r="E747" s="233" t="s">
        <v>126</v>
      </c>
      <c r="F747" s="677">
        <v>1</v>
      </c>
      <c r="G747" s="118">
        <v>1</v>
      </c>
      <c r="H747" s="118">
        <v>2</v>
      </c>
      <c r="I747" s="118">
        <v>1</v>
      </c>
      <c r="J747" s="678">
        <v>2</v>
      </c>
      <c r="K747" s="589">
        <f t="shared" si="11"/>
        <v>0.35859414261160716</v>
      </c>
      <c r="L747" s="670"/>
    </row>
    <row r="748" spans="1:12">
      <c r="A748" s="34" t="str">
        <f>Packaging!U23</f>
        <v>Packaging</v>
      </c>
      <c r="B748" s="40">
        <f>Packaging!V23</f>
        <v>2021</v>
      </c>
      <c r="C748" s="34" t="str">
        <f>Packaging!X23</f>
        <v>LDPE</v>
      </c>
      <c r="D748" s="813">
        <f>Packaging!Y23</f>
        <v>176.5619464740613</v>
      </c>
      <c r="E748" s="152" t="s">
        <v>126</v>
      </c>
      <c r="F748" s="29">
        <v>1</v>
      </c>
      <c r="G748" s="9">
        <v>1</v>
      </c>
      <c r="H748" s="9">
        <v>2</v>
      </c>
      <c r="I748" s="9">
        <v>1</v>
      </c>
      <c r="J748" s="43">
        <v>2</v>
      </c>
      <c r="K748" s="265">
        <f t="shared" si="11"/>
        <v>0.35859414261160716</v>
      </c>
      <c r="L748" s="164"/>
    </row>
    <row r="749" spans="1:12">
      <c r="A749" s="34" t="str">
        <f>Packaging!U39</f>
        <v>Packaging</v>
      </c>
      <c r="B749" s="40">
        <f>Packaging!V39</f>
        <v>2019</v>
      </c>
      <c r="C749" s="34" t="str">
        <f>Packaging!X39</f>
        <v>LDPE</v>
      </c>
      <c r="D749" s="813">
        <f>Packaging!Y39</f>
        <v>169.17764938027008</v>
      </c>
      <c r="E749" s="152" t="s">
        <v>126</v>
      </c>
      <c r="F749" s="29">
        <v>1</v>
      </c>
      <c r="G749" s="9">
        <v>1</v>
      </c>
      <c r="H749" s="9">
        <v>2</v>
      </c>
      <c r="I749" s="9">
        <v>1</v>
      </c>
      <c r="J749" s="43">
        <v>2</v>
      </c>
      <c r="K749" s="265">
        <f t="shared" si="11"/>
        <v>0.35859414261160716</v>
      </c>
      <c r="L749" s="164"/>
    </row>
    <row r="750" spans="1:12">
      <c r="A750" s="34" t="str">
        <f>Packaging!U47</f>
        <v>Packaging</v>
      </c>
      <c r="B750" s="40">
        <f>Packaging!V47</f>
        <v>2018</v>
      </c>
      <c r="C750" s="34" t="str">
        <f>Packaging!X47</f>
        <v>LDPE</v>
      </c>
      <c r="D750" s="813">
        <f>Packaging!Y47</f>
        <v>169.17764938027008</v>
      </c>
      <c r="E750" s="152" t="s">
        <v>126</v>
      </c>
      <c r="F750" s="29">
        <v>1</v>
      </c>
      <c r="G750" s="9">
        <v>1</v>
      </c>
      <c r="H750" s="9">
        <v>2</v>
      </c>
      <c r="I750" s="9">
        <v>1</v>
      </c>
      <c r="J750" s="43">
        <v>2</v>
      </c>
      <c r="K750" s="265">
        <f t="shared" si="11"/>
        <v>0.35859414261160716</v>
      </c>
      <c r="L750" s="164"/>
    </row>
    <row r="751" spans="1:12">
      <c r="A751" s="34" t="str">
        <f>Packaging!U55</f>
        <v>Packaging</v>
      </c>
      <c r="B751" s="40">
        <f>Packaging!V55</f>
        <v>2017</v>
      </c>
      <c r="C751" s="34" t="str">
        <f>Packaging!X55</f>
        <v>LDPE</v>
      </c>
      <c r="D751" s="813">
        <f>Packaging!Y55</f>
        <v>165.61941966099099</v>
      </c>
      <c r="E751" s="152" t="s">
        <v>126</v>
      </c>
      <c r="F751" s="29">
        <v>1</v>
      </c>
      <c r="G751" s="9">
        <v>1</v>
      </c>
      <c r="H751" s="9">
        <v>2</v>
      </c>
      <c r="I751" s="9">
        <v>1</v>
      </c>
      <c r="J751" s="43">
        <v>2</v>
      </c>
      <c r="K751" s="265">
        <f t="shared" si="11"/>
        <v>0.35859414261160716</v>
      </c>
      <c r="L751" s="164"/>
    </row>
    <row r="752" spans="1:12">
      <c r="A752" s="34" t="s">
        <v>39</v>
      </c>
      <c r="B752" s="40">
        <v>2020</v>
      </c>
      <c r="C752" s="34" t="s">
        <v>95</v>
      </c>
      <c r="D752" s="813">
        <f>Packaging!E21</f>
        <v>116.77935273343896</v>
      </c>
      <c r="E752" s="152" t="s">
        <v>126</v>
      </c>
      <c r="F752" s="29">
        <v>1</v>
      </c>
      <c r="G752" s="9">
        <v>1</v>
      </c>
      <c r="H752" s="9">
        <v>2</v>
      </c>
      <c r="I752" s="9">
        <v>1</v>
      </c>
      <c r="J752" s="43">
        <v>2</v>
      </c>
      <c r="K752" s="265">
        <f t="shared" si="11"/>
        <v>0.35859414261160716</v>
      </c>
      <c r="L752" s="164"/>
    </row>
    <row r="753" spans="1:12">
      <c r="A753" s="34" t="str">
        <f>Packaging!U25</f>
        <v>Packaging</v>
      </c>
      <c r="B753" s="40">
        <f>Packaging!V25</f>
        <v>2021</v>
      </c>
      <c r="C753" s="34" t="str">
        <f>Packaging!X25</f>
        <v>PP</v>
      </c>
      <c r="D753" s="813">
        <f>Packaging!Y25</f>
        <v>115.05675188409299</v>
      </c>
      <c r="E753" s="152" t="s">
        <v>126</v>
      </c>
      <c r="F753" s="29">
        <v>1</v>
      </c>
      <c r="G753" s="9">
        <v>1</v>
      </c>
      <c r="H753" s="9">
        <v>2</v>
      </c>
      <c r="I753" s="9">
        <v>1</v>
      </c>
      <c r="J753" s="43">
        <v>2</v>
      </c>
      <c r="K753" s="265">
        <f t="shared" si="11"/>
        <v>0.35859414261160716</v>
      </c>
      <c r="L753" s="164"/>
    </row>
    <row r="754" spans="1:12">
      <c r="A754" s="34" t="str">
        <f>Packaging!U41</f>
        <v>Packaging</v>
      </c>
      <c r="B754" s="40">
        <f>Packaging!V41</f>
        <v>2019</v>
      </c>
      <c r="C754" s="34" t="str">
        <f>Packaging!X41</f>
        <v>PP</v>
      </c>
      <c r="D754" s="813">
        <f>Packaging!Y41</f>
        <v>110.24476801369778</v>
      </c>
      <c r="E754" s="152" t="s">
        <v>126</v>
      </c>
      <c r="F754" s="29">
        <v>1</v>
      </c>
      <c r="G754" s="9">
        <v>1</v>
      </c>
      <c r="H754" s="9">
        <v>2</v>
      </c>
      <c r="I754" s="9">
        <v>1</v>
      </c>
      <c r="J754" s="43">
        <v>2</v>
      </c>
      <c r="K754" s="265">
        <f t="shared" si="11"/>
        <v>0.35859414261160716</v>
      </c>
      <c r="L754" s="164"/>
    </row>
    <row r="755" spans="1:12">
      <c r="A755" s="34" t="str">
        <f>Packaging!U49</f>
        <v>Packaging</v>
      </c>
      <c r="B755" s="40">
        <f>Packaging!V49</f>
        <v>2018</v>
      </c>
      <c r="C755" s="34" t="str">
        <f>Packaging!X49</f>
        <v>PP</v>
      </c>
      <c r="D755" s="813">
        <f>Packaging!Y49</f>
        <v>110.24476801369778</v>
      </c>
      <c r="E755" s="152" t="s">
        <v>126</v>
      </c>
      <c r="F755" s="29">
        <v>1</v>
      </c>
      <c r="G755" s="9">
        <v>1</v>
      </c>
      <c r="H755" s="9">
        <v>2</v>
      </c>
      <c r="I755" s="9">
        <v>1</v>
      </c>
      <c r="J755" s="43">
        <v>2</v>
      </c>
      <c r="K755" s="265">
        <f t="shared" si="11"/>
        <v>0.35859414261160716</v>
      </c>
      <c r="L755" s="164"/>
    </row>
    <row r="756" spans="1:12">
      <c r="A756" s="34" t="str">
        <f>Packaging!U57</f>
        <v>Packaging</v>
      </c>
      <c r="B756" s="40">
        <f>Packaging!V57</f>
        <v>2017</v>
      </c>
      <c r="C756" s="34" t="str">
        <f>Packaging!X57</f>
        <v>PP</v>
      </c>
      <c r="D756" s="813">
        <f>Packaging!Y57</f>
        <v>107.92604440346705</v>
      </c>
      <c r="E756" s="152" t="s">
        <v>126</v>
      </c>
      <c r="F756" s="29">
        <v>1</v>
      </c>
      <c r="G756" s="9">
        <v>1</v>
      </c>
      <c r="H756" s="9">
        <v>2</v>
      </c>
      <c r="I756" s="9">
        <v>1</v>
      </c>
      <c r="J756" s="43">
        <v>2</v>
      </c>
      <c r="K756" s="265">
        <f t="shared" si="11"/>
        <v>0.35859414261160716</v>
      </c>
      <c r="L756" s="164"/>
    </row>
    <row r="757" spans="1:12">
      <c r="A757" s="34" t="s">
        <v>39</v>
      </c>
      <c r="B757" s="40">
        <v>2020</v>
      </c>
      <c r="C757" s="34" t="s">
        <v>94</v>
      </c>
      <c r="D757" s="813">
        <f>Packaging!E20</f>
        <v>102.02794810331973</v>
      </c>
      <c r="E757" s="152" t="s">
        <v>126</v>
      </c>
      <c r="F757" s="29">
        <v>1</v>
      </c>
      <c r="G757" s="9">
        <v>1</v>
      </c>
      <c r="H757" s="9">
        <v>2</v>
      </c>
      <c r="I757" s="9">
        <v>1</v>
      </c>
      <c r="J757" s="43">
        <v>2</v>
      </c>
      <c r="K757" s="265">
        <f t="shared" si="11"/>
        <v>0.35859414261160716</v>
      </c>
      <c r="L757" s="164"/>
    </row>
    <row r="758" spans="1:12">
      <c r="A758" s="34" t="s">
        <v>39</v>
      </c>
      <c r="B758" s="40">
        <v>2020</v>
      </c>
      <c r="C758" s="34" t="s">
        <v>99</v>
      </c>
      <c r="D758" s="813">
        <f>Packaging!E25</f>
        <v>101.66359214435965</v>
      </c>
      <c r="E758" s="152" t="s">
        <v>126</v>
      </c>
      <c r="F758" s="29">
        <v>1</v>
      </c>
      <c r="G758" s="9">
        <v>1</v>
      </c>
      <c r="H758" s="9">
        <v>2</v>
      </c>
      <c r="I758" s="9">
        <v>1</v>
      </c>
      <c r="J758" s="43">
        <v>2</v>
      </c>
      <c r="K758" s="265">
        <f t="shared" si="11"/>
        <v>0.35859414261160716</v>
      </c>
      <c r="L758" s="164"/>
    </row>
    <row r="759" spans="1:12">
      <c r="A759" s="34" t="str">
        <f>Packaging!U24</f>
        <v>Packaging</v>
      </c>
      <c r="B759" s="40">
        <f>Packaging!V24</f>
        <v>2021</v>
      </c>
      <c r="C759" s="34" t="str">
        <f>Packaging!X24</f>
        <v>HDPE</v>
      </c>
      <c r="D759" s="813">
        <f>Packaging!Y24</f>
        <v>100.52294378581011</v>
      </c>
      <c r="E759" s="152" t="s">
        <v>126</v>
      </c>
      <c r="F759" s="29">
        <v>1</v>
      </c>
      <c r="G759" s="9">
        <v>1</v>
      </c>
      <c r="H759" s="9">
        <v>2</v>
      </c>
      <c r="I759" s="9">
        <v>1</v>
      </c>
      <c r="J759" s="43">
        <v>2</v>
      </c>
      <c r="K759" s="265">
        <f t="shared" si="11"/>
        <v>0.35859414261160716</v>
      </c>
      <c r="L759" s="164"/>
    </row>
    <row r="760" spans="1:12">
      <c r="A760" s="34" t="str">
        <f>Packaging!U29</f>
        <v>Packaging</v>
      </c>
      <c r="B760" s="40">
        <f>Packaging!V29</f>
        <v>2021</v>
      </c>
      <c r="C760" s="34" t="str">
        <f>Packaging!X29</f>
        <v>PET</v>
      </c>
      <c r="D760" s="813">
        <f>Packaging!Y29</f>
        <v>100.1639624060858</v>
      </c>
      <c r="E760" s="152" t="s">
        <v>126</v>
      </c>
      <c r="F760" s="29">
        <v>1</v>
      </c>
      <c r="G760" s="9">
        <v>1</v>
      </c>
      <c r="H760" s="9">
        <v>2</v>
      </c>
      <c r="I760" s="9">
        <v>1</v>
      </c>
      <c r="J760" s="43">
        <v>2</v>
      </c>
      <c r="K760" s="265">
        <f t="shared" si="11"/>
        <v>0.35859414261160716</v>
      </c>
      <c r="L760" s="164"/>
    </row>
    <row r="761" spans="1:12">
      <c r="A761" s="34" t="str">
        <f>Packaging!U40</f>
        <v>Packaging</v>
      </c>
      <c r="B761" s="40">
        <f>Packaging!V40</f>
        <v>2019</v>
      </c>
      <c r="C761" s="34" t="str">
        <f>Packaging!X40</f>
        <v>HDPE</v>
      </c>
      <c r="D761" s="813">
        <f>Packaging!Y40</f>
        <v>96.318802992845164</v>
      </c>
      <c r="E761" s="152" t="s">
        <v>126</v>
      </c>
      <c r="F761" s="29">
        <v>1</v>
      </c>
      <c r="G761" s="9">
        <v>1</v>
      </c>
      <c r="H761" s="9">
        <v>2</v>
      </c>
      <c r="I761" s="9">
        <v>1</v>
      </c>
      <c r="J761" s="43">
        <v>2</v>
      </c>
      <c r="K761" s="265">
        <f t="shared" si="11"/>
        <v>0.35859414261160716</v>
      </c>
      <c r="L761" s="164"/>
    </row>
    <row r="762" spans="1:12">
      <c r="A762" s="34" t="str">
        <f>Packaging!U48</f>
        <v>Packaging</v>
      </c>
      <c r="B762" s="40">
        <f>Packaging!V48</f>
        <v>2018</v>
      </c>
      <c r="C762" s="34" t="str">
        <f>Packaging!X48</f>
        <v>HDPE</v>
      </c>
      <c r="D762" s="813">
        <f>Packaging!Y48</f>
        <v>96.318802992845164</v>
      </c>
      <c r="E762" s="152" t="s">
        <v>126</v>
      </c>
      <c r="F762" s="29">
        <v>1</v>
      </c>
      <c r="G762" s="9">
        <v>1</v>
      </c>
      <c r="H762" s="9">
        <v>2</v>
      </c>
      <c r="I762" s="9">
        <v>1</v>
      </c>
      <c r="J762" s="43">
        <v>2</v>
      </c>
      <c r="K762" s="265">
        <f t="shared" si="11"/>
        <v>0.35859414261160716</v>
      </c>
      <c r="L762" s="164"/>
    </row>
    <row r="763" spans="1:12">
      <c r="A763" s="34" t="str">
        <f>Packaging!U45</f>
        <v>Packaging</v>
      </c>
      <c r="B763" s="40">
        <f>Packaging!V45</f>
        <v>2019</v>
      </c>
      <c r="C763" s="34" t="str">
        <f>Packaging!X45</f>
        <v>PET</v>
      </c>
      <c r="D763" s="813">
        <f>Packaging!Y45</f>
        <v>95.974835183213173</v>
      </c>
      <c r="E763" s="152" t="s">
        <v>126</v>
      </c>
      <c r="F763" s="29">
        <v>1</v>
      </c>
      <c r="G763" s="9">
        <v>1</v>
      </c>
      <c r="H763" s="9">
        <v>2</v>
      </c>
      <c r="I763" s="9">
        <v>1</v>
      </c>
      <c r="J763" s="43">
        <v>2</v>
      </c>
      <c r="K763" s="265">
        <f t="shared" si="11"/>
        <v>0.35859414261160716</v>
      </c>
      <c r="L763" s="164"/>
    </row>
    <row r="764" spans="1:12">
      <c r="A764" s="34" t="str">
        <f>Packaging!U53</f>
        <v>Packaging</v>
      </c>
      <c r="B764" s="40">
        <f>Packaging!V53</f>
        <v>2018</v>
      </c>
      <c r="C764" s="34" t="str">
        <f>Packaging!X53</f>
        <v>PET</v>
      </c>
      <c r="D764" s="813">
        <f>Packaging!Y53</f>
        <v>95.974835183213173</v>
      </c>
      <c r="E764" s="152" t="s">
        <v>126</v>
      </c>
      <c r="F764" s="29">
        <v>1</v>
      </c>
      <c r="G764" s="9">
        <v>1</v>
      </c>
      <c r="H764" s="9">
        <v>2</v>
      </c>
      <c r="I764" s="9">
        <v>1</v>
      </c>
      <c r="J764" s="43">
        <v>2</v>
      </c>
      <c r="K764" s="265">
        <f t="shared" si="11"/>
        <v>0.35859414261160716</v>
      </c>
      <c r="L764" s="164"/>
    </row>
    <row r="765" spans="1:12">
      <c r="A765" s="34" t="str">
        <f>Packaging!U56</f>
        <v>Packaging</v>
      </c>
      <c r="B765" s="40">
        <f>Packaging!V56</f>
        <v>2017</v>
      </c>
      <c r="C765" s="34" t="str">
        <f>Packaging!X56</f>
        <v>HDPE</v>
      </c>
      <c r="D765" s="813">
        <f>Packaging!Y56</f>
        <v>94.292977308483216</v>
      </c>
      <c r="E765" s="152" t="s">
        <v>126</v>
      </c>
      <c r="F765" s="29">
        <v>1</v>
      </c>
      <c r="G765" s="9">
        <v>1</v>
      </c>
      <c r="H765" s="9">
        <v>2</v>
      </c>
      <c r="I765" s="9">
        <v>1</v>
      </c>
      <c r="J765" s="43">
        <v>2</v>
      </c>
      <c r="K765" s="265">
        <f t="shared" si="11"/>
        <v>0.35859414261160716</v>
      </c>
      <c r="L765" s="164"/>
    </row>
    <row r="766" spans="1:12">
      <c r="A766" s="34" t="str">
        <f>Packaging!U61</f>
        <v>Packaging</v>
      </c>
      <c r="B766" s="40">
        <f>Packaging!V61</f>
        <v>2017</v>
      </c>
      <c r="C766" s="34" t="str">
        <f>Packaging!X61</f>
        <v>PET</v>
      </c>
      <c r="D766" s="813">
        <f>Packaging!Y61</f>
        <v>93.956244003451516</v>
      </c>
      <c r="E766" s="152" t="s">
        <v>126</v>
      </c>
      <c r="F766" s="29">
        <v>1</v>
      </c>
      <c r="G766" s="9">
        <v>1</v>
      </c>
      <c r="H766" s="9">
        <v>2</v>
      </c>
      <c r="I766" s="9">
        <v>1</v>
      </c>
      <c r="J766" s="43">
        <v>2</v>
      </c>
      <c r="K766" s="265">
        <f t="shared" si="11"/>
        <v>0.35859414261160716</v>
      </c>
      <c r="L766" s="164"/>
    </row>
    <row r="767" spans="1:12">
      <c r="A767" s="34" t="s">
        <v>39</v>
      </c>
      <c r="B767" s="40">
        <v>2020</v>
      </c>
      <c r="C767" s="34" t="s">
        <v>96</v>
      </c>
      <c r="D767" s="813">
        <f>Packaging!E22</f>
        <v>20.887643454491393</v>
      </c>
      <c r="E767" s="152" t="s">
        <v>126</v>
      </c>
      <c r="F767" s="29">
        <v>1</v>
      </c>
      <c r="G767" s="9">
        <v>1</v>
      </c>
      <c r="H767" s="9">
        <v>2</v>
      </c>
      <c r="I767" s="9">
        <v>1</v>
      </c>
      <c r="J767" s="43">
        <v>2</v>
      </c>
      <c r="K767" s="265">
        <f t="shared" si="11"/>
        <v>0.35859414261160716</v>
      </c>
      <c r="L767" s="164"/>
    </row>
    <row r="768" spans="1:12">
      <c r="A768" s="34" t="str">
        <f>Packaging!U26</f>
        <v>Packaging</v>
      </c>
      <c r="B768" s="40">
        <f>Packaging!V26</f>
        <v>2021</v>
      </c>
      <c r="C768" s="34" t="str">
        <f>Packaging!X26</f>
        <v>PS</v>
      </c>
      <c r="D768" s="813">
        <f>Packaging!Y26</f>
        <v>20.579531861873875</v>
      </c>
      <c r="E768" s="152" t="s">
        <v>126</v>
      </c>
      <c r="F768" s="29">
        <v>1</v>
      </c>
      <c r="G768" s="9">
        <v>1</v>
      </c>
      <c r="H768" s="9">
        <v>2</v>
      </c>
      <c r="I768" s="9">
        <v>1</v>
      </c>
      <c r="J768" s="43">
        <v>2</v>
      </c>
      <c r="K768" s="265">
        <f t="shared" si="11"/>
        <v>0.35859414261160716</v>
      </c>
      <c r="L768" s="164"/>
    </row>
    <row r="769" spans="1:12">
      <c r="A769" s="34" t="str">
        <f>Packaging!U42</f>
        <v>Packaging</v>
      </c>
      <c r="B769" s="40">
        <f>Packaging!V42</f>
        <v>2019</v>
      </c>
      <c r="C769" s="34" t="str">
        <f>Packaging!X42</f>
        <v>PS</v>
      </c>
      <c r="D769" s="813">
        <f>Packaging!Y42</f>
        <v>19.71884030090072</v>
      </c>
      <c r="E769" s="152" t="s">
        <v>126</v>
      </c>
      <c r="F769" s="29">
        <v>1</v>
      </c>
      <c r="G769" s="9">
        <v>1</v>
      </c>
      <c r="H769" s="9">
        <v>2</v>
      </c>
      <c r="I769" s="9">
        <v>1</v>
      </c>
      <c r="J769" s="43">
        <v>2</v>
      </c>
      <c r="K769" s="265">
        <f t="shared" si="11"/>
        <v>0.35859414261160716</v>
      </c>
      <c r="L769" s="164"/>
    </row>
    <row r="770" spans="1:12">
      <c r="A770" s="34" t="str">
        <f>Packaging!U50</f>
        <v>Packaging</v>
      </c>
      <c r="B770" s="40">
        <f>Packaging!V50</f>
        <v>2018</v>
      </c>
      <c r="C770" s="34" t="str">
        <f>Packaging!X50</f>
        <v>PS</v>
      </c>
      <c r="D770" s="813">
        <f>Packaging!Y50</f>
        <v>19.71884030090072</v>
      </c>
      <c r="E770" s="152" t="s">
        <v>126</v>
      </c>
      <c r="F770" s="29">
        <v>1</v>
      </c>
      <c r="G770" s="9">
        <v>1</v>
      </c>
      <c r="H770" s="9">
        <v>2</v>
      </c>
      <c r="I770" s="9">
        <v>1</v>
      </c>
      <c r="J770" s="43">
        <v>2</v>
      </c>
      <c r="K770" s="265">
        <f t="shared" ref="K770:K800" si="12">IF( OR( ISBLANK(F770),ISBLANK(G770), ISBLANK(H770), ISBLANK(I770), ISBLANK(J770) ), "", 1.5*SQRT(   EXP(2.21*(F770-1)) + EXP(2.21*(G770-1)) + EXP(2.21*(H770-1)) + EXP(2.21*(I770-1)) + EXP(2.21*J770)   )/100*2.45 )</f>
        <v>0.35859414261160716</v>
      </c>
      <c r="L770" s="164"/>
    </row>
    <row r="771" spans="1:12">
      <c r="A771" s="34" t="str">
        <f>Packaging!U58</f>
        <v>Packaging</v>
      </c>
      <c r="B771" s="40">
        <f>Packaging!V58</f>
        <v>2017</v>
      </c>
      <c r="C771" s="34" t="str">
        <f>Packaging!X58</f>
        <v>PS</v>
      </c>
      <c r="D771" s="813">
        <f>Packaging!Y58</f>
        <v>19.304103698013705</v>
      </c>
      <c r="E771" s="152" t="s">
        <v>126</v>
      </c>
      <c r="F771" s="29">
        <v>1</v>
      </c>
      <c r="G771" s="9">
        <v>1</v>
      </c>
      <c r="H771" s="9">
        <v>2</v>
      </c>
      <c r="I771" s="9">
        <v>1</v>
      </c>
      <c r="J771" s="43">
        <v>2</v>
      </c>
      <c r="K771" s="265">
        <f t="shared" si="12"/>
        <v>0.35859414261160716</v>
      </c>
      <c r="L771" s="164"/>
    </row>
    <row r="772" spans="1:12">
      <c r="A772" s="34" t="s">
        <v>39</v>
      </c>
      <c r="B772" s="40">
        <v>2020</v>
      </c>
      <c r="C772" s="34" t="s">
        <v>106</v>
      </c>
      <c r="D772" s="813">
        <f>Packaging!E26</f>
        <v>14.06772703280042</v>
      </c>
      <c r="E772" s="152" t="s">
        <v>126</v>
      </c>
      <c r="F772" s="29">
        <v>1</v>
      </c>
      <c r="G772" s="9">
        <v>1</v>
      </c>
      <c r="H772" s="9">
        <v>2</v>
      </c>
      <c r="I772" s="9">
        <v>1</v>
      </c>
      <c r="J772" s="43">
        <v>2</v>
      </c>
      <c r="K772" s="265">
        <f t="shared" si="12"/>
        <v>0.35859414261160716</v>
      </c>
      <c r="L772" s="164"/>
    </row>
    <row r="773" spans="1:12">
      <c r="A773" s="34" t="str">
        <f>Packaging!U30</f>
        <v>Packaging</v>
      </c>
      <c r="B773" s="40">
        <f>Packaging!V30</f>
        <v>2021</v>
      </c>
      <c r="C773" s="34" t="str">
        <f>Packaging!X30</f>
        <v>OTHER</v>
      </c>
      <c r="D773" s="813">
        <f>Packaging!Y30</f>
        <v>13.860215362562069</v>
      </c>
      <c r="E773" s="152" t="s">
        <v>126</v>
      </c>
      <c r="F773" s="29">
        <v>1</v>
      </c>
      <c r="G773" s="9">
        <v>1</v>
      </c>
      <c r="H773" s="9">
        <v>2</v>
      </c>
      <c r="I773" s="9">
        <v>1</v>
      </c>
      <c r="J773" s="43">
        <v>2</v>
      </c>
      <c r="K773" s="265">
        <f t="shared" si="12"/>
        <v>0.35859414261160716</v>
      </c>
      <c r="L773" s="164"/>
    </row>
    <row r="774" spans="1:12">
      <c r="A774" s="34" t="str">
        <f>Packaging!U46</f>
        <v>Packaging</v>
      </c>
      <c r="B774" s="40">
        <f>Packaging!V46</f>
        <v>2019</v>
      </c>
      <c r="C774" s="34" t="str">
        <f>Packaging!X46</f>
        <v>OTHER</v>
      </c>
      <c r="D774" s="813">
        <f>Packaging!Y46</f>
        <v>13.280543751181623</v>
      </c>
      <c r="E774" s="152" t="s">
        <v>126</v>
      </c>
      <c r="F774" s="29">
        <v>1</v>
      </c>
      <c r="G774" s="9">
        <v>1</v>
      </c>
      <c r="H774" s="9">
        <v>2</v>
      </c>
      <c r="I774" s="9">
        <v>1</v>
      </c>
      <c r="J774" s="43">
        <v>2</v>
      </c>
      <c r="K774" s="265">
        <f t="shared" si="12"/>
        <v>0.35859414261160716</v>
      </c>
      <c r="L774" s="164"/>
    </row>
    <row r="775" spans="1:12">
      <c r="A775" s="34" t="str">
        <f>Packaging!U54</f>
        <v>Packaging</v>
      </c>
      <c r="B775" s="40">
        <f>Packaging!V54</f>
        <v>2018</v>
      </c>
      <c r="C775" s="34" t="str">
        <f>Packaging!X54</f>
        <v>OTHER</v>
      </c>
      <c r="D775" s="813">
        <f>Packaging!Y54</f>
        <v>13.280543751181623</v>
      </c>
      <c r="E775" s="152" t="s">
        <v>126</v>
      </c>
      <c r="F775" s="29">
        <v>1</v>
      </c>
      <c r="G775" s="9">
        <v>1</v>
      </c>
      <c r="H775" s="9">
        <v>2</v>
      </c>
      <c r="I775" s="9">
        <v>1</v>
      </c>
      <c r="J775" s="43">
        <v>2</v>
      </c>
      <c r="K775" s="265">
        <f t="shared" si="12"/>
        <v>0.35859414261160716</v>
      </c>
      <c r="L775" s="164"/>
    </row>
    <row r="776" spans="1:12">
      <c r="A776" s="34" t="str">
        <f>Packaging!U62</f>
        <v>Packaging</v>
      </c>
      <c r="B776" s="40">
        <f>Packaging!V62</f>
        <v>2017</v>
      </c>
      <c r="C776" s="34" t="str">
        <f>Packaging!X62</f>
        <v>OTHER</v>
      </c>
      <c r="D776" s="813">
        <f>Packaging!Y62</f>
        <v>13.001220651252373</v>
      </c>
      <c r="E776" s="152" t="s">
        <v>126</v>
      </c>
      <c r="F776" s="29">
        <v>1</v>
      </c>
      <c r="G776" s="9">
        <v>1</v>
      </c>
      <c r="H776" s="9">
        <v>2</v>
      </c>
      <c r="I776" s="9">
        <v>1</v>
      </c>
      <c r="J776" s="43">
        <v>2</v>
      </c>
      <c r="K776" s="265">
        <f t="shared" si="12"/>
        <v>0.35859414261160716</v>
      </c>
      <c r="L776" s="164"/>
    </row>
    <row r="777" spans="1:12">
      <c r="A777" s="34" t="s">
        <v>39</v>
      </c>
      <c r="B777" s="40">
        <v>2020</v>
      </c>
      <c r="C777" s="34" t="s">
        <v>98</v>
      </c>
      <c r="D777" s="813">
        <f>Packaging!E24</f>
        <v>11.900009692415585</v>
      </c>
      <c r="E777" s="152" t="s">
        <v>126</v>
      </c>
      <c r="F777" s="29">
        <v>1</v>
      </c>
      <c r="G777" s="9">
        <v>1</v>
      </c>
      <c r="H777" s="9">
        <v>2</v>
      </c>
      <c r="I777" s="9">
        <v>1</v>
      </c>
      <c r="J777" s="43">
        <v>2</v>
      </c>
      <c r="K777" s="265">
        <f t="shared" si="12"/>
        <v>0.35859414261160716</v>
      </c>
      <c r="L777" s="164"/>
    </row>
    <row r="778" spans="1:12">
      <c r="A778" s="34" t="str">
        <f>Packaging!U28</f>
        <v>Packaging</v>
      </c>
      <c r="B778" s="40">
        <f>Packaging!V28</f>
        <v>2021</v>
      </c>
      <c r="C778" s="34" t="str">
        <f>Packaging!X28</f>
        <v>PVC</v>
      </c>
      <c r="D778" s="813">
        <f>Packaging!Y28</f>
        <v>11.724473809371505</v>
      </c>
      <c r="E778" s="152" t="s">
        <v>126</v>
      </c>
      <c r="F778" s="29">
        <v>1</v>
      </c>
      <c r="G778" s="9">
        <v>1</v>
      </c>
      <c r="H778" s="9">
        <v>2</v>
      </c>
      <c r="I778" s="9">
        <v>1</v>
      </c>
      <c r="J778" s="43">
        <v>2</v>
      </c>
      <c r="K778" s="265">
        <f t="shared" si="12"/>
        <v>0.35859414261160716</v>
      </c>
      <c r="L778" s="164"/>
    </row>
    <row r="779" spans="1:12">
      <c r="A779" s="34" t="str">
        <f>Packaging!U44</f>
        <v>Packaging</v>
      </c>
      <c r="B779" s="40">
        <f>Packaging!V44</f>
        <v>2019</v>
      </c>
      <c r="C779" s="34" t="str">
        <f>Packaging!X44</f>
        <v>PVC</v>
      </c>
      <c r="D779" s="813">
        <f>Packaging!Y44</f>
        <v>11.234124673525903</v>
      </c>
      <c r="E779" s="152" t="s">
        <v>126</v>
      </c>
      <c r="F779" s="29">
        <v>1</v>
      </c>
      <c r="G779" s="9">
        <v>1</v>
      </c>
      <c r="H779" s="9">
        <v>2</v>
      </c>
      <c r="I779" s="9">
        <v>1</v>
      </c>
      <c r="J779" s="43">
        <v>2</v>
      </c>
      <c r="K779" s="265">
        <f t="shared" si="12"/>
        <v>0.35859414261160716</v>
      </c>
      <c r="L779" s="164"/>
    </row>
    <row r="780" spans="1:12">
      <c r="A780" s="34" t="str">
        <f>Packaging!U52</f>
        <v>Packaging</v>
      </c>
      <c r="B780" s="40">
        <f>Packaging!V52</f>
        <v>2018</v>
      </c>
      <c r="C780" s="34" t="str">
        <f>Packaging!X52</f>
        <v>PVC</v>
      </c>
      <c r="D780" s="813">
        <f>Packaging!Y52</f>
        <v>11.234124673525903</v>
      </c>
      <c r="E780" s="152" t="s">
        <v>126</v>
      </c>
      <c r="F780" s="29">
        <v>1</v>
      </c>
      <c r="G780" s="9">
        <v>1</v>
      </c>
      <c r="H780" s="9">
        <v>2</v>
      </c>
      <c r="I780" s="9">
        <v>1</v>
      </c>
      <c r="J780" s="43">
        <v>2</v>
      </c>
      <c r="K780" s="265">
        <f t="shared" si="12"/>
        <v>0.35859414261160716</v>
      </c>
      <c r="L780" s="164"/>
    </row>
    <row r="781" spans="1:12">
      <c r="A781" s="34" t="str">
        <f>Packaging!U60</f>
        <v>Packaging</v>
      </c>
      <c r="B781" s="40">
        <f>Packaging!V60</f>
        <v>2017</v>
      </c>
      <c r="C781" s="34" t="str">
        <f>Packaging!X60</f>
        <v>PVC</v>
      </c>
      <c r="D781" s="813">
        <f>Packaging!Y60</f>
        <v>10.997842892629565</v>
      </c>
      <c r="E781" s="152" t="s">
        <v>126</v>
      </c>
      <c r="F781" s="29">
        <v>1</v>
      </c>
      <c r="G781" s="9">
        <v>1</v>
      </c>
      <c r="H781" s="9">
        <v>2</v>
      </c>
      <c r="I781" s="9">
        <v>1</v>
      </c>
      <c r="J781" s="43">
        <v>2</v>
      </c>
      <c r="K781" s="265">
        <f t="shared" si="12"/>
        <v>0.35859414261160716</v>
      </c>
      <c r="L781" s="164"/>
    </row>
    <row r="782" spans="1:12">
      <c r="A782" s="34" t="s">
        <v>39</v>
      </c>
      <c r="B782" s="40">
        <v>2020</v>
      </c>
      <c r="C782" s="34" t="s">
        <v>97</v>
      </c>
      <c r="D782" s="813">
        <f>Packaging!E23</f>
        <v>7.4683391591176429</v>
      </c>
      <c r="E782" s="152" t="s">
        <v>126</v>
      </c>
      <c r="F782" s="29">
        <v>1</v>
      </c>
      <c r="G782" s="9">
        <v>1</v>
      </c>
      <c r="H782" s="9">
        <v>2</v>
      </c>
      <c r="I782" s="9">
        <v>1</v>
      </c>
      <c r="J782" s="43">
        <v>2</v>
      </c>
      <c r="K782" s="265">
        <f t="shared" si="12"/>
        <v>0.35859414261160716</v>
      </c>
      <c r="L782" s="164"/>
    </row>
    <row r="783" spans="1:12">
      <c r="A783" s="34" t="str">
        <f>Packaging!U27</f>
        <v>Packaging</v>
      </c>
      <c r="B783" s="40">
        <f>Packaging!V27</f>
        <v>2021</v>
      </c>
      <c r="C783" s="34" t="str">
        <f>Packaging!X27</f>
        <v>EPS</v>
      </c>
      <c r="D783" s="813">
        <f>Packaging!Y27</f>
        <v>7.3581744161423543</v>
      </c>
      <c r="E783" s="152" t="s">
        <v>126</v>
      </c>
      <c r="F783" s="29">
        <v>1</v>
      </c>
      <c r="G783" s="9">
        <v>1</v>
      </c>
      <c r="H783" s="9">
        <v>2</v>
      </c>
      <c r="I783" s="9">
        <v>1</v>
      </c>
      <c r="J783" s="43">
        <v>2</v>
      </c>
      <c r="K783" s="265">
        <f t="shared" si="12"/>
        <v>0.35859414261160716</v>
      </c>
      <c r="L783" s="164"/>
    </row>
    <row r="784" spans="1:12">
      <c r="A784" s="34" t="str">
        <f>Packaging!U43</f>
        <v>Packaging</v>
      </c>
      <c r="B784" s="40">
        <f>Packaging!V43</f>
        <v>2019</v>
      </c>
      <c r="C784" s="34" t="str">
        <f>Packaging!X43</f>
        <v>EPS</v>
      </c>
      <c r="D784" s="813">
        <f>Packaging!Y43</f>
        <v>7.0504357043655723</v>
      </c>
      <c r="E784" s="152" t="s">
        <v>126</v>
      </c>
      <c r="F784" s="29">
        <v>1</v>
      </c>
      <c r="G784" s="9">
        <v>1</v>
      </c>
      <c r="H784" s="9">
        <v>2</v>
      </c>
      <c r="I784" s="9">
        <v>1</v>
      </c>
      <c r="J784" s="43">
        <v>2</v>
      </c>
      <c r="K784" s="265">
        <f t="shared" si="12"/>
        <v>0.35859414261160716</v>
      </c>
      <c r="L784" s="164"/>
    </row>
    <row r="785" spans="1:12">
      <c r="A785" s="34" t="str">
        <f>Packaging!U51</f>
        <v>Packaging</v>
      </c>
      <c r="B785" s="40">
        <f>Packaging!V51</f>
        <v>2018</v>
      </c>
      <c r="C785" s="34" t="str">
        <f>Packaging!X51</f>
        <v>EPS</v>
      </c>
      <c r="D785" s="813">
        <f>Packaging!Y51</f>
        <v>7.0504357043655723</v>
      </c>
      <c r="E785" s="152" t="s">
        <v>126</v>
      </c>
      <c r="F785" s="29">
        <v>1</v>
      </c>
      <c r="G785" s="9">
        <v>1</v>
      </c>
      <c r="H785" s="9">
        <v>2</v>
      </c>
      <c r="I785" s="9">
        <v>1</v>
      </c>
      <c r="J785" s="43">
        <v>2</v>
      </c>
      <c r="K785" s="265">
        <f t="shared" si="12"/>
        <v>0.35859414261160716</v>
      </c>
      <c r="L785" s="164"/>
    </row>
    <row r="786" spans="1:12" ht="15.75" thickBot="1">
      <c r="A786" s="150" t="str">
        <f>Packaging!U59</f>
        <v>Packaging</v>
      </c>
      <c r="B786" s="154">
        <f>Packaging!V59</f>
        <v>2017</v>
      </c>
      <c r="C786" s="150" t="str">
        <f>Packaging!X59</f>
        <v>EPS</v>
      </c>
      <c r="D786" s="818">
        <f>Packaging!Y59</f>
        <v>6.9021473817116119</v>
      </c>
      <c r="E786" s="230" t="s">
        <v>126</v>
      </c>
      <c r="F786" s="155">
        <v>1</v>
      </c>
      <c r="G786" s="119">
        <v>1</v>
      </c>
      <c r="H786" s="119">
        <v>2</v>
      </c>
      <c r="I786" s="119">
        <v>1</v>
      </c>
      <c r="J786" s="156">
        <v>2</v>
      </c>
      <c r="K786" s="293">
        <f t="shared" si="12"/>
        <v>0.35859414261160716</v>
      </c>
      <c r="L786" s="819"/>
    </row>
    <row r="787" spans="1:12">
      <c r="A787" s="440" t="s">
        <v>127</v>
      </c>
      <c r="B787" s="39">
        <v>2015</v>
      </c>
      <c r="C787" s="33" t="s">
        <v>107</v>
      </c>
      <c r="D787" s="812">
        <v>66.732831428571416</v>
      </c>
      <c r="E787" s="151" t="s">
        <v>128</v>
      </c>
      <c r="F787" s="28">
        <v>1</v>
      </c>
      <c r="G787" s="11">
        <v>1</v>
      </c>
      <c r="H787" s="11">
        <v>3</v>
      </c>
      <c r="I787" s="11">
        <v>1</v>
      </c>
      <c r="J787" s="42">
        <v>2</v>
      </c>
      <c r="K787" s="264">
        <f t="shared" si="12"/>
        <v>0.47802211380704585</v>
      </c>
      <c r="L787" s="820" t="s">
        <v>129</v>
      </c>
    </row>
    <row r="788" spans="1:12">
      <c r="A788" s="370" t="s">
        <v>127</v>
      </c>
      <c r="B788" s="40">
        <v>2020</v>
      </c>
      <c r="C788" s="34" t="s">
        <v>107</v>
      </c>
      <c r="D788" s="813">
        <v>54.081600000000002</v>
      </c>
      <c r="E788" s="152" t="s">
        <v>128</v>
      </c>
      <c r="F788" s="29">
        <v>1</v>
      </c>
      <c r="G788" s="9">
        <v>1</v>
      </c>
      <c r="H788" s="9">
        <v>3</v>
      </c>
      <c r="I788" s="9">
        <v>1</v>
      </c>
      <c r="J788" s="43">
        <v>2</v>
      </c>
      <c r="K788" s="265">
        <f t="shared" si="12"/>
        <v>0.47802211380704585</v>
      </c>
      <c r="L788" s="319" t="s">
        <v>129</v>
      </c>
    </row>
    <row r="789" spans="1:12">
      <c r="A789" s="370" t="s">
        <v>127</v>
      </c>
      <c r="B789" s="40">
        <v>2016</v>
      </c>
      <c r="C789" s="34" t="s">
        <v>107</v>
      </c>
      <c r="D789" s="813">
        <v>53.115857142857152</v>
      </c>
      <c r="E789" s="152" t="s">
        <v>128</v>
      </c>
      <c r="F789" s="29">
        <v>1</v>
      </c>
      <c r="G789" s="9">
        <v>1</v>
      </c>
      <c r="H789" s="9">
        <v>3</v>
      </c>
      <c r="I789" s="9">
        <v>1</v>
      </c>
      <c r="J789" s="43">
        <v>2</v>
      </c>
      <c r="K789" s="265">
        <f t="shared" si="12"/>
        <v>0.47802211380704585</v>
      </c>
      <c r="L789" s="319" t="s">
        <v>129</v>
      </c>
    </row>
    <row r="790" spans="1:12">
      <c r="A790" s="370" t="s">
        <v>127</v>
      </c>
      <c r="B790" s="40">
        <v>2021</v>
      </c>
      <c r="C790" s="34" t="s">
        <v>107</v>
      </c>
      <c r="D790" s="813">
        <v>52.874421428571424</v>
      </c>
      <c r="E790" s="152" t="s">
        <v>128</v>
      </c>
      <c r="F790" s="29">
        <v>1</v>
      </c>
      <c r="G790" s="9">
        <v>1</v>
      </c>
      <c r="H790" s="9">
        <v>3</v>
      </c>
      <c r="I790" s="9">
        <v>1</v>
      </c>
      <c r="J790" s="43">
        <v>2</v>
      </c>
      <c r="K790" s="265">
        <f t="shared" si="12"/>
        <v>0.47802211380704585</v>
      </c>
      <c r="L790" s="319" t="s">
        <v>129</v>
      </c>
    </row>
    <row r="791" spans="1:12">
      <c r="A791" s="370" t="s">
        <v>127</v>
      </c>
      <c r="B791" s="40">
        <v>2017</v>
      </c>
      <c r="C791" s="34" t="s">
        <v>107</v>
      </c>
      <c r="D791" s="813">
        <v>52.681272857142851</v>
      </c>
      <c r="E791" s="152" t="s">
        <v>128</v>
      </c>
      <c r="F791" s="29">
        <v>1</v>
      </c>
      <c r="G791" s="9">
        <v>1</v>
      </c>
      <c r="H791" s="9">
        <v>3</v>
      </c>
      <c r="I791" s="9">
        <v>1</v>
      </c>
      <c r="J791" s="43">
        <v>2</v>
      </c>
      <c r="K791" s="265">
        <f t="shared" si="12"/>
        <v>0.47802211380704585</v>
      </c>
      <c r="L791" s="319" t="s">
        <v>129</v>
      </c>
    </row>
    <row r="792" spans="1:12">
      <c r="A792" s="370" t="s">
        <v>127</v>
      </c>
      <c r="B792" s="40">
        <v>2018</v>
      </c>
      <c r="C792" s="34" t="s">
        <v>107</v>
      </c>
      <c r="D792" s="813">
        <v>52.246688571428557</v>
      </c>
      <c r="E792" s="152" t="s">
        <v>128</v>
      </c>
      <c r="F792" s="29">
        <v>1</v>
      </c>
      <c r="G792" s="9">
        <v>1</v>
      </c>
      <c r="H792" s="9">
        <v>3</v>
      </c>
      <c r="I792" s="9">
        <v>1</v>
      </c>
      <c r="J792" s="43">
        <v>2</v>
      </c>
      <c r="K792" s="265">
        <f t="shared" si="12"/>
        <v>0.47802211380704585</v>
      </c>
      <c r="L792" s="319" t="s">
        <v>129</v>
      </c>
    </row>
    <row r="793" spans="1:12">
      <c r="A793" s="370" t="s">
        <v>127</v>
      </c>
      <c r="B793" s="40">
        <v>2019</v>
      </c>
      <c r="C793" s="34" t="s">
        <v>107</v>
      </c>
      <c r="D793" s="813">
        <v>51.232658571428573</v>
      </c>
      <c r="E793" s="152" t="s">
        <v>128</v>
      </c>
      <c r="F793" s="29">
        <v>1</v>
      </c>
      <c r="G793" s="9">
        <v>1</v>
      </c>
      <c r="H793" s="9">
        <v>3</v>
      </c>
      <c r="I793" s="9">
        <v>1</v>
      </c>
      <c r="J793" s="43">
        <v>2</v>
      </c>
      <c r="K793" s="265">
        <f t="shared" si="12"/>
        <v>0.47802211380704585</v>
      </c>
      <c r="L793" s="319" t="s">
        <v>129</v>
      </c>
    </row>
    <row r="794" spans="1:12" ht="15.75" thickBot="1">
      <c r="A794" s="441" t="s">
        <v>127</v>
      </c>
      <c r="B794" s="41">
        <v>2022</v>
      </c>
      <c r="C794" s="35" t="s">
        <v>107</v>
      </c>
      <c r="D794" s="816">
        <v>47.417974285714294</v>
      </c>
      <c r="E794" s="153" t="s">
        <v>128</v>
      </c>
      <c r="F794" s="30">
        <v>1</v>
      </c>
      <c r="G794" s="12">
        <v>1</v>
      </c>
      <c r="H794" s="12">
        <v>3</v>
      </c>
      <c r="I794" s="12">
        <v>1</v>
      </c>
      <c r="J794" s="44">
        <v>2</v>
      </c>
      <c r="K794" s="266">
        <f t="shared" si="12"/>
        <v>0.47802211380704585</v>
      </c>
      <c r="L794" s="821" t="s">
        <v>129</v>
      </c>
    </row>
    <row r="795" spans="1:12">
      <c r="A795" s="60" t="s">
        <v>130</v>
      </c>
      <c r="B795" s="162">
        <v>2017</v>
      </c>
      <c r="C795" s="60" t="s">
        <v>103</v>
      </c>
      <c r="D795" s="815">
        <v>115.88066666666667</v>
      </c>
      <c r="E795" s="233" t="s">
        <v>131</v>
      </c>
      <c r="F795" s="677">
        <v>1</v>
      </c>
      <c r="G795" s="118">
        <v>1</v>
      </c>
      <c r="H795" s="118">
        <v>2</v>
      </c>
      <c r="I795" s="118">
        <v>3</v>
      </c>
      <c r="J795" s="678">
        <v>2</v>
      </c>
      <c r="K795" s="589">
        <f t="shared" si="12"/>
        <v>0.48935255543384243</v>
      </c>
      <c r="L795" s="670"/>
    </row>
    <row r="796" spans="1:12">
      <c r="A796" s="34" t="s">
        <v>130</v>
      </c>
      <c r="B796" s="40">
        <v>2017</v>
      </c>
      <c r="C796" s="34" t="s">
        <v>95</v>
      </c>
      <c r="D796" s="813">
        <v>93.731666666666669</v>
      </c>
      <c r="E796" s="152" t="s">
        <v>131</v>
      </c>
      <c r="F796" s="29">
        <v>1</v>
      </c>
      <c r="G796" s="9">
        <v>1</v>
      </c>
      <c r="H796" s="9">
        <v>2</v>
      </c>
      <c r="I796" s="9">
        <v>3</v>
      </c>
      <c r="J796" s="43">
        <v>2</v>
      </c>
      <c r="K796" s="265">
        <f t="shared" si="12"/>
        <v>0.48935255543384243</v>
      </c>
      <c r="L796" s="164"/>
    </row>
    <row r="797" spans="1:12">
      <c r="A797" s="34" t="s">
        <v>130</v>
      </c>
      <c r="B797" s="40">
        <v>2017</v>
      </c>
      <c r="C797" s="34" t="s">
        <v>99</v>
      </c>
      <c r="D797" s="813">
        <v>89.234166666666653</v>
      </c>
      <c r="E797" s="152" t="s">
        <v>131</v>
      </c>
      <c r="F797" s="29">
        <v>1</v>
      </c>
      <c r="G797" s="9">
        <v>1</v>
      </c>
      <c r="H797" s="9">
        <v>2</v>
      </c>
      <c r="I797" s="9">
        <v>3</v>
      </c>
      <c r="J797" s="43">
        <v>2</v>
      </c>
      <c r="K797" s="265">
        <f t="shared" si="12"/>
        <v>0.48935255543384243</v>
      </c>
      <c r="L797" s="164"/>
    </row>
    <row r="798" spans="1:12">
      <c r="A798" s="34" t="s">
        <v>130</v>
      </c>
      <c r="B798" s="40">
        <v>2017</v>
      </c>
      <c r="C798" s="34" t="s">
        <v>107</v>
      </c>
      <c r="D798" s="813">
        <v>19.665500000000002</v>
      </c>
      <c r="E798" s="152" t="s">
        <v>131</v>
      </c>
      <c r="F798" s="29">
        <v>1</v>
      </c>
      <c r="G798" s="9">
        <v>1</v>
      </c>
      <c r="H798" s="9">
        <v>2</v>
      </c>
      <c r="I798" s="9">
        <v>3</v>
      </c>
      <c r="J798" s="43">
        <v>2</v>
      </c>
      <c r="K798" s="265">
        <f t="shared" si="12"/>
        <v>0.48935255543384243</v>
      </c>
      <c r="L798" s="164"/>
    </row>
    <row r="799" spans="1:12">
      <c r="A799" s="34" t="s">
        <v>130</v>
      </c>
      <c r="B799" s="40">
        <v>2017</v>
      </c>
      <c r="C799" s="34" t="s">
        <v>98</v>
      </c>
      <c r="D799" s="813">
        <v>10.18</v>
      </c>
      <c r="E799" s="152" t="s">
        <v>131</v>
      </c>
      <c r="F799" s="29">
        <v>1</v>
      </c>
      <c r="G799" s="9">
        <v>1</v>
      </c>
      <c r="H799" s="9">
        <v>2</v>
      </c>
      <c r="I799" s="9">
        <v>3</v>
      </c>
      <c r="J799" s="43">
        <v>2</v>
      </c>
      <c r="K799" s="265">
        <f t="shared" si="12"/>
        <v>0.48935255543384243</v>
      </c>
      <c r="L799" s="164"/>
    </row>
    <row r="800" spans="1:12" ht="15.75" thickBot="1">
      <c r="A800" s="150" t="s">
        <v>130</v>
      </c>
      <c r="B800" s="154">
        <v>2017</v>
      </c>
      <c r="C800" s="150" t="s">
        <v>94</v>
      </c>
      <c r="D800" s="818">
        <v>0.22800000000000001</v>
      </c>
      <c r="E800" s="230" t="s">
        <v>131</v>
      </c>
      <c r="F800" s="155">
        <v>1</v>
      </c>
      <c r="G800" s="119">
        <v>1</v>
      </c>
      <c r="H800" s="119">
        <v>2</v>
      </c>
      <c r="I800" s="119">
        <v>3</v>
      </c>
      <c r="J800" s="156">
        <v>2</v>
      </c>
      <c r="K800" s="293">
        <f t="shared" si="12"/>
        <v>0.48935255543384243</v>
      </c>
      <c r="L800" s="819"/>
    </row>
    <row r="801" spans="1:12">
      <c r="A801" s="33" t="str">
        <f>'Tyre wear'!B15</f>
        <v>Tyre wear</v>
      </c>
      <c r="B801" s="39">
        <f>'Tyre wear'!C15</f>
        <v>1990</v>
      </c>
      <c r="C801" s="33" t="str">
        <f>'Tyre wear'!D15</f>
        <v>RUBBER</v>
      </c>
      <c r="D801" s="812">
        <f>'Tyre wear'!E15</f>
        <v>9.7959110544217687</v>
      </c>
      <c r="E801" s="151" t="str">
        <f>'Tyre wear'!F15</f>
        <v>LOW - Own calculation based on RWS, 2022. Bandenslijtage wegverkeer (No. Versie juli 2022), Emissieschattingen Diffuse bronnen Emissieregistratie.</v>
      </c>
      <c r="F801" s="28">
        <f>'Tyre wear'!G15</f>
        <v>1</v>
      </c>
      <c r="G801" s="11">
        <f>'Tyre wear'!H15</f>
        <v>1</v>
      </c>
      <c r="H801" s="11">
        <f>'Tyre wear'!I15</f>
        <v>1</v>
      </c>
      <c r="I801" s="11">
        <f>'Tyre wear'!J15</f>
        <v>1</v>
      </c>
      <c r="J801" s="42">
        <f>'Tyre wear'!K15</f>
        <v>1</v>
      </c>
      <c r="K801" s="264">
        <f>'Tyre wear'!L15</f>
        <v>9.9656111784768353E-2</v>
      </c>
      <c r="L801" s="163"/>
    </row>
    <row r="802" spans="1:12">
      <c r="A802" s="34" t="str">
        <f>'Tyre wear'!B16</f>
        <v>Tyre wear</v>
      </c>
      <c r="B802" s="40">
        <f>'Tyre wear'!C16</f>
        <v>1995</v>
      </c>
      <c r="C802" s="34" t="str">
        <f>'Tyre wear'!D16</f>
        <v>RUBBER</v>
      </c>
      <c r="D802" s="813">
        <f>'Tyre wear'!E16</f>
        <v>10.531216071428499</v>
      </c>
      <c r="E802" s="152" t="str">
        <f>'Tyre wear'!F16</f>
        <v>LOW - Own calculation based on RWS, 2022. Bandenslijtage wegverkeer (No. Versie juli 2022), Emissieschattingen Diffuse bronnen Emissieregistratie.</v>
      </c>
      <c r="F802" s="29">
        <f>'Tyre wear'!G16</f>
        <v>1</v>
      </c>
      <c r="G802" s="9">
        <f>'Tyre wear'!H16</f>
        <v>1</v>
      </c>
      <c r="H802" s="9">
        <f>'Tyre wear'!I16</f>
        <v>1</v>
      </c>
      <c r="I802" s="9">
        <f>'Tyre wear'!J16</f>
        <v>1</v>
      </c>
      <c r="J802" s="43">
        <f>'Tyre wear'!K16</f>
        <v>1</v>
      </c>
      <c r="K802" s="265">
        <f>'Tyre wear'!L16</f>
        <v>9.9656111784768353E-2</v>
      </c>
      <c r="L802" s="164"/>
    </row>
    <row r="803" spans="1:12">
      <c r="A803" s="34" t="str">
        <f>'Tyre wear'!B17</f>
        <v>Tyre wear</v>
      </c>
      <c r="B803" s="40">
        <f>'Tyre wear'!C17</f>
        <v>2000</v>
      </c>
      <c r="C803" s="34" t="str">
        <f>'Tyre wear'!D17</f>
        <v>RUBBER</v>
      </c>
      <c r="D803" s="813">
        <f>'Tyre wear'!E17</f>
        <v>11.700245306122401</v>
      </c>
      <c r="E803" s="152" t="str">
        <f>'Tyre wear'!F17</f>
        <v>LOW - Own calculation based on RWS, 2022. Bandenslijtage wegverkeer (No. Versie juli 2022), Emissieschattingen Diffuse bronnen Emissieregistratie.</v>
      </c>
      <c r="F803" s="29">
        <f>'Tyre wear'!G17</f>
        <v>1</v>
      </c>
      <c r="G803" s="9">
        <f>'Tyre wear'!H17</f>
        <v>1</v>
      </c>
      <c r="H803" s="9">
        <f>'Tyre wear'!I17</f>
        <v>1</v>
      </c>
      <c r="I803" s="9">
        <f>'Tyre wear'!J17</f>
        <v>1</v>
      </c>
      <c r="J803" s="43">
        <f>'Tyre wear'!K17</f>
        <v>1</v>
      </c>
      <c r="K803" s="265">
        <f>'Tyre wear'!L17</f>
        <v>9.9656111784768353E-2</v>
      </c>
      <c r="L803" s="164"/>
    </row>
    <row r="804" spans="1:12">
      <c r="A804" s="34" t="str">
        <f>'Tyre wear'!B18</f>
        <v>Tyre wear</v>
      </c>
      <c r="B804" s="40">
        <f>'Tyre wear'!C18</f>
        <v>2005</v>
      </c>
      <c r="C804" s="34" t="str">
        <f>'Tyre wear'!D18</f>
        <v>RUBBER</v>
      </c>
      <c r="D804" s="813">
        <f>'Tyre wear'!E18</f>
        <v>12.3959197789115</v>
      </c>
      <c r="E804" s="152" t="str">
        <f>'Tyre wear'!F18</f>
        <v>LOW - Own calculation based on RWS, 2022. Bandenslijtage wegverkeer (No. Versie juli 2022), Emissieschattingen Diffuse bronnen Emissieregistratie.</v>
      </c>
      <c r="F804" s="29">
        <f>'Tyre wear'!G18</f>
        <v>1</v>
      </c>
      <c r="G804" s="9">
        <f>'Tyre wear'!H18</f>
        <v>1</v>
      </c>
      <c r="H804" s="9">
        <f>'Tyre wear'!I18</f>
        <v>1</v>
      </c>
      <c r="I804" s="9">
        <f>'Tyre wear'!J18</f>
        <v>1</v>
      </c>
      <c r="J804" s="43">
        <f>'Tyre wear'!K18</f>
        <v>1</v>
      </c>
      <c r="K804" s="265">
        <f>'Tyre wear'!L18</f>
        <v>9.9656111784768353E-2</v>
      </c>
      <c r="L804" s="164"/>
    </row>
    <row r="805" spans="1:12">
      <c r="A805" s="34" t="str">
        <f>'Tyre wear'!B19</f>
        <v>Tyre wear</v>
      </c>
      <c r="B805" s="40">
        <f>'Tyre wear'!C19</f>
        <v>2010</v>
      </c>
      <c r="C805" s="34" t="str">
        <f>'Tyre wear'!D19</f>
        <v>RUBBER</v>
      </c>
      <c r="D805" s="813">
        <f>'Tyre wear'!E19</f>
        <v>12.5812969557823</v>
      </c>
      <c r="E805" s="152" t="str">
        <f>'Tyre wear'!F19</f>
        <v>LOW - Own calculation based on RWS, 2022. Bandenslijtage wegverkeer (No. Versie juli 2022), Emissieschattingen Diffuse bronnen Emissieregistratie.</v>
      </c>
      <c r="F805" s="29">
        <f>'Tyre wear'!G19</f>
        <v>1</v>
      </c>
      <c r="G805" s="9">
        <f>'Tyre wear'!H19</f>
        <v>1</v>
      </c>
      <c r="H805" s="9">
        <f>'Tyre wear'!I19</f>
        <v>1</v>
      </c>
      <c r="I805" s="9">
        <f>'Tyre wear'!J19</f>
        <v>1</v>
      </c>
      <c r="J805" s="43">
        <f>'Tyre wear'!K19</f>
        <v>1</v>
      </c>
      <c r="K805" s="265">
        <f>'Tyre wear'!L19</f>
        <v>9.9656111784768353E-2</v>
      </c>
      <c r="L805" s="164"/>
    </row>
    <row r="806" spans="1:12">
      <c r="A806" s="34" t="str">
        <f>'Tyre wear'!B20</f>
        <v>Tyre wear</v>
      </c>
      <c r="B806" s="40">
        <f>'Tyre wear'!C20</f>
        <v>2015</v>
      </c>
      <c r="C806" s="34" t="str">
        <f>'Tyre wear'!D20</f>
        <v>RUBBER</v>
      </c>
      <c r="D806" s="813">
        <f>'Tyre wear'!E20</f>
        <v>12.711999795918301</v>
      </c>
      <c r="E806" s="152" t="str">
        <f>'Tyre wear'!F20</f>
        <v>LOW - Own calculation based on RWS, 2022. Bandenslijtage wegverkeer (No. Versie juli 2022), Emissieschattingen Diffuse bronnen Emissieregistratie.</v>
      </c>
      <c r="F806" s="29">
        <f>'Tyre wear'!G20</f>
        <v>1</v>
      </c>
      <c r="G806" s="9">
        <f>'Tyre wear'!H20</f>
        <v>1</v>
      </c>
      <c r="H806" s="9">
        <f>'Tyre wear'!I20</f>
        <v>1</v>
      </c>
      <c r="I806" s="9">
        <f>'Tyre wear'!J20</f>
        <v>1</v>
      </c>
      <c r="J806" s="43">
        <f>'Tyre wear'!K20</f>
        <v>1</v>
      </c>
      <c r="K806" s="265">
        <f>'Tyre wear'!L20</f>
        <v>9.9656111784768353E-2</v>
      </c>
      <c r="L806" s="164"/>
    </row>
    <row r="807" spans="1:12">
      <c r="A807" s="34" t="str">
        <f>'Tyre wear'!B21</f>
        <v>Tyre wear</v>
      </c>
      <c r="B807" s="40">
        <f>'Tyre wear'!C21</f>
        <v>2019</v>
      </c>
      <c r="C807" s="34" t="str">
        <f>'Tyre wear'!D21</f>
        <v>RUBBER</v>
      </c>
      <c r="D807" s="813">
        <f>'Tyre wear'!E21</f>
        <v>13.4844244557823</v>
      </c>
      <c r="E807" s="152" t="str">
        <f>'Tyre wear'!F21</f>
        <v>LOW - Own calculation based on RWS, 2022. Bandenslijtage wegverkeer (No. Versie juli 2022), Emissieschattingen Diffuse bronnen Emissieregistratie.</v>
      </c>
      <c r="F807" s="29">
        <f>'Tyre wear'!G21</f>
        <v>1</v>
      </c>
      <c r="G807" s="9">
        <f>'Tyre wear'!H21</f>
        <v>1</v>
      </c>
      <c r="H807" s="9">
        <f>'Tyre wear'!I21</f>
        <v>1</v>
      </c>
      <c r="I807" s="9">
        <f>'Tyre wear'!J21</f>
        <v>1</v>
      </c>
      <c r="J807" s="43">
        <f>'Tyre wear'!K21</f>
        <v>1</v>
      </c>
      <c r="K807" s="265">
        <f>'Tyre wear'!L21</f>
        <v>9.9656111784768353E-2</v>
      </c>
      <c r="L807" s="164"/>
    </row>
    <row r="808" spans="1:12">
      <c r="A808" s="34" t="str">
        <f>'Tyre wear'!B22</f>
        <v>Tyre wear</v>
      </c>
      <c r="B808" s="40">
        <f>'Tyre wear'!C22</f>
        <v>2020</v>
      </c>
      <c r="C808" s="34" t="str">
        <f>'Tyre wear'!D22</f>
        <v>RUBBER</v>
      </c>
      <c r="D808" s="813">
        <f>'Tyre wear'!E22</f>
        <v>11.683736828009399</v>
      </c>
      <c r="E808" s="152" t="str">
        <f>'Tyre wear'!F22</f>
        <v>LOW - Own calculation based on RWS, 2022. Bandenslijtage wegverkeer (No. Versie juli 2022), Emissieschattingen Diffuse bronnen Emissieregistratie.</v>
      </c>
      <c r="F808" s="29">
        <f>'Tyre wear'!G22</f>
        <v>1</v>
      </c>
      <c r="G808" s="9">
        <f>'Tyre wear'!H22</f>
        <v>1</v>
      </c>
      <c r="H808" s="9">
        <f>'Tyre wear'!I22</f>
        <v>1</v>
      </c>
      <c r="I808" s="9">
        <f>'Tyre wear'!J22</f>
        <v>1</v>
      </c>
      <c r="J808" s="43">
        <f>'Tyre wear'!K22</f>
        <v>1</v>
      </c>
      <c r="K808" s="265">
        <f>'Tyre wear'!L22</f>
        <v>9.9656111784768353E-2</v>
      </c>
      <c r="L808" s="164"/>
    </row>
    <row r="809" spans="1:12">
      <c r="A809" s="34" t="str">
        <f>'Tyre wear'!B24</f>
        <v>Tyre wear</v>
      </c>
      <c r="B809" s="40">
        <f>'Tyre wear'!C24</f>
        <v>1990</v>
      </c>
      <c r="C809" s="34" t="str">
        <f>'Tyre wear'!D24</f>
        <v>RUBBER</v>
      </c>
      <c r="D809" s="813">
        <f>'Tyre wear'!E24</f>
        <v>18.038811819727801</v>
      </c>
      <c r="E809" s="152" t="str">
        <f>'Tyre wear'!F24</f>
        <v>HIGH - Own calculation based on RWS, 2022. Bandenslijtage wegverkeer (No. Versie juli 2022), Emissieschattingen Diffuse bronnen Emissieregistratie.</v>
      </c>
      <c r="F809" s="29">
        <f>'Tyre wear'!G24</f>
        <v>1</v>
      </c>
      <c r="G809" s="9">
        <f>'Tyre wear'!H24</f>
        <v>1</v>
      </c>
      <c r="H809" s="9">
        <f>'Tyre wear'!I24</f>
        <v>1</v>
      </c>
      <c r="I809" s="9">
        <f>'Tyre wear'!J24</f>
        <v>1</v>
      </c>
      <c r="J809" s="43">
        <f>'Tyre wear'!K24</f>
        <v>1</v>
      </c>
      <c r="K809" s="265">
        <f>'Tyre wear'!L24</f>
        <v>9.9656111784768353E-2</v>
      </c>
      <c r="L809" s="164"/>
    </row>
    <row r="810" spans="1:12">
      <c r="A810" s="34" t="str">
        <f>'Tyre wear'!B25</f>
        <v>Tyre wear</v>
      </c>
      <c r="B810" s="40">
        <f>'Tyre wear'!C25</f>
        <v>1995</v>
      </c>
      <c r="C810" s="34" t="str">
        <f>'Tyre wear'!D25</f>
        <v>RUBBER</v>
      </c>
      <c r="D810" s="813">
        <f>'Tyre wear'!E25</f>
        <v>19.392849107142801</v>
      </c>
      <c r="E810" s="152" t="str">
        <f>'Tyre wear'!F25</f>
        <v>HIGH - Own calculation based on RWS, 2022. Bandenslijtage wegverkeer (No. Versie juli 2022), Emissieschattingen Diffuse bronnen Emissieregistratie.</v>
      </c>
      <c r="F810" s="29">
        <f>'Tyre wear'!G25</f>
        <v>1</v>
      </c>
      <c r="G810" s="9">
        <f>'Tyre wear'!H25</f>
        <v>1</v>
      </c>
      <c r="H810" s="9">
        <f>'Tyre wear'!I25</f>
        <v>1</v>
      </c>
      <c r="I810" s="9">
        <f>'Tyre wear'!J25</f>
        <v>1</v>
      </c>
      <c r="J810" s="43">
        <f>'Tyre wear'!K25</f>
        <v>1</v>
      </c>
      <c r="K810" s="265">
        <f>'Tyre wear'!L25</f>
        <v>9.9656111784768353E-2</v>
      </c>
      <c r="L810" s="164"/>
    </row>
    <row r="811" spans="1:12">
      <c r="A811" s="34" t="str">
        <f>'Tyre wear'!B26</f>
        <v>Tyre wear</v>
      </c>
      <c r="B811" s="40">
        <f>'Tyre wear'!C26</f>
        <v>2000</v>
      </c>
      <c r="C811" s="34" t="str">
        <f>'Tyre wear'!D26</f>
        <v>RUBBER</v>
      </c>
      <c r="D811" s="813">
        <f>'Tyre wear'!E26</f>
        <v>21.545573673469299</v>
      </c>
      <c r="E811" s="152" t="str">
        <f>'Tyre wear'!F26</f>
        <v>HIGH - Own calculation based on RWS, 2022. Bandenslijtage wegverkeer (No. Versie juli 2022), Emissieschattingen Diffuse bronnen Emissieregistratie.</v>
      </c>
      <c r="F811" s="29">
        <f>'Tyre wear'!G26</f>
        <v>1</v>
      </c>
      <c r="G811" s="9">
        <f>'Tyre wear'!H26</f>
        <v>1</v>
      </c>
      <c r="H811" s="9">
        <f>'Tyre wear'!I26</f>
        <v>1</v>
      </c>
      <c r="I811" s="9">
        <f>'Tyre wear'!J26</f>
        <v>1</v>
      </c>
      <c r="J811" s="43">
        <f>'Tyre wear'!K26</f>
        <v>1</v>
      </c>
      <c r="K811" s="265">
        <f>'Tyre wear'!L26</f>
        <v>9.9656111784768353E-2</v>
      </c>
      <c r="L811" s="164"/>
    </row>
    <row r="812" spans="1:12">
      <c r="A812" s="34" t="str">
        <f>'Tyre wear'!B27</f>
        <v>Tyre wear</v>
      </c>
      <c r="B812" s="40">
        <f>'Tyre wear'!C27</f>
        <v>2005</v>
      </c>
      <c r="C812" s="34" t="str">
        <f>'Tyre wear'!D27</f>
        <v>RUBBER</v>
      </c>
      <c r="D812" s="813">
        <f>'Tyre wear'!E27</f>
        <v>22.826632763605399</v>
      </c>
      <c r="E812" s="152" t="str">
        <f>'Tyre wear'!F27</f>
        <v>HIGH - Own calculation based on RWS, 2022. Bandenslijtage wegverkeer (No. Versie juli 2022), Emissieschattingen Diffuse bronnen Emissieregistratie.</v>
      </c>
      <c r="F812" s="29">
        <f>'Tyre wear'!G27</f>
        <v>1</v>
      </c>
      <c r="G812" s="9">
        <f>'Tyre wear'!H27</f>
        <v>1</v>
      </c>
      <c r="H812" s="9">
        <f>'Tyre wear'!I27</f>
        <v>1</v>
      </c>
      <c r="I812" s="9">
        <f>'Tyre wear'!J27</f>
        <v>1</v>
      </c>
      <c r="J812" s="43">
        <f>'Tyre wear'!K27</f>
        <v>1</v>
      </c>
      <c r="K812" s="265">
        <f>'Tyre wear'!L27</f>
        <v>9.9656111784768353E-2</v>
      </c>
      <c r="L812" s="164"/>
    </row>
    <row r="813" spans="1:12">
      <c r="A813" s="34" t="str">
        <f>'Tyre wear'!B28</f>
        <v>Tyre wear</v>
      </c>
      <c r="B813" s="40">
        <f>'Tyre wear'!C28</f>
        <v>2010</v>
      </c>
      <c r="C813" s="34" t="str">
        <f>'Tyre wear'!D28</f>
        <v>RUBBER</v>
      </c>
      <c r="D813" s="813">
        <f>'Tyre wear'!E28</f>
        <v>23.167998052721</v>
      </c>
      <c r="E813" s="152" t="str">
        <f>'Tyre wear'!F28</f>
        <v>HIGH - Own calculation based on RWS, 2022. Bandenslijtage wegverkeer (No. Versie juli 2022), Emissieschattingen Diffuse bronnen Emissieregistratie.</v>
      </c>
      <c r="F813" s="29">
        <f>'Tyre wear'!G28</f>
        <v>1</v>
      </c>
      <c r="G813" s="9">
        <f>'Tyre wear'!H28</f>
        <v>1</v>
      </c>
      <c r="H813" s="9">
        <f>'Tyre wear'!I28</f>
        <v>1</v>
      </c>
      <c r="I813" s="9">
        <f>'Tyre wear'!J28</f>
        <v>1</v>
      </c>
      <c r="J813" s="43">
        <f>'Tyre wear'!K28</f>
        <v>1</v>
      </c>
      <c r="K813" s="265">
        <f>'Tyre wear'!L28</f>
        <v>9.9656111784768353E-2</v>
      </c>
      <c r="L813" s="164"/>
    </row>
    <row r="814" spans="1:12">
      <c r="A814" s="34" t="str">
        <f>'Tyre wear'!B29</f>
        <v>Tyre wear</v>
      </c>
      <c r="B814" s="40">
        <f>'Tyre wear'!C29</f>
        <v>2015</v>
      </c>
      <c r="C814" s="34" t="str">
        <f>'Tyre wear'!D29</f>
        <v>RUBBER</v>
      </c>
      <c r="D814" s="813">
        <f>'Tyre wear'!E29</f>
        <v>23.408682551020402</v>
      </c>
      <c r="E814" s="152" t="str">
        <f>'Tyre wear'!F29</f>
        <v>HIGH - Own calculation based on RWS, 2022. Bandenslijtage wegverkeer (No. Versie juli 2022), Emissieschattingen Diffuse bronnen Emissieregistratie.</v>
      </c>
      <c r="F814" s="29">
        <f>'Tyre wear'!G29</f>
        <v>1</v>
      </c>
      <c r="G814" s="9">
        <f>'Tyre wear'!H29</f>
        <v>1</v>
      </c>
      <c r="H814" s="9">
        <f>'Tyre wear'!I29</f>
        <v>1</v>
      </c>
      <c r="I814" s="9">
        <f>'Tyre wear'!J29</f>
        <v>1</v>
      </c>
      <c r="J814" s="43">
        <f>'Tyre wear'!K29</f>
        <v>1</v>
      </c>
      <c r="K814" s="265">
        <f>'Tyre wear'!L29</f>
        <v>9.9656111784768353E-2</v>
      </c>
      <c r="L814" s="164"/>
    </row>
    <row r="815" spans="1:12">
      <c r="A815" s="34" t="str">
        <f>'Tyre wear'!B30</f>
        <v>Tyre wear</v>
      </c>
      <c r="B815" s="40">
        <f>'Tyre wear'!C30</f>
        <v>2019</v>
      </c>
      <c r="C815" s="34" t="str">
        <f>'Tyre wear'!D30</f>
        <v>RUBBER</v>
      </c>
      <c r="D815" s="813">
        <f>'Tyre wear'!E30</f>
        <v>24.831074302720999</v>
      </c>
      <c r="E815" s="152" t="str">
        <f>'Tyre wear'!F30</f>
        <v>HIGH - Own calculation based on RWS, 2022. Bandenslijtage wegverkeer (No. Versie juli 2022), Emissieschattingen Diffuse bronnen Emissieregistratie.</v>
      </c>
      <c r="F815" s="29">
        <f>'Tyre wear'!G30</f>
        <v>1</v>
      </c>
      <c r="G815" s="9">
        <f>'Tyre wear'!H30</f>
        <v>1</v>
      </c>
      <c r="H815" s="9">
        <f>'Tyre wear'!I30</f>
        <v>1</v>
      </c>
      <c r="I815" s="9">
        <f>'Tyre wear'!J30</f>
        <v>1</v>
      </c>
      <c r="J815" s="43">
        <f>'Tyre wear'!K30</f>
        <v>1</v>
      </c>
      <c r="K815" s="265">
        <f>'Tyre wear'!L30</f>
        <v>9.9656111784768353E-2</v>
      </c>
      <c r="L815" s="164"/>
    </row>
    <row r="816" spans="1:12" ht="15.75" thickBot="1">
      <c r="A816" s="35" t="str">
        <f>'Tyre wear'!B31</f>
        <v>Tyre wear</v>
      </c>
      <c r="B816" s="41">
        <f>'Tyre wear'!C31</f>
        <v>2020</v>
      </c>
      <c r="C816" s="35" t="str">
        <f>'Tyre wear'!D31</f>
        <v>RUBBER</v>
      </c>
      <c r="D816" s="816">
        <f>'Tyre wear'!E31</f>
        <v>21.5151739149929</v>
      </c>
      <c r="E816" s="153" t="str">
        <f>'Tyre wear'!F31</f>
        <v>HIGH - Own calculation based on RWS, 2022. Bandenslijtage wegverkeer (No. Versie juli 2022), Emissieschattingen Diffuse bronnen Emissieregistratie.</v>
      </c>
      <c r="F816" s="30">
        <f>'Tyre wear'!G31</f>
        <v>1</v>
      </c>
      <c r="G816" s="12">
        <f>'Tyre wear'!H31</f>
        <v>1</v>
      </c>
      <c r="H816" s="12">
        <f>'Tyre wear'!I31</f>
        <v>1</v>
      </c>
      <c r="I816" s="12">
        <f>'Tyre wear'!J31</f>
        <v>1</v>
      </c>
      <c r="J816" s="44">
        <f>'Tyre wear'!K31</f>
        <v>1</v>
      </c>
      <c r="K816" s="266">
        <f>'Tyre wear'!L31</f>
        <v>9.9656111784768353E-2</v>
      </c>
      <c r="L816" s="165"/>
    </row>
    <row r="817" spans="1:12">
      <c r="A817" s="152" t="s">
        <v>269</v>
      </c>
      <c r="B817" s="344">
        <v>2021</v>
      </c>
      <c r="C817" s="59" t="s">
        <v>93</v>
      </c>
      <c r="D817" s="59">
        <f>D721*-0.1</f>
        <v>-105.2</v>
      </c>
      <c r="E817" s="504" t="s">
        <v>119</v>
      </c>
      <c r="F817" s="29">
        <v>1</v>
      </c>
      <c r="G817" s="932">
        <v>1</v>
      </c>
      <c r="H817" s="932">
        <v>1</v>
      </c>
      <c r="I817" s="932">
        <v>2</v>
      </c>
      <c r="J817" s="43">
        <v>2</v>
      </c>
      <c r="K817" s="265">
        <f t="shared" ref="K817:K829" si="13">IF( OR( ISBLANK(F817),ISBLANK(G817), ISBLANK(H817), ISBLANK(I817), ISBLANK(J817) ), "", 1.5*SQRT(   EXP(2.21*(F817-1)) + EXP(2.21*(G817-1)) + EXP(2.21*(H817-1)) + EXP(2.21*(I817-1)) + EXP(2.21*J817)   )/100*2.45 )</f>
        <v>0.35859414261160716</v>
      </c>
      <c r="L817" s="164" t="s">
        <v>2068</v>
      </c>
    </row>
    <row r="818" spans="1:12">
      <c r="A818" s="152" t="s">
        <v>269</v>
      </c>
      <c r="B818" s="344">
        <v>2021</v>
      </c>
      <c r="C818" s="59" t="s">
        <v>94</v>
      </c>
      <c r="D818" s="59">
        <f t="shared" ref="D818:D829" si="14">D722*-0.1</f>
        <v>-26.1</v>
      </c>
      <c r="E818" s="504" t="s">
        <v>119</v>
      </c>
      <c r="F818" s="29">
        <v>1</v>
      </c>
      <c r="G818" s="932">
        <v>1</v>
      </c>
      <c r="H818" s="932">
        <v>1</v>
      </c>
      <c r="I818" s="932">
        <v>2</v>
      </c>
      <c r="J818" s="43">
        <v>2</v>
      </c>
      <c r="K818" s="265">
        <f t="shared" si="13"/>
        <v>0.35859414261160716</v>
      </c>
      <c r="L818" s="164" t="s">
        <v>2068</v>
      </c>
    </row>
    <row r="819" spans="1:12">
      <c r="A819" s="152" t="s">
        <v>269</v>
      </c>
      <c r="B819" s="344">
        <v>2021</v>
      </c>
      <c r="C819" s="59" t="s">
        <v>95</v>
      </c>
      <c r="D819" s="59">
        <f t="shared" si="14"/>
        <v>-37.1</v>
      </c>
      <c r="E819" s="504" t="s">
        <v>119</v>
      </c>
      <c r="F819" s="29">
        <v>1</v>
      </c>
      <c r="G819" s="932">
        <v>1</v>
      </c>
      <c r="H819" s="932">
        <v>1</v>
      </c>
      <c r="I819" s="932">
        <v>2</v>
      </c>
      <c r="J819" s="43">
        <v>2</v>
      </c>
      <c r="K819" s="265">
        <f t="shared" si="13"/>
        <v>0.35859414261160716</v>
      </c>
      <c r="L819" s="164" t="s">
        <v>2068</v>
      </c>
    </row>
    <row r="820" spans="1:12">
      <c r="A820" s="152" t="s">
        <v>269</v>
      </c>
      <c r="B820" s="344">
        <v>2021</v>
      </c>
      <c r="C820" s="59" t="s">
        <v>96</v>
      </c>
      <c r="D820" s="59">
        <f t="shared" si="14"/>
        <v>-3.5</v>
      </c>
      <c r="E820" s="504" t="s">
        <v>119</v>
      </c>
      <c r="F820" s="29">
        <v>1</v>
      </c>
      <c r="G820" s="932">
        <v>1</v>
      </c>
      <c r="H820" s="932">
        <v>1</v>
      </c>
      <c r="I820" s="932">
        <v>2</v>
      </c>
      <c r="J820" s="43">
        <v>2</v>
      </c>
      <c r="K820" s="265">
        <f t="shared" si="13"/>
        <v>0.35859414261160716</v>
      </c>
      <c r="L820" s="164" t="s">
        <v>2068</v>
      </c>
    </row>
    <row r="821" spans="1:12">
      <c r="A821" s="152" t="s">
        <v>269</v>
      </c>
      <c r="B821" s="344">
        <v>2021</v>
      </c>
      <c r="C821" s="59" t="s">
        <v>97</v>
      </c>
      <c r="D821" s="59">
        <f t="shared" si="14"/>
        <v>-5.5</v>
      </c>
      <c r="E821" s="504" t="s">
        <v>119</v>
      </c>
      <c r="F821" s="29">
        <v>1</v>
      </c>
      <c r="G821" s="932">
        <v>1</v>
      </c>
      <c r="H821" s="932">
        <v>1</v>
      </c>
      <c r="I821" s="932">
        <v>2</v>
      </c>
      <c r="J821" s="43">
        <v>2</v>
      </c>
      <c r="K821" s="265">
        <f t="shared" si="13"/>
        <v>0.35859414261160716</v>
      </c>
      <c r="L821" s="164" t="s">
        <v>2068</v>
      </c>
    </row>
    <row r="822" spans="1:12">
      <c r="A822" s="152" t="s">
        <v>269</v>
      </c>
      <c r="B822" s="344">
        <v>2021</v>
      </c>
      <c r="C822" s="59" t="s">
        <v>98</v>
      </c>
      <c r="D822" s="59">
        <f t="shared" si="14"/>
        <v>-19.8</v>
      </c>
      <c r="E822" s="504" t="s">
        <v>119</v>
      </c>
      <c r="F822" s="29">
        <v>1</v>
      </c>
      <c r="G822" s="932">
        <v>1</v>
      </c>
      <c r="H822" s="932">
        <v>1</v>
      </c>
      <c r="I822" s="932">
        <v>2</v>
      </c>
      <c r="J822" s="43">
        <v>2</v>
      </c>
      <c r="K822" s="265">
        <f t="shared" si="13"/>
        <v>0.35859414261160716</v>
      </c>
      <c r="L822" s="164" t="s">
        <v>2068</v>
      </c>
    </row>
    <row r="823" spans="1:12">
      <c r="A823" s="152" t="s">
        <v>269</v>
      </c>
      <c r="B823" s="344">
        <v>2021</v>
      </c>
      <c r="C823" s="59" t="s">
        <v>99</v>
      </c>
      <c r="D823" s="59">
        <f t="shared" si="14"/>
        <v>-12.4</v>
      </c>
      <c r="E823" s="504" t="s">
        <v>119</v>
      </c>
      <c r="F823" s="29">
        <v>1</v>
      </c>
      <c r="G823" s="932">
        <v>1</v>
      </c>
      <c r="H823" s="932">
        <v>1</v>
      </c>
      <c r="I823" s="932">
        <v>2</v>
      </c>
      <c r="J823" s="43">
        <v>2</v>
      </c>
      <c r="K823" s="265">
        <f t="shared" si="13"/>
        <v>0.35859414261160716</v>
      </c>
      <c r="L823" s="164" t="s">
        <v>2068</v>
      </c>
    </row>
    <row r="824" spans="1:12">
      <c r="A824" s="152" t="s">
        <v>269</v>
      </c>
      <c r="B824" s="344">
        <v>2021</v>
      </c>
      <c r="C824" s="59" t="s">
        <v>102</v>
      </c>
      <c r="D824" s="59">
        <f t="shared" si="14"/>
        <v>-1.8</v>
      </c>
      <c r="E824" s="504" t="s">
        <v>119</v>
      </c>
      <c r="F824" s="29">
        <v>1</v>
      </c>
      <c r="G824" s="932">
        <v>1</v>
      </c>
      <c r="H824" s="932">
        <v>1</v>
      </c>
      <c r="I824" s="932">
        <v>2</v>
      </c>
      <c r="J824" s="43">
        <v>2</v>
      </c>
      <c r="K824" s="265">
        <f t="shared" si="13"/>
        <v>0.35859414261160716</v>
      </c>
      <c r="L824" s="164" t="s">
        <v>2068</v>
      </c>
    </row>
    <row r="825" spans="1:12">
      <c r="A825" s="152" t="s">
        <v>269</v>
      </c>
      <c r="B825" s="344">
        <v>2021</v>
      </c>
      <c r="C825" s="59" t="s">
        <v>104</v>
      </c>
      <c r="D825" s="59">
        <f t="shared" si="14"/>
        <v>-7.9</v>
      </c>
      <c r="E825" s="504" t="s">
        <v>119</v>
      </c>
      <c r="F825" s="29">
        <v>1</v>
      </c>
      <c r="G825" s="932">
        <v>1</v>
      </c>
      <c r="H825" s="932">
        <v>1</v>
      </c>
      <c r="I825" s="932">
        <v>2</v>
      </c>
      <c r="J825" s="43">
        <v>2</v>
      </c>
      <c r="K825" s="265">
        <f t="shared" si="13"/>
        <v>0.35859414261160716</v>
      </c>
      <c r="L825" s="164" t="s">
        <v>2068</v>
      </c>
    </row>
    <row r="826" spans="1:12">
      <c r="A826" s="152" t="s">
        <v>269</v>
      </c>
      <c r="B826" s="344">
        <v>2021</v>
      </c>
      <c r="C826" s="59" t="s">
        <v>105</v>
      </c>
      <c r="D826" s="59">
        <f t="shared" si="14"/>
        <v>-24.3</v>
      </c>
      <c r="E826" s="504" t="s">
        <v>119</v>
      </c>
      <c r="F826" s="29">
        <v>1</v>
      </c>
      <c r="G826" s="932">
        <v>1</v>
      </c>
      <c r="H826" s="932">
        <v>1</v>
      </c>
      <c r="I826" s="932">
        <v>2</v>
      </c>
      <c r="J826" s="43">
        <v>2</v>
      </c>
      <c r="K826" s="265">
        <f t="shared" si="13"/>
        <v>0.35859414261160716</v>
      </c>
      <c r="L826" s="164" t="s">
        <v>2068</v>
      </c>
    </row>
    <row r="827" spans="1:12">
      <c r="A827" s="152" t="s">
        <v>269</v>
      </c>
      <c r="B827" s="344">
        <v>2021</v>
      </c>
      <c r="C827" s="59" t="s">
        <v>103</v>
      </c>
      <c r="D827" s="59">
        <f t="shared" si="14"/>
        <v>-9.2000000000000011</v>
      </c>
      <c r="E827" s="504" t="s">
        <v>119</v>
      </c>
      <c r="F827" s="29">
        <v>1</v>
      </c>
      <c r="G827" s="932">
        <v>1</v>
      </c>
      <c r="H827" s="932">
        <v>1</v>
      </c>
      <c r="I827" s="932">
        <v>2</v>
      </c>
      <c r="J827" s="43">
        <v>2</v>
      </c>
      <c r="K827" s="265">
        <f t="shared" si="13"/>
        <v>0.35859414261160716</v>
      </c>
      <c r="L827" s="164" t="s">
        <v>2068</v>
      </c>
    </row>
    <row r="828" spans="1:12">
      <c r="A828" s="152" t="s">
        <v>269</v>
      </c>
      <c r="B828" s="344">
        <v>2021</v>
      </c>
      <c r="C828" s="59" t="s">
        <v>101</v>
      </c>
      <c r="D828" s="59">
        <f t="shared" si="14"/>
        <v>-5</v>
      </c>
      <c r="E828" s="504" t="s">
        <v>119</v>
      </c>
      <c r="F828" s="29">
        <v>1</v>
      </c>
      <c r="G828" s="932">
        <v>1</v>
      </c>
      <c r="H828" s="932">
        <v>1</v>
      </c>
      <c r="I828" s="932">
        <v>2</v>
      </c>
      <c r="J828" s="43">
        <v>2</v>
      </c>
      <c r="K828" s="265">
        <f t="shared" si="13"/>
        <v>0.35859414261160716</v>
      </c>
      <c r="L828" s="164" t="s">
        <v>2068</v>
      </c>
    </row>
    <row r="829" spans="1:12">
      <c r="A829" s="152" t="s">
        <v>269</v>
      </c>
      <c r="B829" s="660">
        <v>2021</v>
      </c>
      <c r="C829" s="822" t="s">
        <v>106</v>
      </c>
      <c r="D829" s="59">
        <f t="shared" si="14"/>
        <v>-144.6</v>
      </c>
      <c r="E829" s="802" t="s">
        <v>119</v>
      </c>
      <c r="F829" s="155">
        <v>1</v>
      </c>
      <c r="G829" s="119">
        <v>1</v>
      </c>
      <c r="H829" s="119">
        <v>1</v>
      </c>
      <c r="I829" s="119">
        <v>2</v>
      </c>
      <c r="J829" s="156">
        <v>2</v>
      </c>
      <c r="K829" s="293">
        <f t="shared" si="13"/>
        <v>0.35859414261160716</v>
      </c>
      <c r="L829" s="164" t="s">
        <v>2068</v>
      </c>
    </row>
  </sheetData>
  <autoFilter ref="A1:L829" xr:uid="{DFD55F35-1BE8-491D-A5D1-66586526783F}"/>
  <phoneticPr fontId="22" type="noConversion"/>
  <conditionalFormatting sqref="D1">
    <cfRule type="cellIs" dxfId="176" priority="36" operator="greaterThan">
      <formula>0</formula>
    </cfRule>
    <cfRule type="cellIs" dxfId="175" priority="37" operator="equal">
      <formula>0</formula>
    </cfRule>
  </conditionalFormatting>
  <conditionalFormatting sqref="D830:D1048576">
    <cfRule type="cellIs" dxfId="174" priority="22" operator="greaterThan">
      <formula>0</formula>
    </cfRule>
    <cfRule type="cellIs" dxfId="173" priority="23" operator="equal">
      <formula>0</formula>
    </cfRule>
  </conditionalFormatting>
  <conditionalFormatting sqref="F2:J2">
    <cfRule type="dataBar" priority="106">
      <dataBar>
        <cfvo type="min"/>
        <cfvo type="num" val="4"/>
        <color rgb="FFFFC000"/>
      </dataBar>
      <extLst>
        <ext xmlns:x14="http://schemas.microsoft.com/office/spreadsheetml/2009/9/main" uri="{B025F937-C7B1-47D3-B67F-A62EFF666E3E}">
          <x14:id>{CD730401-8902-4D03-822C-05794E09E6C3}</x14:id>
        </ext>
      </extLst>
    </cfRule>
  </conditionalFormatting>
  <conditionalFormatting sqref="F10:J26">
    <cfRule type="dataBar" priority="7192">
      <dataBar>
        <cfvo type="min"/>
        <cfvo type="num" val="4"/>
        <color rgb="FFFFC000"/>
      </dataBar>
      <extLst>
        <ext xmlns:x14="http://schemas.microsoft.com/office/spreadsheetml/2009/9/main" uri="{B025F937-C7B1-47D3-B67F-A62EFF666E3E}">
          <x14:id>{373FBC6C-9ABE-469B-A09A-F9D659EDEBAD}</x14:id>
        </ext>
      </extLst>
    </cfRule>
  </conditionalFormatting>
  <conditionalFormatting sqref="F27:J78">
    <cfRule type="dataBar" priority="7204">
      <dataBar>
        <cfvo type="min"/>
        <cfvo type="num" val="4"/>
        <color rgb="FFFFC000"/>
      </dataBar>
      <extLst>
        <ext xmlns:x14="http://schemas.microsoft.com/office/spreadsheetml/2009/9/main" uri="{B025F937-C7B1-47D3-B67F-A62EFF666E3E}">
          <x14:id>{A7D252E5-B8F2-41AD-B07F-1F308CA5F21E}</x14:id>
        </ext>
      </extLst>
    </cfRule>
  </conditionalFormatting>
  <conditionalFormatting sqref="F79:J86 F3:J9">
    <cfRule type="dataBar" priority="3805">
      <dataBar>
        <cfvo type="min"/>
        <cfvo type="num" val="4"/>
        <color rgb="FFFFC000"/>
      </dataBar>
      <extLst>
        <ext xmlns:x14="http://schemas.microsoft.com/office/spreadsheetml/2009/9/main" uri="{B025F937-C7B1-47D3-B67F-A62EFF666E3E}">
          <x14:id>{7A243A7B-BB4E-4A10-B6FE-A08AD24404BB}</x14:id>
        </ext>
      </extLst>
    </cfRule>
  </conditionalFormatting>
  <conditionalFormatting sqref="F87:J106">
    <cfRule type="dataBar" priority="13">
      <dataBar>
        <cfvo type="min"/>
        <cfvo type="num" val="4"/>
        <color rgb="FFFFC000"/>
      </dataBar>
      <extLst>
        <ext xmlns:x14="http://schemas.microsoft.com/office/spreadsheetml/2009/9/main" uri="{B025F937-C7B1-47D3-B67F-A62EFF666E3E}">
          <x14:id>{583E9E55-5882-441F-A54E-71FD12E7BE9F}</x14:id>
        </ext>
      </extLst>
    </cfRule>
  </conditionalFormatting>
  <conditionalFormatting sqref="F87:J114">
    <cfRule type="cellIs" dxfId="172" priority="9" stopIfTrue="1" operator="notBetween">
      <formula>1</formula>
      <formula>4</formula>
    </cfRule>
  </conditionalFormatting>
  <conditionalFormatting sqref="F107:J114">
    <cfRule type="dataBar" priority="10">
      <dataBar>
        <cfvo type="min"/>
        <cfvo type="num" val="4"/>
        <color rgb="FFFFC000"/>
      </dataBar>
      <extLst>
        <ext xmlns:x14="http://schemas.microsoft.com/office/spreadsheetml/2009/9/main" uri="{B025F937-C7B1-47D3-B67F-A62EFF666E3E}">
          <x14:id>{E74C1F7C-0664-4503-8E0D-4379C8D3C8BB}</x14:id>
        </ext>
      </extLst>
    </cfRule>
  </conditionalFormatting>
  <conditionalFormatting sqref="F115:J465">
    <cfRule type="dataBar" priority="7">
      <dataBar>
        <cfvo type="min"/>
        <cfvo type="num" val="4"/>
        <color rgb="FFFFC000"/>
      </dataBar>
      <extLst>
        <ext xmlns:x14="http://schemas.microsoft.com/office/spreadsheetml/2009/9/main" uri="{B025F937-C7B1-47D3-B67F-A62EFF666E3E}">
          <x14:id>{7C9416CB-1198-4041-A290-6CB6DE342E1F}</x14:id>
        </ext>
      </extLst>
    </cfRule>
  </conditionalFormatting>
  <conditionalFormatting sqref="F466:J816">
    <cfRule type="dataBar" priority="4">
      <dataBar>
        <cfvo type="min"/>
        <cfvo type="num" val="4"/>
        <color rgb="FFFFC000"/>
      </dataBar>
      <extLst>
        <ext xmlns:x14="http://schemas.microsoft.com/office/spreadsheetml/2009/9/main" uri="{B025F937-C7B1-47D3-B67F-A62EFF666E3E}">
          <x14:id>{F249D597-EF36-456A-85A0-7911B7560335}</x14:id>
        </ext>
      </extLst>
    </cfRule>
  </conditionalFormatting>
  <conditionalFormatting sqref="F2:K816">
    <cfRule type="containsBlanks" dxfId="171" priority="3">
      <formula>LEN(TRIM(F2))=0</formula>
    </cfRule>
  </conditionalFormatting>
  <conditionalFormatting sqref="K27:K78">
    <cfRule type="dataBar" priority="7206">
      <dataBar>
        <cfvo type="min"/>
        <cfvo type="max"/>
        <color rgb="FF3FCDFF"/>
      </dataBar>
      <extLst>
        <ext xmlns:x14="http://schemas.microsoft.com/office/spreadsheetml/2009/9/main" uri="{B025F937-C7B1-47D3-B67F-A62EFF666E3E}">
          <x14:id>{FE7DBF0D-941C-4038-BE7B-F34D3059124E}</x14:id>
        </ext>
      </extLst>
    </cfRule>
  </conditionalFormatting>
  <conditionalFormatting sqref="K79:K86 K2:K9">
    <cfRule type="dataBar" priority="3808">
      <dataBar>
        <cfvo type="min"/>
        <cfvo type="max"/>
        <color rgb="FF3FCDFF"/>
      </dataBar>
      <extLst>
        <ext xmlns:x14="http://schemas.microsoft.com/office/spreadsheetml/2009/9/main" uri="{B025F937-C7B1-47D3-B67F-A62EFF666E3E}">
          <x14:id>{1C3EE34C-34B6-4D04-9474-1D4325C46CC9}</x14:id>
        </ext>
      </extLst>
    </cfRule>
  </conditionalFormatting>
  <conditionalFormatting sqref="K87:K114 K10:K26">
    <cfRule type="dataBar" priority="24">
      <dataBar>
        <cfvo type="min"/>
        <cfvo type="max"/>
        <color rgb="FF3FCDFF"/>
      </dataBar>
      <extLst>
        <ext xmlns:x14="http://schemas.microsoft.com/office/spreadsheetml/2009/9/main" uri="{B025F937-C7B1-47D3-B67F-A62EFF666E3E}">
          <x14:id>{C09D56A9-B46C-45CA-B496-ED5644F389C8}</x14:id>
        </ext>
      </extLst>
    </cfRule>
  </conditionalFormatting>
  <conditionalFormatting sqref="K115:K829">
    <cfRule type="dataBar" priority="6">
      <dataBar>
        <cfvo type="min"/>
        <cfvo type="max"/>
        <color rgb="FF3FCDFF"/>
      </dataBar>
      <extLst>
        <ext xmlns:x14="http://schemas.microsoft.com/office/spreadsheetml/2009/9/main" uri="{B025F937-C7B1-47D3-B67F-A62EFF666E3E}">
          <x14:id>{E9D6D587-DDCF-4145-8CFF-891B53F1666F}</x14:id>
        </ext>
      </extLst>
    </cfRule>
  </conditionalFormatting>
  <conditionalFormatting sqref="F817:J829">
    <cfRule type="dataBar" priority="2">
      <dataBar>
        <cfvo type="min"/>
        <cfvo type="num" val="4"/>
        <color rgb="FFFFC000"/>
      </dataBar>
      <extLst>
        <ext xmlns:x14="http://schemas.microsoft.com/office/spreadsheetml/2009/9/main" uri="{B025F937-C7B1-47D3-B67F-A62EFF666E3E}">
          <x14:id>{335F242C-2C52-4923-9AB0-3C072004C962}</x14:id>
        </ext>
      </extLst>
    </cfRule>
  </conditionalFormatting>
  <conditionalFormatting sqref="F817:K829">
    <cfRule type="containsBlanks" dxfId="0" priority="1">
      <formula>LEN(TRIM(F817))=0</formula>
    </cfRule>
  </conditionalFormatting>
  <hyperlinks>
    <hyperlink ref="E27:E78" r:id="rId1" display="https://ec.europa.eu/eurostat/databrowser/view/DS-056120__custom_5851448/default/table" xr:uid="{76E39BD6-0473-4CD6-8605-BBDABD25D3E2}"/>
  </hyperlinks>
  <pageMargins left="0.7" right="0.7" top="0.75" bottom="0.75" header="0.3" footer="0.3"/>
  <pageSetup paperSize="9" orientation="portrait" r:id="rId2"/>
  <extLst>
    <ext xmlns:x14="http://schemas.microsoft.com/office/spreadsheetml/2009/9/main" uri="{78C0D931-6437-407d-A8EE-F0AAD7539E65}">
      <x14:conditionalFormattings>
        <x14:conditionalFormatting xmlns:xm="http://schemas.microsoft.com/office/excel/2006/main">
          <x14:cfRule type="dataBar" id="{CD730401-8902-4D03-822C-05794E09E6C3}">
            <x14:dataBar minLength="0" maxLength="100" gradient="0">
              <x14:cfvo type="autoMin"/>
              <x14:cfvo type="num">
                <xm:f>4</xm:f>
              </x14:cfvo>
              <x14:negativeFillColor rgb="FFFF0000"/>
              <x14:axisColor rgb="FF000000"/>
            </x14:dataBar>
          </x14:cfRule>
          <xm:sqref>F2:J2</xm:sqref>
        </x14:conditionalFormatting>
        <x14:conditionalFormatting xmlns:xm="http://schemas.microsoft.com/office/excel/2006/main">
          <x14:cfRule type="dataBar" id="{373FBC6C-9ABE-469B-A09A-F9D659EDEBAD}">
            <x14:dataBar minLength="0" maxLength="100" gradient="0">
              <x14:cfvo type="autoMin"/>
              <x14:cfvo type="num">
                <xm:f>4</xm:f>
              </x14:cfvo>
              <x14:negativeFillColor rgb="FFFF0000"/>
              <x14:axisColor rgb="FF000000"/>
            </x14:dataBar>
          </x14:cfRule>
          <xm:sqref>F10:J26</xm:sqref>
        </x14:conditionalFormatting>
        <x14:conditionalFormatting xmlns:xm="http://schemas.microsoft.com/office/excel/2006/main">
          <x14:cfRule type="dataBar" id="{A7D252E5-B8F2-41AD-B07F-1F308CA5F21E}">
            <x14:dataBar minLength="0" maxLength="100" gradient="0">
              <x14:cfvo type="autoMin"/>
              <x14:cfvo type="num">
                <xm:f>4</xm:f>
              </x14:cfvo>
              <x14:negativeFillColor rgb="FFFF0000"/>
              <x14:axisColor rgb="FF000000"/>
            </x14:dataBar>
          </x14:cfRule>
          <xm:sqref>F27:J78</xm:sqref>
        </x14:conditionalFormatting>
        <x14:conditionalFormatting xmlns:xm="http://schemas.microsoft.com/office/excel/2006/main">
          <x14:cfRule type="dataBar" id="{7A243A7B-BB4E-4A10-B6FE-A08AD24404BB}">
            <x14:dataBar minLength="0" maxLength="100" gradient="0">
              <x14:cfvo type="autoMin"/>
              <x14:cfvo type="num">
                <xm:f>4</xm:f>
              </x14:cfvo>
              <x14:negativeFillColor rgb="FFFF0000"/>
              <x14:axisColor rgb="FF000000"/>
            </x14:dataBar>
          </x14:cfRule>
          <xm:sqref>F79:J86 F3:J9</xm:sqref>
        </x14:conditionalFormatting>
        <x14:conditionalFormatting xmlns:xm="http://schemas.microsoft.com/office/excel/2006/main">
          <x14:cfRule type="dataBar" id="{583E9E55-5882-441F-A54E-71FD12E7BE9F}">
            <x14:dataBar minLength="0" maxLength="100" gradient="0">
              <x14:cfvo type="autoMin"/>
              <x14:cfvo type="num">
                <xm:f>4</xm:f>
              </x14:cfvo>
              <x14:negativeFillColor rgb="FFFF0000"/>
              <x14:axisColor rgb="FF000000"/>
            </x14:dataBar>
          </x14:cfRule>
          <xm:sqref>F87:J106</xm:sqref>
        </x14:conditionalFormatting>
        <x14:conditionalFormatting xmlns:xm="http://schemas.microsoft.com/office/excel/2006/main">
          <x14:cfRule type="dataBar" id="{E74C1F7C-0664-4503-8E0D-4379C8D3C8BB}">
            <x14:dataBar minLength="0" maxLength="100" gradient="0">
              <x14:cfvo type="autoMin"/>
              <x14:cfvo type="num">
                <xm:f>4</xm:f>
              </x14:cfvo>
              <x14:negativeFillColor rgb="FFFF0000"/>
              <x14:axisColor rgb="FF000000"/>
            </x14:dataBar>
          </x14:cfRule>
          <xm:sqref>F107:J114</xm:sqref>
        </x14:conditionalFormatting>
        <x14:conditionalFormatting xmlns:xm="http://schemas.microsoft.com/office/excel/2006/main">
          <x14:cfRule type="dataBar" id="{7C9416CB-1198-4041-A290-6CB6DE342E1F}">
            <x14:dataBar minLength="0" maxLength="100" gradient="0">
              <x14:cfvo type="autoMin"/>
              <x14:cfvo type="num">
                <xm:f>4</xm:f>
              </x14:cfvo>
              <x14:negativeFillColor rgb="FFFF0000"/>
              <x14:axisColor rgb="FF000000"/>
            </x14:dataBar>
          </x14:cfRule>
          <xm:sqref>F115:J465</xm:sqref>
        </x14:conditionalFormatting>
        <x14:conditionalFormatting xmlns:xm="http://schemas.microsoft.com/office/excel/2006/main">
          <x14:cfRule type="dataBar" id="{F249D597-EF36-456A-85A0-7911B7560335}">
            <x14:dataBar minLength="0" maxLength="100" gradient="0">
              <x14:cfvo type="autoMin"/>
              <x14:cfvo type="num">
                <xm:f>4</xm:f>
              </x14:cfvo>
              <x14:negativeFillColor rgb="FFFF0000"/>
              <x14:axisColor rgb="FF000000"/>
            </x14:dataBar>
          </x14:cfRule>
          <xm:sqref>F466:J816</xm:sqref>
        </x14:conditionalFormatting>
        <x14:conditionalFormatting xmlns:xm="http://schemas.microsoft.com/office/excel/2006/main">
          <x14:cfRule type="dataBar" id="{FE7DBF0D-941C-4038-BE7B-F34D3059124E}">
            <x14:dataBar minLength="0" maxLength="100" gradient="0">
              <x14:cfvo type="autoMin"/>
              <x14:cfvo type="autoMax"/>
              <x14:negativeFillColor rgb="FFFF0000"/>
              <x14:axisColor rgb="FF000000"/>
            </x14:dataBar>
          </x14:cfRule>
          <xm:sqref>K27:K78</xm:sqref>
        </x14:conditionalFormatting>
        <x14:conditionalFormatting xmlns:xm="http://schemas.microsoft.com/office/excel/2006/main">
          <x14:cfRule type="dataBar" id="{1C3EE34C-34B6-4D04-9474-1D4325C46CC9}">
            <x14:dataBar minLength="0" maxLength="100" gradient="0">
              <x14:cfvo type="autoMin"/>
              <x14:cfvo type="autoMax"/>
              <x14:negativeFillColor rgb="FFFF0000"/>
              <x14:axisColor rgb="FF000000"/>
            </x14:dataBar>
          </x14:cfRule>
          <xm:sqref>K79:K86 K2:K9</xm:sqref>
        </x14:conditionalFormatting>
        <x14:conditionalFormatting xmlns:xm="http://schemas.microsoft.com/office/excel/2006/main">
          <x14:cfRule type="dataBar" id="{C09D56A9-B46C-45CA-B496-ED5644F389C8}">
            <x14:dataBar minLength="0" maxLength="100" gradient="0">
              <x14:cfvo type="autoMin"/>
              <x14:cfvo type="autoMax"/>
              <x14:negativeFillColor rgb="FFFF0000"/>
              <x14:axisColor rgb="FF000000"/>
            </x14:dataBar>
          </x14:cfRule>
          <xm:sqref>K87:K114 K10:K26</xm:sqref>
        </x14:conditionalFormatting>
        <x14:conditionalFormatting xmlns:xm="http://schemas.microsoft.com/office/excel/2006/main">
          <x14:cfRule type="dataBar" id="{E9D6D587-DDCF-4145-8CFF-891B53F1666F}">
            <x14:dataBar minLength="0" maxLength="100" gradient="0">
              <x14:cfvo type="autoMin"/>
              <x14:cfvo type="autoMax"/>
              <x14:negativeFillColor rgb="FFFF0000"/>
              <x14:axisColor rgb="FF000000"/>
            </x14:dataBar>
          </x14:cfRule>
          <xm:sqref>K115:K829</xm:sqref>
        </x14:conditionalFormatting>
        <x14:conditionalFormatting xmlns:xm="http://schemas.microsoft.com/office/excel/2006/main">
          <x14:cfRule type="dataBar" id="{335F242C-2C52-4923-9AB0-3C072004C962}">
            <x14:dataBar minLength="0" maxLength="100" gradient="0">
              <x14:cfvo type="autoMin"/>
              <x14:cfvo type="num">
                <xm:f>4</xm:f>
              </x14:cfvo>
              <x14:negativeFillColor rgb="FFFF0000"/>
              <x14:axisColor rgb="FF000000"/>
            </x14:dataBar>
          </x14:cfRule>
          <xm:sqref>F817:J829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B31CE-E6BF-4F52-9FA7-52F353BEC4BE}">
  <sheetPr>
    <tabColor rgb="FFFFC000"/>
  </sheetPr>
  <dimension ref="A1:T603"/>
  <sheetViews>
    <sheetView zoomScale="90" zoomScaleNormal="90" workbookViewId="0">
      <pane ySplit="1" topLeftCell="A2" activePane="bottomLeft" state="frozen"/>
      <selection pane="bottomLeft" activeCell="L1" sqref="L1"/>
    </sheetView>
  </sheetViews>
  <sheetFormatPr defaultColWidth="9.28515625" defaultRowHeight="15"/>
  <cols>
    <col min="1" max="1" width="40.7109375" style="26" customWidth="1"/>
    <col min="2" max="3" width="15.7109375" style="26" customWidth="1"/>
    <col min="4" max="4" width="27.28515625" style="64" customWidth="1"/>
    <col min="5" max="5" width="173.85546875" style="7" bestFit="1" customWidth="1"/>
    <col min="6" max="11" width="10.7109375" style="7" customWidth="1"/>
    <col min="12" max="12" width="79.5703125" style="31" customWidth="1"/>
    <col min="13" max="16384" width="9.28515625" style="7"/>
  </cols>
  <sheetData>
    <row r="1" spans="1:20" s="26" customFormat="1" ht="30" customHeight="1" thickBot="1">
      <c r="A1" s="65" t="s">
        <v>108</v>
      </c>
      <c r="B1" s="65" t="s">
        <v>109</v>
      </c>
      <c r="C1" s="108" t="s">
        <v>110</v>
      </c>
      <c r="D1" s="829" t="s">
        <v>111</v>
      </c>
      <c r="E1" s="108" t="s">
        <v>112</v>
      </c>
      <c r="F1" s="111" t="s">
        <v>113</v>
      </c>
      <c r="G1" s="112" t="s">
        <v>69</v>
      </c>
      <c r="H1" s="112" t="s">
        <v>75</v>
      </c>
      <c r="I1" s="112" t="s">
        <v>81</v>
      </c>
      <c r="J1" s="113" t="s">
        <v>87</v>
      </c>
      <c r="K1" s="428" t="s">
        <v>114</v>
      </c>
      <c r="L1" s="49" t="s">
        <v>132</v>
      </c>
    </row>
    <row r="2" spans="1:20">
      <c r="A2" s="151" t="str">
        <f>Agriculture!A10</f>
        <v>Agriculture</v>
      </c>
      <c r="B2" s="234">
        <f>Agriculture!C10</f>
        <v>2018</v>
      </c>
      <c r="C2" s="39" t="str">
        <f>Agriculture!D10</f>
        <v>PS</v>
      </c>
      <c r="D2" s="54">
        <f>Agriculture!E10</f>
        <v>3.9507478925049049</v>
      </c>
      <c r="E2" s="39" t="str">
        <f>Agriculture!F10</f>
        <v xml:space="preserve">Combined from TNO Sieger Henke and Statistics - APE Europe [WWW Document], n.d. URL https://web.archive.org/web/20230930160250/https://apeeurope.eu/statistics/ (accessed 3.27.24). </v>
      </c>
      <c r="F2" s="28">
        <v>1</v>
      </c>
      <c r="G2" s="11">
        <v>2</v>
      </c>
      <c r="H2" s="11">
        <v>2</v>
      </c>
      <c r="I2" s="11">
        <v>1</v>
      </c>
      <c r="J2" s="11">
        <v>2</v>
      </c>
      <c r="K2" s="159">
        <f t="shared" ref="K2:K65" si="0">IF( OR( ISBLANK(F2),ISBLANK(G2), ISBLANK(H2), ISBLANK(I2), ISBLANK(J2) ), "", 1.5*SQRT(   EXP(2.21*(F2-1)) + EXP(2.21*(G2-1)) + EXP(2.21*(H2-1)) + EXP(2.21*(I2-1)) + EXP(2.21*J2)   )/100*2.45 )</f>
        <v>0.37356464144298934</v>
      </c>
      <c r="L2" s="351"/>
    </row>
    <row r="3" spans="1:20">
      <c r="A3" s="152" t="str">
        <f>Agriculture!A11</f>
        <v>Agriculture</v>
      </c>
      <c r="B3" s="235">
        <f>Agriculture!C11</f>
        <v>2018</v>
      </c>
      <c r="C3" s="40" t="str">
        <f>Agriculture!D11</f>
        <v>PP</v>
      </c>
      <c r="D3" s="55">
        <f>Agriculture!E11</f>
        <v>3.9660876131077227</v>
      </c>
      <c r="E3" s="40" t="str">
        <f>Agriculture!F11</f>
        <v xml:space="preserve">Combined from TNO Sieger Henke and Statistics - APE Europe [WWW Document], n.d. URL https://web.archive.org/web/20230930160250/https://apeeurope.eu/statistics/ (accessed 3.27.24). </v>
      </c>
      <c r="F3" s="29">
        <v>1</v>
      </c>
      <c r="G3" s="9">
        <v>2</v>
      </c>
      <c r="H3" s="9">
        <v>2</v>
      </c>
      <c r="I3" s="9">
        <v>1</v>
      </c>
      <c r="J3" s="9">
        <v>2</v>
      </c>
      <c r="K3" s="160">
        <f t="shared" si="0"/>
        <v>0.37356464144298934</v>
      </c>
      <c r="L3" s="63"/>
    </row>
    <row r="4" spans="1:20">
      <c r="A4" s="152" t="str">
        <f>Agriculture!A15</f>
        <v>Agriculture</v>
      </c>
      <c r="B4" s="235">
        <f>Agriculture!C15</f>
        <v>2019</v>
      </c>
      <c r="C4" s="40" t="str">
        <f>Agriculture!D15</f>
        <v>PS</v>
      </c>
      <c r="D4" s="55">
        <f>Agriculture!E15</f>
        <v>3.9660876131077227</v>
      </c>
      <c r="E4" s="40" t="str">
        <f>Agriculture!F15</f>
        <v xml:space="preserve">Combined from TNO Sieger Henke and Statistics - APE Europe [WWW Document], n.d. URL https://web.archive.org/web/20230930160250/https://apeeurope.eu/statistics/ (accessed 3.27.24). </v>
      </c>
      <c r="F4" s="29">
        <v>1</v>
      </c>
      <c r="G4" s="9">
        <v>2</v>
      </c>
      <c r="H4" s="9">
        <v>2</v>
      </c>
      <c r="I4" s="9">
        <v>1</v>
      </c>
      <c r="J4" s="9">
        <v>2</v>
      </c>
      <c r="K4" s="160">
        <f t="shared" si="0"/>
        <v>0.37356464144298934</v>
      </c>
      <c r="L4" s="63"/>
    </row>
    <row r="5" spans="1:20">
      <c r="A5" s="152" t="str">
        <f>Agriculture!A16</f>
        <v>Agriculture</v>
      </c>
      <c r="B5" s="235">
        <f>Agriculture!C16</f>
        <v>2019</v>
      </c>
      <c r="C5" s="40" t="str">
        <f>Agriculture!D16</f>
        <v>PP</v>
      </c>
      <c r="D5" s="55">
        <f>Agriculture!E16</f>
        <v>3.9660876131077227</v>
      </c>
      <c r="E5" s="40" t="str">
        <f>Agriculture!F16</f>
        <v xml:space="preserve">Combined from TNO Sieger Henke and Statistics - APE Europe [WWW Document], n.d. URL https://web.archive.org/web/20230930160250/https://apeeurope.eu/statistics/ (accessed 3.27.24). </v>
      </c>
      <c r="F5" s="29">
        <v>1</v>
      </c>
      <c r="G5" s="9">
        <v>2</v>
      </c>
      <c r="H5" s="9">
        <v>2</v>
      </c>
      <c r="I5" s="9">
        <v>1</v>
      </c>
      <c r="J5" s="9">
        <v>2</v>
      </c>
      <c r="K5" s="160">
        <f t="shared" si="0"/>
        <v>0.37356464144298934</v>
      </c>
      <c r="L5" s="63"/>
    </row>
    <row r="6" spans="1:20">
      <c r="A6" s="152" t="str">
        <f>Agriculture!A13</f>
        <v>Agriculture</v>
      </c>
      <c r="B6" s="235">
        <f>Agriculture!C13</f>
        <v>2018</v>
      </c>
      <c r="C6" s="40" t="str">
        <f>Agriculture!D13</f>
        <v>HDPE</v>
      </c>
      <c r="D6" s="55">
        <f>Agriculture!E13</f>
        <v>5.6494845366498607</v>
      </c>
      <c r="E6" s="40" t="str">
        <f>Agriculture!F13</f>
        <v xml:space="preserve">Combined from TNO Sieger Henke and Statistics - APE Europe [WWW Document], n.d. URL https://web.archive.org/web/20230930160250/https://apeeurope.eu/statistics/ (accessed 3.27.24). </v>
      </c>
      <c r="F6" s="29">
        <v>1</v>
      </c>
      <c r="G6" s="9">
        <v>2</v>
      </c>
      <c r="H6" s="9">
        <v>2</v>
      </c>
      <c r="I6" s="9">
        <v>1</v>
      </c>
      <c r="J6" s="9">
        <v>2</v>
      </c>
      <c r="K6" s="160">
        <f t="shared" si="0"/>
        <v>0.37356464144298934</v>
      </c>
      <c r="L6" s="63"/>
    </row>
    <row r="7" spans="1:20">
      <c r="A7" s="152" t="str">
        <f>Agriculture!A18</f>
        <v>Agriculture</v>
      </c>
      <c r="B7" s="235">
        <f>Agriculture!C18</f>
        <v>2019</v>
      </c>
      <c r="C7" s="40" t="str">
        <f>Agriculture!D18</f>
        <v>HDPE</v>
      </c>
      <c r="D7" s="55">
        <f>Agriculture!E18</f>
        <v>5.6714200072746905</v>
      </c>
      <c r="E7" s="40" t="str">
        <f>Agriculture!F18</f>
        <v xml:space="preserve">Combined from TNO Sieger Henke and Statistics - APE Europe [WWW Document], n.d. URL https://web.archive.org/web/20230930160250/https://apeeurope.eu/statistics/ (accessed 3.27.24). </v>
      </c>
      <c r="F7" s="29">
        <v>1</v>
      </c>
      <c r="G7" s="9">
        <v>2</v>
      </c>
      <c r="H7" s="9">
        <v>2</v>
      </c>
      <c r="I7" s="9">
        <v>1</v>
      </c>
      <c r="J7" s="9">
        <v>2</v>
      </c>
      <c r="K7" s="160">
        <f t="shared" si="0"/>
        <v>0.37356464144298934</v>
      </c>
      <c r="L7" s="63"/>
    </row>
    <row r="8" spans="1:20">
      <c r="A8" s="152" t="str">
        <f>Agriculture!A9</f>
        <v>Agriculture</v>
      </c>
      <c r="B8" s="235">
        <f>Agriculture!C9</f>
        <v>2018</v>
      </c>
      <c r="C8" s="40" t="str">
        <f>Agriculture!D9</f>
        <v>PVC</v>
      </c>
      <c r="D8" s="55">
        <f>Agriculture!E9</f>
        <v>56.385014842085823</v>
      </c>
      <c r="E8" s="40" t="str">
        <f>Agriculture!F9</f>
        <v xml:space="preserve">Combined from TNO Sieger Henke and Statistics - APE Europe [WWW Document], n.d. URL https://web.archive.org/web/20230930160250/https://apeeurope.eu/statistics/ (accessed 3.27.24). </v>
      </c>
      <c r="F8" s="29">
        <v>1</v>
      </c>
      <c r="G8" s="9">
        <v>2</v>
      </c>
      <c r="H8" s="9">
        <v>2</v>
      </c>
      <c r="I8" s="9">
        <v>1</v>
      </c>
      <c r="J8" s="9">
        <v>2</v>
      </c>
      <c r="K8" s="160">
        <f t="shared" si="0"/>
        <v>0.37356464144298934</v>
      </c>
      <c r="L8" s="63"/>
    </row>
    <row r="9" spans="1:20">
      <c r="A9" s="152" t="str">
        <f>Agriculture!A14</f>
        <v>Agriculture</v>
      </c>
      <c r="B9" s="235">
        <f>Agriculture!C14</f>
        <v>2019</v>
      </c>
      <c r="C9" s="40" t="str">
        <f>Agriculture!D14</f>
        <v>PVC</v>
      </c>
      <c r="D9" s="55">
        <f>Agriculture!E14</f>
        <v>56.60394310513805</v>
      </c>
      <c r="E9" s="40" t="str">
        <f>Agriculture!F14</f>
        <v xml:space="preserve">Combined from TNO Sieger Henke and Statistics - APE Europe [WWW Document], n.d. URL https://web.archive.org/web/20230930160250/https://apeeurope.eu/statistics/ (accessed 3.27.24). </v>
      </c>
      <c r="F9" s="29">
        <v>1</v>
      </c>
      <c r="G9" s="9">
        <v>2</v>
      </c>
      <c r="H9" s="9">
        <v>2</v>
      </c>
      <c r="I9" s="9">
        <v>1</v>
      </c>
      <c r="J9" s="9">
        <v>2</v>
      </c>
      <c r="K9" s="160">
        <f t="shared" si="0"/>
        <v>0.37356464144298934</v>
      </c>
      <c r="L9" s="63"/>
    </row>
    <row r="10" spans="1:20">
      <c r="A10" s="152" t="str">
        <f>Agriculture!A12</f>
        <v>Agriculture</v>
      </c>
      <c r="B10" s="235">
        <f>Agriculture!C12</f>
        <v>2018</v>
      </c>
      <c r="C10" s="40" t="str">
        <f>Agriculture!D12</f>
        <v>LDPE</v>
      </c>
      <c r="D10" s="55">
        <f>Agriculture!E12</f>
        <v>622.8710048492452</v>
      </c>
      <c r="E10" s="40" t="str">
        <f>Agriculture!F12</f>
        <v xml:space="preserve">Combined from TNO Sieger Henke and Statistics - APE Europe [WWW Document], n.d. URL https://web.archive.org/web/20230930160250/https://apeeurope.eu/statistics/ (accessed 3.27.24). </v>
      </c>
      <c r="F10" s="29">
        <v>1</v>
      </c>
      <c r="G10" s="9">
        <v>2</v>
      </c>
      <c r="H10" s="9">
        <v>2</v>
      </c>
      <c r="I10" s="9">
        <v>1</v>
      </c>
      <c r="J10" s="9">
        <v>2</v>
      </c>
      <c r="K10" s="160">
        <f t="shared" si="0"/>
        <v>0.37356464144298934</v>
      </c>
      <c r="L10" s="63"/>
    </row>
    <row r="11" spans="1:20" ht="15.75" thickBot="1">
      <c r="A11" s="153" t="str">
        <f>Agriculture!A17</f>
        <v>Agriculture</v>
      </c>
      <c r="B11" s="236">
        <f>Agriculture!C17</f>
        <v>2019</v>
      </c>
      <c r="C11" s="41" t="str">
        <f>Agriculture!D17</f>
        <v>LDPE</v>
      </c>
      <c r="D11" s="56">
        <f>Agriculture!E17</f>
        <v>625.28945002619776</v>
      </c>
      <c r="E11" s="41" t="str">
        <f>Agriculture!F17</f>
        <v xml:space="preserve">Combined from TNO Sieger Henke and Statistics - APE Europe [WWW Document], n.d. URL https://web.archive.org/web/20230930160250/https://apeeurope.eu/statistics/ (accessed 3.27.24). </v>
      </c>
      <c r="F11" s="30">
        <v>1</v>
      </c>
      <c r="G11" s="12">
        <v>2</v>
      </c>
      <c r="H11" s="12">
        <v>2</v>
      </c>
      <c r="I11" s="12">
        <v>1</v>
      </c>
      <c r="J11" s="12">
        <v>2</v>
      </c>
      <c r="K11" s="161">
        <f t="shared" si="0"/>
        <v>0.37356464144298934</v>
      </c>
      <c r="L11" s="62"/>
    </row>
    <row r="12" spans="1:20" ht="14.45" customHeight="1">
      <c r="A12" s="233" t="s">
        <v>116</v>
      </c>
      <c r="B12" s="237">
        <v>2017</v>
      </c>
      <c r="C12" s="162" t="s">
        <v>93</v>
      </c>
      <c r="D12" s="158">
        <v>0</v>
      </c>
      <c r="E12" s="834" t="s">
        <v>133</v>
      </c>
      <c r="F12" s="677">
        <v>1</v>
      </c>
      <c r="G12" s="118">
        <v>1</v>
      </c>
      <c r="H12" s="118">
        <v>3</v>
      </c>
      <c r="I12" s="118">
        <v>1</v>
      </c>
      <c r="J12" s="118">
        <v>2</v>
      </c>
      <c r="K12" s="835">
        <f t="shared" si="0"/>
        <v>0.47802211380704585</v>
      </c>
      <c r="L12" s="232" t="s">
        <v>134</v>
      </c>
      <c r="M12" s="828"/>
      <c r="N12" s="828"/>
      <c r="O12" s="828"/>
      <c r="P12" s="828"/>
      <c r="Q12" s="828"/>
      <c r="R12" s="828"/>
      <c r="S12" s="828"/>
      <c r="T12" s="828"/>
    </row>
    <row r="13" spans="1:20">
      <c r="A13" s="152" t="s">
        <v>116</v>
      </c>
      <c r="B13" s="235">
        <v>2017</v>
      </c>
      <c r="C13" s="40" t="s">
        <v>94</v>
      </c>
      <c r="D13" s="55">
        <v>6.0673285145454541</v>
      </c>
      <c r="E13" s="810" t="s">
        <v>133</v>
      </c>
      <c r="F13" s="29">
        <v>1</v>
      </c>
      <c r="G13" s="9">
        <v>1</v>
      </c>
      <c r="H13" s="9">
        <v>3</v>
      </c>
      <c r="I13" s="9">
        <v>1</v>
      </c>
      <c r="J13" s="9">
        <v>2</v>
      </c>
      <c r="K13" s="160">
        <f t="shared" si="0"/>
        <v>0.47802211380704585</v>
      </c>
      <c r="L13" s="63" t="s">
        <v>134</v>
      </c>
    </row>
    <row r="14" spans="1:20">
      <c r="A14" s="152" t="s">
        <v>116</v>
      </c>
      <c r="B14" s="235">
        <v>2017</v>
      </c>
      <c r="C14" s="40" t="s">
        <v>95</v>
      </c>
      <c r="D14" s="55">
        <v>6.0673285145454541</v>
      </c>
      <c r="E14" s="810" t="s">
        <v>133</v>
      </c>
      <c r="F14" s="29">
        <v>1</v>
      </c>
      <c r="G14" s="9">
        <v>1</v>
      </c>
      <c r="H14" s="9">
        <v>3</v>
      </c>
      <c r="I14" s="9">
        <v>1</v>
      </c>
      <c r="J14" s="9">
        <v>2</v>
      </c>
      <c r="K14" s="160">
        <f t="shared" si="0"/>
        <v>0.47802211380704585</v>
      </c>
      <c r="L14" s="63" t="s">
        <v>134</v>
      </c>
    </row>
    <row r="15" spans="1:20">
      <c r="A15" s="152" t="s">
        <v>116</v>
      </c>
      <c r="B15" s="235">
        <v>2017</v>
      </c>
      <c r="C15" s="40" t="s">
        <v>96</v>
      </c>
      <c r="D15" s="55">
        <v>0</v>
      </c>
      <c r="E15" s="810" t="s">
        <v>133</v>
      </c>
      <c r="F15" s="29">
        <v>1</v>
      </c>
      <c r="G15" s="9">
        <v>1</v>
      </c>
      <c r="H15" s="9">
        <v>3</v>
      </c>
      <c r="I15" s="9">
        <v>1</v>
      </c>
      <c r="J15" s="9">
        <v>2</v>
      </c>
      <c r="K15" s="160">
        <f t="shared" si="0"/>
        <v>0.47802211380704585</v>
      </c>
      <c r="L15" s="63" t="s">
        <v>134</v>
      </c>
    </row>
    <row r="16" spans="1:20">
      <c r="A16" s="152" t="s">
        <v>116</v>
      </c>
      <c r="B16" s="235">
        <v>2017</v>
      </c>
      <c r="C16" s="40" t="s">
        <v>97</v>
      </c>
      <c r="D16" s="55">
        <v>0</v>
      </c>
      <c r="E16" s="810" t="s">
        <v>133</v>
      </c>
      <c r="F16" s="29">
        <v>1</v>
      </c>
      <c r="G16" s="9">
        <v>1</v>
      </c>
      <c r="H16" s="9">
        <v>3</v>
      </c>
      <c r="I16" s="9">
        <v>1</v>
      </c>
      <c r="J16" s="9">
        <v>2</v>
      </c>
      <c r="K16" s="160">
        <f t="shared" si="0"/>
        <v>0.47802211380704585</v>
      </c>
      <c r="L16" s="63" t="s">
        <v>134</v>
      </c>
    </row>
    <row r="17" spans="1:12">
      <c r="A17" s="152" t="s">
        <v>116</v>
      </c>
      <c r="B17" s="235">
        <v>2017</v>
      </c>
      <c r="C17" s="40" t="s">
        <v>98</v>
      </c>
      <c r="D17" s="55">
        <v>0</v>
      </c>
      <c r="E17" s="810" t="s">
        <v>133</v>
      </c>
      <c r="F17" s="29">
        <v>1</v>
      </c>
      <c r="G17" s="9">
        <v>1</v>
      </c>
      <c r="H17" s="9">
        <v>3</v>
      </c>
      <c r="I17" s="9">
        <v>1</v>
      </c>
      <c r="J17" s="9">
        <v>2</v>
      </c>
      <c r="K17" s="160">
        <f t="shared" si="0"/>
        <v>0.47802211380704585</v>
      </c>
      <c r="L17" s="63" t="s">
        <v>134</v>
      </c>
    </row>
    <row r="18" spans="1:12">
      <c r="A18" s="152" t="s">
        <v>116</v>
      </c>
      <c r="B18" s="235">
        <v>2017</v>
      </c>
      <c r="C18" s="40" t="s">
        <v>99</v>
      </c>
      <c r="D18" s="55">
        <v>467.18429562</v>
      </c>
      <c r="E18" s="810" t="s">
        <v>133</v>
      </c>
      <c r="F18" s="29">
        <v>1</v>
      </c>
      <c r="G18" s="9">
        <v>1</v>
      </c>
      <c r="H18" s="9">
        <v>3</v>
      </c>
      <c r="I18" s="9">
        <v>1</v>
      </c>
      <c r="J18" s="9">
        <v>2</v>
      </c>
      <c r="K18" s="160">
        <f t="shared" si="0"/>
        <v>0.47802211380704585</v>
      </c>
      <c r="L18" s="63" t="s">
        <v>134</v>
      </c>
    </row>
    <row r="19" spans="1:12">
      <c r="A19" s="152" t="s">
        <v>116</v>
      </c>
      <c r="B19" s="235">
        <v>2017</v>
      </c>
      <c r="C19" s="40" t="s">
        <v>103</v>
      </c>
      <c r="D19" s="55">
        <v>72.807942174545445</v>
      </c>
      <c r="E19" s="810" t="s">
        <v>133</v>
      </c>
      <c r="F19" s="29">
        <v>1</v>
      </c>
      <c r="G19" s="9">
        <v>1</v>
      </c>
      <c r="H19" s="9">
        <v>3</v>
      </c>
      <c r="I19" s="9">
        <v>1</v>
      </c>
      <c r="J19" s="9">
        <v>2</v>
      </c>
      <c r="K19" s="160">
        <f t="shared" si="0"/>
        <v>0.47802211380704585</v>
      </c>
      <c r="L19" s="63" t="s">
        <v>134</v>
      </c>
    </row>
    <row r="20" spans="1:12" ht="15.75" thickBot="1">
      <c r="A20" s="230" t="s">
        <v>116</v>
      </c>
      <c r="B20" s="238">
        <v>2017</v>
      </c>
      <c r="C20" s="154" t="s">
        <v>107</v>
      </c>
      <c r="D20" s="157">
        <v>54.605956630909084</v>
      </c>
      <c r="E20" s="832" t="s">
        <v>133</v>
      </c>
      <c r="F20" s="155">
        <v>1</v>
      </c>
      <c r="G20" s="119">
        <v>1</v>
      </c>
      <c r="H20" s="119">
        <v>3</v>
      </c>
      <c r="I20" s="119">
        <v>1</v>
      </c>
      <c r="J20" s="119">
        <v>2</v>
      </c>
      <c r="K20" s="833">
        <f t="shared" si="0"/>
        <v>0.47802211380704585</v>
      </c>
      <c r="L20" s="513" t="s">
        <v>134</v>
      </c>
    </row>
    <row r="21" spans="1:12">
      <c r="A21" s="151" t="s">
        <v>118</v>
      </c>
      <c r="B21" s="823">
        <v>2015</v>
      </c>
      <c r="C21" s="659" t="s">
        <v>102</v>
      </c>
      <c r="D21" s="823">
        <v>400</v>
      </c>
      <c r="E21" s="659" t="s">
        <v>135</v>
      </c>
      <c r="F21" s="28">
        <v>1</v>
      </c>
      <c r="G21" s="11">
        <v>1</v>
      </c>
      <c r="H21" s="11">
        <v>1</v>
      </c>
      <c r="I21" s="11">
        <v>2</v>
      </c>
      <c r="J21" s="11">
        <v>2</v>
      </c>
      <c r="K21" s="159">
        <f t="shared" si="0"/>
        <v>0.35859414261160716</v>
      </c>
      <c r="L21" s="51" t="s">
        <v>120</v>
      </c>
    </row>
    <row r="22" spans="1:12">
      <c r="A22" s="152" t="s">
        <v>118</v>
      </c>
      <c r="B22" s="59">
        <v>2013</v>
      </c>
      <c r="C22" s="344" t="s">
        <v>102</v>
      </c>
      <c r="D22" s="59">
        <v>468</v>
      </c>
      <c r="E22" s="344" t="s">
        <v>135</v>
      </c>
      <c r="F22" s="29">
        <v>1</v>
      </c>
      <c r="G22" s="9">
        <v>1</v>
      </c>
      <c r="H22" s="9">
        <v>1</v>
      </c>
      <c r="I22" s="9">
        <v>2</v>
      </c>
      <c r="J22" s="9">
        <v>2</v>
      </c>
      <c r="K22" s="160">
        <f t="shared" si="0"/>
        <v>0.35859414261160716</v>
      </c>
      <c r="L22" s="52" t="s">
        <v>120</v>
      </c>
    </row>
    <row r="23" spans="1:12">
      <c r="A23" s="152" t="s">
        <v>118</v>
      </c>
      <c r="B23" s="59">
        <v>2016</v>
      </c>
      <c r="C23" s="344" t="s">
        <v>102</v>
      </c>
      <c r="D23" s="59">
        <v>551</v>
      </c>
      <c r="E23" s="344" t="s">
        <v>135</v>
      </c>
      <c r="F23" s="29">
        <v>1</v>
      </c>
      <c r="G23" s="9">
        <v>1</v>
      </c>
      <c r="H23" s="9">
        <v>1</v>
      </c>
      <c r="I23" s="9">
        <v>2</v>
      </c>
      <c r="J23" s="9">
        <v>2</v>
      </c>
      <c r="K23" s="160">
        <f t="shared" si="0"/>
        <v>0.35859414261160716</v>
      </c>
      <c r="L23" s="52" t="s">
        <v>120</v>
      </c>
    </row>
    <row r="24" spans="1:12">
      <c r="A24" s="152" t="s">
        <v>118</v>
      </c>
      <c r="B24" s="59">
        <v>2003</v>
      </c>
      <c r="C24" s="344" t="s">
        <v>102</v>
      </c>
      <c r="D24" s="59">
        <v>613</v>
      </c>
      <c r="E24" s="344" t="s">
        <v>135</v>
      </c>
      <c r="F24" s="29">
        <v>1</v>
      </c>
      <c r="G24" s="9">
        <v>1</v>
      </c>
      <c r="H24" s="9">
        <v>1</v>
      </c>
      <c r="I24" s="9">
        <v>2</v>
      </c>
      <c r="J24" s="9">
        <v>2</v>
      </c>
      <c r="K24" s="160">
        <f t="shared" si="0"/>
        <v>0.35859414261160716</v>
      </c>
      <c r="L24" s="52" t="s">
        <v>120</v>
      </c>
    </row>
    <row r="25" spans="1:12">
      <c r="A25" s="152" t="s">
        <v>118</v>
      </c>
      <c r="B25" s="59">
        <v>2012</v>
      </c>
      <c r="C25" s="344" t="s">
        <v>102</v>
      </c>
      <c r="D25" s="59">
        <v>624</v>
      </c>
      <c r="E25" s="344" t="s">
        <v>135</v>
      </c>
      <c r="F25" s="29">
        <v>1</v>
      </c>
      <c r="G25" s="9">
        <v>1</v>
      </c>
      <c r="H25" s="9">
        <v>1</v>
      </c>
      <c r="I25" s="9">
        <v>2</v>
      </c>
      <c r="J25" s="9">
        <v>2</v>
      </c>
      <c r="K25" s="160">
        <f t="shared" si="0"/>
        <v>0.35859414261160716</v>
      </c>
      <c r="L25" s="52" t="s">
        <v>120</v>
      </c>
    </row>
    <row r="26" spans="1:12">
      <c r="A26" s="152" t="s">
        <v>118</v>
      </c>
      <c r="B26" s="59">
        <v>2020</v>
      </c>
      <c r="C26" s="344" t="s">
        <v>102</v>
      </c>
      <c r="D26" s="59">
        <v>661</v>
      </c>
      <c r="E26" s="344" t="s">
        <v>135</v>
      </c>
      <c r="F26" s="29">
        <v>1</v>
      </c>
      <c r="G26" s="9">
        <v>1</v>
      </c>
      <c r="H26" s="9">
        <v>1</v>
      </c>
      <c r="I26" s="9">
        <v>2</v>
      </c>
      <c r="J26" s="9">
        <v>2</v>
      </c>
      <c r="K26" s="160">
        <f t="shared" si="0"/>
        <v>0.35859414261160716</v>
      </c>
      <c r="L26" s="52" t="s">
        <v>120</v>
      </c>
    </row>
    <row r="27" spans="1:12">
      <c r="A27" s="152" t="s">
        <v>118</v>
      </c>
      <c r="B27" s="59">
        <v>2017</v>
      </c>
      <c r="C27" s="344" t="s">
        <v>102</v>
      </c>
      <c r="D27" s="59">
        <v>683</v>
      </c>
      <c r="E27" s="344" t="s">
        <v>135</v>
      </c>
      <c r="F27" s="29">
        <v>1</v>
      </c>
      <c r="G27" s="9">
        <v>1</v>
      </c>
      <c r="H27" s="9">
        <v>1</v>
      </c>
      <c r="I27" s="9">
        <v>2</v>
      </c>
      <c r="J27" s="9">
        <v>2</v>
      </c>
      <c r="K27" s="160">
        <f t="shared" si="0"/>
        <v>0.35859414261160716</v>
      </c>
      <c r="L27" s="52" t="s">
        <v>120</v>
      </c>
    </row>
    <row r="28" spans="1:12">
      <c r="A28" s="152" t="s">
        <v>118</v>
      </c>
      <c r="B28" s="59">
        <v>2018</v>
      </c>
      <c r="C28" s="344" t="s">
        <v>102</v>
      </c>
      <c r="D28" s="59">
        <v>683</v>
      </c>
      <c r="E28" s="344" t="s">
        <v>135</v>
      </c>
      <c r="F28" s="29">
        <v>1</v>
      </c>
      <c r="G28" s="9">
        <v>1</v>
      </c>
      <c r="H28" s="9">
        <v>1</v>
      </c>
      <c r="I28" s="9">
        <v>2</v>
      </c>
      <c r="J28" s="9">
        <v>2</v>
      </c>
      <c r="K28" s="160">
        <f t="shared" si="0"/>
        <v>0.35859414261160716</v>
      </c>
      <c r="L28" s="52" t="s">
        <v>120</v>
      </c>
    </row>
    <row r="29" spans="1:12">
      <c r="A29" s="152" t="s">
        <v>118</v>
      </c>
      <c r="B29" s="59">
        <v>2019</v>
      </c>
      <c r="C29" s="344" t="s">
        <v>102</v>
      </c>
      <c r="D29" s="59">
        <v>683</v>
      </c>
      <c r="E29" s="344" t="s">
        <v>135</v>
      </c>
      <c r="F29" s="29">
        <v>1</v>
      </c>
      <c r="G29" s="9">
        <v>1</v>
      </c>
      <c r="H29" s="9">
        <v>1</v>
      </c>
      <c r="I29" s="9">
        <v>2</v>
      </c>
      <c r="J29" s="9">
        <v>2</v>
      </c>
      <c r="K29" s="160">
        <f t="shared" si="0"/>
        <v>0.35859414261160716</v>
      </c>
      <c r="L29" s="52" t="s">
        <v>120</v>
      </c>
    </row>
    <row r="30" spans="1:12">
      <c r="A30" s="152" t="s">
        <v>118</v>
      </c>
      <c r="B30" s="59">
        <v>2010</v>
      </c>
      <c r="C30" s="344" t="s">
        <v>102</v>
      </c>
      <c r="D30" s="59">
        <v>691</v>
      </c>
      <c r="E30" s="344" t="s">
        <v>135</v>
      </c>
      <c r="F30" s="29">
        <v>1</v>
      </c>
      <c r="G30" s="9">
        <v>1</v>
      </c>
      <c r="H30" s="9">
        <v>1</v>
      </c>
      <c r="I30" s="9">
        <v>2</v>
      </c>
      <c r="J30" s="9">
        <v>2</v>
      </c>
      <c r="K30" s="160">
        <f t="shared" si="0"/>
        <v>0.35859414261160716</v>
      </c>
      <c r="L30" s="52" t="s">
        <v>120</v>
      </c>
    </row>
    <row r="31" spans="1:12">
      <c r="A31" s="152" t="s">
        <v>118</v>
      </c>
      <c r="B31" s="59">
        <v>2009</v>
      </c>
      <c r="C31" s="344" t="s">
        <v>102</v>
      </c>
      <c r="D31" s="59">
        <v>698</v>
      </c>
      <c r="E31" s="344" t="s">
        <v>135</v>
      </c>
      <c r="F31" s="29">
        <v>1</v>
      </c>
      <c r="G31" s="9">
        <v>1</v>
      </c>
      <c r="H31" s="9">
        <v>1</v>
      </c>
      <c r="I31" s="9">
        <v>2</v>
      </c>
      <c r="J31" s="9">
        <v>2</v>
      </c>
      <c r="K31" s="160">
        <f t="shared" si="0"/>
        <v>0.35859414261160716</v>
      </c>
      <c r="L31" s="52" t="s">
        <v>120</v>
      </c>
    </row>
    <row r="32" spans="1:12">
      <c r="A32" s="152" t="s">
        <v>118</v>
      </c>
      <c r="B32" s="59">
        <v>2005</v>
      </c>
      <c r="C32" s="344" t="s">
        <v>102</v>
      </c>
      <c r="D32" s="59">
        <v>702</v>
      </c>
      <c r="E32" s="344" t="s">
        <v>135</v>
      </c>
      <c r="F32" s="29">
        <v>1</v>
      </c>
      <c r="G32" s="9">
        <v>1</v>
      </c>
      <c r="H32" s="9">
        <v>1</v>
      </c>
      <c r="I32" s="9">
        <v>2</v>
      </c>
      <c r="J32" s="9">
        <v>2</v>
      </c>
      <c r="K32" s="160">
        <f t="shared" si="0"/>
        <v>0.35859414261160716</v>
      </c>
      <c r="L32" s="52" t="s">
        <v>120</v>
      </c>
    </row>
    <row r="33" spans="1:12">
      <c r="A33" s="152" t="s">
        <v>118</v>
      </c>
      <c r="B33" s="59">
        <v>2021</v>
      </c>
      <c r="C33" s="344" t="s">
        <v>102</v>
      </c>
      <c r="D33" s="59">
        <v>710</v>
      </c>
      <c r="E33" s="344" t="s">
        <v>135</v>
      </c>
      <c r="F33" s="29">
        <v>1</v>
      </c>
      <c r="G33" s="9">
        <v>1</v>
      </c>
      <c r="H33" s="9">
        <v>1</v>
      </c>
      <c r="I33" s="9">
        <v>2</v>
      </c>
      <c r="J33" s="9">
        <v>2</v>
      </c>
      <c r="K33" s="160">
        <f t="shared" si="0"/>
        <v>0.35859414261160716</v>
      </c>
      <c r="L33" s="52" t="s">
        <v>120</v>
      </c>
    </row>
    <row r="34" spans="1:12">
      <c r="A34" s="152" t="s">
        <v>118</v>
      </c>
      <c r="B34" s="59">
        <v>2004</v>
      </c>
      <c r="C34" s="344" t="s">
        <v>102</v>
      </c>
      <c r="D34" s="59">
        <v>724</v>
      </c>
      <c r="E34" s="344" t="s">
        <v>135</v>
      </c>
      <c r="F34" s="29">
        <v>1</v>
      </c>
      <c r="G34" s="9">
        <v>1</v>
      </c>
      <c r="H34" s="9">
        <v>1</v>
      </c>
      <c r="I34" s="9">
        <v>2</v>
      </c>
      <c r="J34" s="9">
        <v>2</v>
      </c>
      <c r="K34" s="160">
        <f t="shared" si="0"/>
        <v>0.35859414261160716</v>
      </c>
      <c r="L34" s="52" t="s">
        <v>120</v>
      </c>
    </row>
    <row r="35" spans="1:12">
      <c r="A35" s="152" t="s">
        <v>118</v>
      </c>
      <c r="B35" s="59">
        <v>2006</v>
      </c>
      <c r="C35" s="344" t="s">
        <v>102</v>
      </c>
      <c r="D35" s="59">
        <v>736</v>
      </c>
      <c r="E35" s="344" t="s">
        <v>135</v>
      </c>
      <c r="F35" s="29">
        <v>1</v>
      </c>
      <c r="G35" s="9">
        <v>1</v>
      </c>
      <c r="H35" s="9">
        <v>1</v>
      </c>
      <c r="I35" s="9">
        <v>2</v>
      </c>
      <c r="J35" s="9">
        <v>2</v>
      </c>
      <c r="K35" s="160">
        <f t="shared" si="0"/>
        <v>0.35859414261160716</v>
      </c>
      <c r="L35" s="52" t="s">
        <v>120</v>
      </c>
    </row>
    <row r="36" spans="1:12">
      <c r="A36" s="152" t="s">
        <v>118</v>
      </c>
      <c r="B36" s="59">
        <v>2014</v>
      </c>
      <c r="C36" s="344" t="s">
        <v>102</v>
      </c>
      <c r="D36" s="59">
        <v>737</v>
      </c>
      <c r="E36" s="344" t="s">
        <v>135</v>
      </c>
      <c r="F36" s="29">
        <v>1</v>
      </c>
      <c r="G36" s="9">
        <v>1</v>
      </c>
      <c r="H36" s="9">
        <v>1</v>
      </c>
      <c r="I36" s="9">
        <v>2</v>
      </c>
      <c r="J36" s="9">
        <v>2</v>
      </c>
      <c r="K36" s="160">
        <f t="shared" si="0"/>
        <v>0.35859414261160716</v>
      </c>
      <c r="L36" s="52" t="s">
        <v>120</v>
      </c>
    </row>
    <row r="37" spans="1:12">
      <c r="A37" s="152" t="s">
        <v>118</v>
      </c>
      <c r="B37" s="59">
        <v>2011</v>
      </c>
      <c r="C37" s="344" t="s">
        <v>102</v>
      </c>
      <c r="D37" s="59">
        <v>790</v>
      </c>
      <c r="E37" s="344" t="s">
        <v>135</v>
      </c>
      <c r="F37" s="29">
        <v>1</v>
      </c>
      <c r="G37" s="9">
        <v>1</v>
      </c>
      <c r="H37" s="9">
        <v>1</v>
      </c>
      <c r="I37" s="9">
        <v>2</v>
      </c>
      <c r="J37" s="9">
        <v>2</v>
      </c>
      <c r="K37" s="160">
        <f t="shared" si="0"/>
        <v>0.35859414261160716</v>
      </c>
      <c r="L37" s="52" t="s">
        <v>120</v>
      </c>
    </row>
    <row r="38" spans="1:12">
      <c r="A38" s="152" t="s">
        <v>118</v>
      </c>
      <c r="B38" s="59">
        <v>2013</v>
      </c>
      <c r="C38" s="344" t="s">
        <v>104</v>
      </c>
      <c r="D38" s="59">
        <v>837</v>
      </c>
      <c r="E38" s="344" t="s">
        <v>135</v>
      </c>
      <c r="F38" s="29">
        <v>1</v>
      </c>
      <c r="G38" s="9">
        <v>1</v>
      </c>
      <c r="H38" s="9">
        <v>1</v>
      </c>
      <c r="I38" s="9">
        <v>2</v>
      </c>
      <c r="J38" s="9">
        <v>2</v>
      </c>
      <c r="K38" s="160">
        <f t="shared" si="0"/>
        <v>0.35859414261160716</v>
      </c>
      <c r="L38" s="52" t="s">
        <v>120</v>
      </c>
    </row>
    <row r="39" spans="1:12">
      <c r="A39" s="152" t="s">
        <v>118</v>
      </c>
      <c r="B39" s="59">
        <v>2008</v>
      </c>
      <c r="C39" s="344" t="s">
        <v>102</v>
      </c>
      <c r="D39" s="59">
        <v>860</v>
      </c>
      <c r="E39" s="344" t="s">
        <v>135</v>
      </c>
      <c r="F39" s="29">
        <v>1</v>
      </c>
      <c r="G39" s="9">
        <v>1</v>
      </c>
      <c r="H39" s="9">
        <v>1</v>
      </c>
      <c r="I39" s="9">
        <v>2</v>
      </c>
      <c r="J39" s="9">
        <v>2</v>
      </c>
      <c r="K39" s="160">
        <f t="shared" si="0"/>
        <v>0.35859414261160716</v>
      </c>
      <c r="L39" s="52" t="s">
        <v>120</v>
      </c>
    </row>
    <row r="40" spans="1:12">
      <c r="A40" s="152" t="s">
        <v>118</v>
      </c>
      <c r="B40" s="59">
        <v>2012</v>
      </c>
      <c r="C40" s="344" t="s">
        <v>104</v>
      </c>
      <c r="D40" s="59">
        <v>894</v>
      </c>
      <c r="E40" s="344" t="s">
        <v>135</v>
      </c>
      <c r="F40" s="29">
        <v>1</v>
      </c>
      <c r="G40" s="9">
        <v>1</v>
      </c>
      <c r="H40" s="9">
        <v>1</v>
      </c>
      <c r="I40" s="9">
        <v>2</v>
      </c>
      <c r="J40" s="9">
        <v>2</v>
      </c>
      <c r="K40" s="160">
        <f t="shared" si="0"/>
        <v>0.35859414261160716</v>
      </c>
      <c r="L40" s="52" t="s">
        <v>120</v>
      </c>
    </row>
    <row r="41" spans="1:12">
      <c r="A41" s="152" t="s">
        <v>118</v>
      </c>
      <c r="B41" s="59">
        <v>2007</v>
      </c>
      <c r="C41" s="344" t="s">
        <v>102</v>
      </c>
      <c r="D41" s="59">
        <v>969</v>
      </c>
      <c r="E41" s="344" t="s">
        <v>135</v>
      </c>
      <c r="F41" s="29">
        <v>1</v>
      </c>
      <c r="G41" s="9">
        <v>1</v>
      </c>
      <c r="H41" s="9">
        <v>1</v>
      </c>
      <c r="I41" s="9">
        <v>2</v>
      </c>
      <c r="J41" s="9">
        <v>2</v>
      </c>
      <c r="K41" s="160">
        <f t="shared" si="0"/>
        <v>0.35859414261160716</v>
      </c>
      <c r="L41" s="52" t="s">
        <v>120</v>
      </c>
    </row>
    <row r="42" spans="1:12">
      <c r="A42" s="152" t="s">
        <v>118</v>
      </c>
      <c r="B42" s="59">
        <v>2015</v>
      </c>
      <c r="C42" s="344" t="s">
        <v>104</v>
      </c>
      <c r="D42" s="59">
        <v>973</v>
      </c>
      <c r="E42" s="344" t="s">
        <v>135</v>
      </c>
      <c r="F42" s="29">
        <v>1</v>
      </c>
      <c r="G42" s="9">
        <v>1</v>
      </c>
      <c r="H42" s="9">
        <v>1</v>
      </c>
      <c r="I42" s="9">
        <v>2</v>
      </c>
      <c r="J42" s="9">
        <v>2</v>
      </c>
      <c r="K42" s="160">
        <f t="shared" si="0"/>
        <v>0.35859414261160716</v>
      </c>
      <c r="L42" s="52" t="s">
        <v>120</v>
      </c>
    </row>
    <row r="43" spans="1:12">
      <c r="A43" s="152" t="s">
        <v>118</v>
      </c>
      <c r="B43" s="59">
        <v>2014</v>
      </c>
      <c r="C43" s="344" t="s">
        <v>104</v>
      </c>
      <c r="D43" s="59">
        <v>1092</v>
      </c>
      <c r="E43" s="344" t="s">
        <v>135</v>
      </c>
      <c r="F43" s="29">
        <v>1</v>
      </c>
      <c r="G43" s="9">
        <v>1</v>
      </c>
      <c r="H43" s="9">
        <v>1</v>
      </c>
      <c r="I43" s="9">
        <v>2</v>
      </c>
      <c r="J43" s="9">
        <v>2</v>
      </c>
      <c r="K43" s="160">
        <f t="shared" si="0"/>
        <v>0.35859414261160716</v>
      </c>
      <c r="L43" s="52" t="s">
        <v>120</v>
      </c>
    </row>
    <row r="44" spans="1:12">
      <c r="A44" s="152" t="s">
        <v>118</v>
      </c>
      <c r="B44" s="59">
        <v>2020</v>
      </c>
      <c r="C44" s="344" t="s">
        <v>104</v>
      </c>
      <c r="D44" s="59">
        <v>1130</v>
      </c>
      <c r="E44" s="344" t="s">
        <v>135</v>
      </c>
      <c r="F44" s="29">
        <v>1</v>
      </c>
      <c r="G44" s="9">
        <v>1</v>
      </c>
      <c r="H44" s="9">
        <v>1</v>
      </c>
      <c r="I44" s="9">
        <v>2</v>
      </c>
      <c r="J44" s="9">
        <v>2</v>
      </c>
      <c r="K44" s="160">
        <f t="shared" si="0"/>
        <v>0.35859414261160716</v>
      </c>
      <c r="L44" s="52" t="s">
        <v>120</v>
      </c>
    </row>
    <row r="45" spans="1:12">
      <c r="A45" s="152" t="s">
        <v>118</v>
      </c>
      <c r="B45" s="59">
        <v>2006</v>
      </c>
      <c r="C45" s="344" t="s">
        <v>104</v>
      </c>
      <c r="D45" s="59">
        <v>1135</v>
      </c>
      <c r="E45" s="344" t="s">
        <v>135</v>
      </c>
      <c r="F45" s="29">
        <v>1</v>
      </c>
      <c r="G45" s="9">
        <v>1</v>
      </c>
      <c r="H45" s="9">
        <v>1</v>
      </c>
      <c r="I45" s="9">
        <v>2</v>
      </c>
      <c r="J45" s="9">
        <v>2</v>
      </c>
      <c r="K45" s="160">
        <f t="shared" si="0"/>
        <v>0.35859414261160716</v>
      </c>
      <c r="L45" s="52" t="s">
        <v>120</v>
      </c>
    </row>
    <row r="46" spans="1:12">
      <c r="A46" s="152" t="s">
        <v>118</v>
      </c>
      <c r="B46" s="59">
        <v>2004</v>
      </c>
      <c r="C46" s="344" t="s">
        <v>104</v>
      </c>
      <c r="D46" s="59">
        <v>1138</v>
      </c>
      <c r="E46" s="344" t="s">
        <v>135</v>
      </c>
      <c r="F46" s="29">
        <v>1</v>
      </c>
      <c r="G46" s="9">
        <v>1</v>
      </c>
      <c r="H46" s="9">
        <v>1</v>
      </c>
      <c r="I46" s="9">
        <v>2</v>
      </c>
      <c r="J46" s="9">
        <v>2</v>
      </c>
      <c r="K46" s="160">
        <f t="shared" si="0"/>
        <v>0.35859414261160716</v>
      </c>
      <c r="L46" s="52" t="s">
        <v>120</v>
      </c>
    </row>
    <row r="47" spans="1:12">
      <c r="A47" s="152" t="s">
        <v>118</v>
      </c>
      <c r="B47" s="59">
        <v>2016</v>
      </c>
      <c r="C47" s="344" t="s">
        <v>104</v>
      </c>
      <c r="D47" s="59">
        <v>1139</v>
      </c>
      <c r="E47" s="344" t="s">
        <v>135</v>
      </c>
      <c r="F47" s="29">
        <v>1</v>
      </c>
      <c r="G47" s="9">
        <v>1</v>
      </c>
      <c r="H47" s="9">
        <v>1</v>
      </c>
      <c r="I47" s="9">
        <v>2</v>
      </c>
      <c r="J47" s="9">
        <v>2</v>
      </c>
      <c r="K47" s="160">
        <f t="shared" si="0"/>
        <v>0.35859414261160716</v>
      </c>
      <c r="L47" s="52" t="s">
        <v>120</v>
      </c>
    </row>
    <row r="48" spans="1:12">
      <c r="A48" s="152" t="s">
        <v>118</v>
      </c>
      <c r="B48" s="59">
        <v>2005</v>
      </c>
      <c r="C48" s="344" t="s">
        <v>97</v>
      </c>
      <c r="D48" s="59">
        <v>1178</v>
      </c>
      <c r="E48" s="344" t="s">
        <v>135</v>
      </c>
      <c r="F48" s="29">
        <v>1</v>
      </c>
      <c r="G48" s="9">
        <v>1</v>
      </c>
      <c r="H48" s="9">
        <v>1</v>
      </c>
      <c r="I48" s="9">
        <v>2</v>
      </c>
      <c r="J48" s="9">
        <v>2</v>
      </c>
      <c r="K48" s="160">
        <f t="shared" si="0"/>
        <v>0.35859414261160716</v>
      </c>
      <c r="L48" s="52" t="s">
        <v>120</v>
      </c>
    </row>
    <row r="49" spans="1:12">
      <c r="A49" s="152" t="s">
        <v>118</v>
      </c>
      <c r="B49" s="59">
        <v>2005</v>
      </c>
      <c r="C49" s="344" t="s">
        <v>104</v>
      </c>
      <c r="D49" s="59">
        <v>1194</v>
      </c>
      <c r="E49" s="344" t="s">
        <v>135</v>
      </c>
      <c r="F49" s="29">
        <v>1</v>
      </c>
      <c r="G49" s="9">
        <v>1</v>
      </c>
      <c r="H49" s="9">
        <v>1</v>
      </c>
      <c r="I49" s="9">
        <v>2</v>
      </c>
      <c r="J49" s="9">
        <v>2</v>
      </c>
      <c r="K49" s="160">
        <f t="shared" si="0"/>
        <v>0.35859414261160716</v>
      </c>
      <c r="L49" s="52" t="s">
        <v>120</v>
      </c>
    </row>
    <row r="50" spans="1:12">
      <c r="A50" s="152" t="s">
        <v>118</v>
      </c>
      <c r="B50" s="59">
        <v>2017</v>
      </c>
      <c r="C50" s="344" t="s">
        <v>104</v>
      </c>
      <c r="D50" s="59">
        <v>1203</v>
      </c>
      <c r="E50" s="344" t="s">
        <v>135</v>
      </c>
      <c r="F50" s="29">
        <v>1</v>
      </c>
      <c r="G50" s="9">
        <v>1</v>
      </c>
      <c r="H50" s="9">
        <v>1</v>
      </c>
      <c r="I50" s="9">
        <v>2</v>
      </c>
      <c r="J50" s="9">
        <v>2</v>
      </c>
      <c r="K50" s="160">
        <f t="shared" si="0"/>
        <v>0.35859414261160716</v>
      </c>
      <c r="L50" s="52" t="s">
        <v>120</v>
      </c>
    </row>
    <row r="51" spans="1:12">
      <c r="A51" s="152" t="s">
        <v>118</v>
      </c>
      <c r="B51" s="59">
        <v>2018</v>
      </c>
      <c r="C51" s="344" t="s">
        <v>104</v>
      </c>
      <c r="D51" s="59">
        <v>1203</v>
      </c>
      <c r="E51" s="344" t="s">
        <v>135</v>
      </c>
      <c r="F51" s="29">
        <v>1</v>
      </c>
      <c r="G51" s="9">
        <v>1</v>
      </c>
      <c r="H51" s="9">
        <v>1</v>
      </c>
      <c r="I51" s="9">
        <v>2</v>
      </c>
      <c r="J51" s="9">
        <v>2</v>
      </c>
      <c r="K51" s="160">
        <f t="shared" si="0"/>
        <v>0.35859414261160716</v>
      </c>
      <c r="L51" s="52" t="s">
        <v>120</v>
      </c>
    </row>
    <row r="52" spans="1:12">
      <c r="A52" s="152" t="s">
        <v>118</v>
      </c>
      <c r="B52" s="59">
        <v>2019</v>
      </c>
      <c r="C52" s="344" t="s">
        <v>104</v>
      </c>
      <c r="D52" s="59">
        <v>1203</v>
      </c>
      <c r="E52" s="344" t="s">
        <v>135</v>
      </c>
      <c r="F52" s="29">
        <v>1</v>
      </c>
      <c r="G52" s="9">
        <v>1</v>
      </c>
      <c r="H52" s="9">
        <v>1</v>
      </c>
      <c r="I52" s="9">
        <v>2</v>
      </c>
      <c r="J52" s="9">
        <v>2</v>
      </c>
      <c r="K52" s="160">
        <f t="shared" si="0"/>
        <v>0.35859414261160716</v>
      </c>
      <c r="L52" s="52" t="s">
        <v>120</v>
      </c>
    </row>
    <row r="53" spans="1:12">
      <c r="A53" s="152" t="s">
        <v>118</v>
      </c>
      <c r="B53" s="59">
        <v>2006</v>
      </c>
      <c r="C53" s="344" t="s">
        <v>97</v>
      </c>
      <c r="D53" s="59">
        <v>1225</v>
      </c>
      <c r="E53" s="344" t="s">
        <v>135</v>
      </c>
      <c r="F53" s="29">
        <v>1</v>
      </c>
      <c r="G53" s="9">
        <v>1</v>
      </c>
      <c r="H53" s="9">
        <v>1</v>
      </c>
      <c r="I53" s="9">
        <v>2</v>
      </c>
      <c r="J53" s="9">
        <v>2</v>
      </c>
      <c r="K53" s="160">
        <f t="shared" si="0"/>
        <v>0.35859414261160716</v>
      </c>
      <c r="L53" s="52" t="s">
        <v>120</v>
      </c>
    </row>
    <row r="54" spans="1:12">
      <c r="A54" s="152" t="s">
        <v>118</v>
      </c>
      <c r="B54" s="59">
        <v>2010</v>
      </c>
      <c r="C54" s="344" t="s">
        <v>104</v>
      </c>
      <c r="D54" s="59">
        <v>1317</v>
      </c>
      <c r="E54" s="344" t="s">
        <v>135</v>
      </c>
      <c r="F54" s="29">
        <v>1</v>
      </c>
      <c r="G54" s="9">
        <v>1</v>
      </c>
      <c r="H54" s="9">
        <v>1</v>
      </c>
      <c r="I54" s="9">
        <v>2</v>
      </c>
      <c r="J54" s="9">
        <v>2</v>
      </c>
      <c r="K54" s="160">
        <f t="shared" si="0"/>
        <v>0.35859414261160716</v>
      </c>
      <c r="L54" s="52" t="s">
        <v>120</v>
      </c>
    </row>
    <row r="55" spans="1:12">
      <c r="A55" s="152" t="s">
        <v>118</v>
      </c>
      <c r="B55" s="59">
        <v>2021</v>
      </c>
      <c r="C55" s="344" t="s">
        <v>104</v>
      </c>
      <c r="D55" s="59">
        <v>1323</v>
      </c>
      <c r="E55" s="344" t="s">
        <v>135</v>
      </c>
      <c r="F55" s="29">
        <v>1</v>
      </c>
      <c r="G55" s="9">
        <v>1</v>
      </c>
      <c r="H55" s="9">
        <v>1</v>
      </c>
      <c r="I55" s="9">
        <v>2</v>
      </c>
      <c r="J55" s="9">
        <v>2</v>
      </c>
      <c r="K55" s="160">
        <f t="shared" si="0"/>
        <v>0.35859414261160716</v>
      </c>
      <c r="L55" s="52" t="s">
        <v>120</v>
      </c>
    </row>
    <row r="56" spans="1:12">
      <c r="A56" s="152" t="s">
        <v>118</v>
      </c>
      <c r="B56" s="59">
        <v>2003</v>
      </c>
      <c r="C56" s="344" t="s">
        <v>104</v>
      </c>
      <c r="D56" s="59">
        <v>1330</v>
      </c>
      <c r="E56" s="344" t="s">
        <v>135</v>
      </c>
      <c r="F56" s="29">
        <v>1</v>
      </c>
      <c r="G56" s="9">
        <v>1</v>
      </c>
      <c r="H56" s="9">
        <v>1</v>
      </c>
      <c r="I56" s="9">
        <v>2</v>
      </c>
      <c r="J56" s="9">
        <v>2</v>
      </c>
      <c r="K56" s="160">
        <f t="shared" si="0"/>
        <v>0.35859414261160716</v>
      </c>
      <c r="L56" s="52" t="s">
        <v>120</v>
      </c>
    </row>
    <row r="57" spans="1:12">
      <c r="A57" s="152" t="s">
        <v>118</v>
      </c>
      <c r="B57" s="59">
        <v>2004</v>
      </c>
      <c r="C57" s="344" t="s">
        <v>97</v>
      </c>
      <c r="D57" s="59">
        <v>1334</v>
      </c>
      <c r="E57" s="344" t="s">
        <v>135</v>
      </c>
      <c r="F57" s="29">
        <v>1</v>
      </c>
      <c r="G57" s="9">
        <v>1</v>
      </c>
      <c r="H57" s="9">
        <v>1</v>
      </c>
      <c r="I57" s="9">
        <v>2</v>
      </c>
      <c r="J57" s="9">
        <v>2</v>
      </c>
      <c r="K57" s="160">
        <f t="shared" si="0"/>
        <v>0.35859414261160716</v>
      </c>
      <c r="L57" s="52" t="s">
        <v>120</v>
      </c>
    </row>
    <row r="58" spans="1:12">
      <c r="A58" s="152" t="s">
        <v>118</v>
      </c>
      <c r="B58" s="59">
        <v>2009</v>
      </c>
      <c r="C58" s="344" t="s">
        <v>104</v>
      </c>
      <c r="D58" s="59">
        <v>1344</v>
      </c>
      <c r="E58" s="344" t="s">
        <v>135</v>
      </c>
      <c r="F58" s="29">
        <v>1</v>
      </c>
      <c r="G58" s="9">
        <v>1</v>
      </c>
      <c r="H58" s="9">
        <v>1</v>
      </c>
      <c r="I58" s="9">
        <v>2</v>
      </c>
      <c r="J58" s="9">
        <v>2</v>
      </c>
      <c r="K58" s="160">
        <f t="shared" si="0"/>
        <v>0.35859414261160716</v>
      </c>
      <c r="L58" s="52" t="s">
        <v>120</v>
      </c>
    </row>
    <row r="59" spans="1:12">
      <c r="A59" s="152" t="s">
        <v>118</v>
      </c>
      <c r="B59" s="59">
        <v>2008</v>
      </c>
      <c r="C59" s="344" t="s">
        <v>104</v>
      </c>
      <c r="D59" s="59">
        <v>1425</v>
      </c>
      <c r="E59" s="344" t="s">
        <v>135</v>
      </c>
      <c r="F59" s="29">
        <v>1</v>
      </c>
      <c r="G59" s="9">
        <v>1</v>
      </c>
      <c r="H59" s="9">
        <v>1</v>
      </c>
      <c r="I59" s="9">
        <v>2</v>
      </c>
      <c r="J59" s="9">
        <v>2</v>
      </c>
      <c r="K59" s="160">
        <f t="shared" si="0"/>
        <v>0.35859414261160716</v>
      </c>
      <c r="L59" s="52" t="s">
        <v>120</v>
      </c>
    </row>
    <row r="60" spans="1:12">
      <c r="A60" s="152" t="s">
        <v>118</v>
      </c>
      <c r="B60" s="59">
        <v>2007</v>
      </c>
      <c r="C60" s="344" t="s">
        <v>104</v>
      </c>
      <c r="D60" s="59">
        <v>1461</v>
      </c>
      <c r="E60" s="344" t="s">
        <v>135</v>
      </c>
      <c r="F60" s="29">
        <v>1</v>
      </c>
      <c r="G60" s="9">
        <v>1</v>
      </c>
      <c r="H60" s="9">
        <v>1</v>
      </c>
      <c r="I60" s="9">
        <v>2</v>
      </c>
      <c r="J60" s="9">
        <v>2</v>
      </c>
      <c r="K60" s="160">
        <f t="shared" si="0"/>
        <v>0.35859414261160716</v>
      </c>
      <c r="L60" s="52" t="s">
        <v>120</v>
      </c>
    </row>
    <row r="61" spans="1:12">
      <c r="A61" s="152" t="s">
        <v>118</v>
      </c>
      <c r="B61" s="59">
        <v>2003</v>
      </c>
      <c r="C61" s="344" t="s">
        <v>97</v>
      </c>
      <c r="D61" s="59">
        <v>1482</v>
      </c>
      <c r="E61" s="344" t="s">
        <v>135</v>
      </c>
      <c r="F61" s="29">
        <v>1</v>
      </c>
      <c r="G61" s="9">
        <v>1</v>
      </c>
      <c r="H61" s="9">
        <v>1</v>
      </c>
      <c r="I61" s="9">
        <v>2</v>
      </c>
      <c r="J61" s="9">
        <v>2</v>
      </c>
      <c r="K61" s="160">
        <f t="shared" si="0"/>
        <v>0.35859414261160716</v>
      </c>
      <c r="L61" s="52" t="s">
        <v>120</v>
      </c>
    </row>
    <row r="62" spans="1:12">
      <c r="A62" s="152" t="s">
        <v>118</v>
      </c>
      <c r="B62" s="59">
        <v>2008</v>
      </c>
      <c r="C62" s="344" t="s">
        <v>97</v>
      </c>
      <c r="D62" s="59">
        <v>1487</v>
      </c>
      <c r="E62" s="344" t="s">
        <v>135</v>
      </c>
      <c r="F62" s="29">
        <v>1</v>
      </c>
      <c r="G62" s="9">
        <v>1</v>
      </c>
      <c r="H62" s="9">
        <v>1</v>
      </c>
      <c r="I62" s="9">
        <v>2</v>
      </c>
      <c r="J62" s="9">
        <v>2</v>
      </c>
      <c r="K62" s="160">
        <f t="shared" si="0"/>
        <v>0.35859414261160716</v>
      </c>
      <c r="L62" s="52" t="s">
        <v>120</v>
      </c>
    </row>
    <row r="63" spans="1:12">
      <c r="A63" s="152" t="s">
        <v>118</v>
      </c>
      <c r="B63" s="59">
        <v>2011</v>
      </c>
      <c r="C63" s="344" t="s">
        <v>104</v>
      </c>
      <c r="D63" s="59">
        <v>1520</v>
      </c>
      <c r="E63" s="344" t="s">
        <v>135</v>
      </c>
      <c r="F63" s="29">
        <v>1</v>
      </c>
      <c r="G63" s="9">
        <v>1</v>
      </c>
      <c r="H63" s="9">
        <v>1</v>
      </c>
      <c r="I63" s="9">
        <v>2</v>
      </c>
      <c r="J63" s="9">
        <v>2</v>
      </c>
      <c r="K63" s="160">
        <f t="shared" si="0"/>
        <v>0.35859414261160716</v>
      </c>
      <c r="L63" s="52" t="s">
        <v>120</v>
      </c>
    </row>
    <row r="64" spans="1:12">
      <c r="A64" s="152" t="s">
        <v>118</v>
      </c>
      <c r="B64" s="59">
        <v>2007</v>
      </c>
      <c r="C64" s="344" t="s">
        <v>97</v>
      </c>
      <c r="D64" s="59">
        <v>1527</v>
      </c>
      <c r="E64" s="344" t="s">
        <v>135</v>
      </c>
      <c r="F64" s="29">
        <v>1</v>
      </c>
      <c r="G64" s="9">
        <v>1</v>
      </c>
      <c r="H64" s="9">
        <v>1</v>
      </c>
      <c r="I64" s="9">
        <v>2</v>
      </c>
      <c r="J64" s="9">
        <v>2</v>
      </c>
      <c r="K64" s="160">
        <f t="shared" si="0"/>
        <v>0.35859414261160716</v>
      </c>
      <c r="L64" s="52" t="s">
        <v>120</v>
      </c>
    </row>
    <row r="65" spans="1:12">
      <c r="A65" s="152" t="s">
        <v>118</v>
      </c>
      <c r="B65" s="59">
        <v>2011</v>
      </c>
      <c r="C65" s="344" t="s">
        <v>97</v>
      </c>
      <c r="D65" s="59">
        <v>1540</v>
      </c>
      <c r="E65" s="344" t="s">
        <v>135</v>
      </c>
      <c r="F65" s="29">
        <v>1</v>
      </c>
      <c r="G65" s="9">
        <v>1</v>
      </c>
      <c r="H65" s="9">
        <v>1</v>
      </c>
      <c r="I65" s="9">
        <v>2</v>
      </c>
      <c r="J65" s="9">
        <v>2</v>
      </c>
      <c r="K65" s="160">
        <f t="shared" si="0"/>
        <v>0.35859414261160716</v>
      </c>
      <c r="L65" s="52" t="s">
        <v>120</v>
      </c>
    </row>
    <row r="66" spans="1:12">
      <c r="A66" s="152" t="s">
        <v>118</v>
      </c>
      <c r="B66" s="59">
        <v>2016</v>
      </c>
      <c r="C66" s="344" t="s">
        <v>97</v>
      </c>
      <c r="D66" s="59">
        <v>1544</v>
      </c>
      <c r="E66" s="344" t="s">
        <v>135</v>
      </c>
      <c r="F66" s="29">
        <v>1</v>
      </c>
      <c r="G66" s="9">
        <v>1</v>
      </c>
      <c r="H66" s="9">
        <v>1</v>
      </c>
      <c r="I66" s="9">
        <v>2</v>
      </c>
      <c r="J66" s="9">
        <v>2</v>
      </c>
      <c r="K66" s="160">
        <f t="shared" ref="K66:K129" si="1">IF( OR( ISBLANK(F66),ISBLANK(G66), ISBLANK(H66), ISBLANK(I66), ISBLANK(J66) ), "", 1.5*SQRT(   EXP(2.21*(F66-1)) + EXP(2.21*(G66-1)) + EXP(2.21*(H66-1)) + EXP(2.21*(I66-1)) + EXP(2.21*J66)   )/100*2.45 )</f>
        <v>0.35859414261160716</v>
      </c>
      <c r="L66" s="52" t="s">
        <v>120</v>
      </c>
    </row>
    <row r="67" spans="1:12">
      <c r="A67" s="152" t="s">
        <v>118</v>
      </c>
      <c r="B67" s="59">
        <v>2015</v>
      </c>
      <c r="C67" s="344" t="s">
        <v>96</v>
      </c>
      <c r="D67" s="59">
        <v>1554</v>
      </c>
      <c r="E67" s="344" t="s">
        <v>135</v>
      </c>
      <c r="F67" s="29">
        <v>1</v>
      </c>
      <c r="G67" s="9">
        <v>1</v>
      </c>
      <c r="H67" s="9">
        <v>1</v>
      </c>
      <c r="I67" s="9">
        <v>2</v>
      </c>
      <c r="J67" s="9">
        <v>2</v>
      </c>
      <c r="K67" s="160">
        <f t="shared" si="1"/>
        <v>0.35859414261160716</v>
      </c>
      <c r="L67" s="52" t="s">
        <v>120</v>
      </c>
    </row>
    <row r="68" spans="1:12">
      <c r="A68" s="152" t="s">
        <v>118</v>
      </c>
      <c r="B68" s="59">
        <v>2010</v>
      </c>
      <c r="C68" s="344" t="s">
        <v>96</v>
      </c>
      <c r="D68" s="59">
        <v>1567</v>
      </c>
      <c r="E68" s="344" t="s">
        <v>135</v>
      </c>
      <c r="F68" s="29">
        <v>1</v>
      </c>
      <c r="G68" s="9">
        <v>1</v>
      </c>
      <c r="H68" s="9">
        <v>1</v>
      </c>
      <c r="I68" s="9">
        <v>2</v>
      </c>
      <c r="J68" s="9">
        <v>2</v>
      </c>
      <c r="K68" s="160">
        <f t="shared" si="1"/>
        <v>0.35859414261160716</v>
      </c>
      <c r="L68" s="52" t="s">
        <v>120</v>
      </c>
    </row>
    <row r="69" spans="1:12">
      <c r="A69" s="152" t="s">
        <v>118</v>
      </c>
      <c r="B69" s="59">
        <v>2017</v>
      </c>
      <c r="C69" s="344" t="s">
        <v>97</v>
      </c>
      <c r="D69" s="59">
        <v>1611</v>
      </c>
      <c r="E69" s="344" t="s">
        <v>135</v>
      </c>
      <c r="F69" s="29">
        <v>1</v>
      </c>
      <c r="G69" s="9">
        <v>1</v>
      </c>
      <c r="H69" s="9">
        <v>1</v>
      </c>
      <c r="I69" s="9">
        <v>2</v>
      </c>
      <c r="J69" s="9">
        <v>2</v>
      </c>
      <c r="K69" s="160">
        <f t="shared" si="1"/>
        <v>0.35859414261160716</v>
      </c>
      <c r="L69" s="52" t="s">
        <v>120</v>
      </c>
    </row>
    <row r="70" spans="1:12">
      <c r="A70" s="152" t="s">
        <v>118</v>
      </c>
      <c r="B70" s="59">
        <v>2018</v>
      </c>
      <c r="C70" s="344" t="s">
        <v>97</v>
      </c>
      <c r="D70" s="59">
        <v>1611</v>
      </c>
      <c r="E70" s="344" t="s">
        <v>135</v>
      </c>
      <c r="F70" s="29">
        <v>1</v>
      </c>
      <c r="G70" s="9">
        <v>1</v>
      </c>
      <c r="H70" s="9">
        <v>1</v>
      </c>
      <c r="I70" s="9">
        <v>2</v>
      </c>
      <c r="J70" s="9">
        <v>2</v>
      </c>
      <c r="K70" s="160">
        <f t="shared" si="1"/>
        <v>0.35859414261160716</v>
      </c>
      <c r="L70" s="52" t="s">
        <v>120</v>
      </c>
    </row>
    <row r="71" spans="1:12">
      <c r="A71" s="152" t="s">
        <v>118</v>
      </c>
      <c r="B71" s="59">
        <v>2019</v>
      </c>
      <c r="C71" s="344" t="s">
        <v>97</v>
      </c>
      <c r="D71" s="59">
        <v>1611</v>
      </c>
      <c r="E71" s="344" t="s">
        <v>135</v>
      </c>
      <c r="F71" s="29">
        <v>1</v>
      </c>
      <c r="G71" s="9">
        <v>1</v>
      </c>
      <c r="H71" s="9">
        <v>1</v>
      </c>
      <c r="I71" s="9">
        <v>2</v>
      </c>
      <c r="J71" s="9">
        <v>2</v>
      </c>
      <c r="K71" s="160">
        <f t="shared" si="1"/>
        <v>0.35859414261160716</v>
      </c>
      <c r="L71" s="52" t="s">
        <v>120</v>
      </c>
    </row>
    <row r="72" spans="1:12">
      <c r="A72" s="152" t="s">
        <v>118</v>
      </c>
      <c r="B72" s="59">
        <v>2015</v>
      </c>
      <c r="C72" s="344" t="s">
        <v>97</v>
      </c>
      <c r="D72" s="59">
        <v>1624</v>
      </c>
      <c r="E72" s="344" t="s">
        <v>135</v>
      </c>
      <c r="F72" s="29">
        <v>1</v>
      </c>
      <c r="G72" s="9">
        <v>1</v>
      </c>
      <c r="H72" s="9">
        <v>1</v>
      </c>
      <c r="I72" s="9">
        <v>2</v>
      </c>
      <c r="J72" s="9">
        <v>2</v>
      </c>
      <c r="K72" s="160">
        <f t="shared" si="1"/>
        <v>0.35859414261160716</v>
      </c>
      <c r="L72" s="52" t="s">
        <v>120</v>
      </c>
    </row>
    <row r="73" spans="1:12">
      <c r="A73" s="152" t="s">
        <v>118</v>
      </c>
      <c r="B73" s="59">
        <v>2010</v>
      </c>
      <c r="C73" s="344" t="s">
        <v>97</v>
      </c>
      <c r="D73" s="59">
        <v>1634</v>
      </c>
      <c r="E73" s="344" t="s">
        <v>135</v>
      </c>
      <c r="F73" s="29">
        <v>1</v>
      </c>
      <c r="G73" s="9">
        <v>1</v>
      </c>
      <c r="H73" s="9">
        <v>1</v>
      </c>
      <c r="I73" s="9">
        <v>2</v>
      </c>
      <c r="J73" s="9">
        <v>2</v>
      </c>
      <c r="K73" s="160">
        <f t="shared" si="1"/>
        <v>0.35859414261160716</v>
      </c>
      <c r="L73" s="52" t="s">
        <v>120</v>
      </c>
    </row>
    <row r="74" spans="1:12">
      <c r="A74" s="152" t="s">
        <v>118</v>
      </c>
      <c r="B74" s="59">
        <v>2004</v>
      </c>
      <c r="C74" s="344" t="s">
        <v>96</v>
      </c>
      <c r="D74" s="59">
        <v>1637</v>
      </c>
      <c r="E74" s="344" t="s">
        <v>135</v>
      </c>
      <c r="F74" s="29">
        <v>1</v>
      </c>
      <c r="G74" s="9">
        <v>1</v>
      </c>
      <c r="H74" s="9">
        <v>1</v>
      </c>
      <c r="I74" s="9">
        <v>2</v>
      </c>
      <c r="J74" s="9">
        <v>2</v>
      </c>
      <c r="K74" s="160">
        <f t="shared" si="1"/>
        <v>0.35859414261160716</v>
      </c>
      <c r="L74" s="52" t="s">
        <v>120</v>
      </c>
    </row>
    <row r="75" spans="1:12">
      <c r="A75" s="152" t="s">
        <v>118</v>
      </c>
      <c r="B75" s="59">
        <v>2009</v>
      </c>
      <c r="C75" s="344" t="s">
        <v>97</v>
      </c>
      <c r="D75" s="59">
        <v>1646</v>
      </c>
      <c r="E75" s="344" t="s">
        <v>135</v>
      </c>
      <c r="F75" s="29">
        <v>1</v>
      </c>
      <c r="G75" s="9">
        <v>1</v>
      </c>
      <c r="H75" s="9">
        <v>1</v>
      </c>
      <c r="I75" s="9">
        <v>2</v>
      </c>
      <c r="J75" s="9">
        <v>2</v>
      </c>
      <c r="K75" s="160">
        <f t="shared" si="1"/>
        <v>0.35859414261160716</v>
      </c>
      <c r="L75" s="52" t="s">
        <v>120</v>
      </c>
    </row>
    <row r="76" spans="1:12">
      <c r="A76" s="152" t="s">
        <v>118</v>
      </c>
      <c r="B76" s="59">
        <v>2005</v>
      </c>
      <c r="C76" s="344" t="s">
        <v>96</v>
      </c>
      <c r="D76" s="59">
        <v>1714</v>
      </c>
      <c r="E76" s="344" t="s">
        <v>135</v>
      </c>
      <c r="F76" s="29">
        <v>1</v>
      </c>
      <c r="G76" s="9">
        <v>1</v>
      </c>
      <c r="H76" s="9">
        <v>1</v>
      </c>
      <c r="I76" s="9">
        <v>2</v>
      </c>
      <c r="J76" s="9">
        <v>2</v>
      </c>
      <c r="K76" s="160">
        <f t="shared" si="1"/>
        <v>0.35859414261160716</v>
      </c>
      <c r="L76" s="52" t="s">
        <v>120</v>
      </c>
    </row>
    <row r="77" spans="1:12">
      <c r="A77" s="152" t="s">
        <v>118</v>
      </c>
      <c r="B77" s="59">
        <v>2014</v>
      </c>
      <c r="C77" s="344" t="s">
        <v>96</v>
      </c>
      <c r="D77" s="59">
        <v>1721</v>
      </c>
      <c r="E77" s="344" t="s">
        <v>135</v>
      </c>
      <c r="F77" s="29">
        <v>1</v>
      </c>
      <c r="G77" s="9">
        <v>1</v>
      </c>
      <c r="H77" s="9">
        <v>1</v>
      </c>
      <c r="I77" s="9">
        <v>2</v>
      </c>
      <c r="J77" s="9">
        <v>2</v>
      </c>
      <c r="K77" s="160">
        <f t="shared" si="1"/>
        <v>0.35859414261160716</v>
      </c>
      <c r="L77" s="52" t="s">
        <v>120</v>
      </c>
    </row>
    <row r="78" spans="1:12">
      <c r="A78" s="152" t="s">
        <v>118</v>
      </c>
      <c r="B78" s="59">
        <v>2009</v>
      </c>
      <c r="C78" s="344" t="s">
        <v>96</v>
      </c>
      <c r="D78" s="59">
        <v>1738</v>
      </c>
      <c r="E78" s="344" t="s">
        <v>135</v>
      </c>
      <c r="F78" s="29">
        <v>1</v>
      </c>
      <c r="G78" s="9">
        <v>1</v>
      </c>
      <c r="H78" s="9">
        <v>1</v>
      </c>
      <c r="I78" s="9">
        <v>2</v>
      </c>
      <c r="J78" s="9">
        <v>2</v>
      </c>
      <c r="K78" s="160">
        <f t="shared" si="1"/>
        <v>0.35859414261160716</v>
      </c>
      <c r="L78" s="52" t="s">
        <v>120</v>
      </c>
    </row>
    <row r="79" spans="1:12">
      <c r="A79" s="152" t="s">
        <v>118</v>
      </c>
      <c r="B79" s="59">
        <v>2013</v>
      </c>
      <c r="C79" s="344" t="s">
        <v>96</v>
      </c>
      <c r="D79" s="59">
        <v>1752</v>
      </c>
      <c r="E79" s="344" t="s">
        <v>135</v>
      </c>
      <c r="F79" s="29">
        <v>1</v>
      </c>
      <c r="G79" s="9">
        <v>1</v>
      </c>
      <c r="H79" s="9">
        <v>1</v>
      </c>
      <c r="I79" s="9">
        <v>2</v>
      </c>
      <c r="J79" s="9">
        <v>2</v>
      </c>
      <c r="K79" s="160">
        <f t="shared" si="1"/>
        <v>0.35859414261160716</v>
      </c>
      <c r="L79" s="52" t="s">
        <v>120</v>
      </c>
    </row>
    <row r="80" spans="1:12">
      <c r="A80" s="152" t="s">
        <v>118</v>
      </c>
      <c r="B80" s="59">
        <v>2011</v>
      </c>
      <c r="C80" s="344" t="s">
        <v>96</v>
      </c>
      <c r="D80" s="59">
        <v>1771</v>
      </c>
      <c r="E80" s="344" t="s">
        <v>135</v>
      </c>
      <c r="F80" s="29">
        <v>1</v>
      </c>
      <c r="G80" s="9">
        <v>1</v>
      </c>
      <c r="H80" s="9">
        <v>1</v>
      </c>
      <c r="I80" s="9">
        <v>2</v>
      </c>
      <c r="J80" s="9">
        <v>2</v>
      </c>
      <c r="K80" s="160">
        <f t="shared" si="1"/>
        <v>0.35859414261160716</v>
      </c>
      <c r="L80" s="52" t="s">
        <v>120</v>
      </c>
    </row>
    <row r="81" spans="1:12">
      <c r="A81" s="152" t="s">
        <v>118</v>
      </c>
      <c r="B81" s="59">
        <v>2016</v>
      </c>
      <c r="C81" s="344" t="s">
        <v>96</v>
      </c>
      <c r="D81" s="59">
        <v>1781</v>
      </c>
      <c r="E81" s="344" t="s">
        <v>135</v>
      </c>
      <c r="F81" s="29">
        <v>1</v>
      </c>
      <c r="G81" s="9">
        <v>1</v>
      </c>
      <c r="H81" s="9">
        <v>1</v>
      </c>
      <c r="I81" s="9">
        <v>2</v>
      </c>
      <c r="J81" s="9">
        <v>2</v>
      </c>
      <c r="K81" s="160">
        <f t="shared" si="1"/>
        <v>0.35859414261160716</v>
      </c>
      <c r="L81" s="52" t="s">
        <v>120</v>
      </c>
    </row>
    <row r="82" spans="1:12">
      <c r="A82" s="152" t="s">
        <v>118</v>
      </c>
      <c r="B82" s="59">
        <v>2008</v>
      </c>
      <c r="C82" s="344" t="s">
        <v>96</v>
      </c>
      <c r="D82" s="59">
        <v>1783</v>
      </c>
      <c r="E82" s="344" t="s">
        <v>135</v>
      </c>
      <c r="F82" s="29">
        <v>1</v>
      </c>
      <c r="G82" s="9">
        <v>1</v>
      </c>
      <c r="H82" s="9">
        <v>1</v>
      </c>
      <c r="I82" s="9">
        <v>2</v>
      </c>
      <c r="J82" s="9">
        <v>2</v>
      </c>
      <c r="K82" s="160">
        <f t="shared" si="1"/>
        <v>0.35859414261160716</v>
      </c>
      <c r="L82" s="52" t="s">
        <v>120</v>
      </c>
    </row>
    <row r="83" spans="1:12">
      <c r="A83" s="152" t="s">
        <v>118</v>
      </c>
      <c r="B83" s="59">
        <v>2017</v>
      </c>
      <c r="C83" s="344" t="s">
        <v>96</v>
      </c>
      <c r="D83" s="59">
        <v>1814</v>
      </c>
      <c r="E83" s="344" t="s">
        <v>135</v>
      </c>
      <c r="F83" s="29">
        <v>1</v>
      </c>
      <c r="G83" s="9">
        <v>1</v>
      </c>
      <c r="H83" s="9">
        <v>1</v>
      </c>
      <c r="I83" s="9">
        <v>2</v>
      </c>
      <c r="J83" s="9">
        <v>2</v>
      </c>
      <c r="K83" s="160">
        <f t="shared" si="1"/>
        <v>0.35859414261160716</v>
      </c>
      <c r="L83" s="52" t="s">
        <v>120</v>
      </c>
    </row>
    <row r="84" spans="1:12">
      <c r="A84" s="152" t="s">
        <v>118</v>
      </c>
      <c r="B84" s="59">
        <v>2018</v>
      </c>
      <c r="C84" s="344" t="s">
        <v>96</v>
      </c>
      <c r="D84" s="59">
        <v>1814</v>
      </c>
      <c r="E84" s="344" t="s">
        <v>135</v>
      </c>
      <c r="F84" s="29">
        <v>1</v>
      </c>
      <c r="G84" s="9">
        <v>1</v>
      </c>
      <c r="H84" s="9">
        <v>1</v>
      </c>
      <c r="I84" s="9">
        <v>2</v>
      </c>
      <c r="J84" s="9">
        <v>2</v>
      </c>
      <c r="K84" s="160">
        <f t="shared" si="1"/>
        <v>0.35859414261160716</v>
      </c>
      <c r="L84" s="52" t="s">
        <v>120</v>
      </c>
    </row>
    <row r="85" spans="1:12">
      <c r="A85" s="152" t="s">
        <v>118</v>
      </c>
      <c r="B85" s="59">
        <v>2019</v>
      </c>
      <c r="C85" s="344" t="s">
        <v>96</v>
      </c>
      <c r="D85" s="59">
        <v>1814</v>
      </c>
      <c r="E85" s="344" t="s">
        <v>135</v>
      </c>
      <c r="F85" s="29">
        <v>1</v>
      </c>
      <c r="G85" s="9">
        <v>1</v>
      </c>
      <c r="H85" s="9">
        <v>1</v>
      </c>
      <c r="I85" s="9">
        <v>2</v>
      </c>
      <c r="J85" s="9">
        <v>2</v>
      </c>
      <c r="K85" s="160">
        <f t="shared" si="1"/>
        <v>0.35859414261160716</v>
      </c>
      <c r="L85" s="52" t="s">
        <v>120</v>
      </c>
    </row>
    <row r="86" spans="1:12">
      <c r="A86" s="152" t="s">
        <v>118</v>
      </c>
      <c r="B86" s="59">
        <v>2013</v>
      </c>
      <c r="C86" s="344" t="s">
        <v>103</v>
      </c>
      <c r="D86" s="59">
        <v>1837</v>
      </c>
      <c r="E86" s="344" t="s">
        <v>135</v>
      </c>
      <c r="F86" s="29">
        <v>1</v>
      </c>
      <c r="G86" s="9">
        <v>1</v>
      </c>
      <c r="H86" s="9">
        <v>1</v>
      </c>
      <c r="I86" s="9">
        <v>2</v>
      </c>
      <c r="J86" s="9">
        <v>2</v>
      </c>
      <c r="K86" s="160">
        <f t="shared" si="1"/>
        <v>0.35859414261160716</v>
      </c>
      <c r="L86" s="52" t="s">
        <v>120</v>
      </c>
    </row>
    <row r="87" spans="1:12">
      <c r="A87" s="152" t="s">
        <v>118</v>
      </c>
      <c r="B87" s="59">
        <v>2020</v>
      </c>
      <c r="C87" s="344" t="s">
        <v>97</v>
      </c>
      <c r="D87" s="59">
        <v>1855</v>
      </c>
      <c r="E87" s="344" t="s">
        <v>135</v>
      </c>
      <c r="F87" s="29">
        <v>1</v>
      </c>
      <c r="G87" s="9">
        <v>1</v>
      </c>
      <c r="H87" s="9">
        <v>1</v>
      </c>
      <c r="I87" s="9">
        <v>2</v>
      </c>
      <c r="J87" s="9">
        <v>2</v>
      </c>
      <c r="K87" s="160">
        <f t="shared" si="1"/>
        <v>0.35859414261160716</v>
      </c>
      <c r="L87" s="52" t="s">
        <v>120</v>
      </c>
    </row>
    <row r="88" spans="1:12">
      <c r="A88" s="152" t="s">
        <v>118</v>
      </c>
      <c r="B88" s="59">
        <v>2012</v>
      </c>
      <c r="C88" s="344" t="s">
        <v>96</v>
      </c>
      <c r="D88" s="59">
        <v>1864</v>
      </c>
      <c r="E88" s="344" t="s">
        <v>135</v>
      </c>
      <c r="F88" s="29">
        <v>1</v>
      </c>
      <c r="G88" s="9">
        <v>1</v>
      </c>
      <c r="H88" s="9">
        <v>1</v>
      </c>
      <c r="I88" s="9">
        <v>2</v>
      </c>
      <c r="J88" s="9">
        <v>2</v>
      </c>
      <c r="K88" s="160">
        <f t="shared" si="1"/>
        <v>0.35859414261160716</v>
      </c>
      <c r="L88" s="52" t="s">
        <v>120</v>
      </c>
    </row>
    <row r="89" spans="1:12">
      <c r="A89" s="152" t="s">
        <v>118</v>
      </c>
      <c r="B89" s="59">
        <v>2012</v>
      </c>
      <c r="C89" s="344" t="s">
        <v>97</v>
      </c>
      <c r="D89" s="59">
        <v>1872</v>
      </c>
      <c r="E89" s="344" t="s">
        <v>135</v>
      </c>
      <c r="F89" s="29">
        <v>1</v>
      </c>
      <c r="G89" s="9">
        <v>1</v>
      </c>
      <c r="H89" s="9">
        <v>1</v>
      </c>
      <c r="I89" s="9">
        <v>2</v>
      </c>
      <c r="J89" s="9">
        <v>2</v>
      </c>
      <c r="K89" s="160">
        <f t="shared" si="1"/>
        <v>0.35859414261160716</v>
      </c>
      <c r="L89" s="52" t="s">
        <v>120</v>
      </c>
    </row>
    <row r="90" spans="1:12">
      <c r="A90" s="152" t="s">
        <v>118</v>
      </c>
      <c r="B90" s="59">
        <v>2013</v>
      </c>
      <c r="C90" s="344" t="s">
        <v>97</v>
      </c>
      <c r="D90" s="59">
        <v>1875</v>
      </c>
      <c r="E90" s="344" t="s">
        <v>135</v>
      </c>
      <c r="F90" s="29">
        <v>1</v>
      </c>
      <c r="G90" s="9">
        <v>1</v>
      </c>
      <c r="H90" s="9">
        <v>1</v>
      </c>
      <c r="I90" s="9">
        <v>2</v>
      </c>
      <c r="J90" s="9">
        <v>2</v>
      </c>
      <c r="K90" s="160">
        <f t="shared" si="1"/>
        <v>0.35859414261160716</v>
      </c>
      <c r="L90" s="52" t="s">
        <v>120</v>
      </c>
    </row>
    <row r="91" spans="1:12">
      <c r="A91" s="152" t="s">
        <v>118</v>
      </c>
      <c r="B91" s="59">
        <v>2012</v>
      </c>
      <c r="C91" s="344" t="s">
        <v>103</v>
      </c>
      <c r="D91" s="59">
        <v>1900</v>
      </c>
      <c r="E91" s="344" t="s">
        <v>135</v>
      </c>
      <c r="F91" s="29">
        <v>1</v>
      </c>
      <c r="G91" s="9">
        <v>1</v>
      </c>
      <c r="H91" s="9">
        <v>1</v>
      </c>
      <c r="I91" s="9">
        <v>2</v>
      </c>
      <c r="J91" s="9">
        <v>2</v>
      </c>
      <c r="K91" s="160">
        <f t="shared" si="1"/>
        <v>0.35859414261160716</v>
      </c>
      <c r="L91" s="52" t="s">
        <v>120</v>
      </c>
    </row>
    <row r="92" spans="1:12">
      <c r="A92" s="152" t="s">
        <v>118</v>
      </c>
      <c r="B92" s="59">
        <v>2003</v>
      </c>
      <c r="C92" s="344" t="s">
        <v>96</v>
      </c>
      <c r="D92" s="59">
        <v>1922</v>
      </c>
      <c r="E92" s="344" t="s">
        <v>135</v>
      </c>
      <c r="F92" s="29">
        <v>1</v>
      </c>
      <c r="G92" s="9">
        <v>1</v>
      </c>
      <c r="H92" s="9">
        <v>1</v>
      </c>
      <c r="I92" s="9">
        <v>2</v>
      </c>
      <c r="J92" s="9">
        <v>2</v>
      </c>
      <c r="K92" s="160">
        <f t="shared" si="1"/>
        <v>0.35859414261160716</v>
      </c>
      <c r="L92" s="52" t="s">
        <v>120</v>
      </c>
    </row>
    <row r="93" spans="1:12">
      <c r="A93" s="152" t="s">
        <v>118</v>
      </c>
      <c r="B93" s="59">
        <v>2021</v>
      </c>
      <c r="C93" s="344" t="s">
        <v>97</v>
      </c>
      <c r="D93" s="59">
        <v>1923</v>
      </c>
      <c r="E93" s="344" t="s">
        <v>135</v>
      </c>
      <c r="F93" s="29">
        <v>1</v>
      </c>
      <c r="G93" s="9">
        <v>1</v>
      </c>
      <c r="H93" s="9">
        <v>1</v>
      </c>
      <c r="I93" s="9">
        <v>2</v>
      </c>
      <c r="J93" s="9">
        <v>2</v>
      </c>
      <c r="K93" s="160">
        <f t="shared" si="1"/>
        <v>0.35859414261160716</v>
      </c>
      <c r="L93" s="52" t="s">
        <v>120</v>
      </c>
    </row>
    <row r="94" spans="1:12">
      <c r="A94" s="152" t="s">
        <v>118</v>
      </c>
      <c r="B94" s="59">
        <v>2007</v>
      </c>
      <c r="C94" s="344" t="s">
        <v>96</v>
      </c>
      <c r="D94" s="59">
        <v>1934</v>
      </c>
      <c r="E94" s="344" t="s">
        <v>135</v>
      </c>
      <c r="F94" s="29">
        <v>1</v>
      </c>
      <c r="G94" s="9">
        <v>1</v>
      </c>
      <c r="H94" s="9">
        <v>1</v>
      </c>
      <c r="I94" s="9">
        <v>2</v>
      </c>
      <c r="J94" s="9">
        <v>2</v>
      </c>
      <c r="K94" s="160">
        <f t="shared" si="1"/>
        <v>0.35859414261160716</v>
      </c>
      <c r="L94" s="52" t="s">
        <v>120</v>
      </c>
    </row>
    <row r="95" spans="1:12">
      <c r="A95" s="152" t="s">
        <v>118</v>
      </c>
      <c r="B95" s="59">
        <v>2016</v>
      </c>
      <c r="C95" s="344" t="s">
        <v>105</v>
      </c>
      <c r="D95" s="59">
        <v>1965</v>
      </c>
      <c r="E95" s="344" t="s">
        <v>135</v>
      </c>
      <c r="F95" s="29">
        <v>1</v>
      </c>
      <c r="G95" s="9">
        <v>1</v>
      </c>
      <c r="H95" s="9">
        <v>1</v>
      </c>
      <c r="I95" s="9">
        <v>2</v>
      </c>
      <c r="J95" s="9">
        <v>2</v>
      </c>
      <c r="K95" s="160">
        <f t="shared" si="1"/>
        <v>0.35859414261160716</v>
      </c>
      <c r="L95" s="52" t="s">
        <v>120</v>
      </c>
    </row>
    <row r="96" spans="1:12">
      <c r="A96" s="152" t="s">
        <v>118</v>
      </c>
      <c r="B96" s="59">
        <v>2020</v>
      </c>
      <c r="C96" s="344" t="s">
        <v>96</v>
      </c>
      <c r="D96" s="59">
        <v>1995</v>
      </c>
      <c r="E96" s="344" t="s">
        <v>135</v>
      </c>
      <c r="F96" s="29">
        <v>1</v>
      </c>
      <c r="G96" s="9">
        <v>1</v>
      </c>
      <c r="H96" s="9">
        <v>1</v>
      </c>
      <c r="I96" s="9">
        <v>2</v>
      </c>
      <c r="J96" s="9">
        <v>2</v>
      </c>
      <c r="K96" s="160">
        <f t="shared" si="1"/>
        <v>0.35859414261160716</v>
      </c>
      <c r="L96" s="52" t="s">
        <v>120</v>
      </c>
    </row>
    <row r="97" spans="1:12">
      <c r="A97" s="152" t="s">
        <v>118</v>
      </c>
      <c r="B97" s="59">
        <v>2004</v>
      </c>
      <c r="C97" s="344" t="s">
        <v>103</v>
      </c>
      <c r="D97" s="59">
        <v>2007</v>
      </c>
      <c r="E97" s="344" t="s">
        <v>135</v>
      </c>
      <c r="F97" s="29">
        <v>1</v>
      </c>
      <c r="G97" s="9">
        <v>1</v>
      </c>
      <c r="H97" s="9">
        <v>1</v>
      </c>
      <c r="I97" s="9">
        <v>2</v>
      </c>
      <c r="J97" s="9">
        <v>2</v>
      </c>
      <c r="K97" s="160">
        <f t="shared" si="1"/>
        <v>0.35859414261160716</v>
      </c>
      <c r="L97" s="52" t="s">
        <v>120</v>
      </c>
    </row>
    <row r="98" spans="1:12">
      <c r="A98" s="152" t="s">
        <v>118</v>
      </c>
      <c r="B98" s="59">
        <v>2014</v>
      </c>
      <c r="C98" s="344" t="s">
        <v>97</v>
      </c>
      <c r="D98" s="59">
        <v>2023</v>
      </c>
      <c r="E98" s="344" t="s">
        <v>135</v>
      </c>
      <c r="F98" s="29">
        <v>1</v>
      </c>
      <c r="G98" s="9">
        <v>1</v>
      </c>
      <c r="H98" s="9">
        <v>1</v>
      </c>
      <c r="I98" s="9">
        <v>2</v>
      </c>
      <c r="J98" s="9">
        <v>2</v>
      </c>
      <c r="K98" s="160">
        <f t="shared" si="1"/>
        <v>0.35859414261160716</v>
      </c>
      <c r="L98" s="52" t="s">
        <v>120</v>
      </c>
    </row>
    <row r="99" spans="1:12">
      <c r="A99" s="152" t="s">
        <v>118</v>
      </c>
      <c r="B99" s="59">
        <v>2021</v>
      </c>
      <c r="C99" s="344" t="s">
        <v>96</v>
      </c>
      <c r="D99" s="59">
        <v>2057</v>
      </c>
      <c r="E99" s="344" t="s">
        <v>135</v>
      </c>
      <c r="F99" s="29">
        <v>1</v>
      </c>
      <c r="G99" s="9">
        <v>1</v>
      </c>
      <c r="H99" s="9">
        <v>1</v>
      </c>
      <c r="I99" s="9">
        <v>2</v>
      </c>
      <c r="J99" s="9">
        <v>2</v>
      </c>
      <c r="K99" s="160">
        <f t="shared" si="1"/>
        <v>0.35859414261160716</v>
      </c>
      <c r="L99" s="52" t="s">
        <v>120</v>
      </c>
    </row>
    <row r="100" spans="1:12">
      <c r="A100" s="152" t="s">
        <v>118</v>
      </c>
      <c r="B100" s="59">
        <v>2010</v>
      </c>
      <c r="C100" s="344" t="s">
        <v>101</v>
      </c>
      <c r="D100" s="59">
        <v>2100</v>
      </c>
      <c r="E100" s="344" t="s">
        <v>135</v>
      </c>
      <c r="F100" s="29">
        <v>1</v>
      </c>
      <c r="G100" s="9">
        <v>1</v>
      </c>
      <c r="H100" s="9">
        <v>1</v>
      </c>
      <c r="I100" s="9">
        <v>2</v>
      </c>
      <c r="J100" s="9">
        <v>2</v>
      </c>
      <c r="K100" s="160">
        <f t="shared" si="1"/>
        <v>0.35859414261160716</v>
      </c>
      <c r="L100" s="52" t="s">
        <v>120</v>
      </c>
    </row>
    <row r="101" spans="1:12">
      <c r="A101" s="152" t="s">
        <v>118</v>
      </c>
      <c r="B101" s="59">
        <v>2011</v>
      </c>
      <c r="C101" s="344" t="s">
        <v>101</v>
      </c>
      <c r="D101" s="59">
        <v>2100</v>
      </c>
      <c r="E101" s="344" t="s">
        <v>135</v>
      </c>
      <c r="F101" s="29">
        <v>1</v>
      </c>
      <c r="G101" s="9">
        <v>1</v>
      </c>
      <c r="H101" s="9">
        <v>1</v>
      </c>
      <c r="I101" s="9">
        <v>2</v>
      </c>
      <c r="J101" s="9">
        <v>2</v>
      </c>
      <c r="K101" s="160">
        <f t="shared" si="1"/>
        <v>0.35859414261160716</v>
      </c>
      <c r="L101" s="52" t="s">
        <v>120</v>
      </c>
    </row>
    <row r="102" spans="1:12">
      <c r="A102" s="152" t="s">
        <v>118</v>
      </c>
      <c r="B102" s="59">
        <v>2009</v>
      </c>
      <c r="C102" s="344" t="s">
        <v>103</v>
      </c>
      <c r="D102" s="59">
        <v>2127</v>
      </c>
      <c r="E102" s="344" t="s">
        <v>135</v>
      </c>
      <c r="F102" s="29">
        <v>1</v>
      </c>
      <c r="G102" s="9">
        <v>1</v>
      </c>
      <c r="H102" s="9">
        <v>1</v>
      </c>
      <c r="I102" s="9">
        <v>2</v>
      </c>
      <c r="J102" s="9">
        <v>2</v>
      </c>
      <c r="K102" s="160">
        <f t="shared" si="1"/>
        <v>0.35859414261160716</v>
      </c>
      <c r="L102" s="52" t="s">
        <v>120</v>
      </c>
    </row>
    <row r="103" spans="1:12">
      <c r="A103" s="152" t="s">
        <v>118</v>
      </c>
      <c r="B103" s="59">
        <v>2020</v>
      </c>
      <c r="C103" s="344" t="s">
        <v>103</v>
      </c>
      <c r="D103" s="59">
        <v>2139</v>
      </c>
      <c r="E103" s="344" t="s">
        <v>135</v>
      </c>
      <c r="F103" s="29">
        <v>1</v>
      </c>
      <c r="G103" s="9">
        <v>1</v>
      </c>
      <c r="H103" s="9">
        <v>1</v>
      </c>
      <c r="I103" s="9">
        <v>2</v>
      </c>
      <c r="J103" s="9">
        <v>2</v>
      </c>
      <c r="K103" s="160">
        <f t="shared" si="1"/>
        <v>0.35859414261160716</v>
      </c>
      <c r="L103" s="52" t="s">
        <v>120</v>
      </c>
    </row>
    <row r="104" spans="1:12">
      <c r="A104" s="152" t="s">
        <v>118</v>
      </c>
      <c r="B104" s="59">
        <v>2021</v>
      </c>
      <c r="C104" s="344" t="s">
        <v>103</v>
      </c>
      <c r="D104" s="59">
        <v>2149</v>
      </c>
      <c r="E104" s="344" t="s">
        <v>135</v>
      </c>
      <c r="F104" s="29">
        <v>1</v>
      </c>
      <c r="G104" s="9">
        <v>1</v>
      </c>
      <c r="H104" s="9">
        <v>1</v>
      </c>
      <c r="I104" s="9">
        <v>2</v>
      </c>
      <c r="J104" s="9">
        <v>2</v>
      </c>
      <c r="K104" s="160">
        <f t="shared" si="1"/>
        <v>0.35859414261160716</v>
      </c>
      <c r="L104" s="52" t="s">
        <v>120</v>
      </c>
    </row>
    <row r="105" spans="1:12">
      <c r="A105" s="152" t="s">
        <v>118</v>
      </c>
      <c r="B105" s="59">
        <v>2003</v>
      </c>
      <c r="C105" s="344" t="s">
        <v>103</v>
      </c>
      <c r="D105" s="59">
        <v>2162</v>
      </c>
      <c r="E105" s="344" t="s">
        <v>135</v>
      </c>
      <c r="F105" s="29">
        <v>1</v>
      </c>
      <c r="G105" s="9">
        <v>1</v>
      </c>
      <c r="H105" s="9">
        <v>1</v>
      </c>
      <c r="I105" s="9">
        <v>2</v>
      </c>
      <c r="J105" s="9">
        <v>2</v>
      </c>
      <c r="K105" s="160">
        <f t="shared" si="1"/>
        <v>0.35859414261160716</v>
      </c>
      <c r="L105" s="52" t="s">
        <v>120</v>
      </c>
    </row>
    <row r="106" spans="1:12">
      <c r="A106" s="152" t="s">
        <v>118</v>
      </c>
      <c r="B106" s="59">
        <v>2006</v>
      </c>
      <c r="C106" s="344" t="s">
        <v>96</v>
      </c>
      <c r="D106" s="59">
        <v>2239</v>
      </c>
      <c r="E106" s="344" t="s">
        <v>135</v>
      </c>
      <c r="F106" s="29">
        <v>1</v>
      </c>
      <c r="G106" s="9">
        <v>1</v>
      </c>
      <c r="H106" s="9">
        <v>1</v>
      </c>
      <c r="I106" s="9">
        <v>2</v>
      </c>
      <c r="J106" s="9">
        <v>2</v>
      </c>
      <c r="K106" s="160">
        <f t="shared" si="1"/>
        <v>0.35859414261160716</v>
      </c>
      <c r="L106" s="52" t="s">
        <v>120</v>
      </c>
    </row>
    <row r="107" spans="1:12">
      <c r="A107" s="152" t="s">
        <v>118</v>
      </c>
      <c r="B107" s="59">
        <v>2013</v>
      </c>
      <c r="C107" s="344" t="s">
        <v>105</v>
      </c>
      <c r="D107" s="59">
        <v>2280</v>
      </c>
      <c r="E107" s="344" t="s">
        <v>135</v>
      </c>
      <c r="F107" s="29">
        <v>1</v>
      </c>
      <c r="G107" s="9">
        <v>1</v>
      </c>
      <c r="H107" s="9">
        <v>1</v>
      </c>
      <c r="I107" s="9">
        <v>2</v>
      </c>
      <c r="J107" s="9">
        <v>2</v>
      </c>
      <c r="K107" s="160">
        <f t="shared" si="1"/>
        <v>0.35859414261160716</v>
      </c>
      <c r="L107" s="52" t="s">
        <v>120</v>
      </c>
    </row>
    <row r="108" spans="1:12">
      <c r="A108" s="152" t="s">
        <v>118</v>
      </c>
      <c r="B108" s="59">
        <v>2015</v>
      </c>
      <c r="C108" s="344" t="s">
        <v>105</v>
      </c>
      <c r="D108" s="59">
        <v>2282</v>
      </c>
      <c r="E108" s="344" t="s">
        <v>135</v>
      </c>
      <c r="F108" s="29">
        <v>1</v>
      </c>
      <c r="G108" s="9">
        <v>1</v>
      </c>
      <c r="H108" s="9">
        <v>1</v>
      </c>
      <c r="I108" s="9">
        <v>2</v>
      </c>
      <c r="J108" s="9">
        <v>2</v>
      </c>
      <c r="K108" s="160">
        <f t="shared" si="1"/>
        <v>0.35859414261160716</v>
      </c>
      <c r="L108" s="52" t="s">
        <v>120</v>
      </c>
    </row>
    <row r="109" spans="1:12">
      <c r="A109" s="152" t="s">
        <v>118</v>
      </c>
      <c r="B109" s="59">
        <v>2017</v>
      </c>
      <c r="C109" s="344" t="s">
        <v>103</v>
      </c>
      <c r="D109" s="59">
        <v>2283</v>
      </c>
      <c r="E109" s="344" t="s">
        <v>135</v>
      </c>
      <c r="F109" s="29">
        <v>1</v>
      </c>
      <c r="G109" s="9">
        <v>1</v>
      </c>
      <c r="H109" s="9">
        <v>1</v>
      </c>
      <c r="I109" s="9">
        <v>2</v>
      </c>
      <c r="J109" s="9">
        <v>2</v>
      </c>
      <c r="K109" s="160">
        <f t="shared" si="1"/>
        <v>0.35859414261160716</v>
      </c>
      <c r="L109" s="52" t="s">
        <v>120</v>
      </c>
    </row>
    <row r="110" spans="1:12">
      <c r="A110" s="152" t="s">
        <v>118</v>
      </c>
      <c r="B110" s="59">
        <v>2018</v>
      </c>
      <c r="C110" s="344" t="s">
        <v>103</v>
      </c>
      <c r="D110" s="59">
        <v>2283</v>
      </c>
      <c r="E110" s="344" t="s">
        <v>135</v>
      </c>
      <c r="F110" s="29">
        <v>1</v>
      </c>
      <c r="G110" s="9">
        <v>1</v>
      </c>
      <c r="H110" s="9">
        <v>1</v>
      </c>
      <c r="I110" s="9">
        <v>2</v>
      </c>
      <c r="J110" s="9">
        <v>2</v>
      </c>
      <c r="K110" s="160">
        <f t="shared" si="1"/>
        <v>0.35859414261160716</v>
      </c>
      <c r="L110" s="52" t="s">
        <v>120</v>
      </c>
    </row>
    <row r="111" spans="1:12">
      <c r="A111" s="152" t="s">
        <v>118</v>
      </c>
      <c r="B111" s="59">
        <v>2019</v>
      </c>
      <c r="C111" s="344" t="s">
        <v>103</v>
      </c>
      <c r="D111" s="59">
        <v>2283</v>
      </c>
      <c r="E111" s="344" t="s">
        <v>135</v>
      </c>
      <c r="F111" s="29">
        <v>1</v>
      </c>
      <c r="G111" s="9">
        <v>1</v>
      </c>
      <c r="H111" s="9">
        <v>1</v>
      </c>
      <c r="I111" s="9">
        <v>2</v>
      </c>
      <c r="J111" s="9">
        <v>2</v>
      </c>
      <c r="K111" s="160">
        <f t="shared" si="1"/>
        <v>0.35859414261160716</v>
      </c>
      <c r="L111" s="52" t="s">
        <v>120</v>
      </c>
    </row>
    <row r="112" spans="1:12">
      <c r="A112" s="152" t="s">
        <v>118</v>
      </c>
      <c r="B112" s="59">
        <v>2011</v>
      </c>
      <c r="C112" s="344" t="s">
        <v>103</v>
      </c>
      <c r="D112" s="59">
        <v>2300</v>
      </c>
      <c r="E112" s="344" t="s">
        <v>135</v>
      </c>
      <c r="F112" s="29">
        <v>1</v>
      </c>
      <c r="G112" s="9">
        <v>1</v>
      </c>
      <c r="H112" s="9">
        <v>1</v>
      </c>
      <c r="I112" s="9">
        <v>2</v>
      </c>
      <c r="J112" s="9">
        <v>2</v>
      </c>
      <c r="K112" s="160">
        <f t="shared" si="1"/>
        <v>0.35859414261160716</v>
      </c>
      <c r="L112" s="52" t="s">
        <v>120</v>
      </c>
    </row>
    <row r="113" spans="1:12">
      <c r="A113" s="152" t="s">
        <v>118</v>
      </c>
      <c r="B113" s="59">
        <v>2013</v>
      </c>
      <c r="C113" s="344" t="s">
        <v>101</v>
      </c>
      <c r="D113" s="59">
        <v>2327</v>
      </c>
      <c r="E113" s="344" t="s">
        <v>135</v>
      </c>
      <c r="F113" s="29">
        <v>1</v>
      </c>
      <c r="G113" s="9">
        <v>1</v>
      </c>
      <c r="H113" s="9">
        <v>1</v>
      </c>
      <c r="I113" s="9">
        <v>2</v>
      </c>
      <c r="J113" s="9">
        <v>2</v>
      </c>
      <c r="K113" s="160">
        <f t="shared" si="1"/>
        <v>0.35859414261160716</v>
      </c>
      <c r="L113" s="52" t="s">
        <v>120</v>
      </c>
    </row>
    <row r="114" spans="1:12">
      <c r="A114" s="152" t="s">
        <v>118</v>
      </c>
      <c r="B114" s="59">
        <v>2009</v>
      </c>
      <c r="C114" s="344" t="s">
        <v>101</v>
      </c>
      <c r="D114" s="59">
        <v>2344</v>
      </c>
      <c r="E114" s="344" t="s">
        <v>135</v>
      </c>
      <c r="F114" s="29">
        <v>1</v>
      </c>
      <c r="G114" s="9">
        <v>1</v>
      </c>
      <c r="H114" s="9">
        <v>1</v>
      </c>
      <c r="I114" s="9">
        <v>2</v>
      </c>
      <c r="J114" s="9">
        <v>2</v>
      </c>
      <c r="K114" s="160">
        <f t="shared" si="1"/>
        <v>0.35859414261160716</v>
      </c>
      <c r="L114" s="52" t="s">
        <v>120</v>
      </c>
    </row>
    <row r="115" spans="1:12">
      <c r="A115" s="152" t="s">
        <v>118</v>
      </c>
      <c r="B115" s="59">
        <v>2005</v>
      </c>
      <c r="C115" s="344" t="s">
        <v>103</v>
      </c>
      <c r="D115" s="59">
        <v>2366</v>
      </c>
      <c r="E115" s="344" t="s">
        <v>135</v>
      </c>
      <c r="F115" s="29">
        <v>1</v>
      </c>
      <c r="G115" s="9">
        <v>1</v>
      </c>
      <c r="H115" s="9">
        <v>1</v>
      </c>
      <c r="I115" s="9">
        <v>2</v>
      </c>
      <c r="J115" s="9">
        <v>2</v>
      </c>
      <c r="K115" s="160">
        <f t="shared" si="1"/>
        <v>0.35859414261160716</v>
      </c>
      <c r="L115" s="52" t="s">
        <v>120</v>
      </c>
    </row>
    <row r="116" spans="1:12">
      <c r="A116" s="152" t="s">
        <v>118</v>
      </c>
      <c r="B116" s="59">
        <v>2012</v>
      </c>
      <c r="C116" s="344" t="s">
        <v>99</v>
      </c>
      <c r="D116" s="59">
        <v>2381</v>
      </c>
      <c r="E116" s="344" t="s">
        <v>135</v>
      </c>
      <c r="F116" s="29">
        <v>1</v>
      </c>
      <c r="G116" s="9">
        <v>1</v>
      </c>
      <c r="H116" s="9">
        <v>1</v>
      </c>
      <c r="I116" s="9">
        <v>2</v>
      </c>
      <c r="J116" s="9">
        <v>2</v>
      </c>
      <c r="K116" s="160">
        <f t="shared" si="1"/>
        <v>0.35859414261160716</v>
      </c>
      <c r="L116" s="52" t="s">
        <v>120</v>
      </c>
    </row>
    <row r="117" spans="1:12">
      <c r="A117" s="152" t="s">
        <v>118</v>
      </c>
      <c r="B117" s="59">
        <v>2013</v>
      </c>
      <c r="C117" s="344" t="s">
        <v>99</v>
      </c>
      <c r="D117" s="59">
        <v>2397</v>
      </c>
      <c r="E117" s="344" t="s">
        <v>135</v>
      </c>
      <c r="F117" s="29">
        <v>1</v>
      </c>
      <c r="G117" s="9">
        <v>1</v>
      </c>
      <c r="H117" s="9">
        <v>1</v>
      </c>
      <c r="I117" s="9">
        <v>2</v>
      </c>
      <c r="J117" s="9">
        <v>2</v>
      </c>
      <c r="K117" s="160">
        <f t="shared" si="1"/>
        <v>0.35859414261160716</v>
      </c>
      <c r="L117" s="52" t="s">
        <v>120</v>
      </c>
    </row>
    <row r="118" spans="1:12">
      <c r="A118" s="152" t="s">
        <v>118</v>
      </c>
      <c r="B118" s="59">
        <v>2016</v>
      </c>
      <c r="C118" s="344" t="s">
        <v>103</v>
      </c>
      <c r="D118" s="59">
        <v>2397</v>
      </c>
      <c r="E118" s="344" t="s">
        <v>135</v>
      </c>
      <c r="F118" s="29">
        <v>1</v>
      </c>
      <c r="G118" s="9">
        <v>1</v>
      </c>
      <c r="H118" s="9">
        <v>1</v>
      </c>
      <c r="I118" s="9">
        <v>2</v>
      </c>
      <c r="J118" s="9">
        <v>2</v>
      </c>
      <c r="K118" s="160">
        <f t="shared" si="1"/>
        <v>0.35859414261160716</v>
      </c>
      <c r="L118" s="52" t="s">
        <v>120</v>
      </c>
    </row>
    <row r="119" spans="1:12">
      <c r="A119" s="152" t="s">
        <v>118</v>
      </c>
      <c r="B119" s="59">
        <v>2015</v>
      </c>
      <c r="C119" s="344" t="s">
        <v>101</v>
      </c>
      <c r="D119" s="59">
        <v>2400</v>
      </c>
      <c r="E119" s="344" t="s">
        <v>135</v>
      </c>
      <c r="F119" s="29">
        <v>1</v>
      </c>
      <c r="G119" s="9">
        <v>1</v>
      </c>
      <c r="H119" s="9">
        <v>1</v>
      </c>
      <c r="I119" s="9">
        <v>2</v>
      </c>
      <c r="J119" s="9">
        <v>2</v>
      </c>
      <c r="K119" s="160">
        <f t="shared" si="1"/>
        <v>0.35859414261160716</v>
      </c>
      <c r="L119" s="52" t="s">
        <v>120</v>
      </c>
    </row>
    <row r="120" spans="1:12">
      <c r="A120" s="152" t="s">
        <v>118</v>
      </c>
      <c r="B120" s="59">
        <v>2016</v>
      </c>
      <c r="C120" s="344" t="s">
        <v>101</v>
      </c>
      <c r="D120" s="59">
        <v>2400</v>
      </c>
      <c r="E120" s="344" t="s">
        <v>135</v>
      </c>
      <c r="F120" s="29">
        <v>1</v>
      </c>
      <c r="G120" s="9">
        <v>1</v>
      </c>
      <c r="H120" s="9">
        <v>1</v>
      </c>
      <c r="I120" s="9">
        <v>2</v>
      </c>
      <c r="J120" s="9">
        <v>2</v>
      </c>
      <c r="K120" s="160">
        <f t="shared" si="1"/>
        <v>0.35859414261160716</v>
      </c>
      <c r="L120" s="52" t="s">
        <v>120</v>
      </c>
    </row>
    <row r="121" spans="1:12">
      <c r="A121" s="152" t="s">
        <v>118</v>
      </c>
      <c r="B121" s="59">
        <v>2006</v>
      </c>
      <c r="C121" s="344" t="s">
        <v>103</v>
      </c>
      <c r="D121" s="59">
        <v>2440</v>
      </c>
      <c r="E121" s="344" t="s">
        <v>135</v>
      </c>
      <c r="F121" s="29">
        <v>1</v>
      </c>
      <c r="G121" s="9">
        <v>1</v>
      </c>
      <c r="H121" s="9">
        <v>1</v>
      </c>
      <c r="I121" s="9">
        <v>2</v>
      </c>
      <c r="J121" s="9">
        <v>2</v>
      </c>
      <c r="K121" s="160">
        <f t="shared" si="1"/>
        <v>0.35859414261160716</v>
      </c>
      <c r="L121" s="52" t="s">
        <v>120</v>
      </c>
    </row>
    <row r="122" spans="1:12">
      <c r="A122" s="152" t="s">
        <v>118</v>
      </c>
      <c r="B122" s="59">
        <v>2015</v>
      </c>
      <c r="C122" s="344" t="s">
        <v>103</v>
      </c>
      <c r="D122" s="59">
        <v>2444</v>
      </c>
      <c r="E122" s="344" t="s">
        <v>135</v>
      </c>
      <c r="F122" s="29">
        <v>1</v>
      </c>
      <c r="G122" s="9">
        <v>1</v>
      </c>
      <c r="H122" s="9">
        <v>1</v>
      </c>
      <c r="I122" s="9">
        <v>2</v>
      </c>
      <c r="J122" s="9">
        <v>2</v>
      </c>
      <c r="K122" s="160">
        <f t="shared" si="1"/>
        <v>0.35859414261160716</v>
      </c>
      <c r="L122" s="52" t="s">
        <v>120</v>
      </c>
    </row>
    <row r="123" spans="1:12">
      <c r="A123" s="152" t="s">
        <v>118</v>
      </c>
      <c r="B123" s="59">
        <v>2020</v>
      </c>
      <c r="C123" s="344" t="s">
        <v>105</v>
      </c>
      <c r="D123" s="59">
        <v>2463</v>
      </c>
      <c r="E123" s="344" t="s">
        <v>135</v>
      </c>
      <c r="F123" s="29">
        <v>1</v>
      </c>
      <c r="G123" s="9">
        <v>1</v>
      </c>
      <c r="H123" s="9">
        <v>1</v>
      </c>
      <c r="I123" s="9">
        <v>2</v>
      </c>
      <c r="J123" s="9">
        <v>2</v>
      </c>
      <c r="K123" s="160">
        <f t="shared" si="1"/>
        <v>0.35859414261160716</v>
      </c>
      <c r="L123" s="52" t="s">
        <v>120</v>
      </c>
    </row>
    <row r="124" spans="1:12">
      <c r="A124" s="152" t="s">
        <v>118</v>
      </c>
      <c r="B124" s="59">
        <v>2014</v>
      </c>
      <c r="C124" s="344" t="s">
        <v>103</v>
      </c>
      <c r="D124" s="59">
        <v>2491</v>
      </c>
      <c r="E124" s="344" t="s">
        <v>135</v>
      </c>
      <c r="F124" s="29">
        <v>1</v>
      </c>
      <c r="G124" s="9">
        <v>1</v>
      </c>
      <c r="H124" s="9">
        <v>1</v>
      </c>
      <c r="I124" s="9">
        <v>2</v>
      </c>
      <c r="J124" s="9">
        <v>2</v>
      </c>
      <c r="K124" s="160">
        <f t="shared" si="1"/>
        <v>0.35859414261160716</v>
      </c>
      <c r="L124" s="52" t="s">
        <v>120</v>
      </c>
    </row>
    <row r="125" spans="1:12">
      <c r="A125" s="152" t="s">
        <v>118</v>
      </c>
      <c r="B125" s="59">
        <v>2008</v>
      </c>
      <c r="C125" s="344" t="s">
        <v>103</v>
      </c>
      <c r="D125" s="59">
        <v>2497</v>
      </c>
      <c r="E125" s="344" t="s">
        <v>135</v>
      </c>
      <c r="F125" s="29">
        <v>1</v>
      </c>
      <c r="G125" s="9">
        <v>1</v>
      </c>
      <c r="H125" s="9">
        <v>1</v>
      </c>
      <c r="I125" s="9">
        <v>2</v>
      </c>
      <c r="J125" s="9">
        <v>2</v>
      </c>
      <c r="K125" s="160">
        <f t="shared" si="1"/>
        <v>0.35859414261160716</v>
      </c>
      <c r="L125" s="52" t="s">
        <v>120</v>
      </c>
    </row>
    <row r="126" spans="1:12">
      <c r="A126" s="152" t="s">
        <v>118</v>
      </c>
      <c r="B126" s="59">
        <v>2020</v>
      </c>
      <c r="C126" s="344" t="s">
        <v>99</v>
      </c>
      <c r="D126" s="59">
        <v>2519</v>
      </c>
      <c r="E126" s="344" t="s">
        <v>135</v>
      </c>
      <c r="F126" s="29">
        <v>1</v>
      </c>
      <c r="G126" s="9">
        <v>1</v>
      </c>
      <c r="H126" s="9">
        <v>1</v>
      </c>
      <c r="I126" s="9">
        <v>2</v>
      </c>
      <c r="J126" s="9">
        <v>2</v>
      </c>
      <c r="K126" s="160">
        <f t="shared" si="1"/>
        <v>0.35859414261160716</v>
      </c>
      <c r="L126" s="52" t="s">
        <v>120</v>
      </c>
    </row>
    <row r="127" spans="1:12">
      <c r="A127" s="152" t="s">
        <v>118</v>
      </c>
      <c r="B127" s="59">
        <v>2012</v>
      </c>
      <c r="C127" s="344" t="s">
        <v>105</v>
      </c>
      <c r="D127" s="59">
        <v>2542</v>
      </c>
      <c r="E127" s="344" t="s">
        <v>135</v>
      </c>
      <c r="F127" s="29">
        <v>1</v>
      </c>
      <c r="G127" s="9">
        <v>1</v>
      </c>
      <c r="H127" s="9">
        <v>1</v>
      </c>
      <c r="I127" s="9">
        <v>2</v>
      </c>
      <c r="J127" s="9">
        <v>2</v>
      </c>
      <c r="K127" s="160">
        <f t="shared" si="1"/>
        <v>0.35859414261160716</v>
      </c>
      <c r="L127" s="52" t="s">
        <v>120</v>
      </c>
    </row>
    <row r="128" spans="1:12">
      <c r="A128" s="152" t="s">
        <v>118</v>
      </c>
      <c r="B128" s="59">
        <v>2021</v>
      </c>
      <c r="C128" s="344" t="s">
        <v>105</v>
      </c>
      <c r="D128" s="59">
        <v>2546</v>
      </c>
      <c r="E128" s="344" t="s">
        <v>135</v>
      </c>
      <c r="F128" s="29">
        <v>1</v>
      </c>
      <c r="G128" s="9">
        <v>1</v>
      </c>
      <c r="H128" s="9">
        <v>1</v>
      </c>
      <c r="I128" s="9">
        <v>2</v>
      </c>
      <c r="J128" s="9">
        <v>2</v>
      </c>
      <c r="K128" s="160">
        <f t="shared" si="1"/>
        <v>0.35859414261160716</v>
      </c>
      <c r="L128" s="52" t="s">
        <v>120</v>
      </c>
    </row>
    <row r="129" spans="1:12">
      <c r="A129" s="152" t="s">
        <v>118</v>
      </c>
      <c r="B129" s="59">
        <v>2007</v>
      </c>
      <c r="C129" s="344" t="s">
        <v>101</v>
      </c>
      <c r="D129" s="59">
        <v>2550</v>
      </c>
      <c r="E129" s="344" t="s">
        <v>135</v>
      </c>
      <c r="F129" s="29">
        <v>1</v>
      </c>
      <c r="G129" s="9">
        <v>1</v>
      </c>
      <c r="H129" s="9">
        <v>1</v>
      </c>
      <c r="I129" s="9">
        <v>2</v>
      </c>
      <c r="J129" s="9">
        <v>2</v>
      </c>
      <c r="K129" s="160">
        <f t="shared" si="1"/>
        <v>0.35859414261160716</v>
      </c>
      <c r="L129" s="52" t="s">
        <v>120</v>
      </c>
    </row>
    <row r="130" spans="1:12">
      <c r="A130" s="152" t="s">
        <v>118</v>
      </c>
      <c r="B130" s="59">
        <v>2010</v>
      </c>
      <c r="C130" s="344" t="s">
        <v>103</v>
      </c>
      <c r="D130" s="59">
        <v>2566</v>
      </c>
      <c r="E130" s="344" t="s">
        <v>135</v>
      </c>
      <c r="F130" s="29">
        <v>1</v>
      </c>
      <c r="G130" s="9">
        <v>1</v>
      </c>
      <c r="H130" s="9">
        <v>1</v>
      </c>
      <c r="I130" s="9">
        <v>2</v>
      </c>
      <c r="J130" s="9">
        <v>2</v>
      </c>
      <c r="K130" s="160">
        <f t="shared" ref="K130:K193" si="2">IF( OR( ISBLANK(F130),ISBLANK(G130), ISBLANK(H130), ISBLANK(I130), ISBLANK(J130) ), "", 1.5*SQRT(   EXP(2.21*(F130-1)) + EXP(2.21*(G130-1)) + EXP(2.21*(H130-1)) + EXP(2.21*(I130-1)) + EXP(2.21*J130)   )/100*2.45 )</f>
        <v>0.35859414261160716</v>
      </c>
      <c r="L130" s="52" t="s">
        <v>120</v>
      </c>
    </row>
    <row r="131" spans="1:12">
      <c r="A131" s="152" t="s">
        <v>118</v>
      </c>
      <c r="B131" s="59">
        <v>2003</v>
      </c>
      <c r="C131" s="344" t="s">
        <v>99</v>
      </c>
      <c r="D131" s="59">
        <v>2697</v>
      </c>
      <c r="E131" s="344" t="s">
        <v>135</v>
      </c>
      <c r="F131" s="29">
        <v>1</v>
      </c>
      <c r="G131" s="9">
        <v>1</v>
      </c>
      <c r="H131" s="9">
        <v>1</v>
      </c>
      <c r="I131" s="9">
        <v>2</v>
      </c>
      <c r="J131" s="9">
        <v>2</v>
      </c>
      <c r="K131" s="160">
        <f t="shared" si="2"/>
        <v>0.35859414261160716</v>
      </c>
      <c r="L131" s="52" t="s">
        <v>120</v>
      </c>
    </row>
    <row r="132" spans="1:12">
      <c r="A132" s="152" t="s">
        <v>118</v>
      </c>
      <c r="B132" s="59">
        <v>2007</v>
      </c>
      <c r="C132" s="344" t="s">
        <v>103</v>
      </c>
      <c r="D132" s="59">
        <v>2709</v>
      </c>
      <c r="E132" s="344" t="s">
        <v>135</v>
      </c>
      <c r="F132" s="29">
        <v>1</v>
      </c>
      <c r="G132" s="9">
        <v>1</v>
      </c>
      <c r="H132" s="9">
        <v>1</v>
      </c>
      <c r="I132" s="9">
        <v>2</v>
      </c>
      <c r="J132" s="9">
        <v>2</v>
      </c>
      <c r="K132" s="160">
        <f t="shared" si="2"/>
        <v>0.35859414261160716</v>
      </c>
      <c r="L132" s="52" t="s">
        <v>120</v>
      </c>
    </row>
    <row r="133" spans="1:12">
      <c r="A133" s="152" t="s">
        <v>118</v>
      </c>
      <c r="B133" s="59">
        <v>2004</v>
      </c>
      <c r="C133" s="344" t="s">
        <v>99</v>
      </c>
      <c r="D133" s="59">
        <v>2786</v>
      </c>
      <c r="E133" s="344" t="s">
        <v>135</v>
      </c>
      <c r="F133" s="29">
        <v>1</v>
      </c>
      <c r="G133" s="9">
        <v>1</v>
      </c>
      <c r="H133" s="9">
        <v>1</v>
      </c>
      <c r="I133" s="9">
        <v>2</v>
      </c>
      <c r="J133" s="9">
        <v>2</v>
      </c>
      <c r="K133" s="160">
        <f t="shared" si="2"/>
        <v>0.35859414261160716</v>
      </c>
      <c r="L133" s="52" t="s">
        <v>120</v>
      </c>
    </row>
    <row r="134" spans="1:12">
      <c r="A134" s="152" t="s">
        <v>118</v>
      </c>
      <c r="B134" s="59">
        <v>2021</v>
      </c>
      <c r="C134" s="344" t="s">
        <v>99</v>
      </c>
      <c r="D134" s="59">
        <v>2802</v>
      </c>
      <c r="E134" s="344" t="s">
        <v>135</v>
      </c>
      <c r="F134" s="29">
        <v>1</v>
      </c>
      <c r="G134" s="9">
        <v>1</v>
      </c>
      <c r="H134" s="9">
        <v>1</v>
      </c>
      <c r="I134" s="9">
        <v>2</v>
      </c>
      <c r="J134" s="9">
        <v>2</v>
      </c>
      <c r="K134" s="160">
        <f t="shared" si="2"/>
        <v>0.35859414261160716</v>
      </c>
      <c r="L134" s="52" t="s">
        <v>120</v>
      </c>
    </row>
    <row r="135" spans="1:12">
      <c r="A135" s="152" t="s">
        <v>118</v>
      </c>
      <c r="B135" s="59">
        <v>2014</v>
      </c>
      <c r="C135" s="344" t="s">
        <v>99</v>
      </c>
      <c r="D135" s="59">
        <v>2830</v>
      </c>
      <c r="E135" s="344" t="s">
        <v>135</v>
      </c>
      <c r="F135" s="29">
        <v>1</v>
      </c>
      <c r="G135" s="9">
        <v>1</v>
      </c>
      <c r="H135" s="9">
        <v>1</v>
      </c>
      <c r="I135" s="9">
        <v>2</v>
      </c>
      <c r="J135" s="9">
        <v>2</v>
      </c>
      <c r="K135" s="160">
        <f t="shared" si="2"/>
        <v>0.35859414261160716</v>
      </c>
      <c r="L135" s="52" t="s">
        <v>120</v>
      </c>
    </row>
    <row r="136" spans="1:12">
      <c r="A136" s="152" t="s">
        <v>118</v>
      </c>
      <c r="B136" s="59">
        <v>2016</v>
      </c>
      <c r="C136" s="344" t="s">
        <v>99</v>
      </c>
      <c r="D136" s="59">
        <v>2830</v>
      </c>
      <c r="E136" s="344" t="s">
        <v>135</v>
      </c>
      <c r="F136" s="29">
        <v>1</v>
      </c>
      <c r="G136" s="9">
        <v>1</v>
      </c>
      <c r="H136" s="9">
        <v>1</v>
      </c>
      <c r="I136" s="9">
        <v>2</v>
      </c>
      <c r="J136" s="9">
        <v>2</v>
      </c>
      <c r="K136" s="160">
        <f t="shared" si="2"/>
        <v>0.35859414261160716</v>
      </c>
      <c r="L136" s="52" t="s">
        <v>120</v>
      </c>
    </row>
    <row r="137" spans="1:12">
      <c r="A137" s="152" t="s">
        <v>118</v>
      </c>
      <c r="B137" s="59">
        <v>2008</v>
      </c>
      <c r="C137" s="344" t="s">
        <v>101</v>
      </c>
      <c r="D137" s="59">
        <v>2860</v>
      </c>
      <c r="E137" s="344" t="s">
        <v>135</v>
      </c>
      <c r="F137" s="29">
        <v>1</v>
      </c>
      <c r="G137" s="9">
        <v>1</v>
      </c>
      <c r="H137" s="9">
        <v>1</v>
      </c>
      <c r="I137" s="9">
        <v>2</v>
      </c>
      <c r="J137" s="9">
        <v>2</v>
      </c>
      <c r="K137" s="160">
        <f t="shared" si="2"/>
        <v>0.35859414261160716</v>
      </c>
      <c r="L137" s="52" t="s">
        <v>120</v>
      </c>
    </row>
    <row r="138" spans="1:12">
      <c r="A138" s="152" t="s">
        <v>118</v>
      </c>
      <c r="B138" s="59">
        <v>2007</v>
      </c>
      <c r="C138" s="344" t="s">
        <v>99</v>
      </c>
      <c r="D138" s="59">
        <v>2864</v>
      </c>
      <c r="E138" s="344" t="s">
        <v>135</v>
      </c>
      <c r="F138" s="29">
        <v>1</v>
      </c>
      <c r="G138" s="9">
        <v>1</v>
      </c>
      <c r="H138" s="9">
        <v>1</v>
      </c>
      <c r="I138" s="9">
        <v>2</v>
      </c>
      <c r="J138" s="9">
        <v>2</v>
      </c>
      <c r="K138" s="160">
        <f t="shared" si="2"/>
        <v>0.35859414261160716</v>
      </c>
      <c r="L138" s="52" t="s">
        <v>120</v>
      </c>
    </row>
    <row r="139" spans="1:12">
      <c r="A139" s="152" t="s">
        <v>118</v>
      </c>
      <c r="B139" s="59">
        <v>2017</v>
      </c>
      <c r="C139" s="344" t="s">
        <v>101</v>
      </c>
      <c r="D139" s="59">
        <v>2871</v>
      </c>
      <c r="E139" s="344" t="s">
        <v>135</v>
      </c>
      <c r="F139" s="29">
        <v>1</v>
      </c>
      <c r="G139" s="9">
        <v>1</v>
      </c>
      <c r="H139" s="9">
        <v>1</v>
      </c>
      <c r="I139" s="9">
        <v>2</v>
      </c>
      <c r="J139" s="9">
        <v>2</v>
      </c>
      <c r="K139" s="160">
        <f t="shared" si="2"/>
        <v>0.35859414261160716</v>
      </c>
      <c r="L139" s="52" t="s">
        <v>120</v>
      </c>
    </row>
    <row r="140" spans="1:12">
      <c r="A140" s="152" t="s">
        <v>118</v>
      </c>
      <c r="B140" s="59">
        <v>2018</v>
      </c>
      <c r="C140" s="344" t="s">
        <v>101</v>
      </c>
      <c r="D140" s="59">
        <v>2871</v>
      </c>
      <c r="E140" s="344" t="s">
        <v>135</v>
      </c>
      <c r="F140" s="29">
        <v>1</v>
      </c>
      <c r="G140" s="9">
        <v>1</v>
      </c>
      <c r="H140" s="9">
        <v>1</v>
      </c>
      <c r="I140" s="9">
        <v>2</v>
      </c>
      <c r="J140" s="9">
        <v>2</v>
      </c>
      <c r="K140" s="160">
        <f t="shared" si="2"/>
        <v>0.35859414261160716</v>
      </c>
      <c r="L140" s="52" t="s">
        <v>120</v>
      </c>
    </row>
    <row r="141" spans="1:12">
      <c r="A141" s="152" t="s">
        <v>118</v>
      </c>
      <c r="B141" s="59">
        <v>2019</v>
      </c>
      <c r="C141" s="344" t="s">
        <v>101</v>
      </c>
      <c r="D141" s="59">
        <v>2871</v>
      </c>
      <c r="E141" s="344" t="s">
        <v>135</v>
      </c>
      <c r="F141" s="29">
        <v>1</v>
      </c>
      <c r="G141" s="9">
        <v>1</v>
      </c>
      <c r="H141" s="9">
        <v>1</v>
      </c>
      <c r="I141" s="9">
        <v>2</v>
      </c>
      <c r="J141" s="9">
        <v>2</v>
      </c>
      <c r="K141" s="160">
        <f t="shared" si="2"/>
        <v>0.35859414261160716</v>
      </c>
      <c r="L141" s="52" t="s">
        <v>120</v>
      </c>
    </row>
    <row r="142" spans="1:12">
      <c r="A142" s="152" t="s">
        <v>118</v>
      </c>
      <c r="B142" s="59">
        <v>2015</v>
      </c>
      <c r="C142" s="344" t="s">
        <v>99</v>
      </c>
      <c r="D142" s="59">
        <v>2872</v>
      </c>
      <c r="E142" s="344" t="s">
        <v>135</v>
      </c>
      <c r="F142" s="29">
        <v>1</v>
      </c>
      <c r="G142" s="9">
        <v>1</v>
      </c>
      <c r="H142" s="9">
        <v>1</v>
      </c>
      <c r="I142" s="9">
        <v>2</v>
      </c>
      <c r="J142" s="9">
        <v>2</v>
      </c>
      <c r="K142" s="160">
        <f t="shared" si="2"/>
        <v>0.35859414261160716</v>
      </c>
      <c r="L142" s="52" t="s">
        <v>120</v>
      </c>
    </row>
    <row r="143" spans="1:12">
      <c r="A143" s="152" t="s">
        <v>118</v>
      </c>
      <c r="B143" s="59">
        <v>2017</v>
      </c>
      <c r="C143" s="344" t="s">
        <v>99</v>
      </c>
      <c r="D143" s="59">
        <v>2891</v>
      </c>
      <c r="E143" s="344" t="s">
        <v>135</v>
      </c>
      <c r="F143" s="29">
        <v>1</v>
      </c>
      <c r="G143" s="9">
        <v>1</v>
      </c>
      <c r="H143" s="9">
        <v>1</v>
      </c>
      <c r="I143" s="9">
        <v>2</v>
      </c>
      <c r="J143" s="9">
        <v>2</v>
      </c>
      <c r="K143" s="160">
        <f t="shared" si="2"/>
        <v>0.35859414261160716</v>
      </c>
      <c r="L143" s="52" t="s">
        <v>120</v>
      </c>
    </row>
    <row r="144" spans="1:12">
      <c r="A144" s="152" t="s">
        <v>118</v>
      </c>
      <c r="B144" s="59">
        <v>2018</v>
      </c>
      <c r="C144" s="344" t="s">
        <v>99</v>
      </c>
      <c r="D144" s="59">
        <v>2891</v>
      </c>
      <c r="E144" s="344" t="s">
        <v>135</v>
      </c>
      <c r="F144" s="29">
        <v>1</v>
      </c>
      <c r="G144" s="9">
        <v>1</v>
      </c>
      <c r="H144" s="9">
        <v>1</v>
      </c>
      <c r="I144" s="9">
        <v>2</v>
      </c>
      <c r="J144" s="9">
        <v>2</v>
      </c>
      <c r="K144" s="160">
        <f t="shared" si="2"/>
        <v>0.35859414261160716</v>
      </c>
      <c r="L144" s="52" t="s">
        <v>120</v>
      </c>
    </row>
    <row r="145" spans="1:12">
      <c r="A145" s="152" t="s">
        <v>118</v>
      </c>
      <c r="B145" s="59">
        <v>2019</v>
      </c>
      <c r="C145" s="344" t="s">
        <v>99</v>
      </c>
      <c r="D145" s="59">
        <v>2891</v>
      </c>
      <c r="E145" s="344" t="s">
        <v>135</v>
      </c>
      <c r="F145" s="29">
        <v>1</v>
      </c>
      <c r="G145" s="9">
        <v>1</v>
      </c>
      <c r="H145" s="9">
        <v>1</v>
      </c>
      <c r="I145" s="9">
        <v>2</v>
      </c>
      <c r="J145" s="9">
        <v>2</v>
      </c>
      <c r="K145" s="160">
        <f t="shared" si="2"/>
        <v>0.35859414261160716</v>
      </c>
      <c r="L145" s="52" t="s">
        <v>120</v>
      </c>
    </row>
    <row r="146" spans="1:12">
      <c r="A146" s="152" t="s">
        <v>118</v>
      </c>
      <c r="B146" s="59">
        <v>2009</v>
      </c>
      <c r="C146" s="344" t="s">
        <v>99</v>
      </c>
      <c r="D146" s="59">
        <v>2917</v>
      </c>
      <c r="E146" s="344" t="s">
        <v>135</v>
      </c>
      <c r="F146" s="29">
        <v>1</v>
      </c>
      <c r="G146" s="9">
        <v>1</v>
      </c>
      <c r="H146" s="9">
        <v>1</v>
      </c>
      <c r="I146" s="9">
        <v>2</v>
      </c>
      <c r="J146" s="9">
        <v>2</v>
      </c>
      <c r="K146" s="160">
        <f t="shared" si="2"/>
        <v>0.35859414261160716</v>
      </c>
      <c r="L146" s="52" t="s">
        <v>120</v>
      </c>
    </row>
    <row r="147" spans="1:12">
      <c r="A147" s="152" t="s">
        <v>118</v>
      </c>
      <c r="B147" s="59">
        <v>2006</v>
      </c>
      <c r="C147" s="344" t="s">
        <v>99</v>
      </c>
      <c r="D147" s="59">
        <v>2931</v>
      </c>
      <c r="E147" s="344" t="s">
        <v>135</v>
      </c>
      <c r="F147" s="29">
        <v>1</v>
      </c>
      <c r="G147" s="9">
        <v>1</v>
      </c>
      <c r="H147" s="9">
        <v>1</v>
      </c>
      <c r="I147" s="9">
        <v>2</v>
      </c>
      <c r="J147" s="9">
        <v>2</v>
      </c>
      <c r="K147" s="160">
        <f t="shared" si="2"/>
        <v>0.35859414261160716</v>
      </c>
      <c r="L147" s="52" t="s">
        <v>120</v>
      </c>
    </row>
    <row r="148" spans="1:12">
      <c r="A148" s="152" t="s">
        <v>118</v>
      </c>
      <c r="B148" s="59">
        <v>2004</v>
      </c>
      <c r="C148" s="344" t="s">
        <v>105</v>
      </c>
      <c r="D148" s="59">
        <v>2951</v>
      </c>
      <c r="E148" s="344" t="s">
        <v>135</v>
      </c>
      <c r="F148" s="29">
        <v>1</v>
      </c>
      <c r="G148" s="9">
        <v>1</v>
      </c>
      <c r="H148" s="9">
        <v>1</v>
      </c>
      <c r="I148" s="9">
        <v>2</v>
      </c>
      <c r="J148" s="9">
        <v>2</v>
      </c>
      <c r="K148" s="160">
        <f t="shared" si="2"/>
        <v>0.35859414261160716</v>
      </c>
      <c r="L148" s="52" t="s">
        <v>120</v>
      </c>
    </row>
    <row r="149" spans="1:12">
      <c r="A149" s="152" t="s">
        <v>118</v>
      </c>
      <c r="B149" s="59">
        <v>2011</v>
      </c>
      <c r="C149" s="344" t="s">
        <v>99</v>
      </c>
      <c r="D149" s="59">
        <v>2968</v>
      </c>
      <c r="E149" s="344" t="s">
        <v>135</v>
      </c>
      <c r="F149" s="29">
        <v>1</v>
      </c>
      <c r="G149" s="9">
        <v>1</v>
      </c>
      <c r="H149" s="9">
        <v>1</v>
      </c>
      <c r="I149" s="9">
        <v>2</v>
      </c>
      <c r="J149" s="9">
        <v>2</v>
      </c>
      <c r="K149" s="160">
        <f t="shared" si="2"/>
        <v>0.35859414261160716</v>
      </c>
      <c r="L149" s="52" t="s">
        <v>120</v>
      </c>
    </row>
    <row r="150" spans="1:12">
      <c r="A150" s="152" t="s">
        <v>118</v>
      </c>
      <c r="B150" s="59">
        <v>2014</v>
      </c>
      <c r="C150" s="344" t="s">
        <v>101</v>
      </c>
      <c r="D150" s="59">
        <v>3000</v>
      </c>
      <c r="E150" s="344" t="s">
        <v>135</v>
      </c>
      <c r="F150" s="29">
        <v>1</v>
      </c>
      <c r="G150" s="9">
        <v>1</v>
      </c>
      <c r="H150" s="9">
        <v>1</v>
      </c>
      <c r="I150" s="9">
        <v>2</v>
      </c>
      <c r="J150" s="9">
        <v>2</v>
      </c>
      <c r="K150" s="160">
        <f t="shared" si="2"/>
        <v>0.35859414261160716</v>
      </c>
      <c r="L150" s="52" t="s">
        <v>120</v>
      </c>
    </row>
    <row r="151" spans="1:12">
      <c r="A151" s="152" t="s">
        <v>118</v>
      </c>
      <c r="B151" s="59">
        <v>2010</v>
      </c>
      <c r="C151" s="344" t="s">
        <v>99</v>
      </c>
      <c r="D151" s="59">
        <v>3001</v>
      </c>
      <c r="E151" s="344" t="s">
        <v>135</v>
      </c>
      <c r="F151" s="29">
        <v>1</v>
      </c>
      <c r="G151" s="9">
        <v>1</v>
      </c>
      <c r="H151" s="9">
        <v>1</v>
      </c>
      <c r="I151" s="9">
        <v>2</v>
      </c>
      <c r="J151" s="9">
        <v>2</v>
      </c>
      <c r="K151" s="160">
        <f t="shared" si="2"/>
        <v>0.35859414261160716</v>
      </c>
      <c r="L151" s="52" t="s">
        <v>120</v>
      </c>
    </row>
    <row r="152" spans="1:12">
      <c r="A152" s="152" t="s">
        <v>118</v>
      </c>
      <c r="B152" s="59">
        <v>2008</v>
      </c>
      <c r="C152" s="344" t="s">
        <v>99</v>
      </c>
      <c r="D152" s="59">
        <v>3018</v>
      </c>
      <c r="E152" s="344" t="s">
        <v>135</v>
      </c>
      <c r="F152" s="29">
        <v>1</v>
      </c>
      <c r="G152" s="9">
        <v>1</v>
      </c>
      <c r="H152" s="9">
        <v>1</v>
      </c>
      <c r="I152" s="9">
        <v>2</v>
      </c>
      <c r="J152" s="9">
        <v>2</v>
      </c>
      <c r="K152" s="160">
        <f t="shared" si="2"/>
        <v>0.35859414261160716</v>
      </c>
      <c r="L152" s="52" t="s">
        <v>120</v>
      </c>
    </row>
    <row r="153" spans="1:12">
      <c r="A153" s="152" t="s">
        <v>118</v>
      </c>
      <c r="B153" s="59">
        <v>2017</v>
      </c>
      <c r="C153" s="344" t="s">
        <v>105</v>
      </c>
      <c r="D153" s="59">
        <v>3038</v>
      </c>
      <c r="E153" s="344" t="s">
        <v>135</v>
      </c>
      <c r="F153" s="29">
        <v>1</v>
      </c>
      <c r="G153" s="9">
        <v>1</v>
      </c>
      <c r="H153" s="9">
        <v>1</v>
      </c>
      <c r="I153" s="9">
        <v>2</v>
      </c>
      <c r="J153" s="9">
        <v>2</v>
      </c>
      <c r="K153" s="160">
        <f t="shared" si="2"/>
        <v>0.35859414261160716</v>
      </c>
      <c r="L153" s="52" t="s">
        <v>120</v>
      </c>
    </row>
    <row r="154" spans="1:12">
      <c r="A154" s="152" t="s">
        <v>118</v>
      </c>
      <c r="B154" s="59">
        <v>2018</v>
      </c>
      <c r="C154" s="344" t="s">
        <v>105</v>
      </c>
      <c r="D154" s="59">
        <v>3038</v>
      </c>
      <c r="E154" s="344" t="s">
        <v>135</v>
      </c>
      <c r="F154" s="29">
        <v>1</v>
      </c>
      <c r="G154" s="9">
        <v>1</v>
      </c>
      <c r="H154" s="9">
        <v>1</v>
      </c>
      <c r="I154" s="9">
        <v>2</v>
      </c>
      <c r="J154" s="9">
        <v>2</v>
      </c>
      <c r="K154" s="160">
        <f t="shared" si="2"/>
        <v>0.35859414261160716</v>
      </c>
      <c r="L154" s="52" t="s">
        <v>120</v>
      </c>
    </row>
    <row r="155" spans="1:12">
      <c r="A155" s="152" t="s">
        <v>118</v>
      </c>
      <c r="B155" s="59">
        <v>2019</v>
      </c>
      <c r="C155" s="344" t="s">
        <v>105</v>
      </c>
      <c r="D155" s="59">
        <v>3038</v>
      </c>
      <c r="E155" s="344" t="s">
        <v>135</v>
      </c>
      <c r="F155" s="29">
        <v>1</v>
      </c>
      <c r="G155" s="9">
        <v>1</v>
      </c>
      <c r="H155" s="9">
        <v>1</v>
      </c>
      <c r="I155" s="9">
        <v>2</v>
      </c>
      <c r="J155" s="9">
        <v>2</v>
      </c>
      <c r="K155" s="160">
        <f t="shared" si="2"/>
        <v>0.35859414261160716</v>
      </c>
      <c r="L155" s="52" t="s">
        <v>120</v>
      </c>
    </row>
    <row r="156" spans="1:12">
      <c r="A156" s="152" t="s">
        <v>118</v>
      </c>
      <c r="B156" s="59">
        <v>2003</v>
      </c>
      <c r="C156" s="344" t="s">
        <v>101</v>
      </c>
      <c r="D156" s="59">
        <v>3056</v>
      </c>
      <c r="E156" s="344" t="s">
        <v>135</v>
      </c>
      <c r="F156" s="29">
        <v>1</v>
      </c>
      <c r="G156" s="9">
        <v>1</v>
      </c>
      <c r="H156" s="9">
        <v>1</v>
      </c>
      <c r="I156" s="9">
        <v>2</v>
      </c>
      <c r="J156" s="9">
        <v>2</v>
      </c>
      <c r="K156" s="160">
        <f t="shared" si="2"/>
        <v>0.35859414261160716</v>
      </c>
      <c r="L156" s="52" t="s">
        <v>120</v>
      </c>
    </row>
    <row r="157" spans="1:12">
      <c r="A157" s="152" t="s">
        <v>118</v>
      </c>
      <c r="B157" s="59">
        <v>2004</v>
      </c>
      <c r="C157" s="344" t="s">
        <v>101</v>
      </c>
      <c r="D157" s="59">
        <v>3101</v>
      </c>
      <c r="E157" s="344" t="s">
        <v>135</v>
      </c>
      <c r="F157" s="29">
        <v>1</v>
      </c>
      <c r="G157" s="9">
        <v>1</v>
      </c>
      <c r="H157" s="9">
        <v>1</v>
      </c>
      <c r="I157" s="9">
        <v>2</v>
      </c>
      <c r="J157" s="9">
        <v>2</v>
      </c>
      <c r="K157" s="160">
        <f t="shared" si="2"/>
        <v>0.35859414261160716</v>
      </c>
      <c r="L157" s="52" t="s">
        <v>120</v>
      </c>
    </row>
    <row r="158" spans="1:12">
      <c r="A158" s="152" t="s">
        <v>118</v>
      </c>
      <c r="B158" s="59">
        <v>2003</v>
      </c>
      <c r="C158" s="344" t="s">
        <v>105</v>
      </c>
      <c r="D158" s="59">
        <v>3121</v>
      </c>
      <c r="E158" s="344" t="s">
        <v>135</v>
      </c>
      <c r="F158" s="29">
        <v>1</v>
      </c>
      <c r="G158" s="9">
        <v>1</v>
      </c>
      <c r="H158" s="9">
        <v>1</v>
      </c>
      <c r="I158" s="9">
        <v>2</v>
      </c>
      <c r="J158" s="9">
        <v>2</v>
      </c>
      <c r="K158" s="160">
        <f t="shared" si="2"/>
        <v>0.35859414261160716</v>
      </c>
      <c r="L158" s="52" t="s">
        <v>120</v>
      </c>
    </row>
    <row r="159" spans="1:12">
      <c r="A159" s="152" t="s">
        <v>118</v>
      </c>
      <c r="B159" s="59">
        <v>2014</v>
      </c>
      <c r="C159" s="344" t="s">
        <v>105</v>
      </c>
      <c r="D159" s="59">
        <v>3176</v>
      </c>
      <c r="E159" s="344" t="s">
        <v>135</v>
      </c>
      <c r="F159" s="29">
        <v>1</v>
      </c>
      <c r="G159" s="9">
        <v>1</v>
      </c>
      <c r="H159" s="9">
        <v>1</v>
      </c>
      <c r="I159" s="9">
        <v>2</v>
      </c>
      <c r="J159" s="9">
        <v>2</v>
      </c>
      <c r="K159" s="160">
        <f t="shared" si="2"/>
        <v>0.35859414261160716</v>
      </c>
      <c r="L159" s="52" t="s">
        <v>120</v>
      </c>
    </row>
    <row r="160" spans="1:12">
      <c r="A160" s="152" t="s">
        <v>118</v>
      </c>
      <c r="B160" s="59">
        <v>2006</v>
      </c>
      <c r="C160" s="344" t="s">
        <v>105</v>
      </c>
      <c r="D160" s="59">
        <v>3259</v>
      </c>
      <c r="E160" s="344" t="s">
        <v>135</v>
      </c>
      <c r="F160" s="29">
        <v>1</v>
      </c>
      <c r="G160" s="9">
        <v>1</v>
      </c>
      <c r="H160" s="9">
        <v>1</v>
      </c>
      <c r="I160" s="9">
        <v>2</v>
      </c>
      <c r="J160" s="9">
        <v>2</v>
      </c>
      <c r="K160" s="160">
        <f t="shared" si="2"/>
        <v>0.35859414261160716</v>
      </c>
      <c r="L160" s="52" t="s">
        <v>120</v>
      </c>
    </row>
    <row r="161" spans="1:12">
      <c r="A161" s="152" t="s">
        <v>118</v>
      </c>
      <c r="B161" s="59">
        <v>2010</v>
      </c>
      <c r="C161" s="344" t="s">
        <v>105</v>
      </c>
      <c r="D161" s="59">
        <v>3357</v>
      </c>
      <c r="E161" s="344" t="s">
        <v>135</v>
      </c>
      <c r="F161" s="29">
        <v>1</v>
      </c>
      <c r="G161" s="9">
        <v>1</v>
      </c>
      <c r="H161" s="9">
        <v>1</v>
      </c>
      <c r="I161" s="9">
        <v>2</v>
      </c>
      <c r="J161" s="9">
        <v>2</v>
      </c>
      <c r="K161" s="160">
        <f t="shared" si="2"/>
        <v>0.35859414261160716</v>
      </c>
      <c r="L161" s="52" t="s">
        <v>120</v>
      </c>
    </row>
    <row r="162" spans="1:12">
      <c r="A162" s="152" t="s">
        <v>118</v>
      </c>
      <c r="B162" s="59">
        <v>2005</v>
      </c>
      <c r="C162" s="344" t="s">
        <v>101</v>
      </c>
      <c r="D162" s="59">
        <v>3361</v>
      </c>
      <c r="E162" s="344" t="s">
        <v>135</v>
      </c>
      <c r="F162" s="29">
        <v>1</v>
      </c>
      <c r="G162" s="9">
        <v>1</v>
      </c>
      <c r="H162" s="9">
        <v>1</v>
      </c>
      <c r="I162" s="9">
        <v>2</v>
      </c>
      <c r="J162" s="9">
        <v>2</v>
      </c>
      <c r="K162" s="160">
        <f t="shared" si="2"/>
        <v>0.35859414261160716</v>
      </c>
      <c r="L162" s="52" t="s">
        <v>120</v>
      </c>
    </row>
    <row r="163" spans="1:12">
      <c r="A163" s="152" t="s">
        <v>118</v>
      </c>
      <c r="B163" s="59">
        <v>2006</v>
      </c>
      <c r="C163" s="344" t="s">
        <v>101</v>
      </c>
      <c r="D163" s="59">
        <v>3363</v>
      </c>
      <c r="E163" s="344" t="s">
        <v>135</v>
      </c>
      <c r="F163" s="29">
        <v>1</v>
      </c>
      <c r="G163" s="9">
        <v>1</v>
      </c>
      <c r="H163" s="9">
        <v>1</v>
      </c>
      <c r="I163" s="9">
        <v>2</v>
      </c>
      <c r="J163" s="9">
        <v>2</v>
      </c>
      <c r="K163" s="160">
        <f t="shared" si="2"/>
        <v>0.35859414261160716</v>
      </c>
      <c r="L163" s="52" t="s">
        <v>120</v>
      </c>
    </row>
    <row r="164" spans="1:12">
      <c r="A164" s="152" t="s">
        <v>118</v>
      </c>
      <c r="B164" s="59">
        <v>2009</v>
      </c>
      <c r="C164" s="344" t="s">
        <v>105</v>
      </c>
      <c r="D164" s="59">
        <v>3427</v>
      </c>
      <c r="E164" s="344" t="s">
        <v>135</v>
      </c>
      <c r="F164" s="29">
        <v>1</v>
      </c>
      <c r="G164" s="9">
        <v>1</v>
      </c>
      <c r="H164" s="9">
        <v>1</v>
      </c>
      <c r="I164" s="9">
        <v>2</v>
      </c>
      <c r="J164" s="9">
        <v>2</v>
      </c>
      <c r="K164" s="160">
        <f t="shared" si="2"/>
        <v>0.35859414261160716</v>
      </c>
      <c r="L164" s="52" t="s">
        <v>120</v>
      </c>
    </row>
    <row r="165" spans="1:12">
      <c r="A165" s="152" t="s">
        <v>118</v>
      </c>
      <c r="B165" s="59">
        <v>2005</v>
      </c>
      <c r="C165" s="344" t="s">
        <v>105</v>
      </c>
      <c r="D165" s="59">
        <v>3495</v>
      </c>
      <c r="E165" s="344" t="s">
        <v>135</v>
      </c>
      <c r="F165" s="29">
        <v>1</v>
      </c>
      <c r="G165" s="9">
        <v>1</v>
      </c>
      <c r="H165" s="9">
        <v>1</v>
      </c>
      <c r="I165" s="9">
        <v>2</v>
      </c>
      <c r="J165" s="9">
        <v>2</v>
      </c>
      <c r="K165" s="160">
        <f t="shared" si="2"/>
        <v>0.35859414261160716</v>
      </c>
      <c r="L165" s="52" t="s">
        <v>120</v>
      </c>
    </row>
    <row r="166" spans="1:12">
      <c r="A166" s="152" t="s">
        <v>118</v>
      </c>
      <c r="B166" s="59">
        <v>2021</v>
      </c>
      <c r="C166" s="344" t="s">
        <v>101</v>
      </c>
      <c r="D166" s="59">
        <v>3554</v>
      </c>
      <c r="E166" s="344" t="s">
        <v>135</v>
      </c>
      <c r="F166" s="29">
        <v>1</v>
      </c>
      <c r="G166" s="9">
        <v>1</v>
      </c>
      <c r="H166" s="9">
        <v>1</v>
      </c>
      <c r="I166" s="9">
        <v>2</v>
      </c>
      <c r="J166" s="9">
        <v>2</v>
      </c>
      <c r="K166" s="160">
        <f t="shared" si="2"/>
        <v>0.35859414261160716</v>
      </c>
      <c r="L166" s="52" t="s">
        <v>120</v>
      </c>
    </row>
    <row r="167" spans="1:12">
      <c r="A167" s="152" t="s">
        <v>118</v>
      </c>
      <c r="B167" s="59">
        <v>2012</v>
      </c>
      <c r="C167" s="344" t="s">
        <v>101</v>
      </c>
      <c r="D167" s="59">
        <v>3589</v>
      </c>
      <c r="E167" s="344" t="s">
        <v>135</v>
      </c>
      <c r="F167" s="29">
        <v>1</v>
      </c>
      <c r="G167" s="9">
        <v>1</v>
      </c>
      <c r="H167" s="9">
        <v>1</v>
      </c>
      <c r="I167" s="9">
        <v>2</v>
      </c>
      <c r="J167" s="9">
        <v>2</v>
      </c>
      <c r="K167" s="160">
        <f t="shared" si="2"/>
        <v>0.35859414261160716</v>
      </c>
      <c r="L167" s="52" t="s">
        <v>120</v>
      </c>
    </row>
    <row r="168" spans="1:12">
      <c r="A168" s="152" t="s">
        <v>118</v>
      </c>
      <c r="B168" s="59">
        <v>2007</v>
      </c>
      <c r="C168" s="344" t="s">
        <v>105</v>
      </c>
      <c r="D168" s="59">
        <v>3778</v>
      </c>
      <c r="E168" s="344" t="s">
        <v>135</v>
      </c>
      <c r="F168" s="29">
        <v>1</v>
      </c>
      <c r="G168" s="9">
        <v>1</v>
      </c>
      <c r="H168" s="9">
        <v>1</v>
      </c>
      <c r="I168" s="9">
        <v>2</v>
      </c>
      <c r="J168" s="9">
        <v>2</v>
      </c>
      <c r="K168" s="160">
        <f t="shared" si="2"/>
        <v>0.35859414261160716</v>
      </c>
      <c r="L168" s="52" t="s">
        <v>120</v>
      </c>
    </row>
    <row r="169" spans="1:12">
      <c r="A169" s="152" t="s">
        <v>118</v>
      </c>
      <c r="B169" s="59">
        <v>2011</v>
      </c>
      <c r="C169" s="344" t="s">
        <v>105</v>
      </c>
      <c r="D169" s="59">
        <v>3791</v>
      </c>
      <c r="E169" s="344" t="s">
        <v>135</v>
      </c>
      <c r="F169" s="29">
        <v>1</v>
      </c>
      <c r="G169" s="9">
        <v>1</v>
      </c>
      <c r="H169" s="9">
        <v>1</v>
      </c>
      <c r="I169" s="9">
        <v>2</v>
      </c>
      <c r="J169" s="9">
        <v>2</v>
      </c>
      <c r="K169" s="160">
        <f t="shared" si="2"/>
        <v>0.35859414261160716</v>
      </c>
      <c r="L169" s="52" t="s">
        <v>120</v>
      </c>
    </row>
    <row r="170" spans="1:12">
      <c r="A170" s="152" t="s">
        <v>118</v>
      </c>
      <c r="B170" s="59">
        <v>2020</v>
      </c>
      <c r="C170" s="344" t="s">
        <v>101</v>
      </c>
      <c r="D170" s="59">
        <v>3825</v>
      </c>
      <c r="E170" s="344" t="s">
        <v>135</v>
      </c>
      <c r="F170" s="29">
        <v>1</v>
      </c>
      <c r="G170" s="9">
        <v>1</v>
      </c>
      <c r="H170" s="9">
        <v>1</v>
      </c>
      <c r="I170" s="9">
        <v>2</v>
      </c>
      <c r="J170" s="9">
        <v>2</v>
      </c>
      <c r="K170" s="160">
        <f t="shared" si="2"/>
        <v>0.35859414261160716</v>
      </c>
      <c r="L170" s="52" t="s">
        <v>120</v>
      </c>
    </row>
    <row r="171" spans="1:12">
      <c r="A171" s="152" t="s">
        <v>118</v>
      </c>
      <c r="B171" s="59">
        <v>2008</v>
      </c>
      <c r="C171" s="344" t="s">
        <v>105</v>
      </c>
      <c r="D171" s="59">
        <v>4175</v>
      </c>
      <c r="E171" s="344" t="s">
        <v>135</v>
      </c>
      <c r="F171" s="29">
        <v>1</v>
      </c>
      <c r="G171" s="9">
        <v>1</v>
      </c>
      <c r="H171" s="9">
        <v>1</v>
      </c>
      <c r="I171" s="9">
        <v>2</v>
      </c>
      <c r="J171" s="9">
        <v>2</v>
      </c>
      <c r="K171" s="160">
        <f t="shared" si="2"/>
        <v>0.35859414261160716</v>
      </c>
      <c r="L171" s="52" t="s">
        <v>120</v>
      </c>
    </row>
    <row r="172" spans="1:12">
      <c r="A172" s="152" t="s">
        <v>118</v>
      </c>
      <c r="B172" s="59">
        <v>2005</v>
      </c>
      <c r="C172" s="344" t="s">
        <v>99</v>
      </c>
      <c r="D172" s="59">
        <v>4447</v>
      </c>
      <c r="E172" s="344" t="s">
        <v>135</v>
      </c>
      <c r="F172" s="29">
        <v>1</v>
      </c>
      <c r="G172" s="9">
        <v>1</v>
      </c>
      <c r="H172" s="9">
        <v>1</v>
      </c>
      <c r="I172" s="9">
        <v>2</v>
      </c>
      <c r="J172" s="9">
        <v>2</v>
      </c>
      <c r="K172" s="160">
        <f t="shared" si="2"/>
        <v>0.35859414261160716</v>
      </c>
      <c r="L172" s="52" t="s">
        <v>120</v>
      </c>
    </row>
    <row r="173" spans="1:12">
      <c r="A173" s="152" t="s">
        <v>118</v>
      </c>
      <c r="B173" s="59">
        <v>2009</v>
      </c>
      <c r="C173" s="344" t="s">
        <v>94</v>
      </c>
      <c r="D173" s="59">
        <v>5551</v>
      </c>
      <c r="E173" s="344" t="s">
        <v>135</v>
      </c>
      <c r="F173" s="29">
        <v>1</v>
      </c>
      <c r="G173" s="9">
        <v>1</v>
      </c>
      <c r="H173" s="9">
        <v>1</v>
      </c>
      <c r="I173" s="9">
        <v>2</v>
      </c>
      <c r="J173" s="9">
        <v>2</v>
      </c>
      <c r="K173" s="160">
        <f t="shared" si="2"/>
        <v>0.35859414261160716</v>
      </c>
      <c r="L173" s="52" t="s">
        <v>120</v>
      </c>
    </row>
    <row r="174" spans="1:12">
      <c r="A174" s="152" t="s">
        <v>118</v>
      </c>
      <c r="B174" s="59">
        <v>2006</v>
      </c>
      <c r="C174" s="344" t="s">
        <v>94</v>
      </c>
      <c r="D174" s="59">
        <v>5682</v>
      </c>
      <c r="E174" s="344" t="s">
        <v>135</v>
      </c>
      <c r="F174" s="29">
        <v>1</v>
      </c>
      <c r="G174" s="9">
        <v>1</v>
      </c>
      <c r="H174" s="9">
        <v>1</v>
      </c>
      <c r="I174" s="9">
        <v>2</v>
      </c>
      <c r="J174" s="9">
        <v>2</v>
      </c>
      <c r="K174" s="160">
        <f t="shared" si="2"/>
        <v>0.35859414261160716</v>
      </c>
      <c r="L174" s="52" t="s">
        <v>120</v>
      </c>
    </row>
    <row r="175" spans="1:12">
      <c r="A175" s="152" t="s">
        <v>118</v>
      </c>
      <c r="B175" s="59">
        <v>2010</v>
      </c>
      <c r="C175" s="344" t="s">
        <v>94</v>
      </c>
      <c r="D175" s="59">
        <v>5687</v>
      </c>
      <c r="E175" s="344" t="s">
        <v>135</v>
      </c>
      <c r="F175" s="29">
        <v>1</v>
      </c>
      <c r="G175" s="9">
        <v>1</v>
      </c>
      <c r="H175" s="9">
        <v>1</v>
      </c>
      <c r="I175" s="9">
        <v>2</v>
      </c>
      <c r="J175" s="9">
        <v>2</v>
      </c>
      <c r="K175" s="160">
        <f t="shared" si="2"/>
        <v>0.35859414261160716</v>
      </c>
      <c r="L175" s="52" t="s">
        <v>120</v>
      </c>
    </row>
    <row r="176" spans="1:12">
      <c r="A176" s="152" t="s">
        <v>118</v>
      </c>
      <c r="B176" s="59">
        <v>2008</v>
      </c>
      <c r="C176" s="344" t="s">
        <v>94</v>
      </c>
      <c r="D176" s="59">
        <v>5693</v>
      </c>
      <c r="E176" s="344" t="s">
        <v>135</v>
      </c>
      <c r="F176" s="29">
        <v>1</v>
      </c>
      <c r="G176" s="9">
        <v>1</v>
      </c>
      <c r="H176" s="9">
        <v>1</v>
      </c>
      <c r="I176" s="9">
        <v>2</v>
      </c>
      <c r="J176" s="9">
        <v>2</v>
      </c>
      <c r="K176" s="160">
        <f t="shared" si="2"/>
        <v>0.35859414261160716</v>
      </c>
      <c r="L176" s="52" t="s">
        <v>120</v>
      </c>
    </row>
    <row r="177" spans="1:12">
      <c r="A177" s="152" t="s">
        <v>118</v>
      </c>
      <c r="B177" s="59">
        <v>2016</v>
      </c>
      <c r="C177" s="344" t="s">
        <v>94</v>
      </c>
      <c r="D177" s="59">
        <v>5815</v>
      </c>
      <c r="E177" s="344" t="s">
        <v>135</v>
      </c>
      <c r="F177" s="29">
        <v>1</v>
      </c>
      <c r="G177" s="9">
        <v>1</v>
      </c>
      <c r="H177" s="9">
        <v>1</v>
      </c>
      <c r="I177" s="9">
        <v>2</v>
      </c>
      <c r="J177" s="9">
        <v>2</v>
      </c>
      <c r="K177" s="160">
        <f t="shared" si="2"/>
        <v>0.35859414261160716</v>
      </c>
      <c r="L177" s="52" t="s">
        <v>120</v>
      </c>
    </row>
    <row r="178" spans="1:12">
      <c r="A178" s="152" t="s">
        <v>118</v>
      </c>
      <c r="B178" s="59">
        <v>2005</v>
      </c>
      <c r="C178" s="344" t="s">
        <v>94</v>
      </c>
      <c r="D178" s="59">
        <v>5841</v>
      </c>
      <c r="E178" s="344" t="s">
        <v>135</v>
      </c>
      <c r="F178" s="29">
        <v>1</v>
      </c>
      <c r="G178" s="9">
        <v>1</v>
      </c>
      <c r="H178" s="9">
        <v>1</v>
      </c>
      <c r="I178" s="9">
        <v>2</v>
      </c>
      <c r="J178" s="9">
        <v>2</v>
      </c>
      <c r="K178" s="160">
        <f t="shared" si="2"/>
        <v>0.35859414261160716</v>
      </c>
      <c r="L178" s="52" t="s">
        <v>120</v>
      </c>
    </row>
    <row r="179" spans="1:12">
      <c r="A179" s="152" t="s">
        <v>118</v>
      </c>
      <c r="B179" s="59">
        <v>2004</v>
      </c>
      <c r="C179" s="344" t="s">
        <v>94</v>
      </c>
      <c r="D179" s="59">
        <v>5842</v>
      </c>
      <c r="E179" s="344" t="s">
        <v>135</v>
      </c>
      <c r="F179" s="29">
        <v>1</v>
      </c>
      <c r="G179" s="9">
        <v>1</v>
      </c>
      <c r="H179" s="9">
        <v>1</v>
      </c>
      <c r="I179" s="9">
        <v>2</v>
      </c>
      <c r="J179" s="9">
        <v>2</v>
      </c>
      <c r="K179" s="160">
        <f t="shared" si="2"/>
        <v>0.35859414261160716</v>
      </c>
      <c r="L179" s="52" t="s">
        <v>120</v>
      </c>
    </row>
    <row r="180" spans="1:12">
      <c r="A180" s="152" t="s">
        <v>118</v>
      </c>
      <c r="B180" s="59">
        <v>2015</v>
      </c>
      <c r="C180" s="344" t="s">
        <v>94</v>
      </c>
      <c r="D180" s="59">
        <v>5847</v>
      </c>
      <c r="E180" s="344" t="s">
        <v>135</v>
      </c>
      <c r="F180" s="29">
        <v>1</v>
      </c>
      <c r="G180" s="9">
        <v>1</v>
      </c>
      <c r="H180" s="9">
        <v>1</v>
      </c>
      <c r="I180" s="9">
        <v>2</v>
      </c>
      <c r="J180" s="9">
        <v>2</v>
      </c>
      <c r="K180" s="160">
        <f t="shared" si="2"/>
        <v>0.35859414261160716</v>
      </c>
      <c r="L180" s="52" t="s">
        <v>120</v>
      </c>
    </row>
    <row r="181" spans="1:12">
      <c r="A181" s="152" t="s">
        <v>118</v>
      </c>
      <c r="B181" s="59">
        <v>2011</v>
      </c>
      <c r="C181" s="344" t="s">
        <v>94</v>
      </c>
      <c r="D181" s="59">
        <v>5883</v>
      </c>
      <c r="E181" s="344" t="s">
        <v>135</v>
      </c>
      <c r="F181" s="29">
        <v>1</v>
      </c>
      <c r="G181" s="9">
        <v>1</v>
      </c>
      <c r="H181" s="9">
        <v>1</v>
      </c>
      <c r="I181" s="9">
        <v>2</v>
      </c>
      <c r="J181" s="9">
        <v>2</v>
      </c>
      <c r="K181" s="160">
        <f t="shared" si="2"/>
        <v>0.35859414261160716</v>
      </c>
      <c r="L181" s="52" t="s">
        <v>120</v>
      </c>
    </row>
    <row r="182" spans="1:12">
      <c r="A182" s="152" t="s">
        <v>118</v>
      </c>
      <c r="B182" s="59">
        <v>2008</v>
      </c>
      <c r="C182" s="344" t="s">
        <v>98</v>
      </c>
      <c r="D182" s="59">
        <v>5913</v>
      </c>
      <c r="E182" s="344" t="s">
        <v>135</v>
      </c>
      <c r="F182" s="29">
        <v>1</v>
      </c>
      <c r="G182" s="9">
        <v>1</v>
      </c>
      <c r="H182" s="9">
        <v>1</v>
      </c>
      <c r="I182" s="9">
        <v>2</v>
      </c>
      <c r="J182" s="9">
        <v>2</v>
      </c>
      <c r="K182" s="160">
        <f t="shared" si="2"/>
        <v>0.35859414261160716</v>
      </c>
      <c r="L182" s="52" t="s">
        <v>120</v>
      </c>
    </row>
    <row r="183" spans="1:12">
      <c r="A183" s="152" t="s">
        <v>118</v>
      </c>
      <c r="B183" s="59">
        <v>2010</v>
      </c>
      <c r="C183" s="344" t="s">
        <v>98</v>
      </c>
      <c r="D183" s="59">
        <v>5949</v>
      </c>
      <c r="E183" s="344" t="s">
        <v>135</v>
      </c>
      <c r="F183" s="29">
        <v>1</v>
      </c>
      <c r="G183" s="9">
        <v>1</v>
      </c>
      <c r="H183" s="9">
        <v>1</v>
      </c>
      <c r="I183" s="9">
        <v>2</v>
      </c>
      <c r="J183" s="9">
        <v>2</v>
      </c>
      <c r="K183" s="160">
        <f t="shared" si="2"/>
        <v>0.35859414261160716</v>
      </c>
      <c r="L183" s="52" t="s">
        <v>120</v>
      </c>
    </row>
    <row r="184" spans="1:12">
      <c r="A184" s="152" t="s">
        <v>118</v>
      </c>
      <c r="B184" s="59">
        <v>2003</v>
      </c>
      <c r="C184" s="344" t="s">
        <v>94</v>
      </c>
      <c r="D184" s="59">
        <v>5967</v>
      </c>
      <c r="E184" s="344" t="s">
        <v>135</v>
      </c>
      <c r="F184" s="29">
        <v>1</v>
      </c>
      <c r="G184" s="9">
        <v>1</v>
      </c>
      <c r="H184" s="9">
        <v>1</v>
      </c>
      <c r="I184" s="9">
        <v>2</v>
      </c>
      <c r="J184" s="9">
        <v>2</v>
      </c>
      <c r="K184" s="160">
        <f t="shared" si="2"/>
        <v>0.35859414261160716</v>
      </c>
      <c r="L184" s="52" t="s">
        <v>120</v>
      </c>
    </row>
    <row r="185" spans="1:12">
      <c r="A185" s="152" t="s">
        <v>118</v>
      </c>
      <c r="B185" s="59">
        <v>2016</v>
      </c>
      <c r="C185" s="344" t="s">
        <v>98</v>
      </c>
      <c r="D185" s="59">
        <v>5989</v>
      </c>
      <c r="E185" s="344" t="s">
        <v>135</v>
      </c>
      <c r="F185" s="29">
        <v>1</v>
      </c>
      <c r="G185" s="9">
        <v>1</v>
      </c>
      <c r="H185" s="9">
        <v>1</v>
      </c>
      <c r="I185" s="9">
        <v>2</v>
      </c>
      <c r="J185" s="9">
        <v>2</v>
      </c>
      <c r="K185" s="160">
        <f t="shared" si="2"/>
        <v>0.35859414261160716</v>
      </c>
      <c r="L185" s="52" t="s">
        <v>120</v>
      </c>
    </row>
    <row r="186" spans="1:12">
      <c r="A186" s="152" t="s">
        <v>118</v>
      </c>
      <c r="B186" s="59">
        <v>2017</v>
      </c>
      <c r="C186" s="344" t="s">
        <v>94</v>
      </c>
      <c r="D186" s="59">
        <v>6009</v>
      </c>
      <c r="E186" s="344" t="s">
        <v>135</v>
      </c>
      <c r="F186" s="29">
        <v>1</v>
      </c>
      <c r="G186" s="9">
        <v>1</v>
      </c>
      <c r="H186" s="9">
        <v>1</v>
      </c>
      <c r="I186" s="9">
        <v>2</v>
      </c>
      <c r="J186" s="9">
        <v>2</v>
      </c>
      <c r="K186" s="160">
        <f t="shared" si="2"/>
        <v>0.35859414261160716</v>
      </c>
      <c r="L186" s="52" t="s">
        <v>120</v>
      </c>
    </row>
    <row r="187" spans="1:12">
      <c r="A187" s="152" t="s">
        <v>118</v>
      </c>
      <c r="B187" s="59">
        <v>2018</v>
      </c>
      <c r="C187" s="344" t="s">
        <v>94</v>
      </c>
      <c r="D187" s="59">
        <v>6009</v>
      </c>
      <c r="E187" s="344" t="s">
        <v>135</v>
      </c>
      <c r="F187" s="29">
        <v>1</v>
      </c>
      <c r="G187" s="9">
        <v>1</v>
      </c>
      <c r="H187" s="9">
        <v>1</v>
      </c>
      <c r="I187" s="9">
        <v>2</v>
      </c>
      <c r="J187" s="9">
        <v>2</v>
      </c>
      <c r="K187" s="160">
        <f t="shared" si="2"/>
        <v>0.35859414261160716</v>
      </c>
      <c r="L187" s="52" t="s">
        <v>120</v>
      </c>
    </row>
    <row r="188" spans="1:12">
      <c r="A188" s="152" t="s">
        <v>118</v>
      </c>
      <c r="B188" s="59">
        <v>2019</v>
      </c>
      <c r="C188" s="344" t="s">
        <v>94</v>
      </c>
      <c r="D188" s="59">
        <v>6009</v>
      </c>
      <c r="E188" s="344" t="s">
        <v>135</v>
      </c>
      <c r="F188" s="29">
        <v>1</v>
      </c>
      <c r="G188" s="9">
        <v>1</v>
      </c>
      <c r="H188" s="9">
        <v>1</v>
      </c>
      <c r="I188" s="9">
        <v>2</v>
      </c>
      <c r="J188" s="9">
        <v>2</v>
      </c>
      <c r="K188" s="160">
        <f t="shared" si="2"/>
        <v>0.35859414261160716</v>
      </c>
      <c r="L188" s="52" t="s">
        <v>120</v>
      </c>
    </row>
    <row r="189" spans="1:12">
      <c r="A189" s="152" t="s">
        <v>118</v>
      </c>
      <c r="B189" s="59">
        <v>2009</v>
      </c>
      <c r="C189" s="344" t="s">
        <v>98</v>
      </c>
      <c r="D189" s="59">
        <v>6033</v>
      </c>
      <c r="E189" s="344" t="s">
        <v>135</v>
      </c>
      <c r="F189" s="29">
        <v>1</v>
      </c>
      <c r="G189" s="9">
        <v>1</v>
      </c>
      <c r="H189" s="9">
        <v>1</v>
      </c>
      <c r="I189" s="9">
        <v>2</v>
      </c>
      <c r="J189" s="9">
        <v>2</v>
      </c>
      <c r="K189" s="160">
        <f t="shared" si="2"/>
        <v>0.35859414261160716</v>
      </c>
      <c r="L189" s="52" t="s">
        <v>120</v>
      </c>
    </row>
    <row r="190" spans="1:12">
      <c r="A190" s="152" t="s">
        <v>118</v>
      </c>
      <c r="B190" s="59">
        <v>2014</v>
      </c>
      <c r="C190" s="344" t="s">
        <v>94</v>
      </c>
      <c r="D190" s="59">
        <v>6150</v>
      </c>
      <c r="E190" s="344" t="s">
        <v>135</v>
      </c>
      <c r="F190" s="29">
        <v>1</v>
      </c>
      <c r="G190" s="9">
        <v>1</v>
      </c>
      <c r="H190" s="9">
        <v>1</v>
      </c>
      <c r="I190" s="9">
        <v>2</v>
      </c>
      <c r="J190" s="9">
        <v>2</v>
      </c>
      <c r="K190" s="160">
        <f t="shared" si="2"/>
        <v>0.35859414261160716</v>
      </c>
      <c r="L190" s="52" t="s">
        <v>120</v>
      </c>
    </row>
    <row r="191" spans="1:12">
      <c r="A191" s="152" t="s">
        <v>118</v>
      </c>
      <c r="B191" s="59">
        <v>2007</v>
      </c>
      <c r="C191" s="344" t="s">
        <v>94</v>
      </c>
      <c r="D191" s="59">
        <v>6232</v>
      </c>
      <c r="E191" s="344" t="s">
        <v>135</v>
      </c>
      <c r="F191" s="29">
        <v>1</v>
      </c>
      <c r="G191" s="9">
        <v>1</v>
      </c>
      <c r="H191" s="9">
        <v>1</v>
      </c>
      <c r="I191" s="9">
        <v>2</v>
      </c>
      <c r="J191" s="9">
        <v>2</v>
      </c>
      <c r="K191" s="160">
        <f t="shared" si="2"/>
        <v>0.35859414261160716</v>
      </c>
      <c r="L191" s="52" t="s">
        <v>120</v>
      </c>
    </row>
    <row r="192" spans="1:12">
      <c r="A192" s="152" t="s">
        <v>118</v>
      </c>
      <c r="B192" s="59">
        <v>2011</v>
      </c>
      <c r="C192" s="344" t="s">
        <v>98</v>
      </c>
      <c r="D192" s="59">
        <v>6241</v>
      </c>
      <c r="E192" s="344" t="s">
        <v>135</v>
      </c>
      <c r="F192" s="29">
        <v>1</v>
      </c>
      <c r="G192" s="9">
        <v>1</v>
      </c>
      <c r="H192" s="9">
        <v>1</v>
      </c>
      <c r="I192" s="9">
        <v>2</v>
      </c>
      <c r="J192" s="9">
        <v>2</v>
      </c>
      <c r="K192" s="160">
        <f t="shared" si="2"/>
        <v>0.35859414261160716</v>
      </c>
      <c r="L192" s="52" t="s">
        <v>120</v>
      </c>
    </row>
    <row r="193" spans="1:12">
      <c r="A193" s="152" t="s">
        <v>118</v>
      </c>
      <c r="B193" s="59">
        <v>2007</v>
      </c>
      <c r="C193" s="344" t="s">
        <v>98</v>
      </c>
      <c r="D193" s="59">
        <v>6337</v>
      </c>
      <c r="E193" s="344" t="s">
        <v>135</v>
      </c>
      <c r="F193" s="29">
        <v>1</v>
      </c>
      <c r="G193" s="9">
        <v>1</v>
      </c>
      <c r="H193" s="9">
        <v>1</v>
      </c>
      <c r="I193" s="9">
        <v>2</v>
      </c>
      <c r="J193" s="9">
        <v>2</v>
      </c>
      <c r="K193" s="160">
        <f t="shared" si="2"/>
        <v>0.35859414261160716</v>
      </c>
      <c r="L193" s="52" t="s">
        <v>120</v>
      </c>
    </row>
    <row r="194" spans="1:12">
      <c r="A194" s="152" t="s">
        <v>118</v>
      </c>
      <c r="B194" s="59">
        <v>2020</v>
      </c>
      <c r="C194" s="344" t="s">
        <v>94</v>
      </c>
      <c r="D194" s="59">
        <v>6387</v>
      </c>
      <c r="E194" s="344" t="s">
        <v>135</v>
      </c>
      <c r="F194" s="29">
        <v>1</v>
      </c>
      <c r="G194" s="9">
        <v>1</v>
      </c>
      <c r="H194" s="9">
        <v>1</v>
      </c>
      <c r="I194" s="9">
        <v>2</v>
      </c>
      <c r="J194" s="9">
        <v>2</v>
      </c>
      <c r="K194" s="160">
        <f t="shared" ref="K194:K257" si="3">IF( OR( ISBLANK(F194),ISBLANK(G194), ISBLANK(H194), ISBLANK(I194), ISBLANK(J194) ), "", 1.5*SQRT(   EXP(2.21*(F194-1)) + EXP(2.21*(G194-1)) + EXP(2.21*(H194-1)) + EXP(2.21*(I194-1)) + EXP(2.21*J194)   )/100*2.45 )</f>
        <v>0.35859414261160716</v>
      </c>
      <c r="L194" s="52" t="s">
        <v>120</v>
      </c>
    </row>
    <row r="195" spans="1:12">
      <c r="A195" s="152" t="s">
        <v>118</v>
      </c>
      <c r="B195" s="59">
        <v>2012</v>
      </c>
      <c r="C195" s="344" t="s">
        <v>94</v>
      </c>
      <c r="D195" s="59">
        <v>6391</v>
      </c>
      <c r="E195" s="344" t="s">
        <v>135</v>
      </c>
      <c r="F195" s="29">
        <v>1</v>
      </c>
      <c r="G195" s="9">
        <v>1</v>
      </c>
      <c r="H195" s="9">
        <v>1</v>
      </c>
      <c r="I195" s="9">
        <v>2</v>
      </c>
      <c r="J195" s="9">
        <v>2</v>
      </c>
      <c r="K195" s="160">
        <f t="shared" si="3"/>
        <v>0.35859414261160716</v>
      </c>
      <c r="L195" s="52" t="s">
        <v>120</v>
      </c>
    </row>
    <row r="196" spans="1:12">
      <c r="A196" s="152" t="s">
        <v>118</v>
      </c>
      <c r="B196" s="59">
        <v>2013</v>
      </c>
      <c r="C196" s="344" t="s">
        <v>94</v>
      </c>
      <c r="D196" s="59">
        <v>6464</v>
      </c>
      <c r="E196" s="344" t="s">
        <v>135</v>
      </c>
      <c r="F196" s="29">
        <v>1</v>
      </c>
      <c r="G196" s="9">
        <v>1</v>
      </c>
      <c r="H196" s="9">
        <v>1</v>
      </c>
      <c r="I196" s="9">
        <v>2</v>
      </c>
      <c r="J196" s="9">
        <v>2</v>
      </c>
      <c r="K196" s="160">
        <f t="shared" si="3"/>
        <v>0.35859414261160716</v>
      </c>
      <c r="L196" s="52" t="s">
        <v>120</v>
      </c>
    </row>
    <row r="197" spans="1:12">
      <c r="A197" s="152" t="s">
        <v>118</v>
      </c>
      <c r="B197" s="59">
        <v>2006</v>
      </c>
      <c r="C197" s="344" t="s">
        <v>98</v>
      </c>
      <c r="D197" s="59">
        <v>6599</v>
      </c>
      <c r="E197" s="344" t="s">
        <v>135</v>
      </c>
      <c r="F197" s="29">
        <v>1</v>
      </c>
      <c r="G197" s="9">
        <v>1</v>
      </c>
      <c r="H197" s="9">
        <v>1</v>
      </c>
      <c r="I197" s="9">
        <v>2</v>
      </c>
      <c r="J197" s="9">
        <v>2</v>
      </c>
      <c r="K197" s="160">
        <f t="shared" si="3"/>
        <v>0.35859414261160716</v>
      </c>
      <c r="L197" s="52" t="s">
        <v>120</v>
      </c>
    </row>
    <row r="198" spans="1:12">
      <c r="A198" s="152" t="s">
        <v>118</v>
      </c>
      <c r="B198" s="59">
        <v>2003</v>
      </c>
      <c r="C198" s="344" t="s">
        <v>98</v>
      </c>
      <c r="D198" s="59">
        <v>6604</v>
      </c>
      <c r="E198" s="344" t="s">
        <v>135</v>
      </c>
      <c r="F198" s="29">
        <v>1</v>
      </c>
      <c r="G198" s="9">
        <v>1</v>
      </c>
      <c r="H198" s="9">
        <v>1</v>
      </c>
      <c r="I198" s="9">
        <v>2</v>
      </c>
      <c r="J198" s="9">
        <v>2</v>
      </c>
      <c r="K198" s="160">
        <f t="shared" si="3"/>
        <v>0.35859414261160716</v>
      </c>
      <c r="L198" s="52" t="s">
        <v>120</v>
      </c>
    </row>
    <row r="199" spans="1:12">
      <c r="A199" s="152" t="s">
        <v>118</v>
      </c>
      <c r="B199" s="59">
        <v>2005</v>
      </c>
      <c r="C199" s="344" t="s">
        <v>98</v>
      </c>
      <c r="D199" s="59">
        <v>6608</v>
      </c>
      <c r="E199" s="344" t="s">
        <v>135</v>
      </c>
      <c r="F199" s="29">
        <v>1</v>
      </c>
      <c r="G199" s="9">
        <v>1</v>
      </c>
      <c r="H199" s="9">
        <v>1</v>
      </c>
      <c r="I199" s="9">
        <v>2</v>
      </c>
      <c r="J199" s="9">
        <v>2</v>
      </c>
      <c r="K199" s="160">
        <f t="shared" si="3"/>
        <v>0.35859414261160716</v>
      </c>
      <c r="L199" s="52" t="s">
        <v>120</v>
      </c>
    </row>
    <row r="200" spans="1:12">
      <c r="A200" s="152" t="s">
        <v>118</v>
      </c>
      <c r="B200" s="59">
        <v>2021</v>
      </c>
      <c r="C200" s="344" t="s">
        <v>94</v>
      </c>
      <c r="D200" s="59">
        <v>6722</v>
      </c>
      <c r="E200" s="344" t="s">
        <v>135</v>
      </c>
      <c r="F200" s="29">
        <v>1</v>
      </c>
      <c r="G200" s="9">
        <v>1</v>
      </c>
      <c r="H200" s="9">
        <v>1</v>
      </c>
      <c r="I200" s="9">
        <v>2</v>
      </c>
      <c r="J200" s="9">
        <v>2</v>
      </c>
      <c r="K200" s="160">
        <f t="shared" si="3"/>
        <v>0.35859414261160716</v>
      </c>
      <c r="L200" s="52" t="s">
        <v>120</v>
      </c>
    </row>
    <row r="201" spans="1:12">
      <c r="A201" s="152" t="s">
        <v>118</v>
      </c>
      <c r="B201" s="59">
        <v>2013</v>
      </c>
      <c r="C201" s="344" t="s">
        <v>98</v>
      </c>
      <c r="D201" s="59">
        <v>6758</v>
      </c>
      <c r="E201" s="344" t="s">
        <v>135</v>
      </c>
      <c r="F201" s="29">
        <v>1</v>
      </c>
      <c r="G201" s="9">
        <v>1</v>
      </c>
      <c r="H201" s="9">
        <v>1</v>
      </c>
      <c r="I201" s="9">
        <v>2</v>
      </c>
      <c r="J201" s="9">
        <v>2</v>
      </c>
      <c r="K201" s="160">
        <f t="shared" si="3"/>
        <v>0.35859414261160716</v>
      </c>
      <c r="L201" s="52" t="s">
        <v>120</v>
      </c>
    </row>
    <row r="202" spans="1:12">
      <c r="A202" s="152" t="s">
        <v>118</v>
      </c>
      <c r="B202" s="59">
        <v>2004</v>
      </c>
      <c r="C202" s="344" t="s">
        <v>98</v>
      </c>
      <c r="D202" s="59">
        <v>6777</v>
      </c>
      <c r="E202" s="344" t="s">
        <v>135</v>
      </c>
      <c r="F202" s="29">
        <v>1</v>
      </c>
      <c r="G202" s="9">
        <v>1</v>
      </c>
      <c r="H202" s="9">
        <v>1</v>
      </c>
      <c r="I202" s="9">
        <v>2</v>
      </c>
      <c r="J202" s="9">
        <v>2</v>
      </c>
      <c r="K202" s="160">
        <f t="shared" si="3"/>
        <v>0.35859414261160716</v>
      </c>
      <c r="L202" s="52" t="s">
        <v>120</v>
      </c>
    </row>
    <row r="203" spans="1:12">
      <c r="A203" s="152" t="s">
        <v>118</v>
      </c>
      <c r="B203" s="59">
        <v>2017</v>
      </c>
      <c r="C203" s="344" t="s">
        <v>98</v>
      </c>
      <c r="D203" s="59">
        <v>6797</v>
      </c>
      <c r="E203" s="344" t="s">
        <v>135</v>
      </c>
      <c r="F203" s="29">
        <v>1</v>
      </c>
      <c r="G203" s="9">
        <v>1</v>
      </c>
      <c r="H203" s="9">
        <v>1</v>
      </c>
      <c r="I203" s="9">
        <v>2</v>
      </c>
      <c r="J203" s="9">
        <v>2</v>
      </c>
      <c r="K203" s="160">
        <f t="shared" si="3"/>
        <v>0.35859414261160716</v>
      </c>
      <c r="L203" s="52" t="s">
        <v>120</v>
      </c>
    </row>
    <row r="204" spans="1:12">
      <c r="A204" s="152" t="s">
        <v>118</v>
      </c>
      <c r="B204" s="59">
        <v>2018</v>
      </c>
      <c r="C204" s="344" t="s">
        <v>98</v>
      </c>
      <c r="D204" s="59">
        <v>6797</v>
      </c>
      <c r="E204" s="344" t="s">
        <v>135</v>
      </c>
      <c r="F204" s="29">
        <v>1</v>
      </c>
      <c r="G204" s="9">
        <v>1</v>
      </c>
      <c r="H204" s="9">
        <v>1</v>
      </c>
      <c r="I204" s="9">
        <v>2</v>
      </c>
      <c r="J204" s="9">
        <v>2</v>
      </c>
      <c r="K204" s="160">
        <f t="shared" si="3"/>
        <v>0.35859414261160716</v>
      </c>
      <c r="L204" s="52" t="s">
        <v>120</v>
      </c>
    </row>
    <row r="205" spans="1:12">
      <c r="A205" s="152" t="s">
        <v>118</v>
      </c>
      <c r="B205" s="59">
        <v>2019</v>
      </c>
      <c r="C205" s="344" t="s">
        <v>98</v>
      </c>
      <c r="D205" s="59">
        <v>6797</v>
      </c>
      <c r="E205" s="344" t="s">
        <v>135</v>
      </c>
      <c r="F205" s="29">
        <v>1</v>
      </c>
      <c r="G205" s="9">
        <v>1</v>
      </c>
      <c r="H205" s="9">
        <v>1</v>
      </c>
      <c r="I205" s="9">
        <v>2</v>
      </c>
      <c r="J205" s="9">
        <v>2</v>
      </c>
      <c r="K205" s="160">
        <f t="shared" si="3"/>
        <v>0.35859414261160716</v>
      </c>
      <c r="L205" s="52" t="s">
        <v>120</v>
      </c>
    </row>
    <row r="206" spans="1:12">
      <c r="A206" s="152" t="s">
        <v>118</v>
      </c>
      <c r="B206" s="59">
        <v>2015</v>
      </c>
      <c r="C206" s="344" t="s">
        <v>98</v>
      </c>
      <c r="D206" s="59">
        <v>7154</v>
      </c>
      <c r="E206" s="344" t="s">
        <v>135</v>
      </c>
      <c r="F206" s="29">
        <v>1</v>
      </c>
      <c r="G206" s="9">
        <v>1</v>
      </c>
      <c r="H206" s="9">
        <v>1</v>
      </c>
      <c r="I206" s="9">
        <v>2</v>
      </c>
      <c r="J206" s="9">
        <v>2</v>
      </c>
      <c r="K206" s="160">
        <f t="shared" si="3"/>
        <v>0.35859414261160716</v>
      </c>
      <c r="L206" s="52" t="s">
        <v>120</v>
      </c>
    </row>
    <row r="207" spans="1:12">
      <c r="A207" s="152" t="s">
        <v>118</v>
      </c>
      <c r="B207" s="59">
        <v>2014</v>
      </c>
      <c r="C207" s="344" t="s">
        <v>98</v>
      </c>
      <c r="D207" s="59">
        <v>7535</v>
      </c>
      <c r="E207" s="344" t="s">
        <v>135</v>
      </c>
      <c r="F207" s="29">
        <v>1</v>
      </c>
      <c r="G207" s="9">
        <v>1</v>
      </c>
      <c r="H207" s="9">
        <v>1</v>
      </c>
      <c r="I207" s="9">
        <v>2</v>
      </c>
      <c r="J207" s="9">
        <v>2</v>
      </c>
      <c r="K207" s="160">
        <f t="shared" si="3"/>
        <v>0.35859414261160716</v>
      </c>
      <c r="L207" s="52" t="s">
        <v>120</v>
      </c>
    </row>
    <row r="208" spans="1:12">
      <c r="A208" s="152" t="s">
        <v>118</v>
      </c>
      <c r="B208" s="59">
        <v>2021</v>
      </c>
      <c r="C208" s="344" t="s">
        <v>98</v>
      </c>
      <c r="D208" s="59">
        <v>7971</v>
      </c>
      <c r="E208" s="344" t="s">
        <v>135</v>
      </c>
      <c r="F208" s="29">
        <v>1</v>
      </c>
      <c r="G208" s="9">
        <v>1</v>
      </c>
      <c r="H208" s="9">
        <v>1</v>
      </c>
      <c r="I208" s="9">
        <v>2</v>
      </c>
      <c r="J208" s="9">
        <v>2</v>
      </c>
      <c r="K208" s="160">
        <f t="shared" si="3"/>
        <v>0.35859414261160716</v>
      </c>
      <c r="L208" s="52" t="s">
        <v>120</v>
      </c>
    </row>
    <row r="209" spans="1:12">
      <c r="A209" s="152" t="s">
        <v>118</v>
      </c>
      <c r="B209" s="59">
        <v>2020</v>
      </c>
      <c r="C209" s="344" t="s">
        <v>98</v>
      </c>
      <c r="D209" s="59">
        <v>7974</v>
      </c>
      <c r="E209" s="344" t="s">
        <v>135</v>
      </c>
      <c r="F209" s="29">
        <v>1</v>
      </c>
      <c r="G209" s="9">
        <v>1</v>
      </c>
      <c r="H209" s="9">
        <v>1</v>
      </c>
      <c r="I209" s="9">
        <v>2</v>
      </c>
      <c r="J209" s="9">
        <v>2</v>
      </c>
      <c r="K209" s="160">
        <f t="shared" si="3"/>
        <v>0.35859414261160716</v>
      </c>
      <c r="L209" s="52" t="s">
        <v>120</v>
      </c>
    </row>
    <row r="210" spans="1:12">
      <c r="A210" s="152" t="s">
        <v>118</v>
      </c>
      <c r="B210" s="59">
        <v>2015</v>
      </c>
      <c r="C210" s="344" t="s">
        <v>95</v>
      </c>
      <c r="D210" s="59">
        <v>8085</v>
      </c>
      <c r="E210" s="344" t="s">
        <v>135</v>
      </c>
      <c r="F210" s="29">
        <v>1</v>
      </c>
      <c r="G210" s="9">
        <v>1</v>
      </c>
      <c r="H210" s="9">
        <v>1</v>
      </c>
      <c r="I210" s="9">
        <v>2</v>
      </c>
      <c r="J210" s="9">
        <v>2</v>
      </c>
      <c r="K210" s="160">
        <f t="shared" si="3"/>
        <v>0.35859414261160716</v>
      </c>
      <c r="L210" s="52" t="s">
        <v>120</v>
      </c>
    </row>
    <row r="211" spans="1:12">
      <c r="A211" s="152" t="s">
        <v>118</v>
      </c>
      <c r="B211" s="59">
        <v>2012</v>
      </c>
      <c r="C211" s="344" t="s">
        <v>98</v>
      </c>
      <c r="D211" s="59">
        <v>8310</v>
      </c>
      <c r="E211" s="344" t="s">
        <v>135</v>
      </c>
      <c r="F211" s="29">
        <v>1</v>
      </c>
      <c r="G211" s="9">
        <v>1</v>
      </c>
      <c r="H211" s="9">
        <v>1</v>
      </c>
      <c r="I211" s="9">
        <v>2</v>
      </c>
      <c r="J211" s="9">
        <v>2</v>
      </c>
      <c r="K211" s="160">
        <f t="shared" si="3"/>
        <v>0.35859414261160716</v>
      </c>
      <c r="L211" s="52" t="s">
        <v>120</v>
      </c>
    </row>
    <row r="212" spans="1:12">
      <c r="A212" s="152" t="s">
        <v>118</v>
      </c>
      <c r="B212" s="59">
        <v>2016</v>
      </c>
      <c r="C212" s="344" t="s">
        <v>95</v>
      </c>
      <c r="D212" s="59">
        <v>8396</v>
      </c>
      <c r="E212" s="344" t="s">
        <v>135</v>
      </c>
      <c r="F212" s="29">
        <v>1</v>
      </c>
      <c r="G212" s="9">
        <v>1</v>
      </c>
      <c r="H212" s="9">
        <v>1</v>
      </c>
      <c r="I212" s="9">
        <v>2</v>
      </c>
      <c r="J212" s="9">
        <v>2</v>
      </c>
      <c r="K212" s="160">
        <f t="shared" si="3"/>
        <v>0.35859414261160716</v>
      </c>
      <c r="L212" s="52" t="s">
        <v>120</v>
      </c>
    </row>
    <row r="213" spans="1:12">
      <c r="A213" s="152" t="s">
        <v>118</v>
      </c>
      <c r="B213" s="59">
        <v>2014</v>
      </c>
      <c r="C213" s="344" t="s">
        <v>95</v>
      </c>
      <c r="D213" s="59">
        <v>8482</v>
      </c>
      <c r="E213" s="344" t="s">
        <v>135</v>
      </c>
      <c r="F213" s="29">
        <v>1</v>
      </c>
      <c r="G213" s="9">
        <v>1</v>
      </c>
      <c r="H213" s="9">
        <v>1</v>
      </c>
      <c r="I213" s="9">
        <v>2</v>
      </c>
      <c r="J213" s="9">
        <v>2</v>
      </c>
      <c r="K213" s="160">
        <f t="shared" si="3"/>
        <v>0.35859414261160716</v>
      </c>
      <c r="L213" s="52" t="s">
        <v>120</v>
      </c>
    </row>
    <row r="214" spans="1:12">
      <c r="A214" s="152" t="s">
        <v>118</v>
      </c>
      <c r="B214" s="59">
        <v>2003</v>
      </c>
      <c r="C214" s="344" t="s">
        <v>95</v>
      </c>
      <c r="D214" s="59">
        <v>8573</v>
      </c>
      <c r="E214" s="344" t="s">
        <v>135</v>
      </c>
      <c r="F214" s="29">
        <v>1</v>
      </c>
      <c r="G214" s="9">
        <v>1</v>
      </c>
      <c r="H214" s="9">
        <v>1</v>
      </c>
      <c r="I214" s="9">
        <v>2</v>
      </c>
      <c r="J214" s="9">
        <v>2</v>
      </c>
      <c r="K214" s="160">
        <f t="shared" si="3"/>
        <v>0.35859414261160716</v>
      </c>
      <c r="L214" s="52" t="s">
        <v>120</v>
      </c>
    </row>
    <row r="215" spans="1:12">
      <c r="A215" s="152" t="s">
        <v>118</v>
      </c>
      <c r="B215" s="59">
        <v>2004</v>
      </c>
      <c r="C215" s="344" t="s">
        <v>95</v>
      </c>
      <c r="D215" s="59">
        <v>9177</v>
      </c>
      <c r="E215" s="344" t="s">
        <v>135</v>
      </c>
      <c r="F215" s="29">
        <v>1</v>
      </c>
      <c r="G215" s="9">
        <v>1</v>
      </c>
      <c r="H215" s="9">
        <v>1</v>
      </c>
      <c r="I215" s="9">
        <v>2</v>
      </c>
      <c r="J215" s="9">
        <v>2</v>
      </c>
      <c r="K215" s="160">
        <f t="shared" si="3"/>
        <v>0.35859414261160716</v>
      </c>
      <c r="L215" s="52" t="s">
        <v>120</v>
      </c>
    </row>
    <row r="216" spans="1:12">
      <c r="A216" s="152" t="s">
        <v>118</v>
      </c>
      <c r="B216" s="59">
        <v>2010</v>
      </c>
      <c r="C216" s="344" t="s">
        <v>95</v>
      </c>
      <c r="D216" s="59">
        <v>9333</v>
      </c>
      <c r="E216" s="344" t="s">
        <v>135</v>
      </c>
      <c r="F216" s="29">
        <v>1</v>
      </c>
      <c r="G216" s="9">
        <v>1</v>
      </c>
      <c r="H216" s="9">
        <v>1</v>
      </c>
      <c r="I216" s="9">
        <v>2</v>
      </c>
      <c r="J216" s="9">
        <v>2</v>
      </c>
      <c r="K216" s="160">
        <f t="shared" si="3"/>
        <v>0.35859414261160716</v>
      </c>
      <c r="L216" s="52" t="s">
        <v>120</v>
      </c>
    </row>
    <row r="217" spans="1:12">
      <c r="A217" s="152" t="s">
        <v>118</v>
      </c>
      <c r="B217" s="59">
        <v>2005</v>
      </c>
      <c r="C217" s="344" t="s">
        <v>95</v>
      </c>
      <c r="D217" s="59">
        <v>9359</v>
      </c>
      <c r="E217" s="344" t="s">
        <v>135</v>
      </c>
      <c r="F217" s="29">
        <v>1</v>
      </c>
      <c r="G217" s="9">
        <v>1</v>
      </c>
      <c r="H217" s="9">
        <v>1</v>
      </c>
      <c r="I217" s="9">
        <v>2</v>
      </c>
      <c r="J217" s="9">
        <v>2</v>
      </c>
      <c r="K217" s="160">
        <f t="shared" si="3"/>
        <v>0.35859414261160716</v>
      </c>
      <c r="L217" s="52" t="s">
        <v>120</v>
      </c>
    </row>
    <row r="218" spans="1:12">
      <c r="A218" s="152" t="s">
        <v>118</v>
      </c>
      <c r="B218" s="59">
        <v>2017</v>
      </c>
      <c r="C218" s="344" t="s">
        <v>95</v>
      </c>
      <c r="D218" s="59">
        <v>9425</v>
      </c>
      <c r="E218" s="344" t="s">
        <v>135</v>
      </c>
      <c r="F218" s="29">
        <v>1</v>
      </c>
      <c r="G218" s="9">
        <v>1</v>
      </c>
      <c r="H218" s="9">
        <v>1</v>
      </c>
      <c r="I218" s="9">
        <v>2</v>
      </c>
      <c r="J218" s="9">
        <v>2</v>
      </c>
      <c r="K218" s="160">
        <f t="shared" si="3"/>
        <v>0.35859414261160716</v>
      </c>
      <c r="L218" s="52" t="s">
        <v>120</v>
      </c>
    </row>
    <row r="219" spans="1:12">
      <c r="A219" s="152" t="s">
        <v>118</v>
      </c>
      <c r="B219" s="59">
        <v>2018</v>
      </c>
      <c r="C219" s="344" t="s">
        <v>95</v>
      </c>
      <c r="D219" s="59">
        <v>9425</v>
      </c>
      <c r="E219" s="344" t="s">
        <v>135</v>
      </c>
      <c r="F219" s="29">
        <v>1</v>
      </c>
      <c r="G219" s="9">
        <v>1</v>
      </c>
      <c r="H219" s="9">
        <v>1</v>
      </c>
      <c r="I219" s="9">
        <v>2</v>
      </c>
      <c r="J219" s="9">
        <v>2</v>
      </c>
      <c r="K219" s="160">
        <f t="shared" si="3"/>
        <v>0.35859414261160716</v>
      </c>
      <c r="L219" s="52" t="s">
        <v>120</v>
      </c>
    </row>
    <row r="220" spans="1:12">
      <c r="A220" s="152" t="s">
        <v>118</v>
      </c>
      <c r="B220" s="59">
        <v>2019</v>
      </c>
      <c r="C220" s="344" t="s">
        <v>95</v>
      </c>
      <c r="D220" s="59">
        <v>9425</v>
      </c>
      <c r="E220" s="344" t="s">
        <v>135</v>
      </c>
      <c r="F220" s="29">
        <v>1</v>
      </c>
      <c r="G220" s="9">
        <v>1</v>
      </c>
      <c r="H220" s="9">
        <v>1</v>
      </c>
      <c r="I220" s="9">
        <v>2</v>
      </c>
      <c r="J220" s="9">
        <v>2</v>
      </c>
      <c r="K220" s="160">
        <f t="shared" si="3"/>
        <v>0.35859414261160716</v>
      </c>
      <c r="L220" s="52" t="s">
        <v>120</v>
      </c>
    </row>
    <row r="221" spans="1:12">
      <c r="A221" s="152" t="s">
        <v>118</v>
      </c>
      <c r="B221" s="59">
        <v>2012</v>
      </c>
      <c r="C221" s="344" t="s">
        <v>95</v>
      </c>
      <c r="D221" s="59">
        <v>9437</v>
      </c>
      <c r="E221" s="344" t="s">
        <v>135</v>
      </c>
      <c r="F221" s="29">
        <v>1</v>
      </c>
      <c r="G221" s="9">
        <v>1</v>
      </c>
      <c r="H221" s="9">
        <v>1</v>
      </c>
      <c r="I221" s="9">
        <v>2</v>
      </c>
      <c r="J221" s="9">
        <v>2</v>
      </c>
      <c r="K221" s="160">
        <f t="shared" si="3"/>
        <v>0.35859414261160716</v>
      </c>
      <c r="L221" s="52" t="s">
        <v>120</v>
      </c>
    </row>
    <row r="222" spans="1:12">
      <c r="A222" s="152" t="s">
        <v>118</v>
      </c>
      <c r="B222" s="59">
        <v>2021</v>
      </c>
      <c r="C222" s="344" t="s">
        <v>95</v>
      </c>
      <c r="D222" s="59">
        <v>9482</v>
      </c>
      <c r="E222" s="344" t="s">
        <v>135</v>
      </c>
      <c r="F222" s="29">
        <v>1</v>
      </c>
      <c r="G222" s="9">
        <v>1</v>
      </c>
      <c r="H222" s="9">
        <v>1</v>
      </c>
      <c r="I222" s="9">
        <v>2</v>
      </c>
      <c r="J222" s="9">
        <v>2</v>
      </c>
      <c r="K222" s="160">
        <f t="shared" si="3"/>
        <v>0.35859414261160716</v>
      </c>
      <c r="L222" s="52" t="s">
        <v>120</v>
      </c>
    </row>
    <row r="223" spans="1:12">
      <c r="A223" s="152" t="s">
        <v>118</v>
      </c>
      <c r="B223" s="59">
        <v>2013</v>
      </c>
      <c r="C223" s="344" t="s">
        <v>95</v>
      </c>
      <c r="D223" s="59">
        <v>9631</v>
      </c>
      <c r="E223" s="344" t="s">
        <v>135</v>
      </c>
      <c r="F223" s="29">
        <v>1</v>
      </c>
      <c r="G223" s="9">
        <v>1</v>
      </c>
      <c r="H223" s="9">
        <v>1</v>
      </c>
      <c r="I223" s="9">
        <v>2</v>
      </c>
      <c r="J223" s="9">
        <v>2</v>
      </c>
      <c r="K223" s="160">
        <f t="shared" si="3"/>
        <v>0.35859414261160716</v>
      </c>
      <c r="L223" s="52" t="s">
        <v>120</v>
      </c>
    </row>
    <row r="224" spans="1:12">
      <c r="A224" s="152" t="s">
        <v>118</v>
      </c>
      <c r="B224" s="59">
        <v>2009</v>
      </c>
      <c r="C224" s="344" t="s">
        <v>95</v>
      </c>
      <c r="D224" s="59">
        <v>9674</v>
      </c>
      <c r="E224" s="344" t="s">
        <v>135</v>
      </c>
      <c r="F224" s="29">
        <v>1</v>
      </c>
      <c r="G224" s="9">
        <v>1</v>
      </c>
      <c r="H224" s="9">
        <v>1</v>
      </c>
      <c r="I224" s="9">
        <v>2</v>
      </c>
      <c r="J224" s="9">
        <v>2</v>
      </c>
      <c r="K224" s="160">
        <f t="shared" si="3"/>
        <v>0.35859414261160716</v>
      </c>
      <c r="L224" s="52" t="s">
        <v>120</v>
      </c>
    </row>
    <row r="225" spans="1:12">
      <c r="A225" s="152" t="s">
        <v>118</v>
      </c>
      <c r="B225" s="59">
        <v>2006</v>
      </c>
      <c r="C225" s="344" t="s">
        <v>95</v>
      </c>
      <c r="D225" s="59">
        <v>9780</v>
      </c>
      <c r="E225" s="344" t="s">
        <v>135</v>
      </c>
      <c r="F225" s="29">
        <v>1</v>
      </c>
      <c r="G225" s="9">
        <v>1</v>
      </c>
      <c r="H225" s="9">
        <v>1</v>
      </c>
      <c r="I225" s="9">
        <v>2</v>
      </c>
      <c r="J225" s="9">
        <v>2</v>
      </c>
      <c r="K225" s="160">
        <f t="shared" si="3"/>
        <v>0.35859414261160716</v>
      </c>
      <c r="L225" s="52" t="s">
        <v>120</v>
      </c>
    </row>
    <row r="226" spans="1:12">
      <c r="A226" s="152" t="s">
        <v>118</v>
      </c>
      <c r="B226" s="59">
        <v>2008</v>
      </c>
      <c r="C226" s="344" t="s">
        <v>95</v>
      </c>
      <c r="D226" s="59">
        <v>9960</v>
      </c>
      <c r="E226" s="344" t="s">
        <v>135</v>
      </c>
      <c r="F226" s="29">
        <v>1</v>
      </c>
      <c r="G226" s="9">
        <v>1</v>
      </c>
      <c r="H226" s="9">
        <v>1</v>
      </c>
      <c r="I226" s="9">
        <v>2</v>
      </c>
      <c r="J226" s="9">
        <v>2</v>
      </c>
      <c r="K226" s="160">
        <f t="shared" si="3"/>
        <v>0.35859414261160716</v>
      </c>
      <c r="L226" s="52" t="s">
        <v>120</v>
      </c>
    </row>
    <row r="227" spans="1:12">
      <c r="A227" s="152" t="s">
        <v>118</v>
      </c>
      <c r="B227" s="59">
        <v>2020</v>
      </c>
      <c r="C227" s="344" t="s">
        <v>95</v>
      </c>
      <c r="D227" s="59">
        <v>10055</v>
      </c>
      <c r="E227" s="344" t="s">
        <v>135</v>
      </c>
      <c r="F227" s="29">
        <v>1</v>
      </c>
      <c r="G227" s="9">
        <v>1</v>
      </c>
      <c r="H227" s="9">
        <v>1</v>
      </c>
      <c r="I227" s="9">
        <v>2</v>
      </c>
      <c r="J227" s="9">
        <v>2</v>
      </c>
      <c r="K227" s="160">
        <f t="shared" si="3"/>
        <v>0.35859414261160716</v>
      </c>
      <c r="L227" s="52" t="s">
        <v>120</v>
      </c>
    </row>
    <row r="228" spans="1:12">
      <c r="A228" s="152" t="s">
        <v>118</v>
      </c>
      <c r="B228" s="59">
        <v>2011</v>
      </c>
      <c r="C228" s="344" t="s">
        <v>95</v>
      </c>
      <c r="D228" s="59">
        <v>10120</v>
      </c>
      <c r="E228" s="344" t="s">
        <v>135</v>
      </c>
      <c r="F228" s="29">
        <v>1</v>
      </c>
      <c r="G228" s="9">
        <v>1</v>
      </c>
      <c r="H228" s="9">
        <v>1</v>
      </c>
      <c r="I228" s="9">
        <v>2</v>
      </c>
      <c r="J228" s="9">
        <v>2</v>
      </c>
      <c r="K228" s="160">
        <f t="shared" si="3"/>
        <v>0.35859414261160716</v>
      </c>
      <c r="L228" s="52" t="s">
        <v>120</v>
      </c>
    </row>
    <row r="229" spans="1:12">
      <c r="A229" s="152" t="s">
        <v>118</v>
      </c>
      <c r="B229" s="59">
        <v>2013</v>
      </c>
      <c r="C229" s="344" t="s">
        <v>106</v>
      </c>
      <c r="D229" s="59">
        <v>11075</v>
      </c>
      <c r="E229" s="344" t="s">
        <v>135</v>
      </c>
      <c r="F229" s="29">
        <v>1</v>
      </c>
      <c r="G229" s="9">
        <v>1</v>
      </c>
      <c r="H229" s="9">
        <v>1</v>
      </c>
      <c r="I229" s="9">
        <v>2</v>
      </c>
      <c r="J229" s="9">
        <v>2</v>
      </c>
      <c r="K229" s="160">
        <f t="shared" si="3"/>
        <v>0.35859414261160716</v>
      </c>
      <c r="L229" s="52" t="s">
        <v>120</v>
      </c>
    </row>
    <row r="230" spans="1:12">
      <c r="A230" s="152" t="s">
        <v>118</v>
      </c>
      <c r="B230" s="59">
        <v>2007</v>
      </c>
      <c r="C230" s="344" t="s">
        <v>95</v>
      </c>
      <c r="D230" s="59">
        <v>11254</v>
      </c>
      <c r="E230" s="344" t="s">
        <v>135</v>
      </c>
      <c r="F230" s="29">
        <v>1</v>
      </c>
      <c r="G230" s="9">
        <v>1</v>
      </c>
      <c r="H230" s="9">
        <v>1</v>
      </c>
      <c r="I230" s="9">
        <v>2</v>
      </c>
      <c r="J230" s="9">
        <v>2</v>
      </c>
      <c r="K230" s="160">
        <f t="shared" si="3"/>
        <v>0.35859414261160716</v>
      </c>
      <c r="L230" s="52" t="s">
        <v>120</v>
      </c>
    </row>
    <row r="231" spans="1:12">
      <c r="A231" s="152" t="s">
        <v>118</v>
      </c>
      <c r="B231" s="59">
        <v>2009</v>
      </c>
      <c r="C231" s="344" t="s">
        <v>93</v>
      </c>
      <c r="D231" s="59">
        <v>11289</v>
      </c>
      <c r="E231" s="344" t="s">
        <v>135</v>
      </c>
      <c r="F231" s="29">
        <v>1</v>
      </c>
      <c r="G231" s="9">
        <v>1</v>
      </c>
      <c r="H231" s="9">
        <v>1</v>
      </c>
      <c r="I231" s="9">
        <v>2</v>
      </c>
      <c r="J231" s="9">
        <v>2</v>
      </c>
      <c r="K231" s="160">
        <f t="shared" si="3"/>
        <v>0.35859414261160716</v>
      </c>
      <c r="L231" s="52" t="s">
        <v>120</v>
      </c>
    </row>
    <row r="232" spans="1:12">
      <c r="A232" s="152" t="s">
        <v>118</v>
      </c>
      <c r="B232" s="59">
        <v>2010</v>
      </c>
      <c r="C232" s="344" t="s">
        <v>93</v>
      </c>
      <c r="D232" s="59">
        <v>12078</v>
      </c>
      <c r="E232" s="344" t="s">
        <v>135</v>
      </c>
      <c r="F232" s="29">
        <v>1</v>
      </c>
      <c r="G232" s="9">
        <v>1</v>
      </c>
      <c r="H232" s="9">
        <v>1</v>
      </c>
      <c r="I232" s="9">
        <v>2</v>
      </c>
      <c r="J232" s="9">
        <v>2</v>
      </c>
      <c r="K232" s="160">
        <f t="shared" si="3"/>
        <v>0.35859414261160716</v>
      </c>
      <c r="L232" s="52" t="s">
        <v>120</v>
      </c>
    </row>
    <row r="233" spans="1:12">
      <c r="A233" s="152" t="s">
        <v>118</v>
      </c>
      <c r="B233" s="59">
        <v>2016</v>
      </c>
      <c r="C233" s="344" t="s">
        <v>93</v>
      </c>
      <c r="D233" s="59">
        <v>12146</v>
      </c>
      <c r="E233" s="344" t="s">
        <v>135</v>
      </c>
      <c r="F233" s="29">
        <v>1</v>
      </c>
      <c r="G233" s="9">
        <v>1</v>
      </c>
      <c r="H233" s="9">
        <v>1</v>
      </c>
      <c r="I233" s="9">
        <v>2</v>
      </c>
      <c r="J233" s="9">
        <v>2</v>
      </c>
      <c r="K233" s="160">
        <f t="shared" si="3"/>
        <v>0.35859414261160716</v>
      </c>
      <c r="L233" s="52" t="s">
        <v>120</v>
      </c>
    </row>
    <row r="234" spans="1:12">
      <c r="A234" s="152" t="s">
        <v>118</v>
      </c>
      <c r="B234" s="59">
        <v>2015</v>
      </c>
      <c r="C234" s="344" t="s">
        <v>93</v>
      </c>
      <c r="D234" s="59">
        <v>12194</v>
      </c>
      <c r="E234" s="344" t="s">
        <v>135</v>
      </c>
      <c r="F234" s="29">
        <v>1</v>
      </c>
      <c r="G234" s="9">
        <v>1</v>
      </c>
      <c r="H234" s="9">
        <v>1</v>
      </c>
      <c r="I234" s="9">
        <v>2</v>
      </c>
      <c r="J234" s="9">
        <v>2</v>
      </c>
      <c r="K234" s="160">
        <f t="shared" si="3"/>
        <v>0.35859414261160716</v>
      </c>
      <c r="L234" s="52" t="s">
        <v>120</v>
      </c>
    </row>
    <row r="235" spans="1:12">
      <c r="A235" s="152" t="s">
        <v>118</v>
      </c>
      <c r="B235" s="59">
        <v>2003</v>
      </c>
      <c r="C235" s="344" t="s">
        <v>93</v>
      </c>
      <c r="D235" s="59">
        <v>12268</v>
      </c>
      <c r="E235" s="344" t="s">
        <v>135</v>
      </c>
      <c r="F235" s="29">
        <v>1</v>
      </c>
      <c r="G235" s="9">
        <v>1</v>
      </c>
      <c r="H235" s="9">
        <v>1</v>
      </c>
      <c r="I235" s="9">
        <v>2</v>
      </c>
      <c r="J235" s="9">
        <v>2</v>
      </c>
      <c r="K235" s="160">
        <f t="shared" si="3"/>
        <v>0.35859414261160716</v>
      </c>
      <c r="L235" s="52" t="s">
        <v>120</v>
      </c>
    </row>
    <row r="236" spans="1:12">
      <c r="A236" s="152" t="s">
        <v>118</v>
      </c>
      <c r="B236" s="59">
        <v>2014</v>
      </c>
      <c r="C236" s="344" t="s">
        <v>93</v>
      </c>
      <c r="D236" s="59">
        <v>12281</v>
      </c>
      <c r="E236" s="344" t="s">
        <v>135</v>
      </c>
      <c r="F236" s="29">
        <v>1</v>
      </c>
      <c r="G236" s="9">
        <v>1</v>
      </c>
      <c r="H236" s="9">
        <v>1</v>
      </c>
      <c r="I236" s="9">
        <v>2</v>
      </c>
      <c r="J236" s="9">
        <v>2</v>
      </c>
      <c r="K236" s="160">
        <f t="shared" si="3"/>
        <v>0.35859414261160716</v>
      </c>
      <c r="L236" s="52" t="s">
        <v>120</v>
      </c>
    </row>
    <row r="237" spans="1:12">
      <c r="A237" s="152" t="s">
        <v>118</v>
      </c>
      <c r="B237" s="59">
        <v>2004</v>
      </c>
      <c r="C237" s="344" t="s">
        <v>93</v>
      </c>
      <c r="D237" s="59">
        <v>12405</v>
      </c>
      <c r="E237" s="344" t="s">
        <v>135</v>
      </c>
      <c r="F237" s="29">
        <v>1</v>
      </c>
      <c r="G237" s="9">
        <v>1</v>
      </c>
      <c r="H237" s="9">
        <v>1</v>
      </c>
      <c r="I237" s="9">
        <v>2</v>
      </c>
      <c r="J237" s="9">
        <v>2</v>
      </c>
      <c r="K237" s="160">
        <f t="shared" si="3"/>
        <v>0.35859414261160716</v>
      </c>
      <c r="L237" s="52" t="s">
        <v>120</v>
      </c>
    </row>
    <row r="238" spans="1:12">
      <c r="A238" s="152" t="s">
        <v>118</v>
      </c>
      <c r="B238" s="59">
        <v>2005</v>
      </c>
      <c r="C238" s="344" t="s">
        <v>93</v>
      </c>
      <c r="D238" s="59">
        <v>12454</v>
      </c>
      <c r="E238" s="344" t="s">
        <v>135</v>
      </c>
      <c r="F238" s="29">
        <v>1</v>
      </c>
      <c r="G238" s="9">
        <v>1</v>
      </c>
      <c r="H238" s="9">
        <v>1</v>
      </c>
      <c r="I238" s="9">
        <v>2</v>
      </c>
      <c r="J238" s="9">
        <v>2</v>
      </c>
      <c r="K238" s="160">
        <f t="shared" si="3"/>
        <v>0.35859414261160716</v>
      </c>
      <c r="L238" s="52" t="s">
        <v>120</v>
      </c>
    </row>
    <row r="239" spans="1:12">
      <c r="A239" s="152" t="s">
        <v>118</v>
      </c>
      <c r="B239" s="59">
        <v>2006</v>
      </c>
      <c r="C239" s="344" t="s">
        <v>93</v>
      </c>
      <c r="D239" s="59">
        <v>12651</v>
      </c>
      <c r="E239" s="344" t="s">
        <v>135</v>
      </c>
      <c r="F239" s="29">
        <v>1</v>
      </c>
      <c r="G239" s="9">
        <v>1</v>
      </c>
      <c r="H239" s="9">
        <v>1</v>
      </c>
      <c r="I239" s="9">
        <v>2</v>
      </c>
      <c r="J239" s="9">
        <v>2</v>
      </c>
      <c r="K239" s="160">
        <f t="shared" si="3"/>
        <v>0.35859414261160716</v>
      </c>
      <c r="L239" s="52" t="s">
        <v>120</v>
      </c>
    </row>
    <row r="240" spans="1:12">
      <c r="A240" s="152" t="s">
        <v>118</v>
      </c>
      <c r="B240" s="59">
        <v>2011</v>
      </c>
      <c r="C240" s="344" t="s">
        <v>93</v>
      </c>
      <c r="D240" s="59">
        <v>12709</v>
      </c>
      <c r="E240" s="344" t="s">
        <v>135</v>
      </c>
      <c r="F240" s="29">
        <v>1</v>
      </c>
      <c r="G240" s="9">
        <v>1</v>
      </c>
      <c r="H240" s="9">
        <v>1</v>
      </c>
      <c r="I240" s="9">
        <v>2</v>
      </c>
      <c r="J240" s="9">
        <v>2</v>
      </c>
      <c r="K240" s="160">
        <f t="shared" si="3"/>
        <v>0.35859414261160716</v>
      </c>
      <c r="L240" s="52" t="s">
        <v>120</v>
      </c>
    </row>
    <row r="241" spans="1:12">
      <c r="A241" s="152" t="s">
        <v>118</v>
      </c>
      <c r="B241" s="59">
        <v>2004</v>
      </c>
      <c r="C241" s="344" t="s">
        <v>106</v>
      </c>
      <c r="D241" s="59">
        <v>12742</v>
      </c>
      <c r="E241" s="344" t="s">
        <v>135</v>
      </c>
      <c r="F241" s="29">
        <v>1</v>
      </c>
      <c r="G241" s="9">
        <v>1</v>
      </c>
      <c r="H241" s="9">
        <v>1</v>
      </c>
      <c r="I241" s="9">
        <v>2</v>
      </c>
      <c r="J241" s="9">
        <v>2</v>
      </c>
      <c r="K241" s="160">
        <f t="shared" si="3"/>
        <v>0.35859414261160716</v>
      </c>
      <c r="L241" s="52" t="s">
        <v>120</v>
      </c>
    </row>
    <row r="242" spans="1:12">
      <c r="A242" s="152" t="s">
        <v>118</v>
      </c>
      <c r="B242" s="59">
        <v>2013</v>
      </c>
      <c r="C242" s="344" t="s">
        <v>93</v>
      </c>
      <c r="D242" s="59">
        <v>12784</v>
      </c>
      <c r="E242" s="344" t="s">
        <v>135</v>
      </c>
      <c r="F242" s="29">
        <v>1</v>
      </c>
      <c r="G242" s="9">
        <v>1</v>
      </c>
      <c r="H242" s="9">
        <v>1</v>
      </c>
      <c r="I242" s="9">
        <v>2</v>
      </c>
      <c r="J242" s="9">
        <v>2</v>
      </c>
      <c r="K242" s="160">
        <f t="shared" si="3"/>
        <v>0.35859414261160716</v>
      </c>
      <c r="L242" s="52" t="s">
        <v>120</v>
      </c>
    </row>
    <row r="243" spans="1:12">
      <c r="A243" s="152" t="s">
        <v>118</v>
      </c>
      <c r="B243" s="59">
        <v>2017</v>
      </c>
      <c r="C243" s="344" t="s">
        <v>93</v>
      </c>
      <c r="D243" s="59">
        <v>12829</v>
      </c>
      <c r="E243" s="344" t="s">
        <v>135</v>
      </c>
      <c r="F243" s="29">
        <v>1</v>
      </c>
      <c r="G243" s="9">
        <v>1</v>
      </c>
      <c r="H243" s="9">
        <v>1</v>
      </c>
      <c r="I243" s="9">
        <v>2</v>
      </c>
      <c r="J243" s="9">
        <v>2</v>
      </c>
      <c r="K243" s="160">
        <f t="shared" si="3"/>
        <v>0.35859414261160716</v>
      </c>
      <c r="L243" s="52" t="s">
        <v>120</v>
      </c>
    </row>
    <row r="244" spans="1:12">
      <c r="A244" s="152" t="s">
        <v>118</v>
      </c>
      <c r="B244" s="59">
        <v>2018</v>
      </c>
      <c r="C244" s="344" t="s">
        <v>93</v>
      </c>
      <c r="D244" s="59">
        <v>12829</v>
      </c>
      <c r="E244" s="344" t="s">
        <v>135</v>
      </c>
      <c r="F244" s="29">
        <v>1</v>
      </c>
      <c r="G244" s="9">
        <v>1</v>
      </c>
      <c r="H244" s="9">
        <v>1</v>
      </c>
      <c r="I244" s="9">
        <v>2</v>
      </c>
      <c r="J244" s="9">
        <v>2</v>
      </c>
      <c r="K244" s="160">
        <f t="shared" si="3"/>
        <v>0.35859414261160716</v>
      </c>
      <c r="L244" s="52" t="s">
        <v>120</v>
      </c>
    </row>
    <row r="245" spans="1:12">
      <c r="A245" s="152" t="s">
        <v>118</v>
      </c>
      <c r="B245" s="59">
        <v>2019</v>
      </c>
      <c r="C245" s="344" t="s">
        <v>93</v>
      </c>
      <c r="D245" s="59">
        <v>12829</v>
      </c>
      <c r="E245" s="344" t="s">
        <v>135</v>
      </c>
      <c r="F245" s="29">
        <v>1</v>
      </c>
      <c r="G245" s="9">
        <v>1</v>
      </c>
      <c r="H245" s="9">
        <v>1</v>
      </c>
      <c r="I245" s="9">
        <v>2</v>
      </c>
      <c r="J245" s="9">
        <v>2</v>
      </c>
      <c r="K245" s="160">
        <f t="shared" si="3"/>
        <v>0.35859414261160716</v>
      </c>
      <c r="L245" s="52" t="s">
        <v>120</v>
      </c>
    </row>
    <row r="246" spans="1:12">
      <c r="A246" s="152" t="s">
        <v>118</v>
      </c>
      <c r="B246" s="59">
        <v>2008</v>
      </c>
      <c r="C246" s="344" t="s">
        <v>93</v>
      </c>
      <c r="D246" s="59">
        <v>12855</v>
      </c>
      <c r="E246" s="344" t="s">
        <v>135</v>
      </c>
      <c r="F246" s="29">
        <v>1</v>
      </c>
      <c r="G246" s="9">
        <v>1</v>
      </c>
      <c r="H246" s="9">
        <v>1</v>
      </c>
      <c r="I246" s="9">
        <v>2</v>
      </c>
      <c r="J246" s="9">
        <v>2</v>
      </c>
      <c r="K246" s="160">
        <f t="shared" si="3"/>
        <v>0.35859414261160716</v>
      </c>
      <c r="L246" s="52" t="s">
        <v>120</v>
      </c>
    </row>
    <row r="247" spans="1:12">
      <c r="A247" s="152" t="s">
        <v>118</v>
      </c>
      <c r="B247" s="59">
        <v>2016</v>
      </c>
      <c r="C247" s="344" t="s">
        <v>106</v>
      </c>
      <c r="D247" s="59">
        <v>12878</v>
      </c>
      <c r="E247" s="344" t="s">
        <v>135</v>
      </c>
      <c r="F247" s="29">
        <v>1</v>
      </c>
      <c r="G247" s="9">
        <v>1</v>
      </c>
      <c r="H247" s="9">
        <v>1</v>
      </c>
      <c r="I247" s="9">
        <v>2</v>
      </c>
      <c r="J247" s="9">
        <v>2</v>
      </c>
      <c r="K247" s="160">
        <f t="shared" si="3"/>
        <v>0.35859414261160716</v>
      </c>
      <c r="L247" s="52" t="s">
        <v>120</v>
      </c>
    </row>
    <row r="248" spans="1:12">
      <c r="A248" s="152" t="s">
        <v>118</v>
      </c>
      <c r="B248" s="59">
        <v>2015</v>
      </c>
      <c r="C248" s="344" t="s">
        <v>106</v>
      </c>
      <c r="D248" s="59">
        <v>12995</v>
      </c>
      <c r="E248" s="344" t="s">
        <v>135</v>
      </c>
      <c r="F248" s="29">
        <v>1</v>
      </c>
      <c r="G248" s="9">
        <v>1</v>
      </c>
      <c r="H248" s="9">
        <v>1</v>
      </c>
      <c r="I248" s="9">
        <v>2</v>
      </c>
      <c r="J248" s="9">
        <v>2</v>
      </c>
      <c r="K248" s="160">
        <f t="shared" si="3"/>
        <v>0.35859414261160716</v>
      </c>
      <c r="L248" s="52" t="s">
        <v>120</v>
      </c>
    </row>
    <row r="249" spans="1:12">
      <c r="A249" s="152" t="s">
        <v>118</v>
      </c>
      <c r="B249" s="59">
        <v>2014</v>
      </c>
      <c r="C249" s="344" t="s">
        <v>106</v>
      </c>
      <c r="D249" s="59">
        <v>13212</v>
      </c>
      <c r="E249" s="344" t="s">
        <v>135</v>
      </c>
      <c r="F249" s="29">
        <v>1</v>
      </c>
      <c r="G249" s="9">
        <v>1</v>
      </c>
      <c r="H249" s="9">
        <v>1</v>
      </c>
      <c r="I249" s="9">
        <v>2</v>
      </c>
      <c r="J249" s="9">
        <v>2</v>
      </c>
      <c r="K249" s="160">
        <f t="shared" si="3"/>
        <v>0.35859414261160716</v>
      </c>
      <c r="L249" s="52" t="s">
        <v>120</v>
      </c>
    </row>
    <row r="250" spans="1:12">
      <c r="A250" s="152" t="s">
        <v>118</v>
      </c>
      <c r="B250" s="59">
        <v>2003</v>
      </c>
      <c r="C250" s="344" t="s">
        <v>106</v>
      </c>
      <c r="D250" s="59">
        <v>13324</v>
      </c>
      <c r="E250" s="344" t="s">
        <v>135</v>
      </c>
      <c r="F250" s="29">
        <v>1</v>
      </c>
      <c r="G250" s="9">
        <v>1</v>
      </c>
      <c r="H250" s="9">
        <v>1</v>
      </c>
      <c r="I250" s="9">
        <v>2</v>
      </c>
      <c r="J250" s="9">
        <v>2</v>
      </c>
      <c r="K250" s="160">
        <f t="shared" si="3"/>
        <v>0.35859414261160716</v>
      </c>
      <c r="L250" s="52" t="s">
        <v>120</v>
      </c>
    </row>
    <row r="251" spans="1:12">
      <c r="A251" s="152" t="s">
        <v>118</v>
      </c>
      <c r="B251" s="59">
        <v>2020</v>
      </c>
      <c r="C251" s="344" t="s">
        <v>93</v>
      </c>
      <c r="D251" s="59">
        <v>13493</v>
      </c>
      <c r="E251" s="344" t="s">
        <v>135</v>
      </c>
      <c r="F251" s="29">
        <v>1</v>
      </c>
      <c r="G251" s="9">
        <v>1</v>
      </c>
      <c r="H251" s="9">
        <v>1</v>
      </c>
      <c r="I251" s="9">
        <v>2</v>
      </c>
      <c r="J251" s="9">
        <v>2</v>
      </c>
      <c r="K251" s="160">
        <f t="shared" si="3"/>
        <v>0.35859414261160716</v>
      </c>
      <c r="L251" s="52" t="s">
        <v>120</v>
      </c>
    </row>
    <row r="252" spans="1:12">
      <c r="A252" s="152" t="s">
        <v>118</v>
      </c>
      <c r="B252" s="59">
        <v>2021</v>
      </c>
      <c r="C252" s="344" t="s">
        <v>93</v>
      </c>
      <c r="D252" s="59">
        <v>13666</v>
      </c>
      <c r="E252" s="344" t="s">
        <v>135</v>
      </c>
      <c r="F252" s="29">
        <v>1</v>
      </c>
      <c r="G252" s="9">
        <v>1</v>
      </c>
      <c r="H252" s="9">
        <v>1</v>
      </c>
      <c r="I252" s="9">
        <v>2</v>
      </c>
      <c r="J252" s="9">
        <v>2</v>
      </c>
      <c r="K252" s="160">
        <f t="shared" si="3"/>
        <v>0.35859414261160716</v>
      </c>
      <c r="L252" s="52" t="s">
        <v>120</v>
      </c>
    </row>
    <row r="253" spans="1:12">
      <c r="A253" s="152" t="s">
        <v>118</v>
      </c>
      <c r="B253" s="59">
        <v>2012</v>
      </c>
      <c r="C253" s="344" t="s">
        <v>106</v>
      </c>
      <c r="D253" s="59">
        <v>13706</v>
      </c>
      <c r="E253" s="344" t="s">
        <v>135</v>
      </c>
      <c r="F253" s="29">
        <v>1</v>
      </c>
      <c r="G253" s="9">
        <v>1</v>
      </c>
      <c r="H253" s="9">
        <v>1</v>
      </c>
      <c r="I253" s="9">
        <v>2</v>
      </c>
      <c r="J253" s="9">
        <v>2</v>
      </c>
      <c r="K253" s="160">
        <f t="shared" si="3"/>
        <v>0.35859414261160716</v>
      </c>
      <c r="L253" s="52" t="s">
        <v>120</v>
      </c>
    </row>
    <row r="254" spans="1:12">
      <c r="A254" s="152" t="s">
        <v>118</v>
      </c>
      <c r="B254" s="59">
        <v>2020</v>
      </c>
      <c r="C254" s="344" t="s">
        <v>106</v>
      </c>
      <c r="D254" s="59">
        <v>13872</v>
      </c>
      <c r="E254" s="344" t="s">
        <v>135</v>
      </c>
      <c r="F254" s="29">
        <v>1</v>
      </c>
      <c r="G254" s="9">
        <v>1</v>
      </c>
      <c r="H254" s="9">
        <v>1</v>
      </c>
      <c r="I254" s="9">
        <v>2</v>
      </c>
      <c r="J254" s="9">
        <v>2</v>
      </c>
      <c r="K254" s="160">
        <f t="shared" si="3"/>
        <v>0.35859414261160716</v>
      </c>
      <c r="L254" s="52" t="s">
        <v>120</v>
      </c>
    </row>
    <row r="255" spans="1:12">
      <c r="A255" s="152" t="s">
        <v>118</v>
      </c>
      <c r="B255" s="59">
        <v>2012</v>
      </c>
      <c r="C255" s="344" t="s">
        <v>93</v>
      </c>
      <c r="D255" s="59">
        <v>14019</v>
      </c>
      <c r="E255" s="344" t="s">
        <v>135</v>
      </c>
      <c r="F255" s="29">
        <v>1</v>
      </c>
      <c r="G255" s="9">
        <v>1</v>
      </c>
      <c r="H255" s="9">
        <v>1</v>
      </c>
      <c r="I255" s="9">
        <v>2</v>
      </c>
      <c r="J255" s="9">
        <v>2</v>
      </c>
      <c r="K255" s="160">
        <f t="shared" si="3"/>
        <v>0.35859414261160716</v>
      </c>
      <c r="L255" s="52" t="s">
        <v>120</v>
      </c>
    </row>
    <row r="256" spans="1:12">
      <c r="A256" s="152" t="s">
        <v>118</v>
      </c>
      <c r="B256" s="59">
        <v>2017</v>
      </c>
      <c r="C256" s="344" t="s">
        <v>106</v>
      </c>
      <c r="D256" s="59">
        <v>14059</v>
      </c>
      <c r="E256" s="344" t="s">
        <v>135</v>
      </c>
      <c r="F256" s="29">
        <v>1</v>
      </c>
      <c r="G256" s="9">
        <v>1</v>
      </c>
      <c r="H256" s="9">
        <v>1</v>
      </c>
      <c r="I256" s="9">
        <v>2</v>
      </c>
      <c r="J256" s="9">
        <v>2</v>
      </c>
      <c r="K256" s="160">
        <f t="shared" si="3"/>
        <v>0.35859414261160716</v>
      </c>
      <c r="L256" s="52" t="s">
        <v>120</v>
      </c>
    </row>
    <row r="257" spans="1:12">
      <c r="A257" s="152" t="s">
        <v>118</v>
      </c>
      <c r="B257" s="59">
        <v>2018</v>
      </c>
      <c r="C257" s="344" t="s">
        <v>106</v>
      </c>
      <c r="D257" s="59">
        <v>14059</v>
      </c>
      <c r="E257" s="344" t="s">
        <v>135</v>
      </c>
      <c r="F257" s="29">
        <v>1</v>
      </c>
      <c r="G257" s="9">
        <v>1</v>
      </c>
      <c r="H257" s="9">
        <v>1</v>
      </c>
      <c r="I257" s="9">
        <v>2</v>
      </c>
      <c r="J257" s="9">
        <v>2</v>
      </c>
      <c r="K257" s="160">
        <f t="shared" si="3"/>
        <v>0.35859414261160716</v>
      </c>
      <c r="L257" s="52" t="s">
        <v>120</v>
      </c>
    </row>
    <row r="258" spans="1:12">
      <c r="A258" s="152" t="s">
        <v>118</v>
      </c>
      <c r="B258" s="59">
        <v>2019</v>
      </c>
      <c r="C258" s="344" t="s">
        <v>106</v>
      </c>
      <c r="D258" s="59">
        <v>14059</v>
      </c>
      <c r="E258" s="344" t="s">
        <v>135</v>
      </c>
      <c r="F258" s="29">
        <v>1</v>
      </c>
      <c r="G258" s="9">
        <v>1</v>
      </c>
      <c r="H258" s="9">
        <v>1</v>
      </c>
      <c r="I258" s="9">
        <v>2</v>
      </c>
      <c r="J258" s="9">
        <v>2</v>
      </c>
      <c r="K258" s="160">
        <f t="shared" ref="K258:K321" si="4">IF( OR( ISBLANK(F258),ISBLANK(G258), ISBLANK(H258), ISBLANK(I258), ISBLANK(J258) ), "", 1.5*SQRT(   EXP(2.21*(F258-1)) + EXP(2.21*(G258-1)) + EXP(2.21*(H258-1)) + EXP(2.21*(I258-1)) + EXP(2.21*J258)   )/100*2.45 )</f>
        <v>0.35859414261160716</v>
      </c>
      <c r="L258" s="52" t="s">
        <v>120</v>
      </c>
    </row>
    <row r="259" spans="1:12">
      <c r="A259" s="152" t="s">
        <v>118</v>
      </c>
      <c r="B259" s="59">
        <v>2010</v>
      </c>
      <c r="C259" s="344" t="s">
        <v>106</v>
      </c>
      <c r="D259" s="59">
        <v>14402</v>
      </c>
      <c r="E259" s="344" t="s">
        <v>135</v>
      </c>
      <c r="F259" s="29">
        <v>1</v>
      </c>
      <c r="G259" s="9">
        <v>1</v>
      </c>
      <c r="H259" s="9">
        <v>1</v>
      </c>
      <c r="I259" s="9">
        <v>2</v>
      </c>
      <c r="J259" s="9">
        <v>2</v>
      </c>
      <c r="K259" s="160">
        <f t="shared" si="4"/>
        <v>0.35859414261160716</v>
      </c>
      <c r="L259" s="52" t="s">
        <v>120</v>
      </c>
    </row>
    <row r="260" spans="1:12">
      <c r="A260" s="152" t="s">
        <v>118</v>
      </c>
      <c r="B260" s="59">
        <v>2005</v>
      </c>
      <c r="C260" s="344" t="s">
        <v>106</v>
      </c>
      <c r="D260" s="59">
        <v>14639</v>
      </c>
      <c r="E260" s="344" t="s">
        <v>135</v>
      </c>
      <c r="F260" s="29">
        <v>1</v>
      </c>
      <c r="G260" s="9">
        <v>1</v>
      </c>
      <c r="H260" s="9">
        <v>1</v>
      </c>
      <c r="I260" s="9">
        <v>2</v>
      </c>
      <c r="J260" s="9">
        <v>2</v>
      </c>
      <c r="K260" s="160">
        <f t="shared" si="4"/>
        <v>0.35859414261160716</v>
      </c>
      <c r="L260" s="52" t="s">
        <v>120</v>
      </c>
    </row>
    <row r="261" spans="1:12">
      <c r="A261" s="152" t="s">
        <v>118</v>
      </c>
      <c r="B261" s="59">
        <v>2011</v>
      </c>
      <c r="C261" s="344" t="s">
        <v>106</v>
      </c>
      <c r="D261" s="59">
        <v>14987</v>
      </c>
      <c r="E261" s="344" t="s">
        <v>135</v>
      </c>
      <c r="F261" s="29">
        <v>1</v>
      </c>
      <c r="G261" s="9">
        <v>1</v>
      </c>
      <c r="H261" s="9">
        <v>1</v>
      </c>
      <c r="I261" s="9">
        <v>2</v>
      </c>
      <c r="J261" s="9">
        <v>2</v>
      </c>
      <c r="K261" s="160">
        <f t="shared" si="4"/>
        <v>0.35859414261160716</v>
      </c>
      <c r="L261" s="52" t="s">
        <v>120</v>
      </c>
    </row>
    <row r="262" spans="1:12">
      <c r="A262" s="152" t="s">
        <v>118</v>
      </c>
      <c r="B262" s="59">
        <v>2021</v>
      </c>
      <c r="C262" s="344" t="s">
        <v>106</v>
      </c>
      <c r="D262" s="59">
        <v>15065</v>
      </c>
      <c r="E262" s="344" t="s">
        <v>135</v>
      </c>
      <c r="F262" s="29">
        <v>1</v>
      </c>
      <c r="G262" s="9">
        <v>1</v>
      </c>
      <c r="H262" s="9">
        <v>1</v>
      </c>
      <c r="I262" s="9">
        <v>2</v>
      </c>
      <c r="J262" s="9">
        <v>2</v>
      </c>
      <c r="K262" s="160">
        <f t="shared" si="4"/>
        <v>0.35859414261160716</v>
      </c>
      <c r="L262" s="52" t="s">
        <v>120</v>
      </c>
    </row>
    <row r="263" spans="1:12">
      <c r="A263" s="152" t="s">
        <v>118</v>
      </c>
      <c r="B263" s="59">
        <v>2008</v>
      </c>
      <c r="C263" s="344" t="s">
        <v>106</v>
      </c>
      <c r="D263" s="59">
        <v>15108</v>
      </c>
      <c r="E263" s="344" t="s">
        <v>135</v>
      </c>
      <c r="F263" s="29">
        <v>1</v>
      </c>
      <c r="G263" s="9">
        <v>1</v>
      </c>
      <c r="H263" s="9">
        <v>1</v>
      </c>
      <c r="I263" s="9">
        <v>2</v>
      </c>
      <c r="J263" s="9">
        <v>2</v>
      </c>
      <c r="K263" s="160">
        <f t="shared" si="4"/>
        <v>0.35859414261160716</v>
      </c>
      <c r="L263" s="52" t="s">
        <v>120</v>
      </c>
    </row>
    <row r="264" spans="1:12">
      <c r="A264" s="152" t="s">
        <v>118</v>
      </c>
      <c r="B264" s="59">
        <v>2009</v>
      </c>
      <c r="C264" s="344" t="s">
        <v>106</v>
      </c>
      <c r="D264" s="59">
        <v>15165</v>
      </c>
      <c r="E264" s="344" t="s">
        <v>135</v>
      </c>
      <c r="F264" s="29">
        <v>1</v>
      </c>
      <c r="G264" s="9">
        <v>1</v>
      </c>
      <c r="H264" s="9">
        <v>1</v>
      </c>
      <c r="I264" s="9">
        <v>2</v>
      </c>
      <c r="J264" s="9">
        <v>2</v>
      </c>
      <c r="K264" s="160">
        <f t="shared" si="4"/>
        <v>0.35859414261160716</v>
      </c>
      <c r="L264" s="52" t="s">
        <v>120</v>
      </c>
    </row>
    <row r="265" spans="1:12">
      <c r="A265" s="152" t="s">
        <v>118</v>
      </c>
      <c r="B265" s="59">
        <v>2007</v>
      </c>
      <c r="C265" s="344" t="s">
        <v>106</v>
      </c>
      <c r="D265" s="59">
        <v>15706</v>
      </c>
      <c r="E265" s="344" t="s">
        <v>135</v>
      </c>
      <c r="F265" s="29">
        <v>1</v>
      </c>
      <c r="G265" s="9">
        <v>1</v>
      </c>
      <c r="H265" s="9">
        <v>1</v>
      </c>
      <c r="I265" s="9">
        <v>2</v>
      </c>
      <c r="J265" s="9">
        <v>2</v>
      </c>
      <c r="K265" s="160">
        <f t="shared" si="4"/>
        <v>0.35859414261160716</v>
      </c>
      <c r="L265" s="52" t="s">
        <v>120</v>
      </c>
    </row>
    <row r="266" spans="1:12">
      <c r="A266" s="152" t="s">
        <v>118</v>
      </c>
      <c r="B266" s="59">
        <v>2007</v>
      </c>
      <c r="C266" s="344" t="s">
        <v>93</v>
      </c>
      <c r="D266" s="59">
        <v>15972</v>
      </c>
      <c r="E266" s="344" t="s">
        <v>135</v>
      </c>
      <c r="F266" s="29">
        <v>1</v>
      </c>
      <c r="G266" s="9">
        <v>1</v>
      </c>
      <c r="H266" s="9">
        <v>1</v>
      </c>
      <c r="I266" s="9">
        <v>2</v>
      </c>
      <c r="J266" s="9">
        <v>2</v>
      </c>
      <c r="K266" s="160">
        <f t="shared" si="4"/>
        <v>0.35859414261160716</v>
      </c>
      <c r="L266" s="52" t="s">
        <v>120</v>
      </c>
    </row>
    <row r="267" spans="1:12">
      <c r="A267" s="152" t="s">
        <v>118</v>
      </c>
      <c r="B267" s="59">
        <v>2006</v>
      </c>
      <c r="C267" s="344" t="s">
        <v>106</v>
      </c>
      <c r="D267" s="59">
        <v>16073</v>
      </c>
      <c r="E267" s="344" t="s">
        <v>135</v>
      </c>
      <c r="F267" s="29">
        <v>1</v>
      </c>
      <c r="G267" s="9">
        <v>1</v>
      </c>
      <c r="H267" s="9">
        <v>1</v>
      </c>
      <c r="I267" s="9">
        <v>2</v>
      </c>
      <c r="J267" s="9">
        <v>2</v>
      </c>
      <c r="K267" s="160">
        <f t="shared" si="4"/>
        <v>0.35859414261160716</v>
      </c>
      <c r="L267" s="52" t="s">
        <v>120</v>
      </c>
    </row>
    <row r="268" spans="1:12">
      <c r="A268" s="152" t="s">
        <v>121</v>
      </c>
      <c r="B268" s="235">
        <v>2017</v>
      </c>
      <c r="C268" s="40" t="s">
        <v>93</v>
      </c>
      <c r="D268" s="55">
        <v>0</v>
      </c>
      <c r="E268" s="810" t="s">
        <v>133</v>
      </c>
      <c r="F268" s="29">
        <v>1</v>
      </c>
      <c r="G268" s="9">
        <v>1</v>
      </c>
      <c r="H268" s="9">
        <v>3</v>
      </c>
      <c r="I268" s="9">
        <v>1</v>
      </c>
      <c r="J268" s="9">
        <v>2</v>
      </c>
      <c r="K268" s="160">
        <f t="shared" si="4"/>
        <v>0.47802211380704585</v>
      </c>
      <c r="L268" s="63" t="s">
        <v>134</v>
      </c>
    </row>
    <row r="269" spans="1:12">
      <c r="A269" s="152" t="s">
        <v>121</v>
      </c>
      <c r="B269" s="235">
        <v>2017</v>
      </c>
      <c r="C269" s="40" t="s">
        <v>94</v>
      </c>
      <c r="D269" s="55">
        <v>149.30032789636365</v>
      </c>
      <c r="E269" s="810" t="s">
        <v>133</v>
      </c>
      <c r="F269" s="29">
        <v>1</v>
      </c>
      <c r="G269" s="9">
        <v>1</v>
      </c>
      <c r="H269" s="9">
        <v>3</v>
      </c>
      <c r="I269" s="9">
        <v>1</v>
      </c>
      <c r="J269" s="9">
        <v>2</v>
      </c>
      <c r="K269" s="160">
        <f t="shared" si="4"/>
        <v>0.47802211380704585</v>
      </c>
      <c r="L269" s="63" t="s">
        <v>134</v>
      </c>
    </row>
    <row r="270" spans="1:12">
      <c r="A270" s="152" t="s">
        <v>121</v>
      </c>
      <c r="B270" s="235">
        <v>2017</v>
      </c>
      <c r="C270" s="40" t="s">
        <v>95</v>
      </c>
      <c r="D270" s="55">
        <v>86.718819714545447</v>
      </c>
      <c r="E270" s="810" t="s">
        <v>133</v>
      </c>
      <c r="F270" s="29">
        <v>1</v>
      </c>
      <c r="G270" s="9">
        <v>1</v>
      </c>
      <c r="H270" s="9">
        <v>3</v>
      </c>
      <c r="I270" s="9">
        <v>1</v>
      </c>
      <c r="J270" s="9">
        <v>2</v>
      </c>
      <c r="K270" s="160">
        <f t="shared" si="4"/>
        <v>0.47802211380704585</v>
      </c>
      <c r="L270" s="63" t="s">
        <v>134</v>
      </c>
    </row>
    <row r="271" spans="1:12">
      <c r="A271" s="152" t="s">
        <v>121</v>
      </c>
      <c r="B271" s="235">
        <v>2017</v>
      </c>
      <c r="C271" s="40" t="s">
        <v>96</v>
      </c>
      <c r="D271" s="55">
        <v>0</v>
      </c>
      <c r="E271" s="810" t="s">
        <v>133</v>
      </c>
      <c r="F271" s="29">
        <v>1</v>
      </c>
      <c r="G271" s="9">
        <v>1</v>
      </c>
      <c r="H271" s="9">
        <v>3</v>
      </c>
      <c r="I271" s="9">
        <v>1</v>
      </c>
      <c r="J271" s="9">
        <v>2</v>
      </c>
      <c r="K271" s="160">
        <f t="shared" si="4"/>
        <v>0.47802211380704585</v>
      </c>
      <c r="L271" s="63" t="s">
        <v>134</v>
      </c>
    </row>
    <row r="272" spans="1:12">
      <c r="A272" s="152" t="s">
        <v>121</v>
      </c>
      <c r="B272" s="235">
        <v>2017</v>
      </c>
      <c r="C272" s="40" t="s">
        <v>97</v>
      </c>
      <c r="D272" s="55">
        <v>0</v>
      </c>
      <c r="E272" s="810" t="s">
        <v>133</v>
      </c>
      <c r="F272" s="29">
        <v>1</v>
      </c>
      <c r="G272" s="9">
        <v>1</v>
      </c>
      <c r="H272" s="9">
        <v>3</v>
      </c>
      <c r="I272" s="9">
        <v>1</v>
      </c>
      <c r="J272" s="9">
        <v>2</v>
      </c>
      <c r="K272" s="160">
        <f t="shared" si="4"/>
        <v>0.47802211380704585</v>
      </c>
      <c r="L272" s="63" t="s">
        <v>134</v>
      </c>
    </row>
    <row r="273" spans="1:12">
      <c r="A273" s="152" t="s">
        <v>121</v>
      </c>
      <c r="B273" s="235">
        <v>2017</v>
      </c>
      <c r="C273" s="40" t="s">
        <v>98</v>
      </c>
      <c r="D273" s="55">
        <v>0</v>
      </c>
      <c r="E273" s="810" t="s">
        <v>133</v>
      </c>
      <c r="F273" s="29">
        <v>1</v>
      </c>
      <c r="G273" s="9">
        <v>1</v>
      </c>
      <c r="H273" s="9">
        <v>3</v>
      </c>
      <c r="I273" s="9">
        <v>1</v>
      </c>
      <c r="J273" s="9">
        <v>2</v>
      </c>
      <c r="K273" s="160">
        <f t="shared" si="4"/>
        <v>0.47802211380704585</v>
      </c>
      <c r="L273" s="63" t="s">
        <v>134</v>
      </c>
    </row>
    <row r="274" spans="1:12">
      <c r="A274" s="152" t="s">
        <v>121</v>
      </c>
      <c r="B274" s="235">
        <v>2017</v>
      </c>
      <c r="C274" s="40" t="s">
        <v>99</v>
      </c>
      <c r="D274" s="55">
        <v>617.78344629272738</v>
      </c>
      <c r="E274" s="810" t="s">
        <v>133</v>
      </c>
      <c r="F274" s="29">
        <v>1</v>
      </c>
      <c r="G274" s="9">
        <v>1</v>
      </c>
      <c r="H274" s="9">
        <v>3</v>
      </c>
      <c r="I274" s="9">
        <v>1</v>
      </c>
      <c r="J274" s="9">
        <v>2</v>
      </c>
      <c r="K274" s="160">
        <f t="shared" si="4"/>
        <v>0.47802211380704585</v>
      </c>
      <c r="L274" s="63" t="s">
        <v>134</v>
      </c>
    </row>
    <row r="275" spans="1:12">
      <c r="A275" s="152" t="s">
        <v>121</v>
      </c>
      <c r="B275" s="235">
        <v>2017</v>
      </c>
      <c r="C275" s="40" t="s">
        <v>103</v>
      </c>
      <c r="D275" s="55">
        <v>88.053207938181828</v>
      </c>
      <c r="E275" s="810" t="s">
        <v>133</v>
      </c>
      <c r="F275" s="29">
        <v>1</v>
      </c>
      <c r="G275" s="9">
        <v>1</v>
      </c>
      <c r="H275" s="9">
        <v>3</v>
      </c>
      <c r="I275" s="9">
        <v>1</v>
      </c>
      <c r="J275" s="9">
        <v>2</v>
      </c>
      <c r="K275" s="160">
        <f t="shared" si="4"/>
        <v>0.47802211380704585</v>
      </c>
      <c r="L275" s="63" t="s">
        <v>134</v>
      </c>
    </row>
    <row r="276" spans="1:12" ht="15.75" thickBot="1">
      <c r="A276" s="153" t="s">
        <v>121</v>
      </c>
      <c r="B276" s="236">
        <v>2017</v>
      </c>
      <c r="C276" s="41" t="s">
        <v>107</v>
      </c>
      <c r="D276" s="56">
        <v>53.497956158181822</v>
      </c>
      <c r="E276" s="838" t="s">
        <v>133</v>
      </c>
      <c r="F276" s="30">
        <v>1</v>
      </c>
      <c r="G276" s="12">
        <v>1</v>
      </c>
      <c r="H276" s="12">
        <v>3</v>
      </c>
      <c r="I276" s="12">
        <v>1</v>
      </c>
      <c r="J276" s="12">
        <v>2</v>
      </c>
      <c r="K276" s="161">
        <f t="shared" si="4"/>
        <v>0.47802211380704585</v>
      </c>
      <c r="L276" s="62" t="s">
        <v>134</v>
      </c>
    </row>
    <row r="277" spans="1:12">
      <c r="A277" s="233" t="s">
        <v>123</v>
      </c>
      <c r="B277" s="825">
        <v>2003</v>
      </c>
      <c r="C277" s="824" t="s">
        <v>93</v>
      </c>
      <c r="D277" s="825">
        <v>3879</v>
      </c>
      <c r="E277" s="824" t="s">
        <v>135</v>
      </c>
      <c r="F277" s="677">
        <v>1</v>
      </c>
      <c r="G277" s="118">
        <v>1</v>
      </c>
      <c r="H277" s="118">
        <v>1</v>
      </c>
      <c r="I277" s="118">
        <v>2</v>
      </c>
      <c r="J277" s="118">
        <v>2</v>
      </c>
      <c r="K277" s="835">
        <f t="shared" si="4"/>
        <v>0.35859414261160716</v>
      </c>
      <c r="L277" s="679" t="s">
        <v>120</v>
      </c>
    </row>
    <row r="278" spans="1:12">
      <c r="A278" s="152" t="s">
        <v>123</v>
      </c>
      <c r="B278" s="59">
        <v>2003</v>
      </c>
      <c r="C278" s="344" t="s">
        <v>94</v>
      </c>
      <c r="D278" s="59">
        <v>1318</v>
      </c>
      <c r="E278" s="344" t="s">
        <v>135</v>
      </c>
      <c r="F278" s="29">
        <v>1</v>
      </c>
      <c r="G278" s="9">
        <v>1</v>
      </c>
      <c r="H278" s="9">
        <v>1</v>
      </c>
      <c r="I278" s="9">
        <v>2</v>
      </c>
      <c r="J278" s="9">
        <v>2</v>
      </c>
      <c r="K278" s="160">
        <f t="shared" si="4"/>
        <v>0.35859414261160716</v>
      </c>
      <c r="L278" s="52" t="s">
        <v>120</v>
      </c>
    </row>
    <row r="279" spans="1:12">
      <c r="A279" s="152" t="s">
        <v>123</v>
      </c>
      <c r="B279" s="59">
        <v>2003</v>
      </c>
      <c r="C279" s="344" t="s">
        <v>95</v>
      </c>
      <c r="D279" s="59">
        <v>900</v>
      </c>
      <c r="E279" s="344" t="s">
        <v>135</v>
      </c>
      <c r="F279" s="29">
        <v>1</v>
      </c>
      <c r="G279" s="9">
        <v>1</v>
      </c>
      <c r="H279" s="9">
        <v>1</v>
      </c>
      <c r="I279" s="9">
        <v>2</v>
      </c>
      <c r="J279" s="9">
        <v>2</v>
      </c>
      <c r="K279" s="160">
        <f t="shared" si="4"/>
        <v>0.35859414261160716</v>
      </c>
      <c r="L279" s="52" t="s">
        <v>120</v>
      </c>
    </row>
    <row r="280" spans="1:12">
      <c r="A280" s="152" t="s">
        <v>123</v>
      </c>
      <c r="B280" s="59">
        <v>2003</v>
      </c>
      <c r="C280" s="344" t="s">
        <v>96</v>
      </c>
      <c r="D280" s="59">
        <v>92</v>
      </c>
      <c r="E280" s="344" t="s">
        <v>135</v>
      </c>
      <c r="F280" s="29">
        <v>1</v>
      </c>
      <c r="G280" s="9">
        <v>1</v>
      </c>
      <c r="H280" s="9">
        <v>1</v>
      </c>
      <c r="I280" s="9">
        <v>2</v>
      </c>
      <c r="J280" s="9">
        <v>2</v>
      </c>
      <c r="K280" s="160">
        <f t="shared" si="4"/>
        <v>0.35859414261160716</v>
      </c>
      <c r="L280" s="52" t="s">
        <v>120</v>
      </c>
    </row>
    <row r="281" spans="1:12">
      <c r="A281" s="152" t="s">
        <v>123</v>
      </c>
      <c r="B281" s="59">
        <v>2003</v>
      </c>
      <c r="C281" s="344" t="s">
        <v>97</v>
      </c>
      <c r="D281" s="59">
        <v>40</v>
      </c>
      <c r="E281" s="344" t="s">
        <v>135</v>
      </c>
      <c r="F281" s="29">
        <v>1</v>
      </c>
      <c r="G281" s="9">
        <v>1</v>
      </c>
      <c r="H281" s="9">
        <v>1</v>
      </c>
      <c r="I281" s="9">
        <v>2</v>
      </c>
      <c r="J281" s="9">
        <v>2</v>
      </c>
      <c r="K281" s="160">
        <f t="shared" si="4"/>
        <v>0.35859414261160716</v>
      </c>
      <c r="L281" s="52" t="s">
        <v>120</v>
      </c>
    </row>
    <row r="282" spans="1:12">
      <c r="A282" s="152" t="s">
        <v>123</v>
      </c>
      <c r="B282" s="59">
        <v>2003</v>
      </c>
      <c r="C282" s="344" t="s">
        <v>98</v>
      </c>
      <c r="D282" s="59">
        <v>323</v>
      </c>
      <c r="E282" s="344" t="s">
        <v>135</v>
      </c>
      <c r="F282" s="29">
        <v>1</v>
      </c>
      <c r="G282" s="9">
        <v>1</v>
      </c>
      <c r="H282" s="9">
        <v>1</v>
      </c>
      <c r="I282" s="9">
        <v>2</v>
      </c>
      <c r="J282" s="9">
        <v>2</v>
      </c>
      <c r="K282" s="160">
        <f t="shared" si="4"/>
        <v>0.35859414261160716</v>
      </c>
      <c r="L282" s="52" t="s">
        <v>120</v>
      </c>
    </row>
    <row r="283" spans="1:12">
      <c r="A283" s="152" t="s">
        <v>123</v>
      </c>
      <c r="B283" s="59">
        <v>2003</v>
      </c>
      <c r="C283" s="344" t="s">
        <v>99</v>
      </c>
      <c r="D283" s="59">
        <v>863</v>
      </c>
      <c r="E283" s="344" t="s">
        <v>135</v>
      </c>
      <c r="F283" s="29">
        <v>1</v>
      </c>
      <c r="G283" s="9">
        <v>1</v>
      </c>
      <c r="H283" s="9">
        <v>1</v>
      </c>
      <c r="I283" s="9">
        <v>2</v>
      </c>
      <c r="J283" s="9">
        <v>2</v>
      </c>
      <c r="K283" s="160">
        <f t="shared" si="4"/>
        <v>0.35859414261160716</v>
      </c>
      <c r="L283" s="52" t="s">
        <v>120</v>
      </c>
    </row>
    <row r="284" spans="1:12">
      <c r="A284" s="152" t="s">
        <v>123</v>
      </c>
      <c r="B284" s="59">
        <v>2003</v>
      </c>
      <c r="C284" s="344" t="s">
        <v>102</v>
      </c>
      <c r="D284" s="59">
        <v>157</v>
      </c>
      <c r="E284" s="344" t="s">
        <v>135</v>
      </c>
      <c r="F284" s="29">
        <v>1</v>
      </c>
      <c r="G284" s="9">
        <v>1</v>
      </c>
      <c r="H284" s="9">
        <v>1</v>
      </c>
      <c r="I284" s="9">
        <v>2</v>
      </c>
      <c r="J284" s="9">
        <v>2</v>
      </c>
      <c r="K284" s="160">
        <f t="shared" si="4"/>
        <v>0.35859414261160716</v>
      </c>
      <c r="L284" s="52" t="s">
        <v>120</v>
      </c>
    </row>
    <row r="285" spans="1:12">
      <c r="A285" s="152" t="s">
        <v>123</v>
      </c>
      <c r="B285" s="59">
        <v>2003</v>
      </c>
      <c r="C285" s="344" t="s">
        <v>104</v>
      </c>
      <c r="D285" s="59">
        <v>85</v>
      </c>
      <c r="E285" s="344" t="s">
        <v>135</v>
      </c>
      <c r="F285" s="29">
        <v>1</v>
      </c>
      <c r="G285" s="9">
        <v>1</v>
      </c>
      <c r="H285" s="9">
        <v>1</v>
      </c>
      <c r="I285" s="9">
        <v>2</v>
      </c>
      <c r="J285" s="9">
        <v>2</v>
      </c>
      <c r="K285" s="160">
        <f t="shared" si="4"/>
        <v>0.35859414261160716</v>
      </c>
      <c r="L285" s="52" t="s">
        <v>120</v>
      </c>
    </row>
    <row r="286" spans="1:12">
      <c r="A286" s="152" t="s">
        <v>123</v>
      </c>
      <c r="B286" s="59">
        <v>2003</v>
      </c>
      <c r="C286" s="344" t="s">
        <v>105</v>
      </c>
      <c r="D286" s="59">
        <v>316</v>
      </c>
      <c r="E286" s="344" t="s">
        <v>135</v>
      </c>
      <c r="F286" s="29">
        <v>1</v>
      </c>
      <c r="G286" s="9">
        <v>1</v>
      </c>
      <c r="H286" s="9">
        <v>1</v>
      </c>
      <c r="I286" s="9">
        <v>2</v>
      </c>
      <c r="J286" s="9">
        <v>2</v>
      </c>
      <c r="K286" s="160">
        <f t="shared" si="4"/>
        <v>0.35859414261160716</v>
      </c>
      <c r="L286" s="52" t="s">
        <v>120</v>
      </c>
    </row>
    <row r="287" spans="1:12">
      <c r="A287" s="152" t="s">
        <v>123</v>
      </c>
      <c r="B287" s="59">
        <v>2003</v>
      </c>
      <c r="C287" s="344" t="s">
        <v>103</v>
      </c>
      <c r="D287" s="59">
        <v>263</v>
      </c>
      <c r="E287" s="344" t="s">
        <v>135</v>
      </c>
      <c r="F287" s="29">
        <v>1</v>
      </c>
      <c r="G287" s="9">
        <v>1</v>
      </c>
      <c r="H287" s="9">
        <v>1</v>
      </c>
      <c r="I287" s="9">
        <v>2</v>
      </c>
      <c r="J287" s="9">
        <v>2</v>
      </c>
      <c r="K287" s="160">
        <f t="shared" si="4"/>
        <v>0.35859414261160716</v>
      </c>
      <c r="L287" s="52" t="s">
        <v>120</v>
      </c>
    </row>
    <row r="288" spans="1:12">
      <c r="A288" s="152" t="s">
        <v>123</v>
      </c>
      <c r="B288" s="59">
        <v>2003</v>
      </c>
      <c r="C288" s="344" t="s">
        <v>101</v>
      </c>
      <c r="D288" s="59">
        <v>60</v>
      </c>
      <c r="E288" s="344" t="s">
        <v>135</v>
      </c>
      <c r="F288" s="29">
        <v>1</v>
      </c>
      <c r="G288" s="9">
        <v>1</v>
      </c>
      <c r="H288" s="9">
        <v>1</v>
      </c>
      <c r="I288" s="9">
        <v>2</v>
      </c>
      <c r="J288" s="9">
        <v>2</v>
      </c>
      <c r="K288" s="160">
        <f t="shared" si="4"/>
        <v>0.35859414261160716</v>
      </c>
      <c r="L288" s="52" t="s">
        <v>120</v>
      </c>
    </row>
    <row r="289" spans="1:12">
      <c r="A289" s="152" t="s">
        <v>123</v>
      </c>
      <c r="B289" s="59">
        <v>2003</v>
      </c>
      <c r="C289" s="344" t="s">
        <v>106</v>
      </c>
      <c r="D289" s="59">
        <v>2016</v>
      </c>
      <c r="E289" s="344" t="s">
        <v>135</v>
      </c>
      <c r="F289" s="29">
        <v>1</v>
      </c>
      <c r="G289" s="9">
        <v>1</v>
      </c>
      <c r="H289" s="9">
        <v>1</v>
      </c>
      <c r="I289" s="9">
        <v>2</v>
      </c>
      <c r="J289" s="9">
        <v>2</v>
      </c>
      <c r="K289" s="160">
        <f t="shared" si="4"/>
        <v>0.35859414261160716</v>
      </c>
      <c r="L289" s="52" t="s">
        <v>120</v>
      </c>
    </row>
    <row r="290" spans="1:12">
      <c r="A290" s="152" t="s">
        <v>123</v>
      </c>
      <c r="B290" s="59">
        <v>2004</v>
      </c>
      <c r="C290" s="344" t="s">
        <v>93</v>
      </c>
      <c r="D290" s="59">
        <v>3129</v>
      </c>
      <c r="E290" s="344" t="s">
        <v>135</v>
      </c>
      <c r="F290" s="29">
        <v>1</v>
      </c>
      <c r="G290" s="9">
        <v>1</v>
      </c>
      <c r="H290" s="9">
        <v>1</v>
      </c>
      <c r="I290" s="9">
        <v>2</v>
      </c>
      <c r="J290" s="9">
        <v>2</v>
      </c>
      <c r="K290" s="160">
        <f t="shared" si="4"/>
        <v>0.35859414261160716</v>
      </c>
      <c r="L290" s="52" t="s">
        <v>120</v>
      </c>
    </row>
    <row r="291" spans="1:12">
      <c r="A291" s="152" t="s">
        <v>123</v>
      </c>
      <c r="B291" s="59">
        <v>2004</v>
      </c>
      <c r="C291" s="344" t="s">
        <v>94</v>
      </c>
      <c r="D291" s="59">
        <v>1188</v>
      </c>
      <c r="E291" s="344" t="s">
        <v>135</v>
      </c>
      <c r="F291" s="29">
        <v>1</v>
      </c>
      <c r="G291" s="9">
        <v>1</v>
      </c>
      <c r="H291" s="9">
        <v>1</v>
      </c>
      <c r="I291" s="9">
        <v>2</v>
      </c>
      <c r="J291" s="9">
        <v>2</v>
      </c>
      <c r="K291" s="160">
        <f t="shared" si="4"/>
        <v>0.35859414261160716</v>
      </c>
      <c r="L291" s="52" t="s">
        <v>120</v>
      </c>
    </row>
    <row r="292" spans="1:12">
      <c r="A292" s="152" t="s">
        <v>123</v>
      </c>
      <c r="B292" s="59">
        <v>2004</v>
      </c>
      <c r="C292" s="344" t="s">
        <v>95</v>
      </c>
      <c r="D292" s="59">
        <v>909</v>
      </c>
      <c r="E292" s="344" t="s">
        <v>135</v>
      </c>
      <c r="F292" s="29">
        <v>1</v>
      </c>
      <c r="G292" s="9">
        <v>1</v>
      </c>
      <c r="H292" s="9">
        <v>1</v>
      </c>
      <c r="I292" s="9">
        <v>2</v>
      </c>
      <c r="J292" s="9">
        <v>2</v>
      </c>
      <c r="K292" s="160">
        <f t="shared" si="4"/>
        <v>0.35859414261160716</v>
      </c>
      <c r="L292" s="52" t="s">
        <v>120</v>
      </c>
    </row>
    <row r="293" spans="1:12">
      <c r="A293" s="152" t="s">
        <v>123</v>
      </c>
      <c r="B293" s="59">
        <v>2004</v>
      </c>
      <c r="C293" s="344" t="s">
        <v>96</v>
      </c>
      <c r="D293" s="59">
        <v>166</v>
      </c>
      <c r="E293" s="344" t="s">
        <v>135</v>
      </c>
      <c r="F293" s="29">
        <v>1</v>
      </c>
      <c r="G293" s="9">
        <v>1</v>
      </c>
      <c r="H293" s="9">
        <v>1</v>
      </c>
      <c r="I293" s="9">
        <v>2</v>
      </c>
      <c r="J293" s="9">
        <v>2</v>
      </c>
      <c r="K293" s="160">
        <f t="shared" si="4"/>
        <v>0.35859414261160716</v>
      </c>
      <c r="L293" s="52" t="s">
        <v>120</v>
      </c>
    </row>
    <row r="294" spans="1:12">
      <c r="A294" s="152" t="s">
        <v>123</v>
      </c>
      <c r="B294" s="59">
        <v>2004</v>
      </c>
      <c r="C294" s="344" t="s">
        <v>97</v>
      </c>
      <c r="D294" s="59">
        <v>50</v>
      </c>
      <c r="E294" s="344" t="s">
        <v>135</v>
      </c>
      <c r="F294" s="29">
        <v>1</v>
      </c>
      <c r="G294" s="9">
        <v>1</v>
      </c>
      <c r="H294" s="9">
        <v>1</v>
      </c>
      <c r="I294" s="9">
        <v>2</v>
      </c>
      <c r="J294" s="9">
        <v>2</v>
      </c>
      <c r="K294" s="160">
        <f t="shared" si="4"/>
        <v>0.35859414261160716</v>
      </c>
      <c r="L294" s="52" t="s">
        <v>120</v>
      </c>
    </row>
    <row r="295" spans="1:12">
      <c r="A295" s="152" t="s">
        <v>123</v>
      </c>
      <c r="B295" s="59">
        <v>2004</v>
      </c>
      <c r="C295" s="344" t="s">
        <v>98</v>
      </c>
      <c r="D295" s="59">
        <v>409</v>
      </c>
      <c r="E295" s="344" t="s">
        <v>135</v>
      </c>
      <c r="F295" s="29">
        <v>1</v>
      </c>
      <c r="G295" s="9">
        <v>1</v>
      </c>
      <c r="H295" s="9">
        <v>1</v>
      </c>
      <c r="I295" s="9">
        <v>2</v>
      </c>
      <c r="J295" s="9">
        <v>2</v>
      </c>
      <c r="K295" s="160">
        <f t="shared" si="4"/>
        <v>0.35859414261160716</v>
      </c>
      <c r="L295" s="52" t="s">
        <v>120</v>
      </c>
    </row>
    <row r="296" spans="1:12">
      <c r="A296" s="152" t="s">
        <v>123</v>
      </c>
      <c r="B296" s="59">
        <v>2004</v>
      </c>
      <c r="C296" s="344" t="s">
        <v>99</v>
      </c>
      <c r="D296" s="59">
        <v>991</v>
      </c>
      <c r="E296" s="344" t="s">
        <v>135</v>
      </c>
      <c r="F296" s="29">
        <v>1</v>
      </c>
      <c r="G296" s="9">
        <v>1</v>
      </c>
      <c r="H296" s="9">
        <v>1</v>
      </c>
      <c r="I296" s="9">
        <v>2</v>
      </c>
      <c r="J296" s="9">
        <v>2</v>
      </c>
      <c r="K296" s="160">
        <f t="shared" si="4"/>
        <v>0.35859414261160716</v>
      </c>
      <c r="L296" s="52" t="s">
        <v>120</v>
      </c>
    </row>
    <row r="297" spans="1:12">
      <c r="A297" s="152" t="s">
        <v>123</v>
      </c>
      <c r="B297" s="59">
        <v>2004</v>
      </c>
      <c r="C297" s="344" t="s">
        <v>102</v>
      </c>
      <c r="D297" s="59">
        <v>178</v>
      </c>
      <c r="E297" s="344" t="s">
        <v>135</v>
      </c>
      <c r="F297" s="29">
        <v>1</v>
      </c>
      <c r="G297" s="9">
        <v>1</v>
      </c>
      <c r="H297" s="9">
        <v>1</v>
      </c>
      <c r="I297" s="9">
        <v>2</v>
      </c>
      <c r="J297" s="9">
        <v>2</v>
      </c>
      <c r="K297" s="160">
        <f t="shared" si="4"/>
        <v>0.35859414261160716</v>
      </c>
      <c r="L297" s="52" t="s">
        <v>120</v>
      </c>
    </row>
    <row r="298" spans="1:12">
      <c r="A298" s="152" t="s">
        <v>123</v>
      </c>
      <c r="B298" s="59">
        <v>2004</v>
      </c>
      <c r="C298" s="344" t="s">
        <v>104</v>
      </c>
      <c r="D298" s="59">
        <v>84</v>
      </c>
      <c r="E298" s="344" t="s">
        <v>135</v>
      </c>
      <c r="F298" s="29">
        <v>1</v>
      </c>
      <c r="G298" s="9">
        <v>1</v>
      </c>
      <c r="H298" s="9">
        <v>1</v>
      </c>
      <c r="I298" s="9">
        <v>2</v>
      </c>
      <c r="J298" s="9">
        <v>2</v>
      </c>
      <c r="K298" s="160">
        <f t="shared" si="4"/>
        <v>0.35859414261160716</v>
      </c>
      <c r="L298" s="52" t="s">
        <v>120</v>
      </c>
    </row>
    <row r="299" spans="1:12">
      <c r="A299" s="152" t="s">
        <v>123</v>
      </c>
      <c r="B299" s="59">
        <v>2004</v>
      </c>
      <c r="C299" s="344" t="s">
        <v>105</v>
      </c>
      <c r="D299" s="59">
        <v>353</v>
      </c>
      <c r="E299" s="344" t="s">
        <v>135</v>
      </c>
      <c r="F299" s="29">
        <v>1</v>
      </c>
      <c r="G299" s="9">
        <v>1</v>
      </c>
      <c r="H299" s="9">
        <v>1</v>
      </c>
      <c r="I299" s="9">
        <v>2</v>
      </c>
      <c r="J299" s="9">
        <v>2</v>
      </c>
      <c r="K299" s="160">
        <f t="shared" si="4"/>
        <v>0.35859414261160716</v>
      </c>
      <c r="L299" s="52" t="s">
        <v>120</v>
      </c>
    </row>
    <row r="300" spans="1:12">
      <c r="A300" s="152" t="s">
        <v>123</v>
      </c>
      <c r="B300" s="59">
        <v>2004</v>
      </c>
      <c r="C300" s="344" t="s">
        <v>103</v>
      </c>
      <c r="D300" s="59">
        <v>283</v>
      </c>
      <c r="E300" s="344" t="s">
        <v>135</v>
      </c>
      <c r="F300" s="29">
        <v>1</v>
      </c>
      <c r="G300" s="9">
        <v>1</v>
      </c>
      <c r="H300" s="9">
        <v>1</v>
      </c>
      <c r="I300" s="9">
        <v>2</v>
      </c>
      <c r="J300" s="9">
        <v>2</v>
      </c>
      <c r="K300" s="160">
        <f t="shared" si="4"/>
        <v>0.35859414261160716</v>
      </c>
      <c r="L300" s="52" t="s">
        <v>120</v>
      </c>
    </row>
    <row r="301" spans="1:12">
      <c r="A301" s="152" t="s">
        <v>123</v>
      </c>
      <c r="B301" s="59">
        <v>2004</v>
      </c>
      <c r="C301" s="344" t="s">
        <v>101</v>
      </c>
      <c r="D301" s="59">
        <v>66</v>
      </c>
      <c r="E301" s="344" t="s">
        <v>135</v>
      </c>
      <c r="F301" s="29">
        <v>1</v>
      </c>
      <c r="G301" s="9">
        <v>1</v>
      </c>
      <c r="H301" s="9">
        <v>1</v>
      </c>
      <c r="I301" s="9">
        <v>2</v>
      </c>
      <c r="J301" s="9">
        <v>2</v>
      </c>
      <c r="K301" s="160">
        <f t="shared" si="4"/>
        <v>0.35859414261160716</v>
      </c>
      <c r="L301" s="52" t="s">
        <v>120</v>
      </c>
    </row>
    <row r="302" spans="1:12">
      <c r="A302" s="152" t="s">
        <v>123</v>
      </c>
      <c r="B302" s="59">
        <v>2004</v>
      </c>
      <c r="C302" s="344" t="s">
        <v>106</v>
      </c>
      <c r="D302" s="59">
        <v>2264</v>
      </c>
      <c r="E302" s="344" t="s">
        <v>135</v>
      </c>
      <c r="F302" s="29">
        <v>1</v>
      </c>
      <c r="G302" s="9">
        <v>1</v>
      </c>
      <c r="H302" s="9">
        <v>1</v>
      </c>
      <c r="I302" s="9">
        <v>2</v>
      </c>
      <c r="J302" s="9">
        <v>2</v>
      </c>
      <c r="K302" s="160">
        <f t="shared" si="4"/>
        <v>0.35859414261160716</v>
      </c>
      <c r="L302" s="52" t="s">
        <v>120</v>
      </c>
    </row>
    <row r="303" spans="1:12">
      <c r="A303" s="152" t="s">
        <v>123</v>
      </c>
      <c r="B303" s="59">
        <v>2005</v>
      </c>
      <c r="C303" s="344" t="s">
        <v>93</v>
      </c>
      <c r="D303" s="59">
        <v>3634</v>
      </c>
      <c r="E303" s="344" t="s">
        <v>135</v>
      </c>
      <c r="F303" s="29">
        <v>1</v>
      </c>
      <c r="G303" s="9">
        <v>1</v>
      </c>
      <c r="H303" s="9">
        <v>1</v>
      </c>
      <c r="I303" s="9">
        <v>2</v>
      </c>
      <c r="J303" s="9">
        <v>2</v>
      </c>
      <c r="K303" s="160">
        <f t="shared" si="4"/>
        <v>0.35859414261160716</v>
      </c>
      <c r="L303" s="52" t="s">
        <v>120</v>
      </c>
    </row>
    <row r="304" spans="1:12">
      <c r="A304" s="152" t="s">
        <v>123</v>
      </c>
      <c r="B304" s="59">
        <v>2005</v>
      </c>
      <c r="C304" s="344" t="s">
        <v>94</v>
      </c>
      <c r="D304" s="59">
        <v>1341</v>
      </c>
      <c r="E304" s="344" t="s">
        <v>135</v>
      </c>
      <c r="F304" s="29">
        <v>1</v>
      </c>
      <c r="G304" s="9">
        <v>1</v>
      </c>
      <c r="H304" s="9">
        <v>1</v>
      </c>
      <c r="I304" s="9">
        <v>2</v>
      </c>
      <c r="J304" s="9">
        <v>2</v>
      </c>
      <c r="K304" s="160">
        <f t="shared" si="4"/>
        <v>0.35859414261160716</v>
      </c>
      <c r="L304" s="52" t="s">
        <v>120</v>
      </c>
    </row>
    <row r="305" spans="1:12">
      <c r="A305" s="152" t="s">
        <v>123</v>
      </c>
      <c r="B305" s="59">
        <v>2005</v>
      </c>
      <c r="C305" s="344" t="s">
        <v>95</v>
      </c>
      <c r="D305" s="59">
        <v>1094</v>
      </c>
      <c r="E305" s="344" t="s">
        <v>135</v>
      </c>
      <c r="F305" s="29">
        <v>1</v>
      </c>
      <c r="G305" s="9">
        <v>1</v>
      </c>
      <c r="H305" s="9">
        <v>1</v>
      </c>
      <c r="I305" s="9">
        <v>2</v>
      </c>
      <c r="J305" s="9">
        <v>2</v>
      </c>
      <c r="K305" s="160">
        <f t="shared" si="4"/>
        <v>0.35859414261160716</v>
      </c>
      <c r="L305" s="52" t="s">
        <v>120</v>
      </c>
    </row>
    <row r="306" spans="1:12">
      <c r="A306" s="152" t="s">
        <v>123</v>
      </c>
      <c r="B306" s="59">
        <v>2005</v>
      </c>
      <c r="C306" s="344" t="s">
        <v>96</v>
      </c>
      <c r="D306" s="59">
        <v>126</v>
      </c>
      <c r="E306" s="344" t="s">
        <v>135</v>
      </c>
      <c r="F306" s="29">
        <v>1</v>
      </c>
      <c r="G306" s="9">
        <v>1</v>
      </c>
      <c r="H306" s="9">
        <v>1</v>
      </c>
      <c r="I306" s="9">
        <v>2</v>
      </c>
      <c r="J306" s="9">
        <v>2</v>
      </c>
      <c r="K306" s="160">
        <f t="shared" si="4"/>
        <v>0.35859414261160716</v>
      </c>
      <c r="L306" s="52" t="s">
        <v>120</v>
      </c>
    </row>
    <row r="307" spans="1:12">
      <c r="A307" s="152" t="s">
        <v>123</v>
      </c>
      <c r="B307" s="59">
        <v>2005</v>
      </c>
      <c r="C307" s="344" t="s">
        <v>97</v>
      </c>
      <c r="D307" s="59">
        <v>51</v>
      </c>
      <c r="E307" s="344" t="s">
        <v>135</v>
      </c>
      <c r="F307" s="29">
        <v>1</v>
      </c>
      <c r="G307" s="9">
        <v>1</v>
      </c>
      <c r="H307" s="9">
        <v>1</v>
      </c>
      <c r="I307" s="9">
        <v>2</v>
      </c>
      <c r="J307" s="9">
        <v>2</v>
      </c>
      <c r="K307" s="160">
        <f t="shared" si="4"/>
        <v>0.35859414261160716</v>
      </c>
      <c r="L307" s="52" t="s">
        <v>120</v>
      </c>
    </row>
    <row r="308" spans="1:12">
      <c r="A308" s="152" t="s">
        <v>123</v>
      </c>
      <c r="B308" s="59">
        <v>2005</v>
      </c>
      <c r="C308" s="344" t="s">
        <v>98</v>
      </c>
      <c r="D308" s="59">
        <v>420</v>
      </c>
      <c r="E308" s="344" t="s">
        <v>135</v>
      </c>
      <c r="F308" s="29">
        <v>1</v>
      </c>
      <c r="G308" s="9">
        <v>1</v>
      </c>
      <c r="H308" s="9">
        <v>1</v>
      </c>
      <c r="I308" s="9">
        <v>2</v>
      </c>
      <c r="J308" s="9">
        <v>2</v>
      </c>
      <c r="K308" s="160">
        <f t="shared" si="4"/>
        <v>0.35859414261160716</v>
      </c>
      <c r="L308" s="52" t="s">
        <v>120</v>
      </c>
    </row>
    <row r="309" spans="1:12">
      <c r="A309" s="152" t="s">
        <v>123</v>
      </c>
      <c r="B309" s="59">
        <v>2005</v>
      </c>
      <c r="C309" s="344" t="s">
        <v>99</v>
      </c>
      <c r="D309" s="59">
        <v>895</v>
      </c>
      <c r="E309" s="344" t="s">
        <v>135</v>
      </c>
      <c r="F309" s="29">
        <v>1</v>
      </c>
      <c r="G309" s="9">
        <v>1</v>
      </c>
      <c r="H309" s="9">
        <v>1</v>
      </c>
      <c r="I309" s="9">
        <v>2</v>
      </c>
      <c r="J309" s="9">
        <v>2</v>
      </c>
      <c r="K309" s="160">
        <f t="shared" si="4"/>
        <v>0.35859414261160716</v>
      </c>
      <c r="L309" s="52" t="s">
        <v>120</v>
      </c>
    </row>
    <row r="310" spans="1:12">
      <c r="A310" s="152" t="s">
        <v>123</v>
      </c>
      <c r="B310" s="59">
        <v>2005</v>
      </c>
      <c r="C310" s="344" t="s">
        <v>102</v>
      </c>
      <c r="D310" s="59">
        <v>207</v>
      </c>
      <c r="E310" s="344" t="s">
        <v>135</v>
      </c>
      <c r="F310" s="29">
        <v>1</v>
      </c>
      <c r="G310" s="9">
        <v>1</v>
      </c>
      <c r="H310" s="9">
        <v>1</v>
      </c>
      <c r="I310" s="9">
        <v>2</v>
      </c>
      <c r="J310" s="9">
        <v>2</v>
      </c>
      <c r="K310" s="160">
        <f t="shared" si="4"/>
        <v>0.35859414261160716</v>
      </c>
      <c r="L310" s="52" t="s">
        <v>120</v>
      </c>
    </row>
    <row r="311" spans="1:12">
      <c r="A311" s="152" t="s">
        <v>123</v>
      </c>
      <c r="B311" s="59">
        <v>2005</v>
      </c>
      <c r="C311" s="344" t="s">
        <v>104</v>
      </c>
      <c r="D311" s="59">
        <v>92</v>
      </c>
      <c r="E311" s="344" t="s">
        <v>135</v>
      </c>
      <c r="F311" s="29">
        <v>1</v>
      </c>
      <c r="G311" s="9">
        <v>1</v>
      </c>
      <c r="H311" s="9">
        <v>1</v>
      </c>
      <c r="I311" s="9">
        <v>2</v>
      </c>
      <c r="J311" s="9">
        <v>2</v>
      </c>
      <c r="K311" s="160">
        <f t="shared" si="4"/>
        <v>0.35859414261160716</v>
      </c>
      <c r="L311" s="52" t="s">
        <v>120</v>
      </c>
    </row>
    <row r="312" spans="1:12">
      <c r="A312" s="152" t="s">
        <v>123</v>
      </c>
      <c r="B312" s="59">
        <v>2005</v>
      </c>
      <c r="C312" s="344" t="s">
        <v>105</v>
      </c>
      <c r="D312" s="59">
        <v>358</v>
      </c>
      <c r="E312" s="344" t="s">
        <v>135</v>
      </c>
      <c r="F312" s="29">
        <v>1</v>
      </c>
      <c r="G312" s="9">
        <v>1</v>
      </c>
      <c r="H312" s="9">
        <v>1</v>
      </c>
      <c r="I312" s="9">
        <v>2</v>
      </c>
      <c r="J312" s="9">
        <v>2</v>
      </c>
      <c r="K312" s="160">
        <f t="shared" si="4"/>
        <v>0.35859414261160716</v>
      </c>
      <c r="L312" s="52" t="s">
        <v>120</v>
      </c>
    </row>
    <row r="313" spans="1:12">
      <c r="A313" s="152" t="s">
        <v>123</v>
      </c>
      <c r="B313" s="59">
        <v>2005</v>
      </c>
      <c r="C313" s="344" t="s">
        <v>103</v>
      </c>
      <c r="D313" s="59">
        <v>289</v>
      </c>
      <c r="E313" s="344" t="s">
        <v>135</v>
      </c>
      <c r="F313" s="29">
        <v>1</v>
      </c>
      <c r="G313" s="9">
        <v>1</v>
      </c>
      <c r="H313" s="9">
        <v>1</v>
      </c>
      <c r="I313" s="9">
        <v>2</v>
      </c>
      <c r="J313" s="9">
        <v>2</v>
      </c>
      <c r="K313" s="160">
        <f t="shared" si="4"/>
        <v>0.35859414261160716</v>
      </c>
      <c r="L313" s="52" t="s">
        <v>120</v>
      </c>
    </row>
    <row r="314" spans="1:12">
      <c r="A314" s="152" t="s">
        <v>123</v>
      </c>
      <c r="B314" s="59">
        <v>2005</v>
      </c>
      <c r="C314" s="344" t="s">
        <v>101</v>
      </c>
      <c r="D314" s="59">
        <v>69</v>
      </c>
      <c r="E314" s="344" t="s">
        <v>135</v>
      </c>
      <c r="F314" s="29">
        <v>1</v>
      </c>
      <c r="G314" s="9">
        <v>1</v>
      </c>
      <c r="H314" s="9">
        <v>1</v>
      </c>
      <c r="I314" s="9">
        <v>2</v>
      </c>
      <c r="J314" s="9">
        <v>2</v>
      </c>
      <c r="K314" s="160">
        <f t="shared" si="4"/>
        <v>0.35859414261160716</v>
      </c>
      <c r="L314" s="52" t="s">
        <v>120</v>
      </c>
    </row>
    <row r="315" spans="1:12">
      <c r="A315" s="152" t="s">
        <v>123</v>
      </c>
      <c r="B315" s="59">
        <v>2005</v>
      </c>
      <c r="C315" s="344" t="s">
        <v>106</v>
      </c>
      <c r="D315" s="59">
        <v>2432</v>
      </c>
      <c r="E315" s="344" t="s">
        <v>135</v>
      </c>
      <c r="F315" s="29">
        <v>1</v>
      </c>
      <c r="G315" s="9">
        <v>1</v>
      </c>
      <c r="H315" s="9">
        <v>1</v>
      </c>
      <c r="I315" s="9">
        <v>2</v>
      </c>
      <c r="J315" s="9">
        <v>2</v>
      </c>
      <c r="K315" s="160">
        <f t="shared" si="4"/>
        <v>0.35859414261160716</v>
      </c>
      <c r="L315" s="52" t="s">
        <v>120</v>
      </c>
    </row>
    <row r="316" spans="1:12">
      <c r="A316" s="152" t="s">
        <v>123</v>
      </c>
      <c r="B316" s="59">
        <v>2006</v>
      </c>
      <c r="C316" s="344" t="s">
        <v>93</v>
      </c>
      <c r="D316" s="59">
        <v>4450</v>
      </c>
      <c r="E316" s="344" t="s">
        <v>135</v>
      </c>
      <c r="F316" s="29">
        <v>1</v>
      </c>
      <c r="G316" s="9">
        <v>1</v>
      </c>
      <c r="H316" s="9">
        <v>1</v>
      </c>
      <c r="I316" s="9">
        <v>2</v>
      </c>
      <c r="J316" s="9">
        <v>2</v>
      </c>
      <c r="K316" s="160">
        <f t="shared" si="4"/>
        <v>0.35859414261160716</v>
      </c>
      <c r="L316" s="52" t="s">
        <v>120</v>
      </c>
    </row>
    <row r="317" spans="1:12">
      <c r="A317" s="152" t="s">
        <v>123</v>
      </c>
      <c r="B317" s="59">
        <v>2006</v>
      </c>
      <c r="C317" s="344" t="s">
        <v>94</v>
      </c>
      <c r="D317" s="59">
        <v>1652</v>
      </c>
      <c r="E317" s="344" t="s">
        <v>135</v>
      </c>
      <c r="F317" s="29">
        <v>1</v>
      </c>
      <c r="G317" s="9">
        <v>1</v>
      </c>
      <c r="H317" s="9">
        <v>1</v>
      </c>
      <c r="I317" s="9">
        <v>2</v>
      </c>
      <c r="J317" s="9">
        <v>2</v>
      </c>
      <c r="K317" s="160">
        <f t="shared" si="4"/>
        <v>0.35859414261160716</v>
      </c>
      <c r="L317" s="52" t="s">
        <v>120</v>
      </c>
    </row>
    <row r="318" spans="1:12">
      <c r="A318" s="152" t="s">
        <v>123</v>
      </c>
      <c r="B318" s="59">
        <v>2006</v>
      </c>
      <c r="C318" s="344" t="s">
        <v>95</v>
      </c>
      <c r="D318" s="59">
        <v>1293</v>
      </c>
      <c r="E318" s="344" t="s">
        <v>135</v>
      </c>
      <c r="F318" s="29">
        <v>1</v>
      </c>
      <c r="G318" s="9">
        <v>1</v>
      </c>
      <c r="H318" s="9">
        <v>1</v>
      </c>
      <c r="I318" s="9">
        <v>2</v>
      </c>
      <c r="J318" s="9">
        <v>2</v>
      </c>
      <c r="K318" s="160">
        <f t="shared" si="4"/>
        <v>0.35859414261160716</v>
      </c>
      <c r="L318" s="52" t="s">
        <v>120</v>
      </c>
    </row>
    <row r="319" spans="1:12">
      <c r="A319" s="152" t="s">
        <v>123</v>
      </c>
      <c r="B319" s="59">
        <v>2006</v>
      </c>
      <c r="C319" s="344" t="s">
        <v>96</v>
      </c>
      <c r="D319" s="59">
        <v>158</v>
      </c>
      <c r="E319" s="344" t="s">
        <v>135</v>
      </c>
      <c r="F319" s="29">
        <v>1</v>
      </c>
      <c r="G319" s="9">
        <v>1</v>
      </c>
      <c r="H319" s="9">
        <v>1</v>
      </c>
      <c r="I319" s="9">
        <v>2</v>
      </c>
      <c r="J319" s="9">
        <v>2</v>
      </c>
      <c r="K319" s="160">
        <f t="shared" si="4"/>
        <v>0.35859414261160716</v>
      </c>
      <c r="L319" s="52" t="s">
        <v>120</v>
      </c>
    </row>
    <row r="320" spans="1:12">
      <c r="A320" s="152" t="s">
        <v>123</v>
      </c>
      <c r="B320" s="59">
        <v>2006</v>
      </c>
      <c r="C320" s="344" t="s">
        <v>97</v>
      </c>
      <c r="D320" s="59">
        <v>41</v>
      </c>
      <c r="E320" s="344" t="s">
        <v>135</v>
      </c>
      <c r="F320" s="29">
        <v>1</v>
      </c>
      <c r="G320" s="9">
        <v>1</v>
      </c>
      <c r="H320" s="9">
        <v>1</v>
      </c>
      <c r="I320" s="9">
        <v>2</v>
      </c>
      <c r="J320" s="9">
        <v>2</v>
      </c>
      <c r="K320" s="160">
        <f t="shared" si="4"/>
        <v>0.35859414261160716</v>
      </c>
      <c r="L320" s="52" t="s">
        <v>120</v>
      </c>
    </row>
    <row r="321" spans="1:12">
      <c r="A321" s="152" t="s">
        <v>123</v>
      </c>
      <c r="B321" s="59">
        <v>2006</v>
      </c>
      <c r="C321" s="344" t="s">
        <v>98</v>
      </c>
      <c r="D321" s="59">
        <v>551</v>
      </c>
      <c r="E321" s="344" t="s">
        <v>135</v>
      </c>
      <c r="F321" s="29">
        <v>1</v>
      </c>
      <c r="G321" s="9">
        <v>1</v>
      </c>
      <c r="H321" s="9">
        <v>1</v>
      </c>
      <c r="I321" s="9">
        <v>2</v>
      </c>
      <c r="J321" s="9">
        <v>2</v>
      </c>
      <c r="K321" s="160">
        <f t="shared" si="4"/>
        <v>0.35859414261160716</v>
      </c>
      <c r="L321" s="52" t="s">
        <v>120</v>
      </c>
    </row>
    <row r="322" spans="1:12">
      <c r="A322" s="152" t="s">
        <v>123</v>
      </c>
      <c r="B322" s="59">
        <v>2006</v>
      </c>
      <c r="C322" s="344" t="s">
        <v>99</v>
      </c>
      <c r="D322" s="59">
        <v>988</v>
      </c>
      <c r="E322" s="344" t="s">
        <v>135</v>
      </c>
      <c r="F322" s="29">
        <v>1</v>
      </c>
      <c r="G322" s="9">
        <v>1</v>
      </c>
      <c r="H322" s="9">
        <v>1</v>
      </c>
      <c r="I322" s="9">
        <v>2</v>
      </c>
      <c r="J322" s="9">
        <v>2</v>
      </c>
      <c r="K322" s="160">
        <f t="shared" ref="K322:K385" si="5">IF( OR( ISBLANK(F322),ISBLANK(G322), ISBLANK(H322), ISBLANK(I322), ISBLANK(J322) ), "", 1.5*SQRT(   EXP(2.21*(F322-1)) + EXP(2.21*(G322-1)) + EXP(2.21*(H322-1)) + EXP(2.21*(I322-1)) + EXP(2.21*J322)   )/100*2.45 )</f>
        <v>0.35859414261160716</v>
      </c>
      <c r="L322" s="52" t="s">
        <v>120</v>
      </c>
    </row>
    <row r="323" spans="1:12">
      <c r="A323" s="152" t="s">
        <v>123</v>
      </c>
      <c r="B323" s="59">
        <v>2006</v>
      </c>
      <c r="C323" s="344" t="s">
        <v>102</v>
      </c>
      <c r="D323" s="59">
        <v>243</v>
      </c>
      <c r="E323" s="344" t="s">
        <v>135</v>
      </c>
      <c r="F323" s="29">
        <v>1</v>
      </c>
      <c r="G323" s="9">
        <v>1</v>
      </c>
      <c r="H323" s="9">
        <v>1</v>
      </c>
      <c r="I323" s="9">
        <v>2</v>
      </c>
      <c r="J323" s="9">
        <v>2</v>
      </c>
      <c r="K323" s="160">
        <f t="shared" si="5"/>
        <v>0.35859414261160716</v>
      </c>
      <c r="L323" s="52" t="s">
        <v>120</v>
      </c>
    </row>
    <row r="324" spans="1:12">
      <c r="A324" s="152" t="s">
        <v>123</v>
      </c>
      <c r="B324" s="59">
        <v>2006</v>
      </c>
      <c r="C324" s="344" t="s">
        <v>104</v>
      </c>
      <c r="D324" s="59">
        <v>92</v>
      </c>
      <c r="E324" s="344" t="s">
        <v>135</v>
      </c>
      <c r="F324" s="29">
        <v>1</v>
      </c>
      <c r="G324" s="9">
        <v>1</v>
      </c>
      <c r="H324" s="9">
        <v>1</v>
      </c>
      <c r="I324" s="9">
        <v>2</v>
      </c>
      <c r="J324" s="9">
        <v>2</v>
      </c>
      <c r="K324" s="160">
        <f t="shared" si="5"/>
        <v>0.35859414261160716</v>
      </c>
      <c r="L324" s="52" t="s">
        <v>120</v>
      </c>
    </row>
    <row r="325" spans="1:12">
      <c r="A325" s="152" t="s">
        <v>123</v>
      </c>
      <c r="B325" s="59">
        <v>2006</v>
      </c>
      <c r="C325" s="344" t="s">
        <v>105</v>
      </c>
      <c r="D325" s="59">
        <v>414</v>
      </c>
      <c r="E325" s="344" t="s">
        <v>135</v>
      </c>
      <c r="F325" s="29">
        <v>1</v>
      </c>
      <c r="G325" s="9">
        <v>1</v>
      </c>
      <c r="H325" s="9">
        <v>1</v>
      </c>
      <c r="I325" s="9">
        <v>2</v>
      </c>
      <c r="J325" s="9">
        <v>2</v>
      </c>
      <c r="K325" s="160">
        <f t="shared" si="5"/>
        <v>0.35859414261160716</v>
      </c>
      <c r="L325" s="52" t="s">
        <v>120</v>
      </c>
    </row>
    <row r="326" spans="1:12">
      <c r="A326" s="152" t="s">
        <v>123</v>
      </c>
      <c r="B326" s="59">
        <v>2006</v>
      </c>
      <c r="C326" s="344" t="s">
        <v>103</v>
      </c>
      <c r="D326" s="59">
        <v>307</v>
      </c>
      <c r="E326" s="344" t="s">
        <v>135</v>
      </c>
      <c r="F326" s="29">
        <v>1</v>
      </c>
      <c r="G326" s="9">
        <v>1</v>
      </c>
      <c r="H326" s="9">
        <v>1</v>
      </c>
      <c r="I326" s="9">
        <v>2</v>
      </c>
      <c r="J326" s="9">
        <v>2</v>
      </c>
      <c r="K326" s="160">
        <f t="shared" si="5"/>
        <v>0.35859414261160716</v>
      </c>
      <c r="L326" s="52" t="s">
        <v>120</v>
      </c>
    </row>
    <row r="327" spans="1:12">
      <c r="A327" s="152" t="s">
        <v>123</v>
      </c>
      <c r="B327" s="59">
        <v>2006</v>
      </c>
      <c r="C327" s="344" t="s">
        <v>101</v>
      </c>
      <c r="D327" s="59">
        <v>65</v>
      </c>
      <c r="E327" s="344" t="s">
        <v>135</v>
      </c>
      <c r="F327" s="29">
        <v>1</v>
      </c>
      <c r="G327" s="9">
        <v>1</v>
      </c>
      <c r="H327" s="9">
        <v>1</v>
      </c>
      <c r="I327" s="9">
        <v>2</v>
      </c>
      <c r="J327" s="9">
        <v>2</v>
      </c>
      <c r="K327" s="160">
        <f t="shared" si="5"/>
        <v>0.35859414261160716</v>
      </c>
      <c r="L327" s="52" t="s">
        <v>120</v>
      </c>
    </row>
    <row r="328" spans="1:12">
      <c r="A328" s="152" t="s">
        <v>123</v>
      </c>
      <c r="B328" s="59">
        <v>2006</v>
      </c>
      <c r="C328" s="344" t="s">
        <v>106</v>
      </c>
      <c r="D328" s="59">
        <v>2561</v>
      </c>
      <c r="E328" s="344" t="s">
        <v>135</v>
      </c>
      <c r="F328" s="29">
        <v>1</v>
      </c>
      <c r="G328" s="9">
        <v>1</v>
      </c>
      <c r="H328" s="9">
        <v>1</v>
      </c>
      <c r="I328" s="9">
        <v>2</v>
      </c>
      <c r="J328" s="9">
        <v>2</v>
      </c>
      <c r="K328" s="160">
        <f t="shared" si="5"/>
        <v>0.35859414261160716</v>
      </c>
      <c r="L328" s="52" t="s">
        <v>120</v>
      </c>
    </row>
    <row r="329" spans="1:12">
      <c r="A329" s="152" t="s">
        <v>123</v>
      </c>
      <c r="B329" s="59">
        <v>2007</v>
      </c>
      <c r="C329" s="344" t="s">
        <v>93</v>
      </c>
      <c r="D329" s="59">
        <v>4175</v>
      </c>
      <c r="E329" s="344" t="s">
        <v>135</v>
      </c>
      <c r="F329" s="29">
        <v>1</v>
      </c>
      <c r="G329" s="9">
        <v>1</v>
      </c>
      <c r="H329" s="9">
        <v>1</v>
      </c>
      <c r="I329" s="9">
        <v>2</v>
      </c>
      <c r="J329" s="9">
        <v>2</v>
      </c>
      <c r="K329" s="160">
        <f t="shared" si="5"/>
        <v>0.35859414261160716</v>
      </c>
      <c r="L329" s="52" t="s">
        <v>120</v>
      </c>
    </row>
    <row r="330" spans="1:12">
      <c r="A330" s="152" t="s">
        <v>123</v>
      </c>
      <c r="B330" s="59">
        <v>2007</v>
      </c>
      <c r="C330" s="344" t="s">
        <v>94</v>
      </c>
      <c r="D330" s="59">
        <v>1552</v>
      </c>
      <c r="E330" s="344" t="s">
        <v>135</v>
      </c>
      <c r="F330" s="29">
        <v>1</v>
      </c>
      <c r="G330" s="9">
        <v>1</v>
      </c>
      <c r="H330" s="9">
        <v>1</v>
      </c>
      <c r="I330" s="9">
        <v>2</v>
      </c>
      <c r="J330" s="9">
        <v>2</v>
      </c>
      <c r="K330" s="160">
        <f t="shared" si="5"/>
        <v>0.35859414261160716</v>
      </c>
      <c r="L330" s="52" t="s">
        <v>120</v>
      </c>
    </row>
    <row r="331" spans="1:12">
      <c r="A331" s="152" t="s">
        <v>123</v>
      </c>
      <c r="B331" s="59">
        <v>2007</v>
      </c>
      <c r="C331" s="344" t="s">
        <v>95</v>
      </c>
      <c r="D331" s="59">
        <v>1332</v>
      </c>
      <c r="E331" s="344" t="s">
        <v>135</v>
      </c>
      <c r="F331" s="29">
        <v>1</v>
      </c>
      <c r="G331" s="9">
        <v>1</v>
      </c>
      <c r="H331" s="9">
        <v>1</v>
      </c>
      <c r="I331" s="9">
        <v>2</v>
      </c>
      <c r="J331" s="9">
        <v>2</v>
      </c>
      <c r="K331" s="160">
        <f t="shared" si="5"/>
        <v>0.35859414261160716</v>
      </c>
      <c r="L331" s="52" t="s">
        <v>120</v>
      </c>
    </row>
    <row r="332" spans="1:12">
      <c r="A332" s="152" t="s">
        <v>123</v>
      </c>
      <c r="B332" s="59">
        <v>2007</v>
      </c>
      <c r="C332" s="344" t="s">
        <v>96</v>
      </c>
      <c r="D332" s="59">
        <v>125</v>
      </c>
      <c r="E332" s="344" t="s">
        <v>135</v>
      </c>
      <c r="F332" s="29">
        <v>1</v>
      </c>
      <c r="G332" s="9">
        <v>1</v>
      </c>
      <c r="H332" s="9">
        <v>1</v>
      </c>
      <c r="I332" s="9">
        <v>2</v>
      </c>
      <c r="J332" s="9">
        <v>2</v>
      </c>
      <c r="K332" s="160">
        <f t="shared" si="5"/>
        <v>0.35859414261160716</v>
      </c>
      <c r="L332" s="52" t="s">
        <v>120</v>
      </c>
    </row>
    <row r="333" spans="1:12">
      <c r="A333" s="152" t="s">
        <v>123</v>
      </c>
      <c r="B333" s="59">
        <v>2007</v>
      </c>
      <c r="C333" s="344" t="s">
        <v>97</v>
      </c>
      <c r="D333" s="59">
        <v>45</v>
      </c>
      <c r="E333" s="344" t="s">
        <v>135</v>
      </c>
      <c r="F333" s="29">
        <v>1</v>
      </c>
      <c r="G333" s="9">
        <v>1</v>
      </c>
      <c r="H333" s="9">
        <v>1</v>
      </c>
      <c r="I333" s="9">
        <v>2</v>
      </c>
      <c r="J333" s="9">
        <v>2</v>
      </c>
      <c r="K333" s="160">
        <f t="shared" si="5"/>
        <v>0.35859414261160716</v>
      </c>
      <c r="L333" s="52" t="s">
        <v>120</v>
      </c>
    </row>
    <row r="334" spans="1:12">
      <c r="A334" s="152" t="s">
        <v>123</v>
      </c>
      <c r="B334" s="59">
        <v>2007</v>
      </c>
      <c r="C334" s="344" t="s">
        <v>98</v>
      </c>
      <c r="D334" s="59">
        <v>553</v>
      </c>
      <c r="E334" s="344" t="s">
        <v>135</v>
      </c>
      <c r="F334" s="29">
        <v>1</v>
      </c>
      <c r="G334" s="9">
        <v>1</v>
      </c>
      <c r="H334" s="9">
        <v>1</v>
      </c>
      <c r="I334" s="9">
        <v>2</v>
      </c>
      <c r="J334" s="9">
        <v>2</v>
      </c>
      <c r="K334" s="160">
        <f t="shared" si="5"/>
        <v>0.35859414261160716</v>
      </c>
      <c r="L334" s="52" t="s">
        <v>120</v>
      </c>
    </row>
    <row r="335" spans="1:12">
      <c r="A335" s="152" t="s">
        <v>123</v>
      </c>
      <c r="B335" s="59">
        <v>2007</v>
      </c>
      <c r="C335" s="344" t="s">
        <v>99</v>
      </c>
      <c r="D335" s="59">
        <v>1108</v>
      </c>
      <c r="E335" s="344" t="s">
        <v>135</v>
      </c>
      <c r="F335" s="29">
        <v>1</v>
      </c>
      <c r="G335" s="9">
        <v>1</v>
      </c>
      <c r="H335" s="9">
        <v>1</v>
      </c>
      <c r="I335" s="9">
        <v>2</v>
      </c>
      <c r="J335" s="9">
        <v>2</v>
      </c>
      <c r="K335" s="160">
        <f t="shared" si="5"/>
        <v>0.35859414261160716</v>
      </c>
      <c r="L335" s="52" t="s">
        <v>120</v>
      </c>
    </row>
    <row r="336" spans="1:12">
      <c r="A336" s="152" t="s">
        <v>123</v>
      </c>
      <c r="B336" s="59">
        <v>2007</v>
      </c>
      <c r="C336" s="344" t="s">
        <v>102</v>
      </c>
      <c r="D336" s="59">
        <v>245</v>
      </c>
      <c r="E336" s="344" t="s">
        <v>135</v>
      </c>
      <c r="F336" s="29">
        <v>1</v>
      </c>
      <c r="G336" s="9">
        <v>1</v>
      </c>
      <c r="H336" s="9">
        <v>1</v>
      </c>
      <c r="I336" s="9">
        <v>2</v>
      </c>
      <c r="J336" s="9">
        <v>2</v>
      </c>
      <c r="K336" s="160">
        <f t="shared" si="5"/>
        <v>0.35859414261160716</v>
      </c>
      <c r="L336" s="52" t="s">
        <v>120</v>
      </c>
    </row>
    <row r="337" spans="1:12">
      <c r="A337" s="152" t="s">
        <v>123</v>
      </c>
      <c r="B337" s="59">
        <v>2007</v>
      </c>
      <c r="C337" s="344" t="s">
        <v>104</v>
      </c>
      <c r="D337" s="59">
        <v>83</v>
      </c>
      <c r="E337" s="344" t="s">
        <v>135</v>
      </c>
      <c r="F337" s="29">
        <v>1</v>
      </c>
      <c r="G337" s="9">
        <v>1</v>
      </c>
      <c r="H337" s="9">
        <v>1</v>
      </c>
      <c r="I337" s="9">
        <v>2</v>
      </c>
      <c r="J337" s="9">
        <v>2</v>
      </c>
      <c r="K337" s="160">
        <f t="shared" si="5"/>
        <v>0.35859414261160716</v>
      </c>
      <c r="L337" s="52" t="s">
        <v>120</v>
      </c>
    </row>
    <row r="338" spans="1:12">
      <c r="A338" s="152" t="s">
        <v>123</v>
      </c>
      <c r="B338" s="59">
        <v>2007</v>
      </c>
      <c r="C338" s="344" t="s">
        <v>105</v>
      </c>
      <c r="D338" s="59">
        <v>451</v>
      </c>
      <c r="E338" s="344" t="s">
        <v>135</v>
      </c>
      <c r="F338" s="29">
        <v>1</v>
      </c>
      <c r="G338" s="9">
        <v>1</v>
      </c>
      <c r="H338" s="9">
        <v>1</v>
      </c>
      <c r="I338" s="9">
        <v>2</v>
      </c>
      <c r="J338" s="9">
        <v>2</v>
      </c>
      <c r="K338" s="160">
        <f t="shared" si="5"/>
        <v>0.35859414261160716</v>
      </c>
      <c r="L338" s="52" t="s">
        <v>120</v>
      </c>
    </row>
    <row r="339" spans="1:12">
      <c r="A339" s="152" t="s">
        <v>123</v>
      </c>
      <c r="B339" s="59">
        <v>2007</v>
      </c>
      <c r="C339" s="344" t="s">
        <v>103</v>
      </c>
      <c r="D339" s="59">
        <v>342</v>
      </c>
      <c r="E339" s="344" t="s">
        <v>135</v>
      </c>
      <c r="F339" s="29">
        <v>1</v>
      </c>
      <c r="G339" s="9">
        <v>1</v>
      </c>
      <c r="H339" s="9">
        <v>1</v>
      </c>
      <c r="I339" s="9">
        <v>2</v>
      </c>
      <c r="J339" s="9">
        <v>2</v>
      </c>
      <c r="K339" s="160">
        <f t="shared" si="5"/>
        <v>0.35859414261160716</v>
      </c>
      <c r="L339" s="52" t="s">
        <v>120</v>
      </c>
    </row>
    <row r="340" spans="1:12">
      <c r="A340" s="152" t="s">
        <v>123</v>
      </c>
      <c r="B340" s="59">
        <v>2007</v>
      </c>
      <c r="C340" s="344" t="s">
        <v>101</v>
      </c>
      <c r="D340" s="59">
        <v>76</v>
      </c>
      <c r="E340" s="344" t="s">
        <v>135</v>
      </c>
      <c r="F340" s="29">
        <v>1</v>
      </c>
      <c r="G340" s="9">
        <v>1</v>
      </c>
      <c r="H340" s="9">
        <v>1</v>
      </c>
      <c r="I340" s="9">
        <v>2</v>
      </c>
      <c r="J340" s="9">
        <v>2</v>
      </c>
      <c r="K340" s="160">
        <f t="shared" si="5"/>
        <v>0.35859414261160716</v>
      </c>
      <c r="L340" s="52" t="s">
        <v>120</v>
      </c>
    </row>
    <row r="341" spans="1:12">
      <c r="A341" s="152" t="s">
        <v>123</v>
      </c>
      <c r="B341" s="59">
        <v>2007</v>
      </c>
      <c r="C341" s="344" t="s">
        <v>106</v>
      </c>
      <c r="D341" s="59">
        <v>2912</v>
      </c>
      <c r="E341" s="344" t="s">
        <v>135</v>
      </c>
      <c r="F341" s="29">
        <v>1</v>
      </c>
      <c r="G341" s="9">
        <v>1</v>
      </c>
      <c r="H341" s="9">
        <v>1</v>
      </c>
      <c r="I341" s="9">
        <v>2</v>
      </c>
      <c r="J341" s="9">
        <v>2</v>
      </c>
      <c r="K341" s="160">
        <f t="shared" si="5"/>
        <v>0.35859414261160716</v>
      </c>
      <c r="L341" s="52" t="s">
        <v>120</v>
      </c>
    </row>
    <row r="342" spans="1:12">
      <c r="A342" s="152" t="s">
        <v>123</v>
      </c>
      <c r="B342" s="59">
        <v>2008</v>
      </c>
      <c r="C342" s="344" t="s">
        <v>93</v>
      </c>
      <c r="D342" s="59">
        <v>3692</v>
      </c>
      <c r="E342" s="344" t="s">
        <v>135</v>
      </c>
      <c r="F342" s="29">
        <v>1</v>
      </c>
      <c r="G342" s="9">
        <v>1</v>
      </c>
      <c r="H342" s="9">
        <v>1</v>
      </c>
      <c r="I342" s="9">
        <v>2</v>
      </c>
      <c r="J342" s="9">
        <v>2</v>
      </c>
      <c r="K342" s="160">
        <f t="shared" si="5"/>
        <v>0.35859414261160716</v>
      </c>
      <c r="L342" s="52" t="s">
        <v>120</v>
      </c>
    </row>
    <row r="343" spans="1:12">
      <c r="A343" s="152" t="s">
        <v>123</v>
      </c>
      <c r="B343" s="59">
        <v>2008</v>
      </c>
      <c r="C343" s="344" t="s">
        <v>94</v>
      </c>
      <c r="D343" s="59">
        <v>1598</v>
      </c>
      <c r="E343" s="344" t="s">
        <v>135</v>
      </c>
      <c r="F343" s="29">
        <v>1</v>
      </c>
      <c r="G343" s="9">
        <v>1</v>
      </c>
      <c r="H343" s="9">
        <v>1</v>
      </c>
      <c r="I343" s="9">
        <v>2</v>
      </c>
      <c r="J343" s="9">
        <v>2</v>
      </c>
      <c r="K343" s="160">
        <f t="shared" si="5"/>
        <v>0.35859414261160716</v>
      </c>
      <c r="L343" s="52" t="s">
        <v>120</v>
      </c>
    </row>
    <row r="344" spans="1:12">
      <c r="A344" s="152" t="s">
        <v>123</v>
      </c>
      <c r="B344" s="59">
        <v>2008</v>
      </c>
      <c r="C344" s="344" t="s">
        <v>95</v>
      </c>
      <c r="D344" s="59">
        <v>1292</v>
      </c>
      <c r="E344" s="344" t="s">
        <v>135</v>
      </c>
      <c r="F344" s="29">
        <v>1</v>
      </c>
      <c r="G344" s="9">
        <v>1</v>
      </c>
      <c r="H344" s="9">
        <v>1</v>
      </c>
      <c r="I344" s="9">
        <v>2</v>
      </c>
      <c r="J344" s="9">
        <v>2</v>
      </c>
      <c r="K344" s="160">
        <f t="shared" si="5"/>
        <v>0.35859414261160716</v>
      </c>
      <c r="L344" s="52" t="s">
        <v>120</v>
      </c>
    </row>
    <row r="345" spans="1:12">
      <c r="A345" s="152" t="s">
        <v>123</v>
      </c>
      <c r="B345" s="59">
        <v>2008</v>
      </c>
      <c r="C345" s="344" t="s">
        <v>96</v>
      </c>
      <c r="D345" s="59">
        <v>114</v>
      </c>
      <c r="E345" s="344" t="s">
        <v>135</v>
      </c>
      <c r="F345" s="29">
        <v>1</v>
      </c>
      <c r="G345" s="9">
        <v>1</v>
      </c>
      <c r="H345" s="9">
        <v>1</v>
      </c>
      <c r="I345" s="9">
        <v>2</v>
      </c>
      <c r="J345" s="9">
        <v>2</v>
      </c>
      <c r="K345" s="160">
        <f t="shared" si="5"/>
        <v>0.35859414261160716</v>
      </c>
      <c r="L345" s="52" t="s">
        <v>120</v>
      </c>
    </row>
    <row r="346" spans="1:12">
      <c r="A346" s="152" t="s">
        <v>123</v>
      </c>
      <c r="B346" s="59">
        <v>2008</v>
      </c>
      <c r="C346" s="344" t="s">
        <v>97</v>
      </c>
      <c r="D346" s="59">
        <v>84</v>
      </c>
      <c r="E346" s="344" t="s">
        <v>135</v>
      </c>
      <c r="F346" s="29">
        <v>1</v>
      </c>
      <c r="G346" s="9">
        <v>1</v>
      </c>
      <c r="H346" s="9">
        <v>1</v>
      </c>
      <c r="I346" s="9">
        <v>2</v>
      </c>
      <c r="J346" s="9">
        <v>2</v>
      </c>
      <c r="K346" s="160">
        <f t="shared" si="5"/>
        <v>0.35859414261160716</v>
      </c>
      <c r="L346" s="52" t="s">
        <v>120</v>
      </c>
    </row>
    <row r="347" spans="1:12">
      <c r="A347" s="152" t="s">
        <v>123</v>
      </c>
      <c r="B347" s="59">
        <v>2008</v>
      </c>
      <c r="C347" s="344" t="s">
        <v>98</v>
      </c>
      <c r="D347" s="59">
        <v>669</v>
      </c>
      <c r="E347" s="344" t="s">
        <v>135</v>
      </c>
      <c r="F347" s="29">
        <v>1</v>
      </c>
      <c r="G347" s="9">
        <v>1</v>
      </c>
      <c r="H347" s="9">
        <v>1</v>
      </c>
      <c r="I347" s="9">
        <v>2</v>
      </c>
      <c r="J347" s="9">
        <v>2</v>
      </c>
      <c r="K347" s="160">
        <f t="shared" si="5"/>
        <v>0.35859414261160716</v>
      </c>
      <c r="L347" s="52" t="s">
        <v>120</v>
      </c>
    </row>
    <row r="348" spans="1:12">
      <c r="A348" s="152" t="s">
        <v>123</v>
      </c>
      <c r="B348" s="59">
        <v>2008</v>
      </c>
      <c r="C348" s="344" t="s">
        <v>99</v>
      </c>
      <c r="D348" s="59">
        <v>1161</v>
      </c>
      <c r="E348" s="344" t="s">
        <v>135</v>
      </c>
      <c r="F348" s="29">
        <v>1</v>
      </c>
      <c r="G348" s="9">
        <v>1</v>
      </c>
      <c r="H348" s="9">
        <v>1</v>
      </c>
      <c r="I348" s="9">
        <v>2</v>
      </c>
      <c r="J348" s="9">
        <v>2</v>
      </c>
      <c r="K348" s="160">
        <f t="shared" si="5"/>
        <v>0.35859414261160716</v>
      </c>
      <c r="L348" s="52" t="s">
        <v>120</v>
      </c>
    </row>
    <row r="349" spans="1:12">
      <c r="A349" s="152" t="s">
        <v>123</v>
      </c>
      <c r="B349" s="59">
        <v>2008</v>
      </c>
      <c r="C349" s="344" t="s">
        <v>102</v>
      </c>
      <c r="D349" s="59">
        <v>257</v>
      </c>
      <c r="E349" s="344" t="s">
        <v>135</v>
      </c>
      <c r="F349" s="29">
        <v>1</v>
      </c>
      <c r="G349" s="9">
        <v>1</v>
      </c>
      <c r="H349" s="9">
        <v>1</v>
      </c>
      <c r="I349" s="9">
        <v>2</v>
      </c>
      <c r="J349" s="9">
        <v>2</v>
      </c>
      <c r="K349" s="160">
        <f t="shared" si="5"/>
        <v>0.35859414261160716</v>
      </c>
      <c r="L349" s="52" t="s">
        <v>120</v>
      </c>
    </row>
    <row r="350" spans="1:12">
      <c r="A350" s="152" t="s">
        <v>123</v>
      </c>
      <c r="B350" s="59">
        <v>2008</v>
      </c>
      <c r="C350" s="344" t="s">
        <v>104</v>
      </c>
      <c r="D350" s="59">
        <v>86</v>
      </c>
      <c r="E350" s="344" t="s">
        <v>135</v>
      </c>
      <c r="F350" s="29">
        <v>1</v>
      </c>
      <c r="G350" s="9">
        <v>1</v>
      </c>
      <c r="H350" s="9">
        <v>1</v>
      </c>
      <c r="I350" s="9">
        <v>2</v>
      </c>
      <c r="J350" s="9">
        <v>2</v>
      </c>
      <c r="K350" s="160">
        <f t="shared" si="5"/>
        <v>0.35859414261160716</v>
      </c>
      <c r="L350" s="52" t="s">
        <v>120</v>
      </c>
    </row>
    <row r="351" spans="1:12">
      <c r="A351" s="152" t="s">
        <v>123</v>
      </c>
      <c r="B351" s="59">
        <v>2008</v>
      </c>
      <c r="C351" s="344" t="s">
        <v>105</v>
      </c>
      <c r="D351" s="59">
        <v>444</v>
      </c>
      <c r="E351" s="344" t="s">
        <v>135</v>
      </c>
      <c r="F351" s="29">
        <v>1</v>
      </c>
      <c r="G351" s="9">
        <v>1</v>
      </c>
      <c r="H351" s="9">
        <v>1</v>
      </c>
      <c r="I351" s="9">
        <v>2</v>
      </c>
      <c r="J351" s="9">
        <v>2</v>
      </c>
      <c r="K351" s="160">
        <f t="shared" si="5"/>
        <v>0.35859414261160716</v>
      </c>
      <c r="L351" s="52" t="s">
        <v>120</v>
      </c>
    </row>
    <row r="352" spans="1:12">
      <c r="A352" s="152" t="s">
        <v>123</v>
      </c>
      <c r="B352" s="59">
        <v>2008</v>
      </c>
      <c r="C352" s="344" t="s">
        <v>103</v>
      </c>
      <c r="D352" s="59">
        <v>361</v>
      </c>
      <c r="E352" s="344" t="s">
        <v>135</v>
      </c>
      <c r="F352" s="29">
        <v>1</v>
      </c>
      <c r="G352" s="9">
        <v>1</v>
      </c>
      <c r="H352" s="9">
        <v>1</v>
      </c>
      <c r="I352" s="9">
        <v>2</v>
      </c>
      <c r="J352" s="9">
        <v>2</v>
      </c>
      <c r="K352" s="160">
        <f t="shared" si="5"/>
        <v>0.35859414261160716</v>
      </c>
      <c r="L352" s="52" t="s">
        <v>120</v>
      </c>
    </row>
    <row r="353" spans="1:12">
      <c r="A353" s="152" t="s">
        <v>123</v>
      </c>
      <c r="B353" s="59">
        <v>2008</v>
      </c>
      <c r="C353" s="344" t="s">
        <v>101</v>
      </c>
      <c r="D353" s="59">
        <v>80</v>
      </c>
      <c r="E353" s="344" t="s">
        <v>135</v>
      </c>
      <c r="F353" s="29">
        <v>1</v>
      </c>
      <c r="G353" s="9">
        <v>1</v>
      </c>
      <c r="H353" s="9">
        <v>1</v>
      </c>
      <c r="I353" s="9">
        <v>2</v>
      </c>
      <c r="J353" s="9">
        <v>2</v>
      </c>
      <c r="K353" s="160">
        <f t="shared" si="5"/>
        <v>0.35859414261160716</v>
      </c>
      <c r="L353" s="52" t="s">
        <v>120</v>
      </c>
    </row>
    <row r="354" spans="1:12">
      <c r="A354" s="152" t="s">
        <v>123</v>
      </c>
      <c r="B354" s="59">
        <v>2008</v>
      </c>
      <c r="C354" s="344" t="s">
        <v>106</v>
      </c>
      <c r="D354" s="59">
        <v>3399</v>
      </c>
      <c r="E354" s="344" t="s">
        <v>135</v>
      </c>
      <c r="F354" s="29">
        <v>1</v>
      </c>
      <c r="G354" s="9">
        <v>1</v>
      </c>
      <c r="H354" s="9">
        <v>1</v>
      </c>
      <c r="I354" s="9">
        <v>2</v>
      </c>
      <c r="J354" s="9">
        <v>2</v>
      </c>
      <c r="K354" s="160">
        <f t="shared" si="5"/>
        <v>0.35859414261160716</v>
      </c>
      <c r="L354" s="52" t="s">
        <v>120</v>
      </c>
    </row>
    <row r="355" spans="1:12">
      <c r="A355" s="152" t="s">
        <v>123</v>
      </c>
      <c r="B355" s="59">
        <v>2009</v>
      </c>
      <c r="C355" s="344" t="s">
        <v>93</v>
      </c>
      <c r="D355" s="59">
        <v>3276</v>
      </c>
      <c r="E355" s="344" t="s">
        <v>135</v>
      </c>
      <c r="F355" s="29">
        <v>1</v>
      </c>
      <c r="G355" s="9">
        <v>1</v>
      </c>
      <c r="H355" s="9">
        <v>1</v>
      </c>
      <c r="I355" s="9">
        <v>2</v>
      </c>
      <c r="J355" s="9">
        <v>2</v>
      </c>
      <c r="K355" s="160">
        <f t="shared" si="5"/>
        <v>0.35859414261160716</v>
      </c>
      <c r="L355" s="52" t="s">
        <v>120</v>
      </c>
    </row>
    <row r="356" spans="1:12">
      <c r="A356" s="152" t="s">
        <v>123</v>
      </c>
      <c r="B356" s="59">
        <v>2009</v>
      </c>
      <c r="C356" s="344" t="s">
        <v>94</v>
      </c>
      <c r="D356" s="59">
        <v>1953</v>
      </c>
      <c r="E356" s="344" t="s">
        <v>135</v>
      </c>
      <c r="F356" s="29">
        <v>1</v>
      </c>
      <c r="G356" s="9">
        <v>1</v>
      </c>
      <c r="H356" s="9">
        <v>1</v>
      </c>
      <c r="I356" s="9">
        <v>2</v>
      </c>
      <c r="J356" s="9">
        <v>2</v>
      </c>
      <c r="K356" s="160">
        <f t="shared" si="5"/>
        <v>0.35859414261160716</v>
      </c>
      <c r="L356" s="52" t="s">
        <v>120</v>
      </c>
    </row>
    <row r="357" spans="1:12">
      <c r="A357" s="152" t="s">
        <v>123</v>
      </c>
      <c r="B357" s="59">
        <v>2009</v>
      </c>
      <c r="C357" s="344" t="s">
        <v>95</v>
      </c>
      <c r="D357" s="59">
        <v>1367</v>
      </c>
      <c r="E357" s="344" t="s">
        <v>135</v>
      </c>
      <c r="F357" s="29">
        <v>1</v>
      </c>
      <c r="G357" s="9">
        <v>1</v>
      </c>
      <c r="H357" s="9">
        <v>1</v>
      </c>
      <c r="I357" s="9">
        <v>2</v>
      </c>
      <c r="J357" s="9">
        <v>2</v>
      </c>
      <c r="K357" s="160">
        <f t="shared" si="5"/>
        <v>0.35859414261160716</v>
      </c>
      <c r="L357" s="52" t="s">
        <v>120</v>
      </c>
    </row>
    <row r="358" spans="1:12">
      <c r="A358" s="152" t="s">
        <v>123</v>
      </c>
      <c r="B358" s="59">
        <v>2009</v>
      </c>
      <c r="C358" s="344" t="s">
        <v>96</v>
      </c>
      <c r="D358" s="59">
        <v>199</v>
      </c>
      <c r="E358" s="344" t="s">
        <v>135</v>
      </c>
      <c r="F358" s="29">
        <v>1</v>
      </c>
      <c r="G358" s="9">
        <v>1</v>
      </c>
      <c r="H358" s="9">
        <v>1</v>
      </c>
      <c r="I358" s="9">
        <v>2</v>
      </c>
      <c r="J358" s="9">
        <v>2</v>
      </c>
      <c r="K358" s="160">
        <f t="shared" si="5"/>
        <v>0.35859414261160716</v>
      </c>
      <c r="L358" s="52" t="s">
        <v>120</v>
      </c>
    </row>
    <row r="359" spans="1:12">
      <c r="A359" s="152" t="s">
        <v>123</v>
      </c>
      <c r="B359" s="59">
        <v>2009</v>
      </c>
      <c r="C359" s="344" t="s">
        <v>97</v>
      </c>
      <c r="D359" s="59">
        <v>101</v>
      </c>
      <c r="E359" s="344" t="s">
        <v>135</v>
      </c>
      <c r="F359" s="29">
        <v>1</v>
      </c>
      <c r="G359" s="9">
        <v>1</v>
      </c>
      <c r="H359" s="9">
        <v>1</v>
      </c>
      <c r="I359" s="9">
        <v>2</v>
      </c>
      <c r="J359" s="9">
        <v>2</v>
      </c>
      <c r="K359" s="160">
        <f t="shared" si="5"/>
        <v>0.35859414261160716</v>
      </c>
      <c r="L359" s="52" t="s">
        <v>120</v>
      </c>
    </row>
    <row r="360" spans="1:12">
      <c r="A360" s="152" t="s">
        <v>123</v>
      </c>
      <c r="B360" s="59">
        <v>2009</v>
      </c>
      <c r="C360" s="344" t="s">
        <v>98</v>
      </c>
      <c r="D360" s="59">
        <v>580</v>
      </c>
      <c r="E360" s="344" t="s">
        <v>135</v>
      </c>
      <c r="F360" s="29">
        <v>1</v>
      </c>
      <c r="G360" s="9">
        <v>1</v>
      </c>
      <c r="H360" s="9">
        <v>1</v>
      </c>
      <c r="I360" s="9">
        <v>2</v>
      </c>
      <c r="J360" s="9">
        <v>2</v>
      </c>
      <c r="K360" s="160">
        <f t="shared" si="5"/>
        <v>0.35859414261160716</v>
      </c>
      <c r="L360" s="52" t="s">
        <v>120</v>
      </c>
    </row>
    <row r="361" spans="1:12">
      <c r="A361" s="152" t="s">
        <v>123</v>
      </c>
      <c r="B361" s="59">
        <v>2009</v>
      </c>
      <c r="C361" s="344" t="s">
        <v>99</v>
      </c>
      <c r="D361" s="59">
        <v>1397</v>
      </c>
      <c r="E361" s="344" t="s">
        <v>135</v>
      </c>
      <c r="F361" s="29">
        <v>1</v>
      </c>
      <c r="G361" s="9">
        <v>1</v>
      </c>
      <c r="H361" s="9">
        <v>1</v>
      </c>
      <c r="I361" s="9">
        <v>2</v>
      </c>
      <c r="J361" s="9">
        <v>2</v>
      </c>
      <c r="K361" s="160">
        <f t="shared" si="5"/>
        <v>0.35859414261160716</v>
      </c>
      <c r="L361" s="52" t="s">
        <v>120</v>
      </c>
    </row>
    <row r="362" spans="1:12">
      <c r="A362" s="152" t="s">
        <v>123</v>
      </c>
      <c r="B362" s="59">
        <v>2009</v>
      </c>
      <c r="C362" s="344" t="s">
        <v>102</v>
      </c>
      <c r="D362" s="59">
        <v>238</v>
      </c>
      <c r="E362" s="344" t="s">
        <v>135</v>
      </c>
      <c r="F362" s="29">
        <v>1</v>
      </c>
      <c r="G362" s="9">
        <v>1</v>
      </c>
      <c r="H362" s="9">
        <v>1</v>
      </c>
      <c r="I362" s="9">
        <v>2</v>
      </c>
      <c r="J362" s="9">
        <v>2</v>
      </c>
      <c r="K362" s="160">
        <f t="shared" si="5"/>
        <v>0.35859414261160716</v>
      </c>
      <c r="L362" s="52" t="s">
        <v>120</v>
      </c>
    </row>
    <row r="363" spans="1:12">
      <c r="A363" s="152" t="s">
        <v>123</v>
      </c>
      <c r="B363" s="59">
        <v>2009</v>
      </c>
      <c r="C363" s="344" t="s">
        <v>104</v>
      </c>
      <c r="D363" s="59">
        <v>91</v>
      </c>
      <c r="E363" s="344" t="s">
        <v>135</v>
      </c>
      <c r="F363" s="29">
        <v>1</v>
      </c>
      <c r="G363" s="9">
        <v>1</v>
      </c>
      <c r="H363" s="9">
        <v>1</v>
      </c>
      <c r="I363" s="9">
        <v>2</v>
      </c>
      <c r="J363" s="9">
        <v>2</v>
      </c>
      <c r="K363" s="160">
        <f t="shared" si="5"/>
        <v>0.35859414261160716</v>
      </c>
      <c r="L363" s="52" t="s">
        <v>120</v>
      </c>
    </row>
    <row r="364" spans="1:12">
      <c r="A364" s="152" t="s">
        <v>123</v>
      </c>
      <c r="B364" s="59">
        <v>2009</v>
      </c>
      <c r="C364" s="344" t="s">
        <v>105</v>
      </c>
      <c r="D364" s="59">
        <v>464</v>
      </c>
      <c r="E364" s="344" t="s">
        <v>135</v>
      </c>
      <c r="F364" s="29">
        <v>1</v>
      </c>
      <c r="G364" s="9">
        <v>1</v>
      </c>
      <c r="H364" s="9">
        <v>1</v>
      </c>
      <c r="I364" s="9">
        <v>2</v>
      </c>
      <c r="J364" s="9">
        <v>2</v>
      </c>
      <c r="K364" s="160">
        <f t="shared" si="5"/>
        <v>0.35859414261160716</v>
      </c>
      <c r="L364" s="52" t="s">
        <v>120</v>
      </c>
    </row>
    <row r="365" spans="1:12">
      <c r="A365" s="152" t="s">
        <v>123</v>
      </c>
      <c r="B365" s="59">
        <v>2009</v>
      </c>
      <c r="C365" s="344" t="s">
        <v>103</v>
      </c>
      <c r="D365" s="59">
        <v>325</v>
      </c>
      <c r="E365" s="344" t="s">
        <v>135</v>
      </c>
      <c r="F365" s="29">
        <v>1</v>
      </c>
      <c r="G365" s="9">
        <v>1</v>
      </c>
      <c r="H365" s="9">
        <v>1</v>
      </c>
      <c r="I365" s="9">
        <v>2</v>
      </c>
      <c r="J365" s="9">
        <v>2</v>
      </c>
      <c r="K365" s="160">
        <f t="shared" si="5"/>
        <v>0.35859414261160716</v>
      </c>
      <c r="L365" s="52" t="s">
        <v>120</v>
      </c>
    </row>
    <row r="366" spans="1:12">
      <c r="A366" s="152" t="s">
        <v>123</v>
      </c>
      <c r="B366" s="59">
        <v>2009</v>
      </c>
      <c r="C366" s="344" t="s">
        <v>101</v>
      </c>
      <c r="D366" s="59">
        <v>82</v>
      </c>
      <c r="E366" s="344" t="s">
        <v>135</v>
      </c>
      <c r="F366" s="29">
        <v>1</v>
      </c>
      <c r="G366" s="9">
        <v>1</v>
      </c>
      <c r="H366" s="9">
        <v>1</v>
      </c>
      <c r="I366" s="9">
        <v>2</v>
      </c>
      <c r="J366" s="9">
        <v>2</v>
      </c>
      <c r="K366" s="160">
        <f t="shared" si="5"/>
        <v>0.35859414261160716</v>
      </c>
      <c r="L366" s="52" t="s">
        <v>120</v>
      </c>
    </row>
    <row r="367" spans="1:12">
      <c r="A367" s="152" t="s">
        <v>123</v>
      </c>
      <c r="B367" s="59">
        <v>2009</v>
      </c>
      <c r="C367" s="344" t="s">
        <v>106</v>
      </c>
      <c r="D367" s="59">
        <v>3768</v>
      </c>
      <c r="E367" s="344" t="s">
        <v>135</v>
      </c>
      <c r="F367" s="29">
        <v>1</v>
      </c>
      <c r="G367" s="9">
        <v>1</v>
      </c>
      <c r="H367" s="9">
        <v>1</v>
      </c>
      <c r="I367" s="9">
        <v>2</v>
      </c>
      <c r="J367" s="9">
        <v>2</v>
      </c>
      <c r="K367" s="160">
        <f t="shared" si="5"/>
        <v>0.35859414261160716</v>
      </c>
      <c r="L367" s="52" t="s">
        <v>120</v>
      </c>
    </row>
    <row r="368" spans="1:12">
      <c r="A368" s="152" t="s">
        <v>123</v>
      </c>
      <c r="B368" s="59">
        <v>2010</v>
      </c>
      <c r="C368" s="344" t="s">
        <v>93</v>
      </c>
      <c r="D368" s="59">
        <v>2773</v>
      </c>
      <c r="E368" s="344" t="s">
        <v>135</v>
      </c>
      <c r="F368" s="29">
        <v>1</v>
      </c>
      <c r="G368" s="9">
        <v>1</v>
      </c>
      <c r="H368" s="9">
        <v>1</v>
      </c>
      <c r="I368" s="9">
        <v>2</v>
      </c>
      <c r="J368" s="9">
        <v>2</v>
      </c>
      <c r="K368" s="160">
        <f t="shared" si="5"/>
        <v>0.35859414261160716</v>
      </c>
      <c r="L368" s="52" t="s">
        <v>120</v>
      </c>
    </row>
    <row r="369" spans="1:12">
      <c r="A369" s="152" t="s">
        <v>123</v>
      </c>
      <c r="B369" s="59">
        <v>2010</v>
      </c>
      <c r="C369" s="344" t="s">
        <v>94</v>
      </c>
      <c r="D369" s="59">
        <v>1804</v>
      </c>
      <c r="E369" s="344" t="s">
        <v>135</v>
      </c>
      <c r="F369" s="29">
        <v>1</v>
      </c>
      <c r="G369" s="9">
        <v>1</v>
      </c>
      <c r="H369" s="9">
        <v>1</v>
      </c>
      <c r="I369" s="9">
        <v>2</v>
      </c>
      <c r="J369" s="9">
        <v>2</v>
      </c>
      <c r="K369" s="160">
        <f t="shared" si="5"/>
        <v>0.35859414261160716</v>
      </c>
      <c r="L369" s="52" t="s">
        <v>120</v>
      </c>
    </row>
    <row r="370" spans="1:12">
      <c r="A370" s="152" t="s">
        <v>123</v>
      </c>
      <c r="B370" s="59">
        <v>2010</v>
      </c>
      <c r="C370" s="344" t="s">
        <v>95</v>
      </c>
      <c r="D370" s="59">
        <v>1342</v>
      </c>
      <c r="E370" s="344" t="s">
        <v>135</v>
      </c>
      <c r="F370" s="29">
        <v>1</v>
      </c>
      <c r="G370" s="9">
        <v>1</v>
      </c>
      <c r="H370" s="9">
        <v>1</v>
      </c>
      <c r="I370" s="9">
        <v>2</v>
      </c>
      <c r="J370" s="9">
        <v>2</v>
      </c>
      <c r="K370" s="160">
        <f t="shared" si="5"/>
        <v>0.35859414261160716</v>
      </c>
      <c r="L370" s="52" t="s">
        <v>120</v>
      </c>
    </row>
    <row r="371" spans="1:12">
      <c r="A371" s="152" t="s">
        <v>123</v>
      </c>
      <c r="B371" s="59">
        <v>2010</v>
      </c>
      <c r="C371" s="344" t="s">
        <v>96</v>
      </c>
      <c r="D371" s="59">
        <v>93</v>
      </c>
      <c r="E371" s="344" t="s">
        <v>135</v>
      </c>
      <c r="F371" s="29">
        <v>1</v>
      </c>
      <c r="G371" s="9">
        <v>1</v>
      </c>
      <c r="H371" s="9">
        <v>1</v>
      </c>
      <c r="I371" s="9">
        <v>2</v>
      </c>
      <c r="J371" s="9">
        <v>2</v>
      </c>
      <c r="K371" s="160">
        <f t="shared" si="5"/>
        <v>0.35859414261160716</v>
      </c>
      <c r="L371" s="52" t="s">
        <v>120</v>
      </c>
    </row>
    <row r="372" spans="1:12">
      <c r="A372" s="152" t="s">
        <v>123</v>
      </c>
      <c r="B372" s="59">
        <v>2010</v>
      </c>
      <c r="C372" s="344" t="s">
        <v>97</v>
      </c>
      <c r="D372" s="59">
        <v>112</v>
      </c>
      <c r="E372" s="344" t="s">
        <v>135</v>
      </c>
      <c r="F372" s="29">
        <v>1</v>
      </c>
      <c r="G372" s="9">
        <v>1</v>
      </c>
      <c r="H372" s="9">
        <v>1</v>
      </c>
      <c r="I372" s="9">
        <v>2</v>
      </c>
      <c r="J372" s="9">
        <v>2</v>
      </c>
      <c r="K372" s="160">
        <f t="shared" si="5"/>
        <v>0.35859414261160716</v>
      </c>
      <c r="L372" s="52" t="s">
        <v>120</v>
      </c>
    </row>
    <row r="373" spans="1:12">
      <c r="A373" s="152" t="s">
        <v>123</v>
      </c>
      <c r="B373" s="59">
        <v>2010</v>
      </c>
      <c r="C373" s="344" t="s">
        <v>98</v>
      </c>
      <c r="D373" s="59">
        <v>444</v>
      </c>
      <c r="E373" s="344" t="s">
        <v>135</v>
      </c>
      <c r="F373" s="29">
        <v>1</v>
      </c>
      <c r="G373" s="9">
        <v>1</v>
      </c>
      <c r="H373" s="9">
        <v>1</v>
      </c>
      <c r="I373" s="9">
        <v>2</v>
      </c>
      <c r="J373" s="9">
        <v>2</v>
      </c>
      <c r="K373" s="160">
        <f t="shared" si="5"/>
        <v>0.35859414261160716</v>
      </c>
      <c r="L373" s="52" t="s">
        <v>120</v>
      </c>
    </row>
    <row r="374" spans="1:12">
      <c r="A374" s="152" t="s">
        <v>123</v>
      </c>
      <c r="B374" s="59">
        <v>2010</v>
      </c>
      <c r="C374" s="344" t="s">
        <v>99</v>
      </c>
      <c r="D374" s="59">
        <v>1193</v>
      </c>
      <c r="E374" s="344" t="s">
        <v>135</v>
      </c>
      <c r="F374" s="29">
        <v>1</v>
      </c>
      <c r="G374" s="9">
        <v>1</v>
      </c>
      <c r="H374" s="9">
        <v>1</v>
      </c>
      <c r="I374" s="9">
        <v>2</v>
      </c>
      <c r="J374" s="9">
        <v>2</v>
      </c>
      <c r="K374" s="160">
        <f t="shared" si="5"/>
        <v>0.35859414261160716</v>
      </c>
      <c r="L374" s="52" t="s">
        <v>120</v>
      </c>
    </row>
    <row r="375" spans="1:12">
      <c r="A375" s="152" t="s">
        <v>123</v>
      </c>
      <c r="B375" s="59">
        <v>2010</v>
      </c>
      <c r="C375" s="344" t="s">
        <v>102</v>
      </c>
      <c r="D375" s="59">
        <v>182</v>
      </c>
      <c r="E375" s="344" t="s">
        <v>135</v>
      </c>
      <c r="F375" s="29">
        <v>1</v>
      </c>
      <c r="G375" s="9">
        <v>1</v>
      </c>
      <c r="H375" s="9">
        <v>1</v>
      </c>
      <c r="I375" s="9">
        <v>2</v>
      </c>
      <c r="J375" s="9">
        <v>2</v>
      </c>
      <c r="K375" s="160">
        <f t="shared" si="5"/>
        <v>0.35859414261160716</v>
      </c>
      <c r="L375" s="52" t="s">
        <v>120</v>
      </c>
    </row>
    <row r="376" spans="1:12">
      <c r="A376" s="152" t="s">
        <v>123</v>
      </c>
      <c r="B376" s="59">
        <v>2010</v>
      </c>
      <c r="C376" s="344" t="s">
        <v>104</v>
      </c>
      <c r="D376" s="59">
        <v>102</v>
      </c>
      <c r="E376" s="344" t="s">
        <v>135</v>
      </c>
      <c r="F376" s="29">
        <v>1</v>
      </c>
      <c r="G376" s="9">
        <v>1</v>
      </c>
      <c r="H376" s="9">
        <v>1</v>
      </c>
      <c r="I376" s="9">
        <v>2</v>
      </c>
      <c r="J376" s="9">
        <v>2</v>
      </c>
      <c r="K376" s="160">
        <f t="shared" si="5"/>
        <v>0.35859414261160716</v>
      </c>
      <c r="L376" s="52" t="s">
        <v>120</v>
      </c>
    </row>
    <row r="377" spans="1:12">
      <c r="A377" s="152" t="s">
        <v>123</v>
      </c>
      <c r="B377" s="59">
        <v>2010</v>
      </c>
      <c r="C377" s="344" t="s">
        <v>105</v>
      </c>
      <c r="D377" s="59">
        <v>525</v>
      </c>
      <c r="E377" s="344" t="s">
        <v>135</v>
      </c>
      <c r="F377" s="29">
        <v>1</v>
      </c>
      <c r="G377" s="9">
        <v>1</v>
      </c>
      <c r="H377" s="9">
        <v>1</v>
      </c>
      <c r="I377" s="9">
        <v>2</v>
      </c>
      <c r="J377" s="9">
        <v>2</v>
      </c>
      <c r="K377" s="160">
        <f t="shared" si="5"/>
        <v>0.35859414261160716</v>
      </c>
      <c r="L377" s="52" t="s">
        <v>120</v>
      </c>
    </row>
    <row r="378" spans="1:12">
      <c r="A378" s="152" t="s">
        <v>123</v>
      </c>
      <c r="B378" s="59">
        <v>2010</v>
      </c>
      <c r="C378" s="344" t="s">
        <v>103</v>
      </c>
      <c r="D378" s="59">
        <v>286</v>
      </c>
      <c r="E378" s="344" t="s">
        <v>135</v>
      </c>
      <c r="F378" s="29">
        <v>1</v>
      </c>
      <c r="G378" s="9">
        <v>1</v>
      </c>
      <c r="H378" s="9">
        <v>1</v>
      </c>
      <c r="I378" s="9">
        <v>2</v>
      </c>
      <c r="J378" s="9">
        <v>2</v>
      </c>
      <c r="K378" s="160">
        <f t="shared" si="5"/>
        <v>0.35859414261160716</v>
      </c>
      <c r="L378" s="52" t="s">
        <v>120</v>
      </c>
    </row>
    <row r="379" spans="1:12">
      <c r="A379" s="152" t="s">
        <v>123</v>
      </c>
      <c r="B379" s="59">
        <v>2010</v>
      </c>
      <c r="C379" s="344" t="s">
        <v>101</v>
      </c>
      <c r="D379" s="59">
        <v>77</v>
      </c>
      <c r="E379" s="344" t="s">
        <v>135</v>
      </c>
      <c r="F379" s="29">
        <v>1</v>
      </c>
      <c r="G379" s="9">
        <v>1</v>
      </c>
      <c r="H379" s="9">
        <v>1</v>
      </c>
      <c r="I379" s="9">
        <v>2</v>
      </c>
      <c r="J379" s="9">
        <v>2</v>
      </c>
      <c r="K379" s="160">
        <f t="shared" si="5"/>
        <v>0.35859414261160716</v>
      </c>
      <c r="L379" s="52" t="s">
        <v>120</v>
      </c>
    </row>
    <row r="380" spans="1:12">
      <c r="A380" s="152" t="s">
        <v>123</v>
      </c>
      <c r="B380" s="59">
        <v>2010</v>
      </c>
      <c r="C380" s="344" t="s">
        <v>106</v>
      </c>
      <c r="D380" s="59">
        <v>3675</v>
      </c>
      <c r="E380" s="344" t="s">
        <v>135</v>
      </c>
      <c r="F380" s="29">
        <v>1</v>
      </c>
      <c r="G380" s="9">
        <v>1</v>
      </c>
      <c r="H380" s="9">
        <v>1</v>
      </c>
      <c r="I380" s="9">
        <v>2</v>
      </c>
      <c r="J380" s="9">
        <v>2</v>
      </c>
      <c r="K380" s="160">
        <f t="shared" si="5"/>
        <v>0.35859414261160716</v>
      </c>
      <c r="L380" s="52" t="s">
        <v>120</v>
      </c>
    </row>
    <row r="381" spans="1:12">
      <c r="A381" s="152" t="s">
        <v>123</v>
      </c>
      <c r="B381" s="59">
        <v>2011</v>
      </c>
      <c r="C381" s="344" t="s">
        <v>93</v>
      </c>
      <c r="D381" s="59">
        <v>3130</v>
      </c>
      <c r="E381" s="344" t="s">
        <v>135</v>
      </c>
      <c r="F381" s="29">
        <v>1</v>
      </c>
      <c r="G381" s="9">
        <v>1</v>
      </c>
      <c r="H381" s="9">
        <v>1</v>
      </c>
      <c r="I381" s="9">
        <v>2</v>
      </c>
      <c r="J381" s="9">
        <v>2</v>
      </c>
      <c r="K381" s="160">
        <f t="shared" si="5"/>
        <v>0.35859414261160716</v>
      </c>
      <c r="L381" s="52" t="s">
        <v>120</v>
      </c>
    </row>
    <row r="382" spans="1:12">
      <c r="A382" s="152" t="s">
        <v>123</v>
      </c>
      <c r="B382" s="59">
        <v>2011</v>
      </c>
      <c r="C382" s="344" t="s">
        <v>94</v>
      </c>
      <c r="D382" s="59">
        <v>1771</v>
      </c>
      <c r="E382" s="344" t="s">
        <v>135</v>
      </c>
      <c r="F382" s="29">
        <v>1</v>
      </c>
      <c r="G382" s="9">
        <v>1</v>
      </c>
      <c r="H382" s="9">
        <v>1</v>
      </c>
      <c r="I382" s="9">
        <v>2</v>
      </c>
      <c r="J382" s="9">
        <v>2</v>
      </c>
      <c r="K382" s="160">
        <f t="shared" si="5"/>
        <v>0.35859414261160716</v>
      </c>
      <c r="L382" s="52" t="s">
        <v>120</v>
      </c>
    </row>
    <row r="383" spans="1:12">
      <c r="A383" s="152" t="s">
        <v>123</v>
      </c>
      <c r="B383" s="59">
        <v>2011</v>
      </c>
      <c r="C383" s="344" t="s">
        <v>95</v>
      </c>
      <c r="D383" s="59">
        <v>1720</v>
      </c>
      <c r="E383" s="344" t="s">
        <v>135</v>
      </c>
      <c r="F383" s="29">
        <v>1</v>
      </c>
      <c r="G383" s="9">
        <v>1</v>
      </c>
      <c r="H383" s="9">
        <v>1</v>
      </c>
      <c r="I383" s="9">
        <v>2</v>
      </c>
      <c r="J383" s="9">
        <v>2</v>
      </c>
      <c r="K383" s="160">
        <f t="shared" si="5"/>
        <v>0.35859414261160716</v>
      </c>
      <c r="L383" s="52" t="s">
        <v>120</v>
      </c>
    </row>
    <row r="384" spans="1:12">
      <c r="A384" s="152" t="s">
        <v>123</v>
      </c>
      <c r="B384" s="59">
        <v>2011</v>
      </c>
      <c r="C384" s="344" t="s">
        <v>96</v>
      </c>
      <c r="D384" s="59">
        <v>83</v>
      </c>
      <c r="E384" s="344" t="s">
        <v>135</v>
      </c>
      <c r="F384" s="29">
        <v>1</v>
      </c>
      <c r="G384" s="9">
        <v>1</v>
      </c>
      <c r="H384" s="9">
        <v>1</v>
      </c>
      <c r="I384" s="9">
        <v>2</v>
      </c>
      <c r="J384" s="9">
        <v>2</v>
      </c>
      <c r="K384" s="160">
        <f t="shared" si="5"/>
        <v>0.35859414261160716</v>
      </c>
      <c r="L384" s="52" t="s">
        <v>120</v>
      </c>
    </row>
    <row r="385" spans="1:12">
      <c r="A385" s="152" t="s">
        <v>123</v>
      </c>
      <c r="B385" s="59">
        <v>2011</v>
      </c>
      <c r="C385" s="344" t="s">
        <v>97</v>
      </c>
      <c r="D385" s="59">
        <v>173</v>
      </c>
      <c r="E385" s="344" t="s">
        <v>135</v>
      </c>
      <c r="F385" s="29">
        <v>1</v>
      </c>
      <c r="G385" s="9">
        <v>1</v>
      </c>
      <c r="H385" s="9">
        <v>1</v>
      </c>
      <c r="I385" s="9">
        <v>2</v>
      </c>
      <c r="J385" s="9">
        <v>2</v>
      </c>
      <c r="K385" s="160">
        <f t="shared" si="5"/>
        <v>0.35859414261160716</v>
      </c>
      <c r="L385" s="52" t="s">
        <v>120</v>
      </c>
    </row>
    <row r="386" spans="1:12">
      <c r="A386" s="152" t="s">
        <v>123</v>
      </c>
      <c r="B386" s="59">
        <v>2011</v>
      </c>
      <c r="C386" s="344" t="s">
        <v>98</v>
      </c>
      <c r="D386" s="59">
        <v>599</v>
      </c>
      <c r="E386" s="344" t="s">
        <v>135</v>
      </c>
      <c r="F386" s="29">
        <v>1</v>
      </c>
      <c r="G386" s="9">
        <v>1</v>
      </c>
      <c r="H386" s="9">
        <v>1</v>
      </c>
      <c r="I386" s="9">
        <v>2</v>
      </c>
      <c r="J386" s="9">
        <v>2</v>
      </c>
      <c r="K386" s="160">
        <f t="shared" ref="K386:K449" si="6">IF( OR( ISBLANK(F386),ISBLANK(G386), ISBLANK(H386), ISBLANK(I386), ISBLANK(J386) ), "", 1.5*SQRT(   EXP(2.21*(F386-1)) + EXP(2.21*(G386-1)) + EXP(2.21*(H386-1)) + EXP(2.21*(I386-1)) + EXP(2.21*J386)   )/100*2.45 )</f>
        <v>0.35859414261160716</v>
      </c>
      <c r="L386" s="52" t="s">
        <v>120</v>
      </c>
    </row>
    <row r="387" spans="1:12">
      <c r="A387" s="152" t="s">
        <v>123</v>
      </c>
      <c r="B387" s="59">
        <v>2011</v>
      </c>
      <c r="C387" s="344" t="s">
        <v>99</v>
      </c>
      <c r="D387" s="59">
        <v>1095</v>
      </c>
      <c r="E387" s="344" t="s">
        <v>135</v>
      </c>
      <c r="F387" s="29">
        <v>1</v>
      </c>
      <c r="G387" s="9">
        <v>1</v>
      </c>
      <c r="H387" s="9">
        <v>1</v>
      </c>
      <c r="I387" s="9">
        <v>2</v>
      </c>
      <c r="J387" s="9">
        <v>2</v>
      </c>
      <c r="K387" s="160">
        <f t="shared" si="6"/>
        <v>0.35859414261160716</v>
      </c>
      <c r="L387" s="52" t="s">
        <v>120</v>
      </c>
    </row>
    <row r="388" spans="1:12">
      <c r="A388" s="152" t="s">
        <v>123</v>
      </c>
      <c r="B388" s="59">
        <v>2011</v>
      </c>
      <c r="C388" s="344" t="s">
        <v>102</v>
      </c>
      <c r="D388" s="59">
        <v>225</v>
      </c>
      <c r="E388" s="344" t="s">
        <v>135</v>
      </c>
      <c r="F388" s="29">
        <v>1</v>
      </c>
      <c r="G388" s="9">
        <v>1</v>
      </c>
      <c r="H388" s="9">
        <v>1</v>
      </c>
      <c r="I388" s="9">
        <v>2</v>
      </c>
      <c r="J388" s="9">
        <v>2</v>
      </c>
      <c r="K388" s="160">
        <f t="shared" si="6"/>
        <v>0.35859414261160716</v>
      </c>
      <c r="L388" s="52" t="s">
        <v>120</v>
      </c>
    </row>
    <row r="389" spans="1:12">
      <c r="A389" s="152" t="s">
        <v>123</v>
      </c>
      <c r="B389" s="59">
        <v>2011</v>
      </c>
      <c r="C389" s="344" t="s">
        <v>104</v>
      </c>
      <c r="D389" s="59">
        <v>142</v>
      </c>
      <c r="E389" s="344" t="s">
        <v>135</v>
      </c>
      <c r="F389" s="29">
        <v>1</v>
      </c>
      <c r="G389" s="9">
        <v>1</v>
      </c>
      <c r="H389" s="9">
        <v>1</v>
      </c>
      <c r="I389" s="9">
        <v>2</v>
      </c>
      <c r="J389" s="9">
        <v>2</v>
      </c>
      <c r="K389" s="160">
        <f t="shared" si="6"/>
        <v>0.35859414261160716</v>
      </c>
      <c r="L389" s="52" t="s">
        <v>120</v>
      </c>
    </row>
    <row r="390" spans="1:12">
      <c r="A390" s="152" t="s">
        <v>123</v>
      </c>
      <c r="B390" s="59">
        <v>2011</v>
      </c>
      <c r="C390" s="344" t="s">
        <v>105</v>
      </c>
      <c r="D390" s="59">
        <v>545</v>
      </c>
      <c r="E390" s="344" t="s">
        <v>135</v>
      </c>
      <c r="F390" s="29">
        <v>1</v>
      </c>
      <c r="G390" s="9">
        <v>1</v>
      </c>
      <c r="H390" s="9">
        <v>1</v>
      </c>
      <c r="I390" s="9">
        <v>2</v>
      </c>
      <c r="J390" s="9">
        <v>2</v>
      </c>
      <c r="K390" s="160">
        <f t="shared" si="6"/>
        <v>0.35859414261160716</v>
      </c>
      <c r="L390" s="52" t="s">
        <v>120</v>
      </c>
    </row>
    <row r="391" spans="1:12">
      <c r="A391" s="152" t="s">
        <v>123</v>
      </c>
      <c r="B391" s="59">
        <v>2011</v>
      </c>
      <c r="C391" s="344" t="s">
        <v>103</v>
      </c>
      <c r="D391" s="59">
        <v>339</v>
      </c>
      <c r="E391" s="344" t="s">
        <v>135</v>
      </c>
      <c r="F391" s="29">
        <v>1</v>
      </c>
      <c r="G391" s="9">
        <v>1</v>
      </c>
      <c r="H391" s="9">
        <v>1</v>
      </c>
      <c r="I391" s="9">
        <v>2</v>
      </c>
      <c r="J391" s="9">
        <v>2</v>
      </c>
      <c r="K391" s="160">
        <f t="shared" si="6"/>
        <v>0.35859414261160716</v>
      </c>
      <c r="L391" s="52" t="s">
        <v>120</v>
      </c>
    </row>
    <row r="392" spans="1:12">
      <c r="A392" s="152" t="s">
        <v>123</v>
      </c>
      <c r="B392" s="59">
        <v>2011</v>
      </c>
      <c r="C392" s="344" t="s">
        <v>101</v>
      </c>
      <c r="D392" s="59">
        <v>82</v>
      </c>
      <c r="E392" s="344" t="s">
        <v>135</v>
      </c>
      <c r="F392" s="29">
        <v>1</v>
      </c>
      <c r="G392" s="9">
        <v>1</v>
      </c>
      <c r="H392" s="9">
        <v>1</v>
      </c>
      <c r="I392" s="9">
        <v>2</v>
      </c>
      <c r="J392" s="9">
        <v>2</v>
      </c>
      <c r="K392" s="160">
        <f t="shared" si="6"/>
        <v>0.35859414261160716</v>
      </c>
      <c r="L392" s="52" t="s">
        <v>120</v>
      </c>
    </row>
    <row r="393" spans="1:12">
      <c r="A393" s="152" t="s">
        <v>123</v>
      </c>
      <c r="B393" s="59">
        <v>2011</v>
      </c>
      <c r="C393" s="344" t="s">
        <v>106</v>
      </c>
      <c r="D393" s="59">
        <v>3989</v>
      </c>
      <c r="E393" s="344" t="s">
        <v>135</v>
      </c>
      <c r="F393" s="29">
        <v>1</v>
      </c>
      <c r="G393" s="9">
        <v>1</v>
      </c>
      <c r="H393" s="9">
        <v>1</v>
      </c>
      <c r="I393" s="9">
        <v>2</v>
      </c>
      <c r="J393" s="9">
        <v>2</v>
      </c>
      <c r="K393" s="160">
        <f t="shared" si="6"/>
        <v>0.35859414261160716</v>
      </c>
      <c r="L393" s="52" t="s">
        <v>120</v>
      </c>
    </row>
    <row r="394" spans="1:12">
      <c r="A394" s="152" t="s">
        <v>123</v>
      </c>
      <c r="B394" s="59">
        <v>2012</v>
      </c>
      <c r="C394" s="344" t="s">
        <v>93</v>
      </c>
      <c r="D394" s="59">
        <v>2747</v>
      </c>
      <c r="E394" s="344" t="s">
        <v>135</v>
      </c>
      <c r="F394" s="29">
        <v>1</v>
      </c>
      <c r="G394" s="9">
        <v>1</v>
      </c>
      <c r="H394" s="9">
        <v>1</v>
      </c>
      <c r="I394" s="9">
        <v>2</v>
      </c>
      <c r="J394" s="9">
        <v>2</v>
      </c>
      <c r="K394" s="160">
        <f t="shared" si="6"/>
        <v>0.35859414261160716</v>
      </c>
      <c r="L394" s="52" t="s">
        <v>120</v>
      </c>
    </row>
    <row r="395" spans="1:12">
      <c r="A395" s="152" t="s">
        <v>123</v>
      </c>
      <c r="B395" s="59">
        <v>2012</v>
      </c>
      <c r="C395" s="344" t="s">
        <v>94</v>
      </c>
      <c r="D395" s="59">
        <v>918</v>
      </c>
      <c r="E395" s="344" t="s">
        <v>135</v>
      </c>
      <c r="F395" s="29">
        <v>1</v>
      </c>
      <c r="G395" s="9">
        <v>1</v>
      </c>
      <c r="H395" s="9">
        <v>1</v>
      </c>
      <c r="I395" s="9">
        <v>2</v>
      </c>
      <c r="J395" s="9">
        <v>2</v>
      </c>
      <c r="K395" s="160">
        <f t="shared" si="6"/>
        <v>0.35859414261160716</v>
      </c>
      <c r="L395" s="52" t="s">
        <v>120</v>
      </c>
    </row>
    <row r="396" spans="1:12">
      <c r="A396" s="152" t="s">
        <v>123</v>
      </c>
      <c r="B396" s="59">
        <v>2012</v>
      </c>
      <c r="C396" s="344" t="s">
        <v>95</v>
      </c>
      <c r="D396" s="59">
        <v>571</v>
      </c>
      <c r="E396" s="344" t="s">
        <v>135</v>
      </c>
      <c r="F396" s="29">
        <v>1</v>
      </c>
      <c r="G396" s="9">
        <v>1</v>
      </c>
      <c r="H396" s="9">
        <v>1</v>
      </c>
      <c r="I396" s="9">
        <v>2</v>
      </c>
      <c r="J396" s="9">
        <v>2</v>
      </c>
      <c r="K396" s="160">
        <f t="shared" si="6"/>
        <v>0.35859414261160716</v>
      </c>
      <c r="L396" s="52" t="s">
        <v>120</v>
      </c>
    </row>
    <row r="397" spans="1:12">
      <c r="A397" s="152" t="s">
        <v>123</v>
      </c>
      <c r="B397" s="59">
        <v>2012</v>
      </c>
      <c r="C397" s="344" t="s">
        <v>96</v>
      </c>
      <c r="D397" s="59">
        <v>128</v>
      </c>
      <c r="E397" s="344" t="s">
        <v>135</v>
      </c>
      <c r="F397" s="29">
        <v>1</v>
      </c>
      <c r="G397" s="9">
        <v>1</v>
      </c>
      <c r="H397" s="9">
        <v>1</v>
      </c>
      <c r="I397" s="9">
        <v>2</v>
      </c>
      <c r="J397" s="9">
        <v>2</v>
      </c>
      <c r="K397" s="160">
        <f t="shared" si="6"/>
        <v>0.35859414261160716</v>
      </c>
      <c r="L397" s="52" t="s">
        <v>120</v>
      </c>
    </row>
    <row r="398" spans="1:12">
      <c r="A398" s="152" t="s">
        <v>123</v>
      </c>
      <c r="B398" s="59">
        <v>2012</v>
      </c>
      <c r="C398" s="344" t="s">
        <v>97</v>
      </c>
      <c r="D398" s="59">
        <v>95</v>
      </c>
      <c r="E398" s="344" t="s">
        <v>135</v>
      </c>
      <c r="F398" s="29">
        <v>1</v>
      </c>
      <c r="G398" s="9">
        <v>1</v>
      </c>
      <c r="H398" s="9">
        <v>1</v>
      </c>
      <c r="I398" s="9">
        <v>2</v>
      </c>
      <c r="J398" s="9">
        <v>2</v>
      </c>
      <c r="K398" s="160">
        <f t="shared" si="6"/>
        <v>0.35859414261160716</v>
      </c>
      <c r="L398" s="52" t="s">
        <v>120</v>
      </c>
    </row>
    <row r="399" spans="1:12">
      <c r="A399" s="152" t="s">
        <v>123</v>
      </c>
      <c r="B399" s="59">
        <v>2012</v>
      </c>
      <c r="C399" s="344" t="s">
        <v>98</v>
      </c>
      <c r="D399" s="59">
        <v>408</v>
      </c>
      <c r="E399" s="344" t="s">
        <v>135</v>
      </c>
      <c r="F399" s="29">
        <v>1</v>
      </c>
      <c r="G399" s="9">
        <v>1</v>
      </c>
      <c r="H399" s="9">
        <v>1</v>
      </c>
      <c r="I399" s="9">
        <v>2</v>
      </c>
      <c r="J399" s="9">
        <v>2</v>
      </c>
      <c r="K399" s="160">
        <f t="shared" si="6"/>
        <v>0.35859414261160716</v>
      </c>
      <c r="L399" s="52" t="s">
        <v>120</v>
      </c>
    </row>
    <row r="400" spans="1:12">
      <c r="A400" s="152" t="s">
        <v>123</v>
      </c>
      <c r="B400" s="59">
        <v>2012</v>
      </c>
      <c r="C400" s="344" t="s">
        <v>99</v>
      </c>
      <c r="D400" s="59">
        <v>879</v>
      </c>
      <c r="E400" s="344" t="s">
        <v>135</v>
      </c>
      <c r="F400" s="29">
        <v>1</v>
      </c>
      <c r="G400" s="9">
        <v>1</v>
      </c>
      <c r="H400" s="9">
        <v>1</v>
      </c>
      <c r="I400" s="9">
        <v>2</v>
      </c>
      <c r="J400" s="9">
        <v>2</v>
      </c>
      <c r="K400" s="160">
        <f t="shared" si="6"/>
        <v>0.35859414261160716</v>
      </c>
      <c r="L400" s="52" t="s">
        <v>120</v>
      </c>
    </row>
    <row r="401" spans="1:12">
      <c r="A401" s="152" t="s">
        <v>123</v>
      </c>
      <c r="B401" s="59">
        <v>2012</v>
      </c>
      <c r="C401" s="344" t="s">
        <v>102</v>
      </c>
      <c r="D401" s="59">
        <v>237</v>
      </c>
      <c r="E401" s="344" t="s">
        <v>135</v>
      </c>
      <c r="F401" s="29">
        <v>1</v>
      </c>
      <c r="G401" s="9">
        <v>1</v>
      </c>
      <c r="H401" s="9">
        <v>1</v>
      </c>
      <c r="I401" s="9">
        <v>2</v>
      </c>
      <c r="J401" s="9">
        <v>2</v>
      </c>
      <c r="K401" s="160">
        <f t="shared" si="6"/>
        <v>0.35859414261160716</v>
      </c>
      <c r="L401" s="52" t="s">
        <v>120</v>
      </c>
    </row>
    <row r="402" spans="1:12">
      <c r="A402" s="152" t="s">
        <v>123</v>
      </c>
      <c r="B402" s="59">
        <v>2012</v>
      </c>
      <c r="C402" s="344" t="s">
        <v>104</v>
      </c>
      <c r="D402" s="59">
        <v>109</v>
      </c>
      <c r="E402" s="344" t="s">
        <v>135</v>
      </c>
      <c r="F402" s="29">
        <v>1</v>
      </c>
      <c r="G402" s="9">
        <v>1</v>
      </c>
      <c r="H402" s="9">
        <v>1</v>
      </c>
      <c r="I402" s="9">
        <v>2</v>
      </c>
      <c r="J402" s="9">
        <v>2</v>
      </c>
      <c r="K402" s="160">
        <f t="shared" si="6"/>
        <v>0.35859414261160716</v>
      </c>
      <c r="L402" s="52" t="s">
        <v>120</v>
      </c>
    </row>
    <row r="403" spans="1:12">
      <c r="A403" s="152" t="s">
        <v>123</v>
      </c>
      <c r="B403" s="59">
        <v>2012</v>
      </c>
      <c r="C403" s="344" t="s">
        <v>105</v>
      </c>
      <c r="D403" s="59">
        <v>348</v>
      </c>
      <c r="E403" s="344" t="s">
        <v>135</v>
      </c>
      <c r="F403" s="29">
        <v>1</v>
      </c>
      <c r="G403" s="9">
        <v>1</v>
      </c>
      <c r="H403" s="9">
        <v>1</v>
      </c>
      <c r="I403" s="9">
        <v>2</v>
      </c>
      <c r="J403" s="9">
        <v>2</v>
      </c>
      <c r="K403" s="160">
        <f t="shared" si="6"/>
        <v>0.35859414261160716</v>
      </c>
      <c r="L403" s="52" t="s">
        <v>120</v>
      </c>
    </row>
    <row r="404" spans="1:12">
      <c r="A404" s="152" t="s">
        <v>123</v>
      </c>
      <c r="B404" s="59">
        <v>2012</v>
      </c>
      <c r="C404" s="344" t="s">
        <v>103</v>
      </c>
      <c r="D404" s="59">
        <v>311</v>
      </c>
      <c r="E404" s="344" t="s">
        <v>135</v>
      </c>
      <c r="F404" s="29">
        <v>1</v>
      </c>
      <c r="G404" s="9">
        <v>1</v>
      </c>
      <c r="H404" s="9">
        <v>1</v>
      </c>
      <c r="I404" s="9">
        <v>2</v>
      </c>
      <c r="J404" s="9">
        <v>2</v>
      </c>
      <c r="K404" s="160">
        <f t="shared" si="6"/>
        <v>0.35859414261160716</v>
      </c>
      <c r="L404" s="52" t="s">
        <v>120</v>
      </c>
    </row>
    <row r="405" spans="1:12">
      <c r="A405" s="152" t="s">
        <v>123</v>
      </c>
      <c r="B405" s="59">
        <v>2012</v>
      </c>
      <c r="C405" s="344" t="s">
        <v>101</v>
      </c>
      <c r="D405" s="59">
        <v>80</v>
      </c>
      <c r="E405" s="344" t="s">
        <v>135</v>
      </c>
      <c r="F405" s="29">
        <v>1</v>
      </c>
      <c r="G405" s="9">
        <v>1</v>
      </c>
      <c r="H405" s="9">
        <v>1</v>
      </c>
      <c r="I405" s="9">
        <v>2</v>
      </c>
      <c r="J405" s="9">
        <v>2</v>
      </c>
      <c r="K405" s="160">
        <f t="shared" si="6"/>
        <v>0.35859414261160716</v>
      </c>
      <c r="L405" s="52" t="s">
        <v>120</v>
      </c>
    </row>
    <row r="406" spans="1:12">
      <c r="A406" s="152" t="s">
        <v>123</v>
      </c>
      <c r="B406" s="59">
        <v>2012</v>
      </c>
      <c r="C406" s="344" t="s">
        <v>106</v>
      </c>
      <c r="D406" s="59">
        <v>1624</v>
      </c>
      <c r="E406" s="344" t="s">
        <v>135</v>
      </c>
      <c r="F406" s="29">
        <v>1</v>
      </c>
      <c r="G406" s="9">
        <v>1</v>
      </c>
      <c r="H406" s="9">
        <v>1</v>
      </c>
      <c r="I406" s="9">
        <v>2</v>
      </c>
      <c r="J406" s="9">
        <v>2</v>
      </c>
      <c r="K406" s="160">
        <f t="shared" si="6"/>
        <v>0.35859414261160716</v>
      </c>
      <c r="L406" s="52" t="s">
        <v>120</v>
      </c>
    </row>
    <row r="407" spans="1:12">
      <c r="A407" s="152" t="s">
        <v>123</v>
      </c>
      <c r="B407" s="59">
        <v>2013</v>
      </c>
      <c r="C407" s="344" t="s">
        <v>93</v>
      </c>
      <c r="D407" s="59">
        <v>2361</v>
      </c>
      <c r="E407" s="344" t="s">
        <v>135</v>
      </c>
      <c r="F407" s="29">
        <v>1</v>
      </c>
      <c r="G407" s="9">
        <v>1</v>
      </c>
      <c r="H407" s="9">
        <v>1</v>
      </c>
      <c r="I407" s="9">
        <v>2</v>
      </c>
      <c r="J407" s="9">
        <v>2</v>
      </c>
      <c r="K407" s="160">
        <f t="shared" si="6"/>
        <v>0.35859414261160716</v>
      </c>
      <c r="L407" s="52" t="s">
        <v>120</v>
      </c>
    </row>
    <row r="408" spans="1:12">
      <c r="A408" s="152" t="s">
        <v>123</v>
      </c>
      <c r="B408" s="59">
        <v>2013</v>
      </c>
      <c r="C408" s="344" t="s">
        <v>94</v>
      </c>
      <c r="D408" s="59">
        <v>998</v>
      </c>
      <c r="E408" s="344" t="s">
        <v>135</v>
      </c>
      <c r="F408" s="29">
        <v>1</v>
      </c>
      <c r="G408" s="9">
        <v>1</v>
      </c>
      <c r="H408" s="9">
        <v>1</v>
      </c>
      <c r="I408" s="9">
        <v>2</v>
      </c>
      <c r="J408" s="9">
        <v>2</v>
      </c>
      <c r="K408" s="160">
        <f t="shared" si="6"/>
        <v>0.35859414261160716</v>
      </c>
      <c r="L408" s="52" t="s">
        <v>120</v>
      </c>
    </row>
    <row r="409" spans="1:12">
      <c r="A409" s="152" t="s">
        <v>123</v>
      </c>
      <c r="B409" s="59">
        <v>2013</v>
      </c>
      <c r="C409" s="344" t="s">
        <v>95</v>
      </c>
      <c r="D409" s="59">
        <v>487</v>
      </c>
      <c r="E409" s="344" t="s">
        <v>135</v>
      </c>
      <c r="F409" s="29">
        <v>1</v>
      </c>
      <c r="G409" s="9">
        <v>1</v>
      </c>
      <c r="H409" s="9">
        <v>1</v>
      </c>
      <c r="I409" s="9">
        <v>2</v>
      </c>
      <c r="J409" s="9">
        <v>2</v>
      </c>
      <c r="K409" s="160">
        <f t="shared" si="6"/>
        <v>0.35859414261160716</v>
      </c>
      <c r="L409" s="52" t="s">
        <v>120</v>
      </c>
    </row>
    <row r="410" spans="1:12">
      <c r="A410" s="152" t="s">
        <v>123</v>
      </c>
      <c r="B410" s="59">
        <v>2013</v>
      </c>
      <c r="C410" s="344" t="s">
        <v>96</v>
      </c>
      <c r="D410" s="59">
        <v>97</v>
      </c>
      <c r="E410" s="344" t="s">
        <v>135</v>
      </c>
      <c r="F410" s="29">
        <v>1</v>
      </c>
      <c r="G410" s="9">
        <v>1</v>
      </c>
      <c r="H410" s="9">
        <v>1</v>
      </c>
      <c r="I410" s="9">
        <v>2</v>
      </c>
      <c r="J410" s="9">
        <v>2</v>
      </c>
      <c r="K410" s="160">
        <f t="shared" si="6"/>
        <v>0.35859414261160716</v>
      </c>
      <c r="L410" s="52" t="s">
        <v>120</v>
      </c>
    </row>
    <row r="411" spans="1:12">
      <c r="A411" s="152" t="s">
        <v>123</v>
      </c>
      <c r="B411" s="59">
        <v>2013</v>
      </c>
      <c r="C411" s="344" t="s">
        <v>97</v>
      </c>
      <c r="D411" s="59">
        <v>71</v>
      </c>
      <c r="E411" s="344" t="s">
        <v>135</v>
      </c>
      <c r="F411" s="29">
        <v>1</v>
      </c>
      <c r="G411" s="9">
        <v>1</v>
      </c>
      <c r="H411" s="9">
        <v>1</v>
      </c>
      <c r="I411" s="9">
        <v>2</v>
      </c>
      <c r="J411" s="9">
        <v>2</v>
      </c>
      <c r="K411" s="160">
        <f t="shared" si="6"/>
        <v>0.35859414261160716</v>
      </c>
      <c r="L411" s="52" t="s">
        <v>120</v>
      </c>
    </row>
    <row r="412" spans="1:12">
      <c r="A412" s="152" t="s">
        <v>123</v>
      </c>
      <c r="B412" s="59">
        <v>2013</v>
      </c>
      <c r="C412" s="344" t="s">
        <v>98</v>
      </c>
      <c r="D412" s="59">
        <v>392</v>
      </c>
      <c r="E412" s="344" t="s">
        <v>135</v>
      </c>
      <c r="F412" s="29">
        <v>1</v>
      </c>
      <c r="G412" s="9">
        <v>1</v>
      </c>
      <c r="H412" s="9">
        <v>1</v>
      </c>
      <c r="I412" s="9">
        <v>2</v>
      </c>
      <c r="J412" s="9">
        <v>2</v>
      </c>
      <c r="K412" s="160">
        <f t="shared" si="6"/>
        <v>0.35859414261160716</v>
      </c>
      <c r="L412" s="52" t="s">
        <v>120</v>
      </c>
    </row>
    <row r="413" spans="1:12">
      <c r="A413" s="152" t="s">
        <v>123</v>
      </c>
      <c r="B413" s="59">
        <v>2013</v>
      </c>
      <c r="C413" s="344" t="s">
        <v>99</v>
      </c>
      <c r="D413" s="59">
        <v>1106</v>
      </c>
      <c r="E413" s="344" t="s">
        <v>135</v>
      </c>
      <c r="F413" s="29">
        <v>1</v>
      </c>
      <c r="G413" s="9">
        <v>1</v>
      </c>
      <c r="H413" s="9">
        <v>1</v>
      </c>
      <c r="I413" s="9">
        <v>2</v>
      </c>
      <c r="J413" s="9">
        <v>2</v>
      </c>
      <c r="K413" s="160">
        <f t="shared" si="6"/>
        <v>0.35859414261160716</v>
      </c>
      <c r="L413" s="52" t="s">
        <v>120</v>
      </c>
    </row>
    <row r="414" spans="1:12">
      <c r="A414" s="152" t="s">
        <v>123</v>
      </c>
      <c r="B414" s="59">
        <v>2013</v>
      </c>
      <c r="C414" s="344" t="s">
        <v>102</v>
      </c>
      <c r="D414" s="59">
        <v>172</v>
      </c>
      <c r="E414" s="344" t="s">
        <v>135</v>
      </c>
      <c r="F414" s="29">
        <v>1</v>
      </c>
      <c r="G414" s="9">
        <v>1</v>
      </c>
      <c r="H414" s="9">
        <v>1</v>
      </c>
      <c r="I414" s="9">
        <v>2</v>
      </c>
      <c r="J414" s="9">
        <v>2</v>
      </c>
      <c r="K414" s="160">
        <f t="shared" si="6"/>
        <v>0.35859414261160716</v>
      </c>
      <c r="L414" s="52" t="s">
        <v>120</v>
      </c>
    </row>
    <row r="415" spans="1:12">
      <c r="A415" s="152" t="s">
        <v>123</v>
      </c>
      <c r="B415" s="59">
        <v>2013</v>
      </c>
      <c r="C415" s="344" t="s">
        <v>104</v>
      </c>
      <c r="D415" s="59">
        <v>65</v>
      </c>
      <c r="E415" s="344" t="s">
        <v>135</v>
      </c>
      <c r="F415" s="29">
        <v>1</v>
      </c>
      <c r="G415" s="9">
        <v>1</v>
      </c>
      <c r="H415" s="9">
        <v>1</v>
      </c>
      <c r="I415" s="9">
        <v>2</v>
      </c>
      <c r="J415" s="9">
        <v>2</v>
      </c>
      <c r="K415" s="160">
        <f t="shared" si="6"/>
        <v>0.35859414261160716</v>
      </c>
      <c r="L415" s="52" t="s">
        <v>120</v>
      </c>
    </row>
    <row r="416" spans="1:12">
      <c r="A416" s="152" t="s">
        <v>123</v>
      </c>
      <c r="B416" s="59">
        <v>2013</v>
      </c>
      <c r="C416" s="344" t="s">
        <v>105</v>
      </c>
      <c r="D416" s="59">
        <v>285</v>
      </c>
      <c r="E416" s="344" t="s">
        <v>135</v>
      </c>
      <c r="F416" s="29">
        <v>1</v>
      </c>
      <c r="G416" s="9">
        <v>1</v>
      </c>
      <c r="H416" s="9">
        <v>1</v>
      </c>
      <c r="I416" s="9">
        <v>2</v>
      </c>
      <c r="J416" s="9">
        <v>2</v>
      </c>
      <c r="K416" s="160">
        <f t="shared" si="6"/>
        <v>0.35859414261160716</v>
      </c>
      <c r="L416" s="52" t="s">
        <v>120</v>
      </c>
    </row>
    <row r="417" spans="1:12">
      <c r="A417" s="152" t="s">
        <v>123</v>
      </c>
      <c r="B417" s="59">
        <v>2013</v>
      </c>
      <c r="C417" s="344" t="s">
        <v>103</v>
      </c>
      <c r="D417" s="59">
        <v>169</v>
      </c>
      <c r="E417" s="344" t="s">
        <v>135</v>
      </c>
      <c r="F417" s="29">
        <v>1</v>
      </c>
      <c r="G417" s="9">
        <v>1</v>
      </c>
      <c r="H417" s="9">
        <v>1</v>
      </c>
      <c r="I417" s="9">
        <v>2</v>
      </c>
      <c r="J417" s="9">
        <v>2</v>
      </c>
      <c r="K417" s="160">
        <f t="shared" si="6"/>
        <v>0.35859414261160716</v>
      </c>
      <c r="L417" s="52" t="s">
        <v>120</v>
      </c>
    </row>
    <row r="418" spans="1:12">
      <c r="A418" s="152" t="s">
        <v>123</v>
      </c>
      <c r="B418" s="59">
        <v>2013</v>
      </c>
      <c r="C418" s="344" t="s">
        <v>101</v>
      </c>
      <c r="D418" s="59">
        <v>61</v>
      </c>
      <c r="E418" s="344" t="s">
        <v>135</v>
      </c>
      <c r="F418" s="29">
        <v>1</v>
      </c>
      <c r="G418" s="9">
        <v>1</v>
      </c>
      <c r="H418" s="9">
        <v>1</v>
      </c>
      <c r="I418" s="9">
        <v>2</v>
      </c>
      <c r="J418" s="9">
        <v>2</v>
      </c>
      <c r="K418" s="160">
        <f t="shared" si="6"/>
        <v>0.35859414261160716</v>
      </c>
      <c r="L418" s="52" t="s">
        <v>120</v>
      </c>
    </row>
    <row r="419" spans="1:12">
      <c r="A419" s="152" t="s">
        <v>123</v>
      </c>
      <c r="B419" s="59">
        <v>2013</v>
      </c>
      <c r="C419" s="344" t="s">
        <v>106</v>
      </c>
      <c r="D419" s="59">
        <v>1270</v>
      </c>
      <c r="E419" s="344" t="s">
        <v>135</v>
      </c>
      <c r="F419" s="29">
        <v>1</v>
      </c>
      <c r="G419" s="9">
        <v>1</v>
      </c>
      <c r="H419" s="9">
        <v>1</v>
      </c>
      <c r="I419" s="9">
        <v>2</v>
      </c>
      <c r="J419" s="9">
        <v>2</v>
      </c>
      <c r="K419" s="160">
        <f t="shared" si="6"/>
        <v>0.35859414261160716</v>
      </c>
      <c r="L419" s="52" t="s">
        <v>120</v>
      </c>
    </row>
    <row r="420" spans="1:12">
      <c r="A420" s="152" t="s">
        <v>123</v>
      </c>
      <c r="B420" s="59">
        <v>2014</v>
      </c>
      <c r="C420" s="344" t="s">
        <v>93</v>
      </c>
      <c r="D420" s="59">
        <v>3216</v>
      </c>
      <c r="E420" s="344" t="s">
        <v>135</v>
      </c>
      <c r="F420" s="29">
        <v>1</v>
      </c>
      <c r="G420" s="9">
        <v>1</v>
      </c>
      <c r="H420" s="9">
        <v>1</v>
      </c>
      <c r="I420" s="9">
        <v>2</v>
      </c>
      <c r="J420" s="9">
        <v>2</v>
      </c>
      <c r="K420" s="160">
        <f t="shared" si="6"/>
        <v>0.35859414261160716</v>
      </c>
      <c r="L420" s="52" t="s">
        <v>120</v>
      </c>
    </row>
    <row r="421" spans="1:12">
      <c r="A421" s="152" t="s">
        <v>123</v>
      </c>
      <c r="B421" s="59">
        <v>2014</v>
      </c>
      <c r="C421" s="344" t="s">
        <v>94</v>
      </c>
      <c r="D421" s="59">
        <v>1112</v>
      </c>
      <c r="E421" s="344" t="s">
        <v>135</v>
      </c>
      <c r="F421" s="29">
        <v>1</v>
      </c>
      <c r="G421" s="9">
        <v>1</v>
      </c>
      <c r="H421" s="9">
        <v>1</v>
      </c>
      <c r="I421" s="9">
        <v>2</v>
      </c>
      <c r="J421" s="9">
        <v>2</v>
      </c>
      <c r="K421" s="160">
        <f t="shared" si="6"/>
        <v>0.35859414261160716</v>
      </c>
      <c r="L421" s="52" t="s">
        <v>120</v>
      </c>
    </row>
    <row r="422" spans="1:12">
      <c r="A422" s="152" t="s">
        <v>123</v>
      </c>
      <c r="B422" s="59">
        <v>2014</v>
      </c>
      <c r="C422" s="344" t="s">
        <v>95</v>
      </c>
      <c r="D422" s="59">
        <v>718</v>
      </c>
      <c r="E422" s="344" t="s">
        <v>135</v>
      </c>
      <c r="F422" s="29">
        <v>1</v>
      </c>
      <c r="G422" s="9">
        <v>1</v>
      </c>
      <c r="H422" s="9">
        <v>1</v>
      </c>
      <c r="I422" s="9">
        <v>2</v>
      </c>
      <c r="J422" s="9">
        <v>2</v>
      </c>
      <c r="K422" s="160">
        <f t="shared" si="6"/>
        <v>0.35859414261160716</v>
      </c>
      <c r="L422" s="52" t="s">
        <v>120</v>
      </c>
    </row>
    <row r="423" spans="1:12">
      <c r="A423" s="152" t="s">
        <v>123</v>
      </c>
      <c r="B423" s="59">
        <v>2014</v>
      </c>
      <c r="C423" s="344" t="s">
        <v>96</v>
      </c>
      <c r="D423" s="59">
        <v>68</v>
      </c>
      <c r="E423" s="344" t="s">
        <v>135</v>
      </c>
      <c r="F423" s="29">
        <v>1</v>
      </c>
      <c r="G423" s="9">
        <v>1</v>
      </c>
      <c r="H423" s="9">
        <v>1</v>
      </c>
      <c r="I423" s="9">
        <v>2</v>
      </c>
      <c r="J423" s="9">
        <v>2</v>
      </c>
      <c r="K423" s="160">
        <f t="shared" si="6"/>
        <v>0.35859414261160716</v>
      </c>
      <c r="L423" s="52" t="s">
        <v>120</v>
      </c>
    </row>
    <row r="424" spans="1:12">
      <c r="A424" s="152" t="s">
        <v>123</v>
      </c>
      <c r="B424" s="59">
        <v>2014</v>
      </c>
      <c r="C424" s="344" t="s">
        <v>97</v>
      </c>
      <c r="D424" s="59">
        <v>58</v>
      </c>
      <c r="E424" s="344" t="s">
        <v>135</v>
      </c>
      <c r="F424" s="29">
        <v>1</v>
      </c>
      <c r="G424" s="9">
        <v>1</v>
      </c>
      <c r="H424" s="9">
        <v>1</v>
      </c>
      <c r="I424" s="9">
        <v>2</v>
      </c>
      <c r="J424" s="9">
        <v>2</v>
      </c>
      <c r="K424" s="160">
        <f t="shared" si="6"/>
        <v>0.35859414261160716</v>
      </c>
      <c r="L424" s="52" t="s">
        <v>120</v>
      </c>
    </row>
    <row r="425" spans="1:12">
      <c r="A425" s="152" t="s">
        <v>123</v>
      </c>
      <c r="B425" s="59">
        <v>2014</v>
      </c>
      <c r="C425" s="344" t="s">
        <v>98</v>
      </c>
      <c r="D425" s="59">
        <v>378</v>
      </c>
      <c r="E425" s="344" t="s">
        <v>135</v>
      </c>
      <c r="F425" s="29">
        <v>1</v>
      </c>
      <c r="G425" s="9">
        <v>1</v>
      </c>
      <c r="H425" s="9">
        <v>1</v>
      </c>
      <c r="I425" s="9">
        <v>2</v>
      </c>
      <c r="J425" s="9">
        <v>2</v>
      </c>
      <c r="K425" s="160">
        <f t="shared" si="6"/>
        <v>0.35859414261160716</v>
      </c>
      <c r="L425" s="52" t="s">
        <v>120</v>
      </c>
    </row>
    <row r="426" spans="1:12">
      <c r="A426" s="152" t="s">
        <v>123</v>
      </c>
      <c r="B426" s="59">
        <v>2014</v>
      </c>
      <c r="C426" s="344" t="s">
        <v>99</v>
      </c>
      <c r="D426" s="59">
        <v>960</v>
      </c>
      <c r="E426" s="344" t="s">
        <v>135</v>
      </c>
      <c r="F426" s="29">
        <v>1</v>
      </c>
      <c r="G426" s="9">
        <v>1</v>
      </c>
      <c r="H426" s="9">
        <v>1</v>
      </c>
      <c r="I426" s="9">
        <v>2</v>
      </c>
      <c r="J426" s="9">
        <v>2</v>
      </c>
      <c r="K426" s="160">
        <f t="shared" si="6"/>
        <v>0.35859414261160716</v>
      </c>
      <c r="L426" s="52" t="s">
        <v>120</v>
      </c>
    </row>
    <row r="427" spans="1:12">
      <c r="A427" s="152" t="s">
        <v>123</v>
      </c>
      <c r="B427" s="59">
        <v>2014</v>
      </c>
      <c r="C427" s="344" t="s">
        <v>102</v>
      </c>
      <c r="D427" s="59">
        <v>179</v>
      </c>
      <c r="E427" s="344" t="s">
        <v>135</v>
      </c>
      <c r="F427" s="29">
        <v>1</v>
      </c>
      <c r="G427" s="9">
        <v>1</v>
      </c>
      <c r="H427" s="9">
        <v>1</v>
      </c>
      <c r="I427" s="9">
        <v>2</v>
      </c>
      <c r="J427" s="9">
        <v>2</v>
      </c>
      <c r="K427" s="160">
        <f t="shared" si="6"/>
        <v>0.35859414261160716</v>
      </c>
      <c r="L427" s="52" t="s">
        <v>120</v>
      </c>
    </row>
    <row r="428" spans="1:12">
      <c r="A428" s="152" t="s">
        <v>123</v>
      </c>
      <c r="B428" s="59">
        <v>2014</v>
      </c>
      <c r="C428" s="344" t="s">
        <v>104</v>
      </c>
      <c r="D428" s="59">
        <v>95</v>
      </c>
      <c r="E428" s="344" t="s">
        <v>135</v>
      </c>
      <c r="F428" s="29">
        <v>1</v>
      </c>
      <c r="G428" s="9">
        <v>1</v>
      </c>
      <c r="H428" s="9">
        <v>1</v>
      </c>
      <c r="I428" s="9">
        <v>2</v>
      </c>
      <c r="J428" s="9">
        <v>2</v>
      </c>
      <c r="K428" s="160">
        <f t="shared" si="6"/>
        <v>0.35859414261160716</v>
      </c>
      <c r="L428" s="52" t="s">
        <v>120</v>
      </c>
    </row>
    <row r="429" spans="1:12">
      <c r="A429" s="152" t="s">
        <v>123</v>
      </c>
      <c r="B429" s="59">
        <v>2014</v>
      </c>
      <c r="C429" s="344" t="s">
        <v>105</v>
      </c>
      <c r="D429" s="59">
        <v>329</v>
      </c>
      <c r="E429" s="344" t="s">
        <v>135</v>
      </c>
      <c r="F429" s="29">
        <v>1</v>
      </c>
      <c r="G429" s="9">
        <v>1</v>
      </c>
      <c r="H429" s="9">
        <v>1</v>
      </c>
      <c r="I429" s="9">
        <v>2</v>
      </c>
      <c r="J429" s="9">
        <v>2</v>
      </c>
      <c r="K429" s="160">
        <f t="shared" si="6"/>
        <v>0.35859414261160716</v>
      </c>
      <c r="L429" s="52" t="s">
        <v>120</v>
      </c>
    </row>
    <row r="430" spans="1:12">
      <c r="A430" s="152" t="s">
        <v>123</v>
      </c>
      <c r="B430" s="59">
        <v>2014</v>
      </c>
      <c r="C430" s="344" t="s">
        <v>103</v>
      </c>
      <c r="D430" s="59">
        <v>214</v>
      </c>
      <c r="E430" s="344" t="s">
        <v>135</v>
      </c>
      <c r="F430" s="29">
        <v>1</v>
      </c>
      <c r="G430" s="9">
        <v>1</v>
      </c>
      <c r="H430" s="9">
        <v>1</v>
      </c>
      <c r="I430" s="9">
        <v>2</v>
      </c>
      <c r="J430" s="9">
        <v>2</v>
      </c>
      <c r="K430" s="160">
        <f t="shared" si="6"/>
        <v>0.35859414261160716</v>
      </c>
      <c r="L430" s="52" t="s">
        <v>120</v>
      </c>
    </row>
    <row r="431" spans="1:12">
      <c r="A431" s="152" t="s">
        <v>123</v>
      </c>
      <c r="B431" s="59">
        <v>2014</v>
      </c>
      <c r="C431" s="344" t="s">
        <v>101</v>
      </c>
      <c r="D431" s="59">
        <v>66</v>
      </c>
      <c r="E431" s="344" t="s">
        <v>135</v>
      </c>
      <c r="F431" s="29">
        <v>1</v>
      </c>
      <c r="G431" s="9">
        <v>1</v>
      </c>
      <c r="H431" s="9">
        <v>1</v>
      </c>
      <c r="I431" s="9">
        <v>2</v>
      </c>
      <c r="J431" s="9">
        <v>2</v>
      </c>
      <c r="K431" s="160">
        <f t="shared" si="6"/>
        <v>0.35859414261160716</v>
      </c>
      <c r="L431" s="52" t="s">
        <v>120</v>
      </c>
    </row>
    <row r="432" spans="1:12">
      <c r="A432" s="152" t="s">
        <v>123</v>
      </c>
      <c r="B432" s="59">
        <v>2014</v>
      </c>
      <c r="C432" s="344" t="s">
        <v>106</v>
      </c>
      <c r="D432" s="59">
        <v>1633</v>
      </c>
      <c r="E432" s="344" t="s">
        <v>135</v>
      </c>
      <c r="F432" s="29">
        <v>1</v>
      </c>
      <c r="G432" s="9">
        <v>1</v>
      </c>
      <c r="H432" s="9">
        <v>1</v>
      </c>
      <c r="I432" s="9">
        <v>2</v>
      </c>
      <c r="J432" s="9">
        <v>2</v>
      </c>
      <c r="K432" s="160">
        <f t="shared" si="6"/>
        <v>0.35859414261160716</v>
      </c>
      <c r="L432" s="52" t="s">
        <v>120</v>
      </c>
    </row>
    <row r="433" spans="1:12">
      <c r="A433" s="152" t="s">
        <v>123</v>
      </c>
      <c r="B433" s="59">
        <v>2015</v>
      </c>
      <c r="C433" s="344" t="s">
        <v>93</v>
      </c>
      <c r="D433" s="59">
        <v>3427</v>
      </c>
      <c r="E433" s="344" t="s">
        <v>135</v>
      </c>
      <c r="F433" s="29">
        <v>1</v>
      </c>
      <c r="G433" s="9">
        <v>1</v>
      </c>
      <c r="H433" s="9">
        <v>1</v>
      </c>
      <c r="I433" s="9">
        <v>2</v>
      </c>
      <c r="J433" s="9">
        <v>2</v>
      </c>
      <c r="K433" s="160">
        <f t="shared" si="6"/>
        <v>0.35859414261160716</v>
      </c>
      <c r="L433" s="52" t="s">
        <v>120</v>
      </c>
    </row>
    <row r="434" spans="1:12">
      <c r="A434" s="152" t="s">
        <v>123</v>
      </c>
      <c r="B434" s="59">
        <v>2015</v>
      </c>
      <c r="C434" s="344" t="s">
        <v>94</v>
      </c>
      <c r="D434" s="59">
        <v>1146</v>
      </c>
      <c r="E434" s="344" t="s">
        <v>135</v>
      </c>
      <c r="F434" s="29">
        <v>1</v>
      </c>
      <c r="G434" s="9">
        <v>1</v>
      </c>
      <c r="H434" s="9">
        <v>1</v>
      </c>
      <c r="I434" s="9">
        <v>2</v>
      </c>
      <c r="J434" s="9">
        <v>2</v>
      </c>
      <c r="K434" s="160">
        <f t="shared" si="6"/>
        <v>0.35859414261160716</v>
      </c>
      <c r="L434" s="52" t="s">
        <v>120</v>
      </c>
    </row>
    <row r="435" spans="1:12">
      <c r="A435" s="152" t="s">
        <v>123</v>
      </c>
      <c r="B435" s="59">
        <v>2015</v>
      </c>
      <c r="C435" s="344" t="s">
        <v>95</v>
      </c>
      <c r="D435" s="59">
        <v>886</v>
      </c>
      <c r="E435" s="344" t="s">
        <v>135</v>
      </c>
      <c r="F435" s="29">
        <v>1</v>
      </c>
      <c r="G435" s="9">
        <v>1</v>
      </c>
      <c r="H435" s="9">
        <v>1</v>
      </c>
      <c r="I435" s="9">
        <v>2</v>
      </c>
      <c r="J435" s="9">
        <v>2</v>
      </c>
      <c r="K435" s="160">
        <f t="shared" si="6"/>
        <v>0.35859414261160716</v>
      </c>
      <c r="L435" s="52" t="s">
        <v>120</v>
      </c>
    </row>
    <row r="436" spans="1:12">
      <c r="A436" s="152" t="s">
        <v>123</v>
      </c>
      <c r="B436" s="59">
        <v>2015</v>
      </c>
      <c r="C436" s="344" t="s">
        <v>96</v>
      </c>
      <c r="D436" s="59">
        <v>93</v>
      </c>
      <c r="E436" s="344" t="s">
        <v>135</v>
      </c>
      <c r="F436" s="29">
        <v>1</v>
      </c>
      <c r="G436" s="9">
        <v>1</v>
      </c>
      <c r="H436" s="9">
        <v>1</v>
      </c>
      <c r="I436" s="9">
        <v>2</v>
      </c>
      <c r="J436" s="9">
        <v>2</v>
      </c>
      <c r="K436" s="160">
        <f t="shared" si="6"/>
        <v>0.35859414261160716</v>
      </c>
      <c r="L436" s="52" t="s">
        <v>120</v>
      </c>
    </row>
    <row r="437" spans="1:12">
      <c r="A437" s="152" t="s">
        <v>123</v>
      </c>
      <c r="B437" s="59">
        <v>2015</v>
      </c>
      <c r="C437" s="344" t="s">
        <v>97</v>
      </c>
      <c r="D437" s="59">
        <v>72</v>
      </c>
      <c r="E437" s="344" t="s">
        <v>135</v>
      </c>
      <c r="F437" s="29">
        <v>1</v>
      </c>
      <c r="G437" s="9">
        <v>1</v>
      </c>
      <c r="H437" s="9">
        <v>1</v>
      </c>
      <c r="I437" s="9">
        <v>2</v>
      </c>
      <c r="J437" s="9">
        <v>2</v>
      </c>
      <c r="K437" s="160">
        <f t="shared" si="6"/>
        <v>0.35859414261160716</v>
      </c>
      <c r="L437" s="52" t="s">
        <v>120</v>
      </c>
    </row>
    <row r="438" spans="1:12">
      <c r="A438" s="152" t="s">
        <v>123</v>
      </c>
      <c r="B438" s="59">
        <v>2015</v>
      </c>
      <c r="C438" s="344" t="s">
        <v>98</v>
      </c>
      <c r="D438" s="59">
        <v>388</v>
      </c>
      <c r="E438" s="344" t="s">
        <v>135</v>
      </c>
      <c r="F438" s="29">
        <v>1</v>
      </c>
      <c r="G438" s="9">
        <v>1</v>
      </c>
      <c r="H438" s="9">
        <v>1</v>
      </c>
      <c r="I438" s="9">
        <v>2</v>
      </c>
      <c r="J438" s="9">
        <v>2</v>
      </c>
      <c r="K438" s="160">
        <f t="shared" si="6"/>
        <v>0.35859414261160716</v>
      </c>
      <c r="L438" s="52" t="s">
        <v>120</v>
      </c>
    </row>
    <row r="439" spans="1:12">
      <c r="A439" s="152" t="s">
        <v>123</v>
      </c>
      <c r="B439" s="59">
        <v>2015</v>
      </c>
      <c r="C439" s="344" t="s">
        <v>99</v>
      </c>
      <c r="D439" s="59">
        <v>871</v>
      </c>
      <c r="E439" s="344" t="s">
        <v>135</v>
      </c>
      <c r="F439" s="29">
        <v>1</v>
      </c>
      <c r="G439" s="9">
        <v>1</v>
      </c>
      <c r="H439" s="9">
        <v>1</v>
      </c>
      <c r="I439" s="9">
        <v>2</v>
      </c>
      <c r="J439" s="9">
        <v>2</v>
      </c>
      <c r="K439" s="160">
        <f t="shared" si="6"/>
        <v>0.35859414261160716</v>
      </c>
      <c r="L439" s="52" t="s">
        <v>120</v>
      </c>
    </row>
    <row r="440" spans="1:12">
      <c r="A440" s="152" t="s">
        <v>123</v>
      </c>
      <c r="B440" s="59">
        <v>2015</v>
      </c>
      <c r="C440" s="344" t="s">
        <v>102</v>
      </c>
      <c r="D440" s="59">
        <v>163</v>
      </c>
      <c r="E440" s="344" t="s">
        <v>135</v>
      </c>
      <c r="F440" s="29">
        <v>1</v>
      </c>
      <c r="G440" s="9">
        <v>1</v>
      </c>
      <c r="H440" s="9">
        <v>1</v>
      </c>
      <c r="I440" s="9">
        <v>2</v>
      </c>
      <c r="J440" s="9">
        <v>2</v>
      </c>
      <c r="K440" s="160">
        <f t="shared" si="6"/>
        <v>0.35859414261160716</v>
      </c>
      <c r="L440" s="52" t="s">
        <v>120</v>
      </c>
    </row>
    <row r="441" spans="1:12">
      <c r="A441" s="152" t="s">
        <v>123</v>
      </c>
      <c r="B441" s="59">
        <v>2015</v>
      </c>
      <c r="C441" s="344" t="s">
        <v>104</v>
      </c>
      <c r="D441" s="59">
        <v>82</v>
      </c>
      <c r="E441" s="344" t="s">
        <v>135</v>
      </c>
      <c r="F441" s="29">
        <v>1</v>
      </c>
      <c r="G441" s="9">
        <v>1</v>
      </c>
      <c r="H441" s="9">
        <v>1</v>
      </c>
      <c r="I441" s="9">
        <v>2</v>
      </c>
      <c r="J441" s="9">
        <v>2</v>
      </c>
      <c r="K441" s="160">
        <f t="shared" si="6"/>
        <v>0.35859414261160716</v>
      </c>
      <c r="L441" s="52" t="s">
        <v>120</v>
      </c>
    </row>
    <row r="442" spans="1:12">
      <c r="A442" s="152" t="s">
        <v>123</v>
      </c>
      <c r="B442" s="59">
        <v>2015</v>
      </c>
      <c r="C442" s="344" t="s">
        <v>105</v>
      </c>
      <c r="D442" s="59">
        <v>324</v>
      </c>
      <c r="E442" s="344" t="s">
        <v>135</v>
      </c>
      <c r="F442" s="29">
        <v>1</v>
      </c>
      <c r="G442" s="9">
        <v>1</v>
      </c>
      <c r="H442" s="9">
        <v>1</v>
      </c>
      <c r="I442" s="9">
        <v>2</v>
      </c>
      <c r="J442" s="9">
        <v>2</v>
      </c>
      <c r="K442" s="160">
        <f t="shared" si="6"/>
        <v>0.35859414261160716</v>
      </c>
      <c r="L442" s="52" t="s">
        <v>120</v>
      </c>
    </row>
    <row r="443" spans="1:12">
      <c r="A443" s="152" t="s">
        <v>123</v>
      </c>
      <c r="B443" s="59">
        <v>2015</v>
      </c>
      <c r="C443" s="344" t="s">
        <v>103</v>
      </c>
      <c r="D443" s="59">
        <v>236</v>
      </c>
      <c r="E443" s="344" t="s">
        <v>135</v>
      </c>
      <c r="F443" s="29">
        <v>1</v>
      </c>
      <c r="G443" s="9">
        <v>1</v>
      </c>
      <c r="H443" s="9">
        <v>1</v>
      </c>
      <c r="I443" s="9">
        <v>2</v>
      </c>
      <c r="J443" s="9">
        <v>2</v>
      </c>
      <c r="K443" s="160">
        <f t="shared" si="6"/>
        <v>0.35859414261160716</v>
      </c>
      <c r="L443" s="52" t="s">
        <v>120</v>
      </c>
    </row>
    <row r="444" spans="1:12">
      <c r="A444" s="152" t="s">
        <v>123</v>
      </c>
      <c r="B444" s="59">
        <v>2015</v>
      </c>
      <c r="C444" s="344" t="s">
        <v>101</v>
      </c>
      <c r="D444" s="59">
        <v>64</v>
      </c>
      <c r="E444" s="344" t="s">
        <v>135</v>
      </c>
      <c r="F444" s="29">
        <v>1</v>
      </c>
      <c r="G444" s="9">
        <v>1</v>
      </c>
      <c r="H444" s="9">
        <v>1</v>
      </c>
      <c r="I444" s="9">
        <v>2</v>
      </c>
      <c r="J444" s="9">
        <v>2</v>
      </c>
      <c r="K444" s="160">
        <f t="shared" si="6"/>
        <v>0.35859414261160716</v>
      </c>
      <c r="L444" s="52" t="s">
        <v>120</v>
      </c>
    </row>
    <row r="445" spans="1:12">
      <c r="A445" s="152" t="s">
        <v>123</v>
      </c>
      <c r="B445" s="59">
        <v>2015</v>
      </c>
      <c r="C445" s="344" t="s">
        <v>106</v>
      </c>
      <c r="D445" s="59">
        <v>1809</v>
      </c>
      <c r="E445" s="344" t="s">
        <v>135</v>
      </c>
      <c r="F445" s="29">
        <v>1</v>
      </c>
      <c r="G445" s="9">
        <v>1</v>
      </c>
      <c r="H445" s="9">
        <v>1</v>
      </c>
      <c r="I445" s="9">
        <v>2</v>
      </c>
      <c r="J445" s="9">
        <v>2</v>
      </c>
      <c r="K445" s="160">
        <f t="shared" si="6"/>
        <v>0.35859414261160716</v>
      </c>
      <c r="L445" s="52" t="s">
        <v>120</v>
      </c>
    </row>
    <row r="446" spans="1:12">
      <c r="A446" s="152" t="s">
        <v>123</v>
      </c>
      <c r="B446" s="59">
        <v>2016</v>
      </c>
      <c r="C446" s="344" t="s">
        <v>93</v>
      </c>
      <c r="D446" s="59">
        <v>3642</v>
      </c>
      <c r="E446" s="344" t="s">
        <v>135</v>
      </c>
      <c r="F446" s="29">
        <v>1</v>
      </c>
      <c r="G446" s="9">
        <v>1</v>
      </c>
      <c r="H446" s="9">
        <v>1</v>
      </c>
      <c r="I446" s="9">
        <v>2</v>
      </c>
      <c r="J446" s="9">
        <v>2</v>
      </c>
      <c r="K446" s="160">
        <f t="shared" si="6"/>
        <v>0.35859414261160716</v>
      </c>
      <c r="L446" s="52" t="s">
        <v>120</v>
      </c>
    </row>
    <row r="447" spans="1:12">
      <c r="A447" s="152" t="s">
        <v>123</v>
      </c>
      <c r="B447" s="59">
        <v>2016</v>
      </c>
      <c r="C447" s="344" t="s">
        <v>94</v>
      </c>
      <c r="D447" s="59">
        <v>1070</v>
      </c>
      <c r="E447" s="344" t="s">
        <v>135</v>
      </c>
      <c r="F447" s="29">
        <v>1</v>
      </c>
      <c r="G447" s="9">
        <v>1</v>
      </c>
      <c r="H447" s="9">
        <v>1</v>
      </c>
      <c r="I447" s="9">
        <v>2</v>
      </c>
      <c r="J447" s="9">
        <v>2</v>
      </c>
      <c r="K447" s="160">
        <f t="shared" si="6"/>
        <v>0.35859414261160716</v>
      </c>
      <c r="L447" s="52" t="s">
        <v>120</v>
      </c>
    </row>
    <row r="448" spans="1:12">
      <c r="A448" s="152" t="s">
        <v>123</v>
      </c>
      <c r="B448" s="59">
        <v>2016</v>
      </c>
      <c r="C448" s="344" t="s">
        <v>95</v>
      </c>
      <c r="D448" s="59">
        <v>968</v>
      </c>
      <c r="E448" s="344" t="s">
        <v>135</v>
      </c>
      <c r="F448" s="29">
        <v>1</v>
      </c>
      <c r="G448" s="9">
        <v>1</v>
      </c>
      <c r="H448" s="9">
        <v>1</v>
      </c>
      <c r="I448" s="9">
        <v>2</v>
      </c>
      <c r="J448" s="9">
        <v>2</v>
      </c>
      <c r="K448" s="160">
        <f t="shared" si="6"/>
        <v>0.35859414261160716</v>
      </c>
      <c r="L448" s="52" t="s">
        <v>120</v>
      </c>
    </row>
    <row r="449" spans="1:12">
      <c r="A449" s="152" t="s">
        <v>123</v>
      </c>
      <c r="B449" s="59">
        <v>2016</v>
      </c>
      <c r="C449" s="344" t="s">
        <v>96</v>
      </c>
      <c r="D449" s="59">
        <v>63</v>
      </c>
      <c r="E449" s="344" t="s">
        <v>135</v>
      </c>
      <c r="F449" s="29">
        <v>1</v>
      </c>
      <c r="G449" s="9">
        <v>1</v>
      </c>
      <c r="H449" s="9">
        <v>1</v>
      </c>
      <c r="I449" s="9">
        <v>2</v>
      </c>
      <c r="J449" s="9">
        <v>2</v>
      </c>
      <c r="K449" s="160">
        <f t="shared" si="6"/>
        <v>0.35859414261160716</v>
      </c>
      <c r="L449" s="52" t="s">
        <v>120</v>
      </c>
    </row>
    <row r="450" spans="1:12">
      <c r="A450" s="152" t="s">
        <v>123</v>
      </c>
      <c r="B450" s="59">
        <v>2016</v>
      </c>
      <c r="C450" s="344" t="s">
        <v>97</v>
      </c>
      <c r="D450" s="59">
        <v>69</v>
      </c>
      <c r="E450" s="344" t="s">
        <v>135</v>
      </c>
      <c r="F450" s="29">
        <v>1</v>
      </c>
      <c r="G450" s="9">
        <v>1</v>
      </c>
      <c r="H450" s="9">
        <v>1</v>
      </c>
      <c r="I450" s="9">
        <v>2</v>
      </c>
      <c r="J450" s="9">
        <v>2</v>
      </c>
      <c r="K450" s="160">
        <f t="shared" ref="K450:K513" si="7">IF( OR( ISBLANK(F450),ISBLANK(G450), ISBLANK(H450), ISBLANK(I450), ISBLANK(J450) ), "", 1.5*SQRT(   EXP(2.21*(F450-1)) + EXP(2.21*(G450-1)) + EXP(2.21*(H450-1)) + EXP(2.21*(I450-1)) + EXP(2.21*J450)   )/100*2.45 )</f>
        <v>0.35859414261160716</v>
      </c>
      <c r="L450" s="52" t="s">
        <v>120</v>
      </c>
    </row>
    <row r="451" spans="1:12">
      <c r="A451" s="152" t="s">
        <v>123</v>
      </c>
      <c r="B451" s="59">
        <v>2016</v>
      </c>
      <c r="C451" s="344" t="s">
        <v>98</v>
      </c>
      <c r="D451" s="59">
        <v>316</v>
      </c>
      <c r="E451" s="344" t="s">
        <v>135</v>
      </c>
      <c r="F451" s="29">
        <v>1</v>
      </c>
      <c r="G451" s="9">
        <v>1</v>
      </c>
      <c r="H451" s="9">
        <v>1</v>
      </c>
      <c r="I451" s="9">
        <v>2</v>
      </c>
      <c r="J451" s="9">
        <v>2</v>
      </c>
      <c r="K451" s="160">
        <f t="shared" si="7"/>
        <v>0.35859414261160716</v>
      </c>
      <c r="L451" s="52" t="s">
        <v>120</v>
      </c>
    </row>
    <row r="452" spans="1:12">
      <c r="A452" s="152" t="s">
        <v>123</v>
      </c>
      <c r="B452" s="59">
        <v>2016</v>
      </c>
      <c r="C452" s="344" t="s">
        <v>99</v>
      </c>
      <c r="D452" s="59">
        <v>706</v>
      </c>
      <c r="E452" s="344" t="s">
        <v>135</v>
      </c>
      <c r="F452" s="29">
        <v>1</v>
      </c>
      <c r="G452" s="9">
        <v>1</v>
      </c>
      <c r="H452" s="9">
        <v>1</v>
      </c>
      <c r="I452" s="9">
        <v>2</v>
      </c>
      <c r="J452" s="9">
        <v>2</v>
      </c>
      <c r="K452" s="160">
        <f t="shared" si="7"/>
        <v>0.35859414261160716</v>
      </c>
      <c r="L452" s="52" t="s">
        <v>120</v>
      </c>
    </row>
    <row r="453" spans="1:12">
      <c r="A453" s="152" t="s">
        <v>123</v>
      </c>
      <c r="B453" s="59">
        <v>2016</v>
      </c>
      <c r="C453" s="344" t="s">
        <v>102</v>
      </c>
      <c r="D453" s="59">
        <v>158</v>
      </c>
      <c r="E453" s="344" t="s">
        <v>135</v>
      </c>
      <c r="F453" s="29">
        <v>1</v>
      </c>
      <c r="G453" s="9">
        <v>1</v>
      </c>
      <c r="H453" s="9">
        <v>1</v>
      </c>
      <c r="I453" s="9">
        <v>2</v>
      </c>
      <c r="J453" s="9">
        <v>2</v>
      </c>
      <c r="K453" s="160">
        <f t="shared" si="7"/>
        <v>0.35859414261160716</v>
      </c>
      <c r="L453" s="52" t="s">
        <v>120</v>
      </c>
    </row>
    <row r="454" spans="1:12">
      <c r="A454" s="152" t="s">
        <v>123</v>
      </c>
      <c r="B454" s="59">
        <v>2016</v>
      </c>
      <c r="C454" s="344" t="s">
        <v>104</v>
      </c>
      <c r="D454" s="59">
        <v>101</v>
      </c>
      <c r="E454" s="344" t="s">
        <v>135</v>
      </c>
      <c r="F454" s="29">
        <v>1</v>
      </c>
      <c r="G454" s="9">
        <v>1</v>
      </c>
      <c r="H454" s="9">
        <v>1</v>
      </c>
      <c r="I454" s="9">
        <v>2</v>
      </c>
      <c r="J454" s="9">
        <v>2</v>
      </c>
      <c r="K454" s="160">
        <f t="shared" si="7"/>
        <v>0.35859414261160716</v>
      </c>
      <c r="L454" s="52" t="s">
        <v>120</v>
      </c>
    </row>
    <row r="455" spans="1:12">
      <c r="A455" s="152" t="s">
        <v>123</v>
      </c>
      <c r="B455" s="59">
        <v>2016</v>
      </c>
      <c r="C455" s="344" t="s">
        <v>105</v>
      </c>
      <c r="D455" s="59">
        <v>309</v>
      </c>
      <c r="E455" s="344" t="s">
        <v>135</v>
      </c>
      <c r="F455" s="29">
        <v>1</v>
      </c>
      <c r="G455" s="9">
        <v>1</v>
      </c>
      <c r="H455" s="9">
        <v>1</v>
      </c>
      <c r="I455" s="9">
        <v>2</v>
      </c>
      <c r="J455" s="9">
        <v>2</v>
      </c>
      <c r="K455" s="160">
        <f t="shared" si="7"/>
        <v>0.35859414261160716</v>
      </c>
      <c r="L455" s="52" t="s">
        <v>120</v>
      </c>
    </row>
    <row r="456" spans="1:12">
      <c r="A456" s="152" t="s">
        <v>123</v>
      </c>
      <c r="B456" s="59">
        <v>2016</v>
      </c>
      <c r="C456" s="344" t="s">
        <v>103</v>
      </c>
      <c r="D456" s="59">
        <v>249</v>
      </c>
      <c r="E456" s="344" t="s">
        <v>135</v>
      </c>
      <c r="F456" s="29">
        <v>1</v>
      </c>
      <c r="G456" s="9">
        <v>1</v>
      </c>
      <c r="H456" s="9">
        <v>1</v>
      </c>
      <c r="I456" s="9">
        <v>2</v>
      </c>
      <c r="J456" s="9">
        <v>2</v>
      </c>
      <c r="K456" s="160">
        <f t="shared" si="7"/>
        <v>0.35859414261160716</v>
      </c>
      <c r="L456" s="52" t="s">
        <v>120</v>
      </c>
    </row>
    <row r="457" spans="1:12">
      <c r="A457" s="152" t="s">
        <v>123</v>
      </c>
      <c r="B457" s="59">
        <v>2016</v>
      </c>
      <c r="C457" s="344" t="s">
        <v>101</v>
      </c>
      <c r="D457" s="59">
        <v>55</v>
      </c>
      <c r="E457" s="344" t="s">
        <v>135</v>
      </c>
      <c r="F457" s="29">
        <v>1</v>
      </c>
      <c r="G457" s="9">
        <v>1</v>
      </c>
      <c r="H457" s="9">
        <v>1</v>
      </c>
      <c r="I457" s="9">
        <v>2</v>
      </c>
      <c r="J457" s="9">
        <v>2</v>
      </c>
      <c r="K457" s="160">
        <f t="shared" si="7"/>
        <v>0.35859414261160716</v>
      </c>
      <c r="L457" s="52" t="s">
        <v>120</v>
      </c>
    </row>
    <row r="458" spans="1:12">
      <c r="A458" s="152" t="s">
        <v>123</v>
      </c>
      <c r="B458" s="59">
        <v>2016</v>
      </c>
      <c r="C458" s="344" t="s">
        <v>106</v>
      </c>
      <c r="D458" s="59">
        <v>1838</v>
      </c>
      <c r="E458" s="344" t="s">
        <v>135</v>
      </c>
      <c r="F458" s="29">
        <v>1</v>
      </c>
      <c r="G458" s="9">
        <v>1</v>
      </c>
      <c r="H458" s="9">
        <v>1</v>
      </c>
      <c r="I458" s="9">
        <v>2</v>
      </c>
      <c r="J458" s="9">
        <v>2</v>
      </c>
      <c r="K458" s="160">
        <f t="shared" si="7"/>
        <v>0.35859414261160716</v>
      </c>
      <c r="L458" s="52" t="s">
        <v>120</v>
      </c>
    </row>
    <row r="459" spans="1:12">
      <c r="A459" s="152" t="s">
        <v>123</v>
      </c>
      <c r="B459" s="59">
        <v>2017</v>
      </c>
      <c r="C459" s="344" t="s">
        <v>93</v>
      </c>
      <c r="D459" s="59">
        <v>1911</v>
      </c>
      <c r="E459" s="344" t="s">
        <v>135</v>
      </c>
      <c r="F459" s="29">
        <v>1</v>
      </c>
      <c r="G459" s="9">
        <v>1</v>
      </c>
      <c r="H459" s="9">
        <v>1</v>
      </c>
      <c r="I459" s="9">
        <v>2</v>
      </c>
      <c r="J459" s="9">
        <v>2</v>
      </c>
      <c r="K459" s="160">
        <f t="shared" si="7"/>
        <v>0.35859414261160716</v>
      </c>
      <c r="L459" s="52" t="s">
        <v>120</v>
      </c>
    </row>
    <row r="460" spans="1:12">
      <c r="A460" s="152" t="s">
        <v>123</v>
      </c>
      <c r="B460" s="59">
        <v>2017</v>
      </c>
      <c r="C460" s="344" t="s">
        <v>94</v>
      </c>
      <c r="D460" s="59">
        <v>1075</v>
      </c>
      <c r="E460" s="344" t="s">
        <v>135</v>
      </c>
      <c r="F460" s="29">
        <v>1</v>
      </c>
      <c r="G460" s="9">
        <v>1</v>
      </c>
      <c r="H460" s="9">
        <v>1</v>
      </c>
      <c r="I460" s="9">
        <v>2</v>
      </c>
      <c r="J460" s="9">
        <v>2</v>
      </c>
      <c r="K460" s="160">
        <f t="shared" si="7"/>
        <v>0.35859414261160716</v>
      </c>
      <c r="L460" s="52" t="s">
        <v>120</v>
      </c>
    </row>
    <row r="461" spans="1:12">
      <c r="A461" s="152" t="s">
        <v>123</v>
      </c>
      <c r="B461" s="59">
        <v>2017</v>
      </c>
      <c r="C461" s="344" t="s">
        <v>95</v>
      </c>
      <c r="D461" s="59">
        <v>467</v>
      </c>
      <c r="E461" s="344" t="s">
        <v>135</v>
      </c>
      <c r="F461" s="29">
        <v>1</v>
      </c>
      <c r="G461" s="9">
        <v>1</v>
      </c>
      <c r="H461" s="9">
        <v>1</v>
      </c>
      <c r="I461" s="9">
        <v>2</v>
      </c>
      <c r="J461" s="9">
        <v>2</v>
      </c>
      <c r="K461" s="160">
        <f t="shared" si="7"/>
        <v>0.35859414261160716</v>
      </c>
      <c r="L461" s="52" t="s">
        <v>120</v>
      </c>
    </row>
    <row r="462" spans="1:12">
      <c r="A462" s="152" t="s">
        <v>123</v>
      </c>
      <c r="B462" s="59">
        <v>2017</v>
      </c>
      <c r="C462" s="344" t="s">
        <v>96</v>
      </c>
      <c r="D462" s="59">
        <v>216</v>
      </c>
      <c r="E462" s="344" t="s">
        <v>135</v>
      </c>
      <c r="F462" s="29">
        <v>1</v>
      </c>
      <c r="G462" s="9">
        <v>1</v>
      </c>
      <c r="H462" s="9">
        <v>1</v>
      </c>
      <c r="I462" s="9">
        <v>2</v>
      </c>
      <c r="J462" s="9">
        <v>2</v>
      </c>
      <c r="K462" s="160">
        <f t="shared" si="7"/>
        <v>0.35859414261160716</v>
      </c>
      <c r="L462" s="52" t="s">
        <v>120</v>
      </c>
    </row>
    <row r="463" spans="1:12">
      <c r="A463" s="152" t="s">
        <v>123</v>
      </c>
      <c r="B463" s="59">
        <v>2017</v>
      </c>
      <c r="C463" s="344" t="s">
        <v>97</v>
      </c>
      <c r="D463" s="59">
        <v>46</v>
      </c>
      <c r="E463" s="344" t="s">
        <v>135</v>
      </c>
      <c r="F463" s="29">
        <v>1</v>
      </c>
      <c r="G463" s="9">
        <v>1</v>
      </c>
      <c r="H463" s="9">
        <v>1</v>
      </c>
      <c r="I463" s="9">
        <v>2</v>
      </c>
      <c r="J463" s="9">
        <v>2</v>
      </c>
      <c r="K463" s="160">
        <f t="shared" si="7"/>
        <v>0.35859414261160716</v>
      </c>
      <c r="L463" s="52" t="s">
        <v>120</v>
      </c>
    </row>
    <row r="464" spans="1:12">
      <c r="A464" s="152" t="s">
        <v>123</v>
      </c>
      <c r="B464" s="59">
        <v>2017</v>
      </c>
      <c r="C464" s="344" t="s">
        <v>98</v>
      </c>
      <c r="D464" s="59">
        <v>297</v>
      </c>
      <c r="E464" s="344" t="s">
        <v>135</v>
      </c>
      <c r="F464" s="29">
        <v>1</v>
      </c>
      <c r="G464" s="9">
        <v>1</v>
      </c>
      <c r="H464" s="9">
        <v>1</v>
      </c>
      <c r="I464" s="9">
        <v>2</v>
      </c>
      <c r="J464" s="9">
        <v>2</v>
      </c>
      <c r="K464" s="160">
        <f t="shared" si="7"/>
        <v>0.35859414261160716</v>
      </c>
      <c r="L464" s="52" t="s">
        <v>120</v>
      </c>
    </row>
    <row r="465" spans="1:12">
      <c r="A465" s="152" t="s">
        <v>123</v>
      </c>
      <c r="B465" s="59">
        <v>2017</v>
      </c>
      <c r="C465" s="344" t="s">
        <v>99</v>
      </c>
      <c r="D465" s="59">
        <v>909</v>
      </c>
      <c r="E465" s="344" t="s">
        <v>135</v>
      </c>
      <c r="F465" s="29">
        <v>1</v>
      </c>
      <c r="G465" s="9">
        <v>1</v>
      </c>
      <c r="H465" s="9">
        <v>1</v>
      </c>
      <c r="I465" s="9">
        <v>2</v>
      </c>
      <c r="J465" s="9">
        <v>2</v>
      </c>
      <c r="K465" s="160">
        <f t="shared" si="7"/>
        <v>0.35859414261160716</v>
      </c>
      <c r="L465" s="52" t="s">
        <v>120</v>
      </c>
    </row>
    <row r="466" spans="1:12">
      <c r="A466" s="152" t="s">
        <v>123</v>
      </c>
      <c r="B466" s="59">
        <v>2017</v>
      </c>
      <c r="C466" s="344" t="s">
        <v>102</v>
      </c>
      <c r="D466" s="59">
        <v>213</v>
      </c>
      <c r="E466" s="344" t="s">
        <v>135</v>
      </c>
      <c r="F466" s="29">
        <v>1</v>
      </c>
      <c r="G466" s="9">
        <v>1</v>
      </c>
      <c r="H466" s="9">
        <v>1</v>
      </c>
      <c r="I466" s="9">
        <v>2</v>
      </c>
      <c r="J466" s="9">
        <v>2</v>
      </c>
      <c r="K466" s="160">
        <f t="shared" si="7"/>
        <v>0.35859414261160716</v>
      </c>
      <c r="L466" s="52" t="s">
        <v>120</v>
      </c>
    </row>
    <row r="467" spans="1:12">
      <c r="A467" s="152" t="s">
        <v>123</v>
      </c>
      <c r="B467" s="59">
        <v>2017</v>
      </c>
      <c r="C467" s="344" t="s">
        <v>104</v>
      </c>
      <c r="D467" s="59">
        <v>106</v>
      </c>
      <c r="E467" s="344" t="s">
        <v>135</v>
      </c>
      <c r="F467" s="29">
        <v>1</v>
      </c>
      <c r="G467" s="9">
        <v>1</v>
      </c>
      <c r="H467" s="9">
        <v>1</v>
      </c>
      <c r="I467" s="9">
        <v>2</v>
      </c>
      <c r="J467" s="9">
        <v>2</v>
      </c>
      <c r="K467" s="160">
        <f t="shared" si="7"/>
        <v>0.35859414261160716</v>
      </c>
      <c r="L467" s="52" t="s">
        <v>120</v>
      </c>
    </row>
    <row r="468" spans="1:12">
      <c r="A468" s="152" t="s">
        <v>123</v>
      </c>
      <c r="B468" s="59">
        <v>2017</v>
      </c>
      <c r="C468" s="344" t="s">
        <v>105</v>
      </c>
      <c r="D468" s="59">
        <v>306</v>
      </c>
      <c r="E468" s="344" t="s">
        <v>135</v>
      </c>
      <c r="F468" s="29">
        <v>1</v>
      </c>
      <c r="G468" s="9">
        <v>1</v>
      </c>
      <c r="H468" s="9">
        <v>1</v>
      </c>
      <c r="I468" s="9">
        <v>2</v>
      </c>
      <c r="J468" s="9">
        <v>2</v>
      </c>
      <c r="K468" s="160">
        <f t="shared" si="7"/>
        <v>0.35859414261160716</v>
      </c>
      <c r="L468" s="52" t="s">
        <v>120</v>
      </c>
    </row>
    <row r="469" spans="1:12">
      <c r="A469" s="152" t="s">
        <v>123</v>
      </c>
      <c r="B469" s="59">
        <v>2017</v>
      </c>
      <c r="C469" s="344" t="s">
        <v>103</v>
      </c>
      <c r="D469" s="59">
        <v>214</v>
      </c>
      <c r="E469" s="344" t="s">
        <v>135</v>
      </c>
      <c r="F469" s="29">
        <v>1</v>
      </c>
      <c r="G469" s="9">
        <v>1</v>
      </c>
      <c r="H469" s="9">
        <v>1</v>
      </c>
      <c r="I469" s="9">
        <v>2</v>
      </c>
      <c r="J469" s="9">
        <v>2</v>
      </c>
      <c r="K469" s="160">
        <f t="shared" si="7"/>
        <v>0.35859414261160716</v>
      </c>
      <c r="L469" s="52" t="s">
        <v>120</v>
      </c>
    </row>
    <row r="470" spans="1:12">
      <c r="A470" s="152" t="s">
        <v>123</v>
      </c>
      <c r="B470" s="59">
        <v>2017</v>
      </c>
      <c r="C470" s="344" t="s">
        <v>101</v>
      </c>
      <c r="D470" s="59">
        <v>52</v>
      </c>
      <c r="E470" s="344" t="s">
        <v>135</v>
      </c>
      <c r="F470" s="29">
        <v>1</v>
      </c>
      <c r="G470" s="9">
        <v>1</v>
      </c>
      <c r="H470" s="9">
        <v>1</v>
      </c>
      <c r="I470" s="9">
        <v>2</v>
      </c>
      <c r="J470" s="9">
        <v>2</v>
      </c>
      <c r="K470" s="160">
        <f t="shared" si="7"/>
        <v>0.35859414261160716</v>
      </c>
      <c r="L470" s="52" t="s">
        <v>120</v>
      </c>
    </row>
    <row r="471" spans="1:12">
      <c r="A471" s="152" t="s">
        <v>123</v>
      </c>
      <c r="B471" s="59">
        <v>2017</v>
      </c>
      <c r="C471" s="344" t="s">
        <v>106</v>
      </c>
      <c r="D471" s="59">
        <v>1465</v>
      </c>
      <c r="E471" s="344" t="s">
        <v>135</v>
      </c>
      <c r="F471" s="29">
        <v>1</v>
      </c>
      <c r="G471" s="9">
        <v>1</v>
      </c>
      <c r="H471" s="9">
        <v>1</v>
      </c>
      <c r="I471" s="9">
        <v>2</v>
      </c>
      <c r="J471" s="9">
        <v>2</v>
      </c>
      <c r="K471" s="160">
        <f t="shared" si="7"/>
        <v>0.35859414261160716</v>
      </c>
      <c r="L471" s="52" t="s">
        <v>120</v>
      </c>
    </row>
    <row r="472" spans="1:12">
      <c r="A472" s="152" t="s">
        <v>123</v>
      </c>
      <c r="B472" s="59">
        <v>2018</v>
      </c>
      <c r="C472" s="344" t="s">
        <v>93</v>
      </c>
      <c r="D472" s="59">
        <v>2104</v>
      </c>
      <c r="E472" s="344" t="s">
        <v>135</v>
      </c>
      <c r="F472" s="29">
        <v>1</v>
      </c>
      <c r="G472" s="9">
        <v>1</v>
      </c>
      <c r="H472" s="9">
        <v>1</v>
      </c>
      <c r="I472" s="9">
        <v>2</v>
      </c>
      <c r="J472" s="9">
        <v>2</v>
      </c>
      <c r="K472" s="160">
        <f t="shared" si="7"/>
        <v>0.35859414261160716</v>
      </c>
      <c r="L472" s="52" t="s">
        <v>120</v>
      </c>
    </row>
    <row r="473" spans="1:12">
      <c r="A473" s="152" t="s">
        <v>123</v>
      </c>
      <c r="B473" s="59">
        <v>2018</v>
      </c>
      <c r="C473" s="344" t="s">
        <v>94</v>
      </c>
      <c r="D473" s="59">
        <v>967</v>
      </c>
      <c r="E473" s="344" t="s">
        <v>135</v>
      </c>
      <c r="F473" s="29">
        <v>1</v>
      </c>
      <c r="G473" s="9">
        <v>1</v>
      </c>
      <c r="H473" s="9">
        <v>1</v>
      </c>
      <c r="I473" s="9">
        <v>2</v>
      </c>
      <c r="J473" s="9">
        <v>2</v>
      </c>
      <c r="K473" s="160">
        <f t="shared" si="7"/>
        <v>0.35859414261160716</v>
      </c>
      <c r="L473" s="52" t="s">
        <v>120</v>
      </c>
    </row>
    <row r="474" spans="1:12">
      <c r="A474" s="152" t="s">
        <v>123</v>
      </c>
      <c r="B474" s="59">
        <v>2018</v>
      </c>
      <c r="C474" s="344" t="s">
        <v>95</v>
      </c>
      <c r="D474" s="59">
        <v>423</v>
      </c>
      <c r="E474" s="344" t="s">
        <v>135</v>
      </c>
      <c r="F474" s="29">
        <v>1</v>
      </c>
      <c r="G474" s="9">
        <v>1</v>
      </c>
      <c r="H474" s="9">
        <v>1</v>
      </c>
      <c r="I474" s="9">
        <v>2</v>
      </c>
      <c r="J474" s="9">
        <v>2</v>
      </c>
      <c r="K474" s="160">
        <f t="shared" si="7"/>
        <v>0.35859414261160716</v>
      </c>
      <c r="L474" s="52" t="s">
        <v>120</v>
      </c>
    </row>
    <row r="475" spans="1:12">
      <c r="A475" s="152" t="s">
        <v>123</v>
      </c>
      <c r="B475" s="59">
        <v>2018</v>
      </c>
      <c r="C475" s="344" t="s">
        <v>96</v>
      </c>
      <c r="D475" s="59">
        <v>198</v>
      </c>
      <c r="E475" s="344" t="s">
        <v>135</v>
      </c>
      <c r="F475" s="29">
        <v>1</v>
      </c>
      <c r="G475" s="9">
        <v>1</v>
      </c>
      <c r="H475" s="9">
        <v>1</v>
      </c>
      <c r="I475" s="9">
        <v>2</v>
      </c>
      <c r="J475" s="9">
        <v>2</v>
      </c>
      <c r="K475" s="160">
        <f t="shared" si="7"/>
        <v>0.35859414261160716</v>
      </c>
      <c r="L475" s="52" t="s">
        <v>120</v>
      </c>
    </row>
    <row r="476" spans="1:12">
      <c r="A476" s="152" t="s">
        <v>123</v>
      </c>
      <c r="B476" s="59">
        <v>2018</v>
      </c>
      <c r="C476" s="344" t="s">
        <v>97</v>
      </c>
      <c r="D476" s="59">
        <v>48</v>
      </c>
      <c r="E476" s="344" t="s">
        <v>135</v>
      </c>
      <c r="F476" s="29">
        <v>1</v>
      </c>
      <c r="G476" s="9">
        <v>1</v>
      </c>
      <c r="H476" s="9">
        <v>1</v>
      </c>
      <c r="I476" s="9">
        <v>2</v>
      </c>
      <c r="J476" s="9">
        <v>2</v>
      </c>
      <c r="K476" s="160">
        <f t="shared" si="7"/>
        <v>0.35859414261160716</v>
      </c>
      <c r="L476" s="52" t="s">
        <v>120</v>
      </c>
    </row>
    <row r="477" spans="1:12">
      <c r="A477" s="152" t="s">
        <v>123</v>
      </c>
      <c r="B477" s="59">
        <v>2018</v>
      </c>
      <c r="C477" s="344" t="s">
        <v>98</v>
      </c>
      <c r="D477" s="59">
        <v>267</v>
      </c>
      <c r="E477" s="344" t="s">
        <v>135</v>
      </c>
      <c r="F477" s="29">
        <v>1</v>
      </c>
      <c r="G477" s="9">
        <v>1</v>
      </c>
      <c r="H477" s="9">
        <v>1</v>
      </c>
      <c r="I477" s="9">
        <v>2</v>
      </c>
      <c r="J477" s="9">
        <v>2</v>
      </c>
      <c r="K477" s="160">
        <f t="shared" si="7"/>
        <v>0.35859414261160716</v>
      </c>
      <c r="L477" s="52" t="s">
        <v>120</v>
      </c>
    </row>
    <row r="478" spans="1:12">
      <c r="A478" s="152" t="s">
        <v>123</v>
      </c>
      <c r="B478" s="59">
        <v>2018</v>
      </c>
      <c r="C478" s="344" t="s">
        <v>99</v>
      </c>
      <c r="D478" s="59">
        <v>831</v>
      </c>
      <c r="E478" s="344" t="s">
        <v>135</v>
      </c>
      <c r="F478" s="29">
        <v>1</v>
      </c>
      <c r="G478" s="9">
        <v>1</v>
      </c>
      <c r="H478" s="9">
        <v>1</v>
      </c>
      <c r="I478" s="9">
        <v>2</v>
      </c>
      <c r="J478" s="9">
        <v>2</v>
      </c>
      <c r="K478" s="160">
        <f t="shared" si="7"/>
        <v>0.35859414261160716</v>
      </c>
      <c r="L478" s="52" t="s">
        <v>120</v>
      </c>
    </row>
    <row r="479" spans="1:12">
      <c r="A479" s="152" t="s">
        <v>123</v>
      </c>
      <c r="B479" s="59">
        <v>2018</v>
      </c>
      <c r="C479" s="344" t="s">
        <v>102</v>
      </c>
      <c r="D479" s="59">
        <v>194</v>
      </c>
      <c r="E479" s="344" t="s">
        <v>135</v>
      </c>
      <c r="F479" s="29">
        <v>1</v>
      </c>
      <c r="G479" s="9">
        <v>1</v>
      </c>
      <c r="H479" s="9">
        <v>1</v>
      </c>
      <c r="I479" s="9">
        <v>2</v>
      </c>
      <c r="J479" s="9">
        <v>2</v>
      </c>
      <c r="K479" s="160">
        <f t="shared" si="7"/>
        <v>0.35859414261160716</v>
      </c>
      <c r="L479" s="52" t="s">
        <v>120</v>
      </c>
    </row>
    <row r="480" spans="1:12">
      <c r="A480" s="152" t="s">
        <v>123</v>
      </c>
      <c r="B480" s="59">
        <v>2018</v>
      </c>
      <c r="C480" s="344" t="s">
        <v>104</v>
      </c>
      <c r="D480" s="59">
        <v>103</v>
      </c>
      <c r="E480" s="344" t="s">
        <v>135</v>
      </c>
      <c r="F480" s="29">
        <v>1</v>
      </c>
      <c r="G480" s="9">
        <v>1</v>
      </c>
      <c r="H480" s="9">
        <v>1</v>
      </c>
      <c r="I480" s="9">
        <v>2</v>
      </c>
      <c r="J480" s="9">
        <v>2</v>
      </c>
      <c r="K480" s="160">
        <f t="shared" si="7"/>
        <v>0.35859414261160716</v>
      </c>
      <c r="L480" s="52" t="s">
        <v>120</v>
      </c>
    </row>
    <row r="481" spans="1:12">
      <c r="A481" s="152" t="s">
        <v>123</v>
      </c>
      <c r="B481" s="59">
        <v>2018</v>
      </c>
      <c r="C481" s="344" t="s">
        <v>105</v>
      </c>
      <c r="D481" s="59">
        <v>489</v>
      </c>
      <c r="E481" s="344" t="s">
        <v>135</v>
      </c>
      <c r="F481" s="29">
        <v>1</v>
      </c>
      <c r="G481" s="9">
        <v>1</v>
      </c>
      <c r="H481" s="9">
        <v>1</v>
      </c>
      <c r="I481" s="9">
        <v>2</v>
      </c>
      <c r="J481" s="9">
        <v>2</v>
      </c>
      <c r="K481" s="160">
        <f t="shared" si="7"/>
        <v>0.35859414261160716</v>
      </c>
      <c r="L481" s="52" t="s">
        <v>120</v>
      </c>
    </row>
    <row r="482" spans="1:12">
      <c r="A482" s="152" t="s">
        <v>123</v>
      </c>
      <c r="B482" s="59">
        <v>2018</v>
      </c>
      <c r="C482" s="344" t="s">
        <v>103</v>
      </c>
      <c r="D482" s="59">
        <v>242</v>
      </c>
      <c r="E482" s="344" t="s">
        <v>135</v>
      </c>
      <c r="F482" s="29">
        <v>1</v>
      </c>
      <c r="G482" s="9">
        <v>1</v>
      </c>
      <c r="H482" s="9">
        <v>1</v>
      </c>
      <c r="I482" s="9">
        <v>2</v>
      </c>
      <c r="J482" s="9">
        <v>2</v>
      </c>
      <c r="K482" s="160">
        <f t="shared" si="7"/>
        <v>0.35859414261160716</v>
      </c>
      <c r="L482" s="52" t="s">
        <v>120</v>
      </c>
    </row>
    <row r="483" spans="1:12">
      <c r="A483" s="152" t="s">
        <v>123</v>
      </c>
      <c r="B483" s="59">
        <v>2018</v>
      </c>
      <c r="C483" s="344" t="s">
        <v>101</v>
      </c>
      <c r="D483" s="59">
        <v>56</v>
      </c>
      <c r="E483" s="344" t="s">
        <v>135</v>
      </c>
      <c r="F483" s="29">
        <v>1</v>
      </c>
      <c r="G483" s="9">
        <v>1</v>
      </c>
      <c r="H483" s="9">
        <v>1</v>
      </c>
      <c r="I483" s="9">
        <v>2</v>
      </c>
      <c r="J483" s="9">
        <v>2</v>
      </c>
      <c r="K483" s="160">
        <f t="shared" si="7"/>
        <v>0.35859414261160716</v>
      </c>
      <c r="L483" s="52" t="s">
        <v>120</v>
      </c>
    </row>
    <row r="484" spans="1:12">
      <c r="A484" s="152" t="s">
        <v>123</v>
      </c>
      <c r="B484" s="59">
        <v>2018</v>
      </c>
      <c r="C484" s="344" t="s">
        <v>106</v>
      </c>
      <c r="D484" s="59">
        <v>1475</v>
      </c>
      <c r="E484" s="344" t="s">
        <v>135</v>
      </c>
      <c r="F484" s="29">
        <v>1</v>
      </c>
      <c r="G484" s="9">
        <v>1</v>
      </c>
      <c r="H484" s="9">
        <v>1</v>
      </c>
      <c r="I484" s="9">
        <v>2</v>
      </c>
      <c r="J484" s="9">
        <v>2</v>
      </c>
      <c r="K484" s="160">
        <f t="shared" si="7"/>
        <v>0.35859414261160716</v>
      </c>
      <c r="L484" s="52" t="s">
        <v>120</v>
      </c>
    </row>
    <row r="485" spans="1:12">
      <c r="A485" s="152" t="s">
        <v>123</v>
      </c>
      <c r="B485" s="59">
        <v>2019</v>
      </c>
      <c r="C485" s="344" t="s">
        <v>93</v>
      </c>
      <c r="D485" s="59">
        <v>3179</v>
      </c>
      <c r="E485" s="344" t="s">
        <v>135</v>
      </c>
      <c r="F485" s="29">
        <v>1</v>
      </c>
      <c r="G485" s="9">
        <v>1</v>
      </c>
      <c r="H485" s="9">
        <v>1</v>
      </c>
      <c r="I485" s="9">
        <v>2</v>
      </c>
      <c r="J485" s="9">
        <v>2</v>
      </c>
      <c r="K485" s="160">
        <f t="shared" si="7"/>
        <v>0.35859414261160716</v>
      </c>
      <c r="L485" s="52" t="s">
        <v>120</v>
      </c>
    </row>
    <row r="486" spans="1:12">
      <c r="A486" s="152" t="s">
        <v>123</v>
      </c>
      <c r="B486" s="59">
        <v>2019</v>
      </c>
      <c r="C486" s="344" t="s">
        <v>94</v>
      </c>
      <c r="D486" s="59">
        <v>1314</v>
      </c>
      <c r="E486" s="344" t="s">
        <v>135</v>
      </c>
      <c r="F486" s="29">
        <v>1</v>
      </c>
      <c r="G486" s="9">
        <v>1</v>
      </c>
      <c r="H486" s="9">
        <v>1</v>
      </c>
      <c r="I486" s="9">
        <v>2</v>
      </c>
      <c r="J486" s="9">
        <v>2</v>
      </c>
      <c r="K486" s="160">
        <f t="shared" si="7"/>
        <v>0.35859414261160716</v>
      </c>
      <c r="L486" s="52" t="s">
        <v>120</v>
      </c>
    </row>
    <row r="487" spans="1:12">
      <c r="A487" s="152" t="s">
        <v>123</v>
      </c>
      <c r="B487" s="59">
        <v>2019</v>
      </c>
      <c r="C487" s="344" t="s">
        <v>95</v>
      </c>
      <c r="D487" s="59">
        <v>938</v>
      </c>
      <c r="E487" s="344" t="s">
        <v>135</v>
      </c>
      <c r="F487" s="29">
        <v>1</v>
      </c>
      <c r="G487" s="9">
        <v>1</v>
      </c>
      <c r="H487" s="9">
        <v>1</v>
      </c>
      <c r="I487" s="9">
        <v>2</v>
      </c>
      <c r="J487" s="9">
        <v>2</v>
      </c>
      <c r="K487" s="160">
        <f t="shared" si="7"/>
        <v>0.35859414261160716</v>
      </c>
      <c r="L487" s="52" t="s">
        <v>120</v>
      </c>
    </row>
    <row r="488" spans="1:12">
      <c r="A488" s="152" t="s">
        <v>123</v>
      </c>
      <c r="B488" s="59">
        <v>2019</v>
      </c>
      <c r="C488" s="344" t="s">
        <v>96</v>
      </c>
      <c r="D488" s="59">
        <v>127</v>
      </c>
      <c r="E488" s="344" t="s">
        <v>135</v>
      </c>
      <c r="F488" s="29">
        <v>1</v>
      </c>
      <c r="G488" s="9">
        <v>1</v>
      </c>
      <c r="H488" s="9">
        <v>1</v>
      </c>
      <c r="I488" s="9">
        <v>2</v>
      </c>
      <c r="J488" s="9">
        <v>2</v>
      </c>
      <c r="K488" s="160">
        <f t="shared" si="7"/>
        <v>0.35859414261160716</v>
      </c>
      <c r="L488" s="52" t="s">
        <v>120</v>
      </c>
    </row>
    <row r="489" spans="1:12">
      <c r="A489" s="152" t="s">
        <v>123</v>
      </c>
      <c r="B489" s="59">
        <v>2019</v>
      </c>
      <c r="C489" s="344" t="s">
        <v>97</v>
      </c>
      <c r="D489" s="59">
        <v>78</v>
      </c>
      <c r="E489" s="344" t="s">
        <v>135</v>
      </c>
      <c r="F489" s="29">
        <v>1</v>
      </c>
      <c r="G489" s="9">
        <v>1</v>
      </c>
      <c r="H489" s="9">
        <v>1</v>
      </c>
      <c r="I489" s="9">
        <v>2</v>
      </c>
      <c r="J489" s="9">
        <v>2</v>
      </c>
      <c r="K489" s="160">
        <f t="shared" si="7"/>
        <v>0.35859414261160716</v>
      </c>
      <c r="L489" s="52" t="s">
        <v>120</v>
      </c>
    </row>
    <row r="490" spans="1:12">
      <c r="A490" s="152" t="s">
        <v>123</v>
      </c>
      <c r="B490" s="59">
        <v>2019</v>
      </c>
      <c r="C490" s="344" t="s">
        <v>98</v>
      </c>
      <c r="D490" s="59">
        <v>438</v>
      </c>
      <c r="E490" s="344" t="s">
        <v>135</v>
      </c>
      <c r="F490" s="29">
        <v>1</v>
      </c>
      <c r="G490" s="9">
        <v>1</v>
      </c>
      <c r="H490" s="9">
        <v>1</v>
      </c>
      <c r="I490" s="9">
        <v>2</v>
      </c>
      <c r="J490" s="9">
        <v>2</v>
      </c>
      <c r="K490" s="160">
        <f t="shared" si="7"/>
        <v>0.35859414261160716</v>
      </c>
      <c r="L490" s="52" t="s">
        <v>120</v>
      </c>
    </row>
    <row r="491" spans="1:12">
      <c r="A491" s="152" t="s">
        <v>123</v>
      </c>
      <c r="B491" s="59">
        <v>2019</v>
      </c>
      <c r="C491" s="344" t="s">
        <v>99</v>
      </c>
      <c r="D491" s="59">
        <v>980</v>
      </c>
      <c r="E491" s="344" t="s">
        <v>135</v>
      </c>
      <c r="F491" s="29">
        <v>1</v>
      </c>
      <c r="G491" s="9">
        <v>1</v>
      </c>
      <c r="H491" s="9">
        <v>1</v>
      </c>
      <c r="I491" s="9">
        <v>2</v>
      </c>
      <c r="J491" s="9">
        <v>2</v>
      </c>
      <c r="K491" s="160">
        <f t="shared" si="7"/>
        <v>0.35859414261160716</v>
      </c>
      <c r="L491" s="52" t="s">
        <v>120</v>
      </c>
    </row>
    <row r="492" spans="1:12">
      <c r="A492" s="152" t="s">
        <v>123</v>
      </c>
      <c r="B492" s="59">
        <v>2019</v>
      </c>
      <c r="C492" s="344" t="s">
        <v>102</v>
      </c>
      <c r="D492" s="59">
        <v>203</v>
      </c>
      <c r="E492" s="344" t="s">
        <v>135</v>
      </c>
      <c r="F492" s="29">
        <v>1</v>
      </c>
      <c r="G492" s="9">
        <v>1</v>
      </c>
      <c r="H492" s="9">
        <v>1</v>
      </c>
      <c r="I492" s="9">
        <v>2</v>
      </c>
      <c r="J492" s="9">
        <v>2</v>
      </c>
      <c r="K492" s="160">
        <f t="shared" si="7"/>
        <v>0.35859414261160716</v>
      </c>
      <c r="L492" s="52" t="s">
        <v>120</v>
      </c>
    </row>
    <row r="493" spans="1:12">
      <c r="A493" s="152" t="s">
        <v>123</v>
      </c>
      <c r="B493" s="59">
        <v>2019</v>
      </c>
      <c r="C493" s="344" t="s">
        <v>104</v>
      </c>
      <c r="D493" s="59">
        <v>95</v>
      </c>
      <c r="E493" s="344" t="s">
        <v>135</v>
      </c>
      <c r="F493" s="29">
        <v>1</v>
      </c>
      <c r="G493" s="9">
        <v>1</v>
      </c>
      <c r="H493" s="9">
        <v>1</v>
      </c>
      <c r="I493" s="9">
        <v>2</v>
      </c>
      <c r="J493" s="9">
        <v>2</v>
      </c>
      <c r="K493" s="160">
        <f t="shared" si="7"/>
        <v>0.35859414261160716</v>
      </c>
      <c r="L493" s="52" t="s">
        <v>120</v>
      </c>
    </row>
    <row r="494" spans="1:12">
      <c r="A494" s="152" t="s">
        <v>123</v>
      </c>
      <c r="B494" s="59">
        <v>2019</v>
      </c>
      <c r="C494" s="344" t="s">
        <v>105</v>
      </c>
      <c r="D494" s="59">
        <v>394</v>
      </c>
      <c r="E494" s="344" t="s">
        <v>135</v>
      </c>
      <c r="F494" s="29">
        <v>1</v>
      </c>
      <c r="G494" s="9">
        <v>1</v>
      </c>
      <c r="H494" s="9">
        <v>1</v>
      </c>
      <c r="I494" s="9">
        <v>2</v>
      </c>
      <c r="J494" s="9">
        <v>2</v>
      </c>
      <c r="K494" s="160">
        <f t="shared" si="7"/>
        <v>0.35859414261160716</v>
      </c>
      <c r="L494" s="52" t="s">
        <v>120</v>
      </c>
    </row>
    <row r="495" spans="1:12">
      <c r="A495" s="152" t="s">
        <v>123</v>
      </c>
      <c r="B495" s="59">
        <v>2019</v>
      </c>
      <c r="C495" s="344" t="s">
        <v>103</v>
      </c>
      <c r="D495" s="59">
        <v>280</v>
      </c>
      <c r="E495" s="344" t="s">
        <v>135</v>
      </c>
      <c r="F495" s="29">
        <v>1</v>
      </c>
      <c r="G495" s="9">
        <v>1</v>
      </c>
      <c r="H495" s="9">
        <v>1</v>
      </c>
      <c r="I495" s="9">
        <v>2</v>
      </c>
      <c r="J495" s="9">
        <v>2</v>
      </c>
      <c r="K495" s="160">
        <f t="shared" si="7"/>
        <v>0.35859414261160716</v>
      </c>
      <c r="L495" s="52" t="s">
        <v>120</v>
      </c>
    </row>
    <row r="496" spans="1:12">
      <c r="A496" s="152" t="s">
        <v>123</v>
      </c>
      <c r="B496" s="59">
        <v>2019</v>
      </c>
      <c r="C496" s="344" t="s">
        <v>101</v>
      </c>
      <c r="D496" s="59">
        <v>68</v>
      </c>
      <c r="E496" s="344" t="s">
        <v>135</v>
      </c>
      <c r="F496" s="29">
        <v>1</v>
      </c>
      <c r="G496" s="9">
        <v>1</v>
      </c>
      <c r="H496" s="9">
        <v>1</v>
      </c>
      <c r="I496" s="9">
        <v>2</v>
      </c>
      <c r="J496" s="9">
        <v>2</v>
      </c>
      <c r="K496" s="160">
        <f t="shared" si="7"/>
        <v>0.35859414261160716</v>
      </c>
      <c r="L496" s="52" t="s">
        <v>120</v>
      </c>
    </row>
    <row r="497" spans="1:12">
      <c r="A497" s="152" t="s">
        <v>123</v>
      </c>
      <c r="B497" s="59">
        <v>2019</v>
      </c>
      <c r="C497" s="344" t="s">
        <v>106</v>
      </c>
      <c r="D497" s="59">
        <v>2300</v>
      </c>
      <c r="E497" s="344" t="s">
        <v>135</v>
      </c>
      <c r="F497" s="29">
        <v>1</v>
      </c>
      <c r="G497" s="9">
        <v>1</v>
      </c>
      <c r="H497" s="9">
        <v>1</v>
      </c>
      <c r="I497" s="9">
        <v>2</v>
      </c>
      <c r="J497" s="9">
        <v>2</v>
      </c>
      <c r="K497" s="160">
        <f t="shared" si="7"/>
        <v>0.35859414261160716</v>
      </c>
      <c r="L497" s="52" t="s">
        <v>120</v>
      </c>
    </row>
    <row r="498" spans="1:12">
      <c r="A498" s="152" t="s">
        <v>123</v>
      </c>
      <c r="B498" s="59">
        <v>2020</v>
      </c>
      <c r="C498" s="344" t="s">
        <v>93</v>
      </c>
      <c r="D498" s="59">
        <v>2799</v>
      </c>
      <c r="E498" s="344" t="s">
        <v>135</v>
      </c>
      <c r="F498" s="29">
        <v>1</v>
      </c>
      <c r="G498" s="9">
        <v>1</v>
      </c>
      <c r="H498" s="9">
        <v>1</v>
      </c>
      <c r="I498" s="9">
        <v>2</v>
      </c>
      <c r="J498" s="9">
        <v>2</v>
      </c>
      <c r="K498" s="160">
        <f t="shared" si="7"/>
        <v>0.35859414261160716</v>
      </c>
      <c r="L498" s="52" t="s">
        <v>120</v>
      </c>
    </row>
    <row r="499" spans="1:12">
      <c r="A499" s="152" t="s">
        <v>123</v>
      </c>
      <c r="B499" s="59">
        <v>2020</v>
      </c>
      <c r="C499" s="344" t="s">
        <v>94</v>
      </c>
      <c r="D499" s="59">
        <v>971</v>
      </c>
      <c r="E499" s="344" t="s">
        <v>135</v>
      </c>
      <c r="F499" s="29">
        <v>1</v>
      </c>
      <c r="G499" s="9">
        <v>1</v>
      </c>
      <c r="H499" s="9">
        <v>1</v>
      </c>
      <c r="I499" s="9">
        <v>2</v>
      </c>
      <c r="J499" s="9">
        <v>2</v>
      </c>
      <c r="K499" s="160">
        <f t="shared" si="7"/>
        <v>0.35859414261160716</v>
      </c>
      <c r="L499" s="52" t="s">
        <v>120</v>
      </c>
    </row>
    <row r="500" spans="1:12">
      <c r="A500" s="152" t="s">
        <v>123</v>
      </c>
      <c r="B500" s="59">
        <v>2020</v>
      </c>
      <c r="C500" s="344" t="s">
        <v>95</v>
      </c>
      <c r="D500" s="59">
        <v>490</v>
      </c>
      <c r="E500" s="344" t="s">
        <v>135</v>
      </c>
      <c r="F500" s="29">
        <v>1</v>
      </c>
      <c r="G500" s="9">
        <v>1</v>
      </c>
      <c r="H500" s="9">
        <v>1</v>
      </c>
      <c r="I500" s="9">
        <v>2</v>
      </c>
      <c r="J500" s="9">
        <v>2</v>
      </c>
      <c r="K500" s="160">
        <f t="shared" si="7"/>
        <v>0.35859414261160716</v>
      </c>
      <c r="L500" s="52" t="s">
        <v>120</v>
      </c>
    </row>
    <row r="501" spans="1:12">
      <c r="A501" s="152" t="s">
        <v>123</v>
      </c>
      <c r="B501" s="59">
        <v>2020</v>
      </c>
      <c r="C501" s="344" t="s">
        <v>96</v>
      </c>
      <c r="D501" s="59">
        <v>149</v>
      </c>
      <c r="E501" s="344" t="s">
        <v>135</v>
      </c>
      <c r="F501" s="29">
        <v>1</v>
      </c>
      <c r="G501" s="9">
        <v>1</v>
      </c>
      <c r="H501" s="9">
        <v>1</v>
      </c>
      <c r="I501" s="9">
        <v>2</v>
      </c>
      <c r="J501" s="9">
        <v>2</v>
      </c>
      <c r="K501" s="160">
        <f t="shared" si="7"/>
        <v>0.35859414261160716</v>
      </c>
      <c r="L501" s="52" t="s">
        <v>120</v>
      </c>
    </row>
    <row r="502" spans="1:12">
      <c r="A502" s="152" t="s">
        <v>123</v>
      </c>
      <c r="B502" s="59">
        <v>2020</v>
      </c>
      <c r="C502" s="344" t="s">
        <v>97</v>
      </c>
      <c r="D502" s="59">
        <v>62</v>
      </c>
      <c r="E502" s="344" t="s">
        <v>135</v>
      </c>
      <c r="F502" s="29">
        <v>1</v>
      </c>
      <c r="G502" s="9">
        <v>1</v>
      </c>
      <c r="H502" s="9">
        <v>1</v>
      </c>
      <c r="I502" s="9">
        <v>2</v>
      </c>
      <c r="J502" s="9">
        <v>2</v>
      </c>
      <c r="K502" s="160">
        <f t="shared" si="7"/>
        <v>0.35859414261160716</v>
      </c>
      <c r="L502" s="52" t="s">
        <v>120</v>
      </c>
    </row>
    <row r="503" spans="1:12">
      <c r="A503" s="152" t="s">
        <v>123</v>
      </c>
      <c r="B503" s="59">
        <v>2020</v>
      </c>
      <c r="C503" s="344" t="s">
        <v>98</v>
      </c>
      <c r="D503" s="59">
        <v>378</v>
      </c>
      <c r="E503" s="344" t="s">
        <v>135</v>
      </c>
      <c r="F503" s="29">
        <v>1</v>
      </c>
      <c r="G503" s="9">
        <v>1</v>
      </c>
      <c r="H503" s="9">
        <v>1</v>
      </c>
      <c r="I503" s="9">
        <v>2</v>
      </c>
      <c r="J503" s="9">
        <v>2</v>
      </c>
      <c r="K503" s="160">
        <f t="shared" si="7"/>
        <v>0.35859414261160716</v>
      </c>
      <c r="L503" s="52" t="s">
        <v>120</v>
      </c>
    </row>
    <row r="504" spans="1:12">
      <c r="A504" s="152" t="s">
        <v>123</v>
      </c>
      <c r="B504" s="59">
        <v>2020</v>
      </c>
      <c r="C504" s="344" t="s">
        <v>99</v>
      </c>
      <c r="D504" s="59">
        <v>853</v>
      </c>
      <c r="E504" s="344" t="s">
        <v>135</v>
      </c>
      <c r="F504" s="29">
        <v>1</v>
      </c>
      <c r="G504" s="9">
        <v>1</v>
      </c>
      <c r="H504" s="9">
        <v>1</v>
      </c>
      <c r="I504" s="9">
        <v>2</v>
      </c>
      <c r="J504" s="9">
        <v>2</v>
      </c>
      <c r="K504" s="160">
        <f t="shared" si="7"/>
        <v>0.35859414261160716</v>
      </c>
      <c r="L504" s="52" t="s">
        <v>120</v>
      </c>
    </row>
    <row r="505" spans="1:12">
      <c r="A505" s="152" t="s">
        <v>123</v>
      </c>
      <c r="B505" s="59">
        <v>2020</v>
      </c>
      <c r="C505" s="344" t="s">
        <v>102</v>
      </c>
      <c r="D505" s="59">
        <v>172</v>
      </c>
      <c r="E505" s="344" t="s">
        <v>135</v>
      </c>
      <c r="F505" s="29">
        <v>1</v>
      </c>
      <c r="G505" s="9">
        <v>1</v>
      </c>
      <c r="H505" s="9">
        <v>1</v>
      </c>
      <c r="I505" s="9">
        <v>2</v>
      </c>
      <c r="J505" s="9">
        <v>2</v>
      </c>
      <c r="K505" s="160">
        <f t="shared" si="7"/>
        <v>0.35859414261160716</v>
      </c>
      <c r="L505" s="52" t="s">
        <v>120</v>
      </c>
    </row>
    <row r="506" spans="1:12">
      <c r="A506" s="152" t="s">
        <v>123</v>
      </c>
      <c r="B506" s="59">
        <v>2020</v>
      </c>
      <c r="C506" s="344" t="s">
        <v>104</v>
      </c>
      <c r="D506" s="59">
        <v>88</v>
      </c>
      <c r="E506" s="344" t="s">
        <v>135</v>
      </c>
      <c r="F506" s="29">
        <v>1</v>
      </c>
      <c r="G506" s="9">
        <v>1</v>
      </c>
      <c r="H506" s="9">
        <v>1</v>
      </c>
      <c r="I506" s="9">
        <v>2</v>
      </c>
      <c r="J506" s="9">
        <v>2</v>
      </c>
      <c r="K506" s="160">
        <f t="shared" si="7"/>
        <v>0.35859414261160716</v>
      </c>
      <c r="L506" s="52" t="s">
        <v>120</v>
      </c>
    </row>
    <row r="507" spans="1:12">
      <c r="A507" s="152" t="s">
        <v>123</v>
      </c>
      <c r="B507" s="59">
        <v>2020</v>
      </c>
      <c r="C507" s="344" t="s">
        <v>105</v>
      </c>
      <c r="D507" s="59">
        <v>418</v>
      </c>
      <c r="E507" s="344" t="s">
        <v>135</v>
      </c>
      <c r="F507" s="29">
        <v>1</v>
      </c>
      <c r="G507" s="9">
        <v>1</v>
      </c>
      <c r="H507" s="9">
        <v>1</v>
      </c>
      <c r="I507" s="9">
        <v>2</v>
      </c>
      <c r="J507" s="9">
        <v>2</v>
      </c>
      <c r="K507" s="160">
        <f t="shared" si="7"/>
        <v>0.35859414261160716</v>
      </c>
      <c r="L507" s="52" t="s">
        <v>120</v>
      </c>
    </row>
    <row r="508" spans="1:12">
      <c r="A508" s="152" t="s">
        <v>123</v>
      </c>
      <c r="B508" s="59">
        <v>2020</v>
      </c>
      <c r="C508" s="344" t="s">
        <v>103</v>
      </c>
      <c r="D508" s="59">
        <v>292</v>
      </c>
      <c r="E508" s="344" t="s">
        <v>135</v>
      </c>
      <c r="F508" s="29">
        <v>1</v>
      </c>
      <c r="G508" s="9">
        <v>1</v>
      </c>
      <c r="H508" s="9">
        <v>1</v>
      </c>
      <c r="I508" s="9">
        <v>2</v>
      </c>
      <c r="J508" s="9">
        <v>2</v>
      </c>
      <c r="K508" s="160">
        <f t="shared" si="7"/>
        <v>0.35859414261160716</v>
      </c>
      <c r="L508" s="52" t="s">
        <v>120</v>
      </c>
    </row>
    <row r="509" spans="1:12">
      <c r="A509" s="152" t="s">
        <v>123</v>
      </c>
      <c r="B509" s="59">
        <v>2020</v>
      </c>
      <c r="C509" s="344" t="s">
        <v>101</v>
      </c>
      <c r="D509" s="59">
        <v>66</v>
      </c>
      <c r="E509" s="344" t="s">
        <v>135</v>
      </c>
      <c r="F509" s="29">
        <v>1</v>
      </c>
      <c r="G509" s="9">
        <v>1</v>
      </c>
      <c r="H509" s="9">
        <v>1</v>
      </c>
      <c r="I509" s="9">
        <v>2</v>
      </c>
      <c r="J509" s="9">
        <v>2</v>
      </c>
      <c r="K509" s="160">
        <f t="shared" si="7"/>
        <v>0.35859414261160716</v>
      </c>
      <c r="L509" s="52" t="s">
        <v>120</v>
      </c>
    </row>
    <row r="510" spans="1:12">
      <c r="A510" s="152" t="s">
        <v>123</v>
      </c>
      <c r="B510" s="59">
        <v>2020</v>
      </c>
      <c r="C510" s="344" t="s">
        <v>106</v>
      </c>
      <c r="D510" s="59">
        <v>1580</v>
      </c>
      <c r="E510" s="344" t="s">
        <v>135</v>
      </c>
      <c r="F510" s="29">
        <v>1</v>
      </c>
      <c r="G510" s="9">
        <v>1</v>
      </c>
      <c r="H510" s="9">
        <v>1</v>
      </c>
      <c r="I510" s="9">
        <v>2</v>
      </c>
      <c r="J510" s="9">
        <v>2</v>
      </c>
      <c r="K510" s="160">
        <f t="shared" si="7"/>
        <v>0.35859414261160716</v>
      </c>
      <c r="L510" s="52" t="s">
        <v>120</v>
      </c>
    </row>
    <row r="511" spans="1:12">
      <c r="A511" s="152" t="s">
        <v>123</v>
      </c>
      <c r="B511" s="59">
        <v>2021</v>
      </c>
      <c r="C511" s="344" t="s">
        <v>93</v>
      </c>
      <c r="D511" s="59">
        <v>2883</v>
      </c>
      <c r="E511" s="344" t="s">
        <v>135</v>
      </c>
      <c r="F511" s="29">
        <v>1</v>
      </c>
      <c r="G511" s="9">
        <v>1</v>
      </c>
      <c r="H511" s="9">
        <v>1</v>
      </c>
      <c r="I511" s="9">
        <v>2</v>
      </c>
      <c r="J511" s="9">
        <v>2</v>
      </c>
      <c r="K511" s="160">
        <f t="shared" si="7"/>
        <v>0.35859414261160716</v>
      </c>
      <c r="L511" s="52" t="s">
        <v>120</v>
      </c>
    </row>
    <row r="512" spans="1:12">
      <c r="A512" s="152" t="s">
        <v>123</v>
      </c>
      <c r="B512" s="59">
        <v>2021</v>
      </c>
      <c r="C512" s="344" t="s">
        <v>94</v>
      </c>
      <c r="D512" s="59">
        <v>1213</v>
      </c>
      <c r="E512" s="344" t="s">
        <v>135</v>
      </c>
      <c r="F512" s="29">
        <v>1</v>
      </c>
      <c r="G512" s="9">
        <v>1</v>
      </c>
      <c r="H512" s="9">
        <v>1</v>
      </c>
      <c r="I512" s="9">
        <v>2</v>
      </c>
      <c r="J512" s="9">
        <v>2</v>
      </c>
      <c r="K512" s="160">
        <f t="shared" si="7"/>
        <v>0.35859414261160716</v>
      </c>
      <c r="L512" s="52" t="s">
        <v>120</v>
      </c>
    </row>
    <row r="513" spans="1:12">
      <c r="A513" s="152" t="s">
        <v>123</v>
      </c>
      <c r="B513" s="59">
        <v>2021</v>
      </c>
      <c r="C513" s="344" t="s">
        <v>95</v>
      </c>
      <c r="D513" s="59">
        <v>617</v>
      </c>
      <c r="E513" s="344" t="s">
        <v>135</v>
      </c>
      <c r="F513" s="29">
        <v>1</v>
      </c>
      <c r="G513" s="9">
        <v>1</v>
      </c>
      <c r="H513" s="9">
        <v>1</v>
      </c>
      <c r="I513" s="9">
        <v>2</v>
      </c>
      <c r="J513" s="9">
        <v>2</v>
      </c>
      <c r="K513" s="160">
        <f t="shared" si="7"/>
        <v>0.35859414261160716</v>
      </c>
      <c r="L513" s="52" t="s">
        <v>120</v>
      </c>
    </row>
    <row r="514" spans="1:12">
      <c r="A514" s="152" t="s">
        <v>123</v>
      </c>
      <c r="B514" s="59">
        <v>2021</v>
      </c>
      <c r="C514" s="344" t="s">
        <v>96</v>
      </c>
      <c r="D514" s="59">
        <v>117</v>
      </c>
      <c r="E514" s="344" t="s">
        <v>135</v>
      </c>
      <c r="F514" s="29">
        <v>1</v>
      </c>
      <c r="G514" s="9">
        <v>1</v>
      </c>
      <c r="H514" s="9">
        <v>1</v>
      </c>
      <c r="I514" s="9">
        <v>2</v>
      </c>
      <c r="J514" s="9">
        <v>2</v>
      </c>
      <c r="K514" s="160">
        <f t="shared" ref="K514:K577" si="8">IF( OR( ISBLANK(F514),ISBLANK(G514), ISBLANK(H514), ISBLANK(I514), ISBLANK(J514) ), "", 1.5*SQRT(   EXP(2.21*(F514-1)) + EXP(2.21*(G514-1)) + EXP(2.21*(H514-1)) + EXP(2.21*(I514-1)) + EXP(2.21*J514)   )/100*2.45 )</f>
        <v>0.35859414261160716</v>
      </c>
      <c r="L514" s="52" t="s">
        <v>120</v>
      </c>
    </row>
    <row r="515" spans="1:12">
      <c r="A515" s="152" t="s">
        <v>123</v>
      </c>
      <c r="B515" s="59">
        <v>2021</v>
      </c>
      <c r="C515" s="344" t="s">
        <v>97</v>
      </c>
      <c r="D515" s="59">
        <v>180</v>
      </c>
      <c r="E515" s="344" t="s">
        <v>135</v>
      </c>
      <c r="F515" s="29">
        <v>1</v>
      </c>
      <c r="G515" s="9">
        <v>1</v>
      </c>
      <c r="H515" s="9">
        <v>1</v>
      </c>
      <c r="I515" s="9">
        <v>2</v>
      </c>
      <c r="J515" s="9">
        <v>2</v>
      </c>
      <c r="K515" s="160">
        <f t="shared" si="8"/>
        <v>0.35859414261160716</v>
      </c>
      <c r="L515" s="52" t="s">
        <v>120</v>
      </c>
    </row>
    <row r="516" spans="1:12">
      <c r="A516" s="152" t="s">
        <v>123</v>
      </c>
      <c r="B516" s="59">
        <v>2021</v>
      </c>
      <c r="C516" s="344" t="s">
        <v>98</v>
      </c>
      <c r="D516" s="59">
        <v>508</v>
      </c>
      <c r="E516" s="344" t="s">
        <v>135</v>
      </c>
      <c r="F516" s="29">
        <v>1</v>
      </c>
      <c r="G516" s="9">
        <v>1</v>
      </c>
      <c r="H516" s="9">
        <v>1</v>
      </c>
      <c r="I516" s="9">
        <v>2</v>
      </c>
      <c r="J516" s="9">
        <v>2</v>
      </c>
      <c r="K516" s="160">
        <f t="shared" si="8"/>
        <v>0.35859414261160716</v>
      </c>
      <c r="L516" s="52" t="s">
        <v>120</v>
      </c>
    </row>
    <row r="517" spans="1:12">
      <c r="A517" s="152" t="s">
        <v>123</v>
      </c>
      <c r="B517" s="59">
        <v>2021</v>
      </c>
      <c r="C517" s="344" t="s">
        <v>99</v>
      </c>
      <c r="D517" s="59">
        <v>824</v>
      </c>
      <c r="E517" s="344" t="s">
        <v>135</v>
      </c>
      <c r="F517" s="29">
        <v>1</v>
      </c>
      <c r="G517" s="9">
        <v>1</v>
      </c>
      <c r="H517" s="9">
        <v>1</v>
      </c>
      <c r="I517" s="9">
        <v>2</v>
      </c>
      <c r="J517" s="9">
        <v>2</v>
      </c>
      <c r="K517" s="160">
        <f t="shared" si="8"/>
        <v>0.35859414261160716</v>
      </c>
      <c r="L517" s="52" t="s">
        <v>120</v>
      </c>
    </row>
    <row r="518" spans="1:12">
      <c r="A518" s="152" t="s">
        <v>123</v>
      </c>
      <c r="B518" s="59">
        <v>2021</v>
      </c>
      <c r="C518" s="344" t="s">
        <v>102</v>
      </c>
      <c r="D518" s="59">
        <v>228</v>
      </c>
      <c r="E518" s="344" t="s">
        <v>135</v>
      </c>
      <c r="F518" s="29">
        <v>1</v>
      </c>
      <c r="G518" s="9">
        <v>1</v>
      </c>
      <c r="H518" s="9">
        <v>1</v>
      </c>
      <c r="I518" s="9">
        <v>2</v>
      </c>
      <c r="J518" s="9">
        <v>2</v>
      </c>
      <c r="K518" s="160">
        <f t="shared" si="8"/>
        <v>0.35859414261160716</v>
      </c>
      <c r="L518" s="52" t="s">
        <v>120</v>
      </c>
    </row>
    <row r="519" spans="1:12">
      <c r="A519" s="152" t="s">
        <v>123</v>
      </c>
      <c r="B519" s="59">
        <v>2021</v>
      </c>
      <c r="C519" s="344" t="s">
        <v>104</v>
      </c>
      <c r="D519" s="59">
        <v>103</v>
      </c>
      <c r="E519" s="344" t="s">
        <v>135</v>
      </c>
      <c r="F519" s="29">
        <v>1</v>
      </c>
      <c r="G519" s="9">
        <v>1</v>
      </c>
      <c r="H519" s="9">
        <v>1</v>
      </c>
      <c r="I519" s="9">
        <v>2</v>
      </c>
      <c r="J519" s="9">
        <v>2</v>
      </c>
      <c r="K519" s="160">
        <f t="shared" si="8"/>
        <v>0.35859414261160716</v>
      </c>
      <c r="L519" s="52" t="s">
        <v>120</v>
      </c>
    </row>
    <row r="520" spans="1:12">
      <c r="A520" s="152" t="s">
        <v>123</v>
      </c>
      <c r="B520" s="59">
        <v>2021</v>
      </c>
      <c r="C520" s="344" t="s">
        <v>105</v>
      </c>
      <c r="D520" s="59">
        <v>408</v>
      </c>
      <c r="E520" s="344" t="s">
        <v>135</v>
      </c>
      <c r="F520" s="29">
        <v>1</v>
      </c>
      <c r="G520" s="9">
        <v>1</v>
      </c>
      <c r="H520" s="9">
        <v>1</v>
      </c>
      <c r="I520" s="9">
        <v>2</v>
      </c>
      <c r="J520" s="9">
        <v>2</v>
      </c>
      <c r="K520" s="160">
        <f t="shared" si="8"/>
        <v>0.35859414261160716</v>
      </c>
      <c r="L520" s="52" t="s">
        <v>120</v>
      </c>
    </row>
    <row r="521" spans="1:12">
      <c r="A521" s="152" t="s">
        <v>123</v>
      </c>
      <c r="B521" s="59">
        <v>2021</v>
      </c>
      <c r="C521" s="344" t="s">
        <v>103</v>
      </c>
      <c r="D521" s="59">
        <v>317</v>
      </c>
      <c r="E521" s="344" t="s">
        <v>135</v>
      </c>
      <c r="F521" s="29">
        <v>1</v>
      </c>
      <c r="G521" s="9">
        <v>1</v>
      </c>
      <c r="H521" s="9">
        <v>1</v>
      </c>
      <c r="I521" s="9">
        <v>2</v>
      </c>
      <c r="J521" s="9">
        <v>2</v>
      </c>
      <c r="K521" s="160">
        <f t="shared" si="8"/>
        <v>0.35859414261160716</v>
      </c>
      <c r="L521" s="52" t="s">
        <v>120</v>
      </c>
    </row>
    <row r="522" spans="1:12">
      <c r="A522" s="152" t="s">
        <v>123</v>
      </c>
      <c r="B522" s="59">
        <v>2021</v>
      </c>
      <c r="C522" s="344" t="s">
        <v>101</v>
      </c>
      <c r="D522" s="59">
        <v>72</v>
      </c>
      <c r="E522" s="344" t="s">
        <v>135</v>
      </c>
      <c r="F522" s="29">
        <v>1</v>
      </c>
      <c r="G522" s="9">
        <v>1</v>
      </c>
      <c r="H522" s="9">
        <v>1</v>
      </c>
      <c r="I522" s="9">
        <v>2</v>
      </c>
      <c r="J522" s="9">
        <v>2</v>
      </c>
      <c r="K522" s="160">
        <f t="shared" si="8"/>
        <v>0.35859414261160716</v>
      </c>
      <c r="L522" s="52" t="s">
        <v>120</v>
      </c>
    </row>
    <row r="523" spans="1:12" ht="15.75" thickBot="1">
      <c r="A523" s="230" t="s">
        <v>123</v>
      </c>
      <c r="B523" s="822">
        <v>2021</v>
      </c>
      <c r="C523" s="660" t="s">
        <v>106</v>
      </c>
      <c r="D523" s="822">
        <v>1687</v>
      </c>
      <c r="E523" s="660" t="s">
        <v>135</v>
      </c>
      <c r="F523" s="155">
        <v>1</v>
      </c>
      <c r="G523" s="119">
        <v>1</v>
      </c>
      <c r="H523" s="119">
        <v>1</v>
      </c>
      <c r="I523" s="119">
        <v>2</v>
      </c>
      <c r="J523" s="119">
        <v>2</v>
      </c>
      <c r="K523" s="833">
        <f t="shared" si="8"/>
        <v>0.35859414261160716</v>
      </c>
      <c r="L523" s="61" t="s">
        <v>120</v>
      </c>
    </row>
    <row r="524" spans="1:12">
      <c r="A524" s="151" t="s">
        <v>37</v>
      </c>
      <c r="B524" s="234">
        <v>2020</v>
      </c>
      <c r="C524" s="39" t="s">
        <v>96</v>
      </c>
      <c r="D524" s="54">
        <f>Intentionally_produced_MPs!G57</f>
        <v>0</v>
      </c>
      <c r="E524" s="39" t="s">
        <v>125</v>
      </c>
      <c r="F524" s="28">
        <v>1</v>
      </c>
      <c r="G524" s="11">
        <v>1</v>
      </c>
      <c r="H524" s="11">
        <v>3</v>
      </c>
      <c r="I524" s="11">
        <v>1</v>
      </c>
      <c r="J524" s="11">
        <v>1</v>
      </c>
      <c r="K524" s="159">
        <f t="shared" si="8"/>
        <v>0.35859414261160716</v>
      </c>
      <c r="L524" s="51"/>
    </row>
    <row r="525" spans="1:12">
      <c r="A525" s="152" t="s">
        <v>37</v>
      </c>
      <c r="B525" s="235">
        <v>2020</v>
      </c>
      <c r="C525" s="40" t="s">
        <v>97</v>
      </c>
      <c r="D525" s="55">
        <f>Intentionally_produced_MPs!H57</f>
        <v>0</v>
      </c>
      <c r="E525" s="40" t="s">
        <v>125</v>
      </c>
      <c r="F525" s="29">
        <v>1</v>
      </c>
      <c r="G525" s="9">
        <v>1</v>
      </c>
      <c r="H525" s="9">
        <v>3</v>
      </c>
      <c r="I525" s="9">
        <v>1</v>
      </c>
      <c r="J525" s="9">
        <v>1</v>
      </c>
      <c r="K525" s="160">
        <f t="shared" si="8"/>
        <v>0.35859414261160716</v>
      </c>
      <c r="L525" s="52"/>
    </row>
    <row r="526" spans="1:12">
      <c r="A526" s="152" t="s">
        <v>37</v>
      </c>
      <c r="B526" s="235">
        <v>2020</v>
      </c>
      <c r="C526" s="40" t="s">
        <v>102</v>
      </c>
      <c r="D526" s="55">
        <f>Intentionally_produced_MPs!M57</f>
        <v>0</v>
      </c>
      <c r="E526" s="40" t="s">
        <v>125</v>
      </c>
      <c r="F526" s="29">
        <v>1</v>
      </c>
      <c r="G526" s="9">
        <v>1</v>
      </c>
      <c r="H526" s="9">
        <v>3</v>
      </c>
      <c r="I526" s="9">
        <v>1</v>
      </c>
      <c r="J526" s="9">
        <v>1</v>
      </c>
      <c r="K526" s="160">
        <f t="shared" si="8"/>
        <v>0.35859414261160716</v>
      </c>
      <c r="L526" s="52"/>
    </row>
    <row r="527" spans="1:12">
      <c r="A527" s="152" t="s">
        <v>37</v>
      </c>
      <c r="B527" s="235">
        <v>2020</v>
      </c>
      <c r="C527" s="40" t="s">
        <v>104</v>
      </c>
      <c r="D527" s="55">
        <f>Intentionally_produced_MPs!O57</f>
        <v>0</v>
      </c>
      <c r="E527" s="40" t="s">
        <v>125</v>
      </c>
      <c r="F527" s="29">
        <v>1</v>
      </c>
      <c r="G527" s="9">
        <v>1</v>
      </c>
      <c r="H527" s="9">
        <v>3</v>
      </c>
      <c r="I527" s="9">
        <v>1</v>
      </c>
      <c r="J527" s="9">
        <v>1</v>
      </c>
      <c r="K527" s="160">
        <f t="shared" si="8"/>
        <v>0.35859414261160716</v>
      </c>
      <c r="L527" s="52"/>
    </row>
    <row r="528" spans="1:12">
      <c r="A528" s="152" t="s">
        <v>37</v>
      </c>
      <c r="B528" s="235">
        <v>2020</v>
      </c>
      <c r="C528" s="40" t="s">
        <v>99</v>
      </c>
      <c r="D528" s="55">
        <f>Intentionally_produced_MPs!J57</f>
        <v>0.60256976333451073</v>
      </c>
      <c r="E528" s="40" t="s">
        <v>125</v>
      </c>
      <c r="F528" s="29">
        <v>1</v>
      </c>
      <c r="G528" s="9">
        <v>1</v>
      </c>
      <c r="H528" s="9">
        <v>3</v>
      </c>
      <c r="I528" s="9">
        <v>1</v>
      </c>
      <c r="J528" s="9">
        <v>1</v>
      </c>
      <c r="K528" s="160">
        <f t="shared" si="8"/>
        <v>0.35859414261160716</v>
      </c>
      <c r="L528" s="52"/>
    </row>
    <row r="529" spans="1:12">
      <c r="A529" s="152" t="s">
        <v>37</v>
      </c>
      <c r="B529" s="235">
        <v>2020</v>
      </c>
      <c r="C529" s="40" t="s">
        <v>95</v>
      </c>
      <c r="D529" s="55">
        <f>Intentionally_produced_MPs!F57</f>
        <v>1</v>
      </c>
      <c r="E529" s="40" t="s">
        <v>125</v>
      </c>
      <c r="F529" s="29">
        <v>1</v>
      </c>
      <c r="G529" s="9">
        <v>1</v>
      </c>
      <c r="H529" s="9">
        <v>3</v>
      </c>
      <c r="I529" s="9">
        <v>1</v>
      </c>
      <c r="J529" s="9">
        <v>1</v>
      </c>
      <c r="K529" s="160">
        <f t="shared" si="8"/>
        <v>0.35859414261160716</v>
      </c>
      <c r="L529" s="52"/>
    </row>
    <row r="530" spans="1:12">
      <c r="A530" s="152" t="s">
        <v>37</v>
      </c>
      <c r="B530" s="235">
        <v>2020</v>
      </c>
      <c r="C530" s="40" t="s">
        <v>93</v>
      </c>
      <c r="D530" s="55">
        <f>Intentionally_produced_MPs!D57</f>
        <v>1.125</v>
      </c>
      <c r="E530" s="40" t="s">
        <v>125</v>
      </c>
      <c r="F530" s="29">
        <v>1</v>
      </c>
      <c r="G530" s="9">
        <v>1</v>
      </c>
      <c r="H530" s="9">
        <v>3</v>
      </c>
      <c r="I530" s="9">
        <v>1</v>
      </c>
      <c r="J530" s="9">
        <v>1</v>
      </c>
      <c r="K530" s="160">
        <f t="shared" si="8"/>
        <v>0.35859414261160716</v>
      </c>
      <c r="L530" s="52"/>
    </row>
    <row r="531" spans="1:12">
      <c r="A531" s="152" t="s">
        <v>37</v>
      </c>
      <c r="B531" s="235">
        <v>2020</v>
      </c>
      <c r="C531" s="40" t="s">
        <v>98</v>
      </c>
      <c r="D531" s="55">
        <f>Intentionally_produced_MPs!I57</f>
        <v>1.125</v>
      </c>
      <c r="E531" s="40" t="s">
        <v>125</v>
      </c>
      <c r="F531" s="29">
        <v>1</v>
      </c>
      <c r="G531" s="9">
        <v>1</v>
      </c>
      <c r="H531" s="9">
        <v>3</v>
      </c>
      <c r="I531" s="9">
        <v>1</v>
      </c>
      <c r="J531" s="9">
        <v>1</v>
      </c>
      <c r="K531" s="160">
        <f t="shared" si="8"/>
        <v>0.35859414261160716</v>
      </c>
      <c r="L531" s="52"/>
    </row>
    <row r="532" spans="1:12">
      <c r="A532" s="152" t="s">
        <v>37</v>
      </c>
      <c r="B532" s="235">
        <v>2020</v>
      </c>
      <c r="C532" s="40" t="s">
        <v>105</v>
      </c>
      <c r="D532" s="55">
        <f>Intentionally_produced_MPs!P57</f>
        <v>1.6025697633345108</v>
      </c>
      <c r="E532" s="40" t="s">
        <v>125</v>
      </c>
      <c r="F532" s="29">
        <v>1</v>
      </c>
      <c r="G532" s="9">
        <v>1</v>
      </c>
      <c r="H532" s="9">
        <v>3</v>
      </c>
      <c r="I532" s="9">
        <v>1</v>
      </c>
      <c r="J532" s="9">
        <v>1</v>
      </c>
      <c r="K532" s="160">
        <f t="shared" si="8"/>
        <v>0.35859414261160716</v>
      </c>
      <c r="L532" s="52"/>
    </row>
    <row r="533" spans="1:12">
      <c r="A533" s="152" t="s">
        <v>37</v>
      </c>
      <c r="B533" s="235">
        <v>2020</v>
      </c>
      <c r="C533" s="40" t="s">
        <v>103</v>
      </c>
      <c r="D533" s="55">
        <f>Intentionally_produced_MPs!N57</f>
        <v>1.6163390373067874</v>
      </c>
      <c r="E533" s="40" t="s">
        <v>125</v>
      </c>
      <c r="F533" s="29">
        <v>1</v>
      </c>
      <c r="G533" s="9">
        <v>1</v>
      </c>
      <c r="H533" s="9">
        <v>3</v>
      </c>
      <c r="I533" s="9">
        <v>1</v>
      </c>
      <c r="J533" s="9">
        <v>1</v>
      </c>
      <c r="K533" s="160">
        <f t="shared" si="8"/>
        <v>0.35859414261160716</v>
      </c>
      <c r="L533" s="52"/>
    </row>
    <row r="534" spans="1:12">
      <c r="A534" s="152" t="s">
        <v>37</v>
      </c>
      <c r="B534" s="235">
        <v>2020</v>
      </c>
      <c r="C534" s="40" t="s">
        <v>94</v>
      </c>
      <c r="D534" s="55">
        <f>Intentionally_produced_MPs!E57</f>
        <v>8.4170262584018349</v>
      </c>
      <c r="E534" s="40" t="s">
        <v>125</v>
      </c>
      <c r="F534" s="29">
        <v>1</v>
      </c>
      <c r="G534" s="9">
        <v>1</v>
      </c>
      <c r="H534" s="9">
        <v>3</v>
      </c>
      <c r="I534" s="9">
        <v>1</v>
      </c>
      <c r="J534" s="9">
        <v>1</v>
      </c>
      <c r="K534" s="160">
        <f t="shared" si="8"/>
        <v>0.35859414261160716</v>
      </c>
      <c r="L534" s="52"/>
    </row>
    <row r="535" spans="1:12">
      <c r="A535" s="152" t="s">
        <v>37</v>
      </c>
      <c r="B535" s="235">
        <v>2020</v>
      </c>
      <c r="C535" s="40" t="s">
        <v>106</v>
      </c>
      <c r="D535" s="55">
        <f>Intentionally_produced_MPs!Q57</f>
        <v>9.6628389153492069</v>
      </c>
      <c r="E535" s="40" t="s">
        <v>125</v>
      </c>
      <c r="F535" s="29">
        <v>1</v>
      </c>
      <c r="G535" s="9">
        <v>1</v>
      </c>
      <c r="H535" s="9">
        <v>3</v>
      </c>
      <c r="I535" s="9">
        <v>1</v>
      </c>
      <c r="J535" s="9">
        <v>1</v>
      </c>
      <c r="K535" s="160">
        <f t="shared" si="8"/>
        <v>0.35859414261160716</v>
      </c>
      <c r="L535" s="52"/>
    </row>
    <row r="536" spans="1:12">
      <c r="A536" s="152" t="s">
        <v>37</v>
      </c>
      <c r="B536" s="235">
        <v>2020</v>
      </c>
      <c r="C536" s="40" t="s">
        <v>101</v>
      </c>
      <c r="D536" s="55">
        <f>Intentionally_produced_MPs!L57</f>
        <v>21.948661262273152</v>
      </c>
      <c r="E536" s="40" t="s">
        <v>125</v>
      </c>
      <c r="F536" s="29">
        <v>1</v>
      </c>
      <c r="G536" s="9">
        <v>1</v>
      </c>
      <c r="H536" s="9">
        <v>3</v>
      </c>
      <c r="I536" s="9">
        <v>1</v>
      </c>
      <c r="J536" s="9">
        <v>1</v>
      </c>
      <c r="K536" s="160">
        <f t="shared" si="8"/>
        <v>0.35859414261160716</v>
      </c>
      <c r="L536" s="52"/>
    </row>
    <row r="537" spans="1:12" ht="15.75" thickBot="1">
      <c r="A537" s="153" t="s">
        <v>37</v>
      </c>
      <c r="B537" s="236">
        <v>2020</v>
      </c>
      <c r="C537" s="41" t="s">
        <v>100</v>
      </c>
      <c r="D537" s="56">
        <f>Intentionally_produced_MPs!K57</f>
        <v>115.5</v>
      </c>
      <c r="E537" s="41" t="s">
        <v>125</v>
      </c>
      <c r="F537" s="30">
        <v>1</v>
      </c>
      <c r="G537" s="12">
        <v>1</v>
      </c>
      <c r="H537" s="12">
        <v>3</v>
      </c>
      <c r="I537" s="12">
        <v>1</v>
      </c>
      <c r="J537" s="12">
        <v>1</v>
      </c>
      <c r="K537" s="161">
        <f t="shared" si="8"/>
        <v>0.35859414261160716</v>
      </c>
      <c r="L537" s="53"/>
    </row>
    <row r="538" spans="1:12">
      <c r="A538" s="233" t="str">
        <f>Packaging!AF59</f>
        <v>Packaging</v>
      </c>
      <c r="B538" s="237">
        <f>Packaging!AG59</f>
        <v>2017</v>
      </c>
      <c r="C538" s="162" t="str">
        <f>Packaging!AI59</f>
        <v>EPS</v>
      </c>
      <c r="D538" s="158">
        <f>Packaging!AJ59</f>
        <v>196.16893694434862</v>
      </c>
      <c r="E538" s="162" t="s">
        <v>126</v>
      </c>
      <c r="F538" s="677">
        <v>1</v>
      </c>
      <c r="G538" s="118">
        <v>1</v>
      </c>
      <c r="H538" s="118">
        <v>2</v>
      </c>
      <c r="I538" s="118">
        <v>1</v>
      </c>
      <c r="J538" s="118">
        <v>2</v>
      </c>
      <c r="K538" s="835">
        <f t="shared" si="8"/>
        <v>0.35859414261160716</v>
      </c>
      <c r="L538" s="679"/>
    </row>
    <row r="539" spans="1:12">
      <c r="A539" s="152" t="str">
        <f>Packaging!AF51</f>
        <v>Packaging</v>
      </c>
      <c r="B539" s="235">
        <f>Packaging!AG51</f>
        <v>2018</v>
      </c>
      <c r="C539" s="40" t="str">
        <f>Packaging!AI51</f>
        <v>EPS</v>
      </c>
      <c r="D539" s="55">
        <f>Packaging!AJ51</f>
        <v>199.7502347440078</v>
      </c>
      <c r="E539" s="40" t="s">
        <v>126</v>
      </c>
      <c r="F539" s="29">
        <v>1</v>
      </c>
      <c r="G539" s="9">
        <v>1</v>
      </c>
      <c r="H539" s="9">
        <v>2</v>
      </c>
      <c r="I539" s="9">
        <v>1</v>
      </c>
      <c r="J539" s="9">
        <v>2</v>
      </c>
      <c r="K539" s="160">
        <f t="shared" si="8"/>
        <v>0.35859414261160716</v>
      </c>
      <c r="L539" s="52"/>
    </row>
    <row r="540" spans="1:12">
      <c r="A540" s="152" t="str">
        <f>Packaging!AF43</f>
        <v>Packaging</v>
      </c>
      <c r="B540" s="235">
        <f>Packaging!AG43</f>
        <v>2019</v>
      </c>
      <c r="C540" s="40" t="str">
        <f>Packaging!AI43</f>
        <v>EPS</v>
      </c>
      <c r="D540" s="55">
        <f>Packaging!AJ43</f>
        <v>205.7539301402723</v>
      </c>
      <c r="E540" s="40" t="s">
        <v>126</v>
      </c>
      <c r="F540" s="29">
        <v>1</v>
      </c>
      <c r="G540" s="9">
        <v>1</v>
      </c>
      <c r="H540" s="9">
        <v>2</v>
      </c>
      <c r="I540" s="9">
        <v>1</v>
      </c>
      <c r="J540" s="9">
        <v>2</v>
      </c>
      <c r="K540" s="160">
        <f t="shared" si="8"/>
        <v>0.35859414261160716</v>
      </c>
      <c r="L540" s="52"/>
    </row>
    <row r="541" spans="1:12">
      <c r="A541" s="152" t="str">
        <f>Packaging!AF35</f>
        <v>Packaging</v>
      </c>
      <c r="B541" s="235">
        <f>Packaging!AG35</f>
        <v>2020</v>
      </c>
      <c r="C541" s="40" t="str">
        <f>Packaging!AI35</f>
        <v>EPS</v>
      </c>
      <c r="D541" s="55">
        <f>Packaging!AJ35</f>
        <v>208.32709651874683</v>
      </c>
      <c r="E541" s="40" t="s">
        <v>126</v>
      </c>
      <c r="F541" s="29">
        <v>1</v>
      </c>
      <c r="G541" s="9">
        <v>1</v>
      </c>
      <c r="H541" s="9">
        <v>2</v>
      </c>
      <c r="I541" s="9">
        <v>1</v>
      </c>
      <c r="J541" s="9">
        <v>2</v>
      </c>
      <c r="K541" s="160">
        <f t="shared" si="8"/>
        <v>0.35859414261160716</v>
      </c>
      <c r="L541" s="63"/>
    </row>
    <row r="542" spans="1:12">
      <c r="A542" s="152" t="str">
        <f>Packaging!AF27</f>
        <v>Packaging</v>
      </c>
      <c r="B542" s="235">
        <f>Packaging!AG27</f>
        <v>2021</v>
      </c>
      <c r="C542" s="40" t="str">
        <f>Packaging!AI27</f>
        <v>EPS</v>
      </c>
      <c r="D542" s="55">
        <f>Packaging!AJ27</f>
        <v>216.38776664232742</v>
      </c>
      <c r="E542" s="40" t="s">
        <v>126</v>
      </c>
      <c r="F542" s="29">
        <v>1</v>
      </c>
      <c r="G542" s="9">
        <v>1</v>
      </c>
      <c r="H542" s="9">
        <v>2</v>
      </c>
      <c r="I542" s="9">
        <v>1</v>
      </c>
      <c r="J542" s="9">
        <v>2</v>
      </c>
      <c r="K542" s="160">
        <f t="shared" si="8"/>
        <v>0.35859414261160716</v>
      </c>
      <c r="L542" s="52"/>
    </row>
    <row r="543" spans="1:12">
      <c r="A543" s="152" t="str">
        <f>Packaging!AF60</f>
        <v>Packaging</v>
      </c>
      <c r="B543" s="235">
        <f>Packaging!AG60</f>
        <v>2017</v>
      </c>
      <c r="C543" s="40" t="str">
        <f>Packaging!AI60</f>
        <v>PVC</v>
      </c>
      <c r="D543" s="55">
        <f>Packaging!AJ60</f>
        <v>312.57448292752849</v>
      </c>
      <c r="E543" s="40" t="s">
        <v>126</v>
      </c>
      <c r="F543" s="29">
        <v>1</v>
      </c>
      <c r="G543" s="9">
        <v>1</v>
      </c>
      <c r="H543" s="9">
        <v>2</v>
      </c>
      <c r="I543" s="9">
        <v>1</v>
      </c>
      <c r="J543" s="9">
        <v>2</v>
      </c>
      <c r="K543" s="160">
        <f t="shared" si="8"/>
        <v>0.35859414261160716</v>
      </c>
      <c r="L543" s="52"/>
    </row>
    <row r="544" spans="1:12">
      <c r="A544" s="152" t="str">
        <f>Packaging!AF52</f>
        <v>Packaging</v>
      </c>
      <c r="B544" s="235">
        <f>Packaging!AG52</f>
        <v>2018</v>
      </c>
      <c r="C544" s="40" t="str">
        <f>Packaging!AI52</f>
        <v>PVC</v>
      </c>
      <c r="D544" s="55">
        <f>Packaging!AJ52</f>
        <v>318.28090273779407</v>
      </c>
      <c r="E544" s="40" t="s">
        <v>126</v>
      </c>
      <c r="F544" s="29">
        <v>1</v>
      </c>
      <c r="G544" s="9">
        <v>1</v>
      </c>
      <c r="H544" s="9">
        <v>2</v>
      </c>
      <c r="I544" s="9">
        <v>1</v>
      </c>
      <c r="J544" s="9">
        <v>2</v>
      </c>
      <c r="K544" s="160">
        <f t="shared" si="8"/>
        <v>0.35859414261160716</v>
      </c>
      <c r="L544" s="52"/>
    </row>
    <row r="545" spans="1:12">
      <c r="A545" s="152" t="str">
        <f>Packaging!AF44</f>
        <v>Packaging</v>
      </c>
      <c r="B545" s="235">
        <f>Packaging!AG44</f>
        <v>2019</v>
      </c>
      <c r="C545" s="40" t="str">
        <f>Packaging!AI44</f>
        <v>PVC</v>
      </c>
      <c r="D545" s="55">
        <f>Packaging!AJ44</f>
        <v>327.84715728029653</v>
      </c>
      <c r="E545" s="40" t="s">
        <v>126</v>
      </c>
      <c r="F545" s="29">
        <v>1</v>
      </c>
      <c r="G545" s="9">
        <v>1</v>
      </c>
      <c r="H545" s="9">
        <v>2</v>
      </c>
      <c r="I545" s="9">
        <v>1</v>
      </c>
      <c r="J545" s="9">
        <v>2</v>
      </c>
      <c r="K545" s="160">
        <f t="shared" si="8"/>
        <v>0.35859414261160716</v>
      </c>
      <c r="L545" s="52"/>
    </row>
    <row r="546" spans="1:12">
      <c r="A546" s="152" t="str">
        <f>Packaging!AF36</f>
        <v>Packaging</v>
      </c>
      <c r="B546" s="235">
        <f>Packaging!AG36</f>
        <v>2020</v>
      </c>
      <c r="C546" s="40" t="str">
        <f>Packaging!AI36</f>
        <v>PVC</v>
      </c>
      <c r="D546" s="55">
        <f>Packaging!AJ36</f>
        <v>331.94722614321932</v>
      </c>
      <c r="E546" s="40" t="s">
        <v>126</v>
      </c>
      <c r="F546" s="29">
        <v>1</v>
      </c>
      <c r="G546" s="9">
        <v>1</v>
      </c>
      <c r="H546" s="9">
        <v>2</v>
      </c>
      <c r="I546" s="9">
        <v>1</v>
      </c>
      <c r="J546" s="9">
        <v>2</v>
      </c>
      <c r="K546" s="160">
        <f t="shared" si="8"/>
        <v>0.35859414261160716</v>
      </c>
      <c r="L546" s="63"/>
    </row>
    <row r="547" spans="1:12">
      <c r="A547" s="152" t="str">
        <f>Packaging!AF28</f>
        <v>Packaging</v>
      </c>
      <c r="B547" s="235">
        <f>Packaging!AG28</f>
        <v>2021</v>
      </c>
      <c r="C547" s="40" t="str">
        <f>Packaging!AI28</f>
        <v>PVC</v>
      </c>
      <c r="D547" s="55">
        <f>Packaging!AJ28</f>
        <v>344.79105266934431</v>
      </c>
      <c r="E547" s="40" t="s">
        <v>126</v>
      </c>
      <c r="F547" s="29">
        <v>1</v>
      </c>
      <c r="G547" s="9">
        <v>1</v>
      </c>
      <c r="H547" s="9">
        <v>2</v>
      </c>
      <c r="I547" s="9">
        <v>1</v>
      </c>
      <c r="J547" s="9">
        <v>2</v>
      </c>
      <c r="K547" s="160">
        <f t="shared" si="8"/>
        <v>0.35859414261160716</v>
      </c>
      <c r="L547" s="52"/>
    </row>
    <row r="548" spans="1:12">
      <c r="A548" s="152" t="str">
        <f>Packaging!AF62</f>
        <v>Packaging</v>
      </c>
      <c r="B548" s="235">
        <f>Packaging!AG62</f>
        <v>2017</v>
      </c>
      <c r="C548" s="40" t="str">
        <f>Packaging!AI62</f>
        <v>OTHER</v>
      </c>
      <c r="D548" s="55">
        <f>Packaging!AJ62</f>
        <v>369.51335477026953</v>
      </c>
      <c r="E548" s="40" t="s">
        <v>126</v>
      </c>
      <c r="F548" s="29">
        <v>1</v>
      </c>
      <c r="G548" s="9">
        <v>1</v>
      </c>
      <c r="H548" s="9">
        <v>2</v>
      </c>
      <c r="I548" s="9">
        <v>1</v>
      </c>
      <c r="J548" s="9">
        <v>2</v>
      </c>
      <c r="K548" s="160">
        <f t="shared" si="8"/>
        <v>0.35859414261160716</v>
      </c>
      <c r="L548" s="52"/>
    </row>
    <row r="549" spans="1:12">
      <c r="A549" s="152" t="str">
        <f>Packaging!AF54</f>
        <v>Packaging</v>
      </c>
      <c r="B549" s="235">
        <f>Packaging!AG54</f>
        <v>2018</v>
      </c>
      <c r="C549" s="40" t="str">
        <f>Packaging!AI54</f>
        <v>OTHER</v>
      </c>
      <c r="D549" s="55">
        <f>Packaging!AJ54</f>
        <v>376.25926156365176</v>
      </c>
      <c r="E549" s="40" t="s">
        <v>126</v>
      </c>
      <c r="F549" s="29">
        <v>1</v>
      </c>
      <c r="G549" s="9">
        <v>1</v>
      </c>
      <c r="H549" s="9">
        <v>2</v>
      </c>
      <c r="I549" s="9">
        <v>1</v>
      </c>
      <c r="J549" s="9">
        <v>2</v>
      </c>
      <c r="K549" s="160">
        <f t="shared" si="8"/>
        <v>0.35859414261160716</v>
      </c>
      <c r="L549" s="52"/>
    </row>
    <row r="550" spans="1:12">
      <c r="A550" s="152" t="str">
        <f>Packaging!AF46</f>
        <v>Packaging</v>
      </c>
      <c r="B550" s="235">
        <f>Packaging!AG46</f>
        <v>2019</v>
      </c>
      <c r="C550" s="40" t="str">
        <f>Packaging!AI46</f>
        <v>OTHER</v>
      </c>
      <c r="D550" s="55">
        <f>Packaging!AJ46</f>
        <v>387.56811433845098</v>
      </c>
      <c r="E550" s="40" t="s">
        <v>126</v>
      </c>
      <c r="F550" s="29">
        <v>1</v>
      </c>
      <c r="G550" s="9">
        <v>1</v>
      </c>
      <c r="H550" s="9">
        <v>2</v>
      </c>
      <c r="I550" s="9">
        <v>1</v>
      </c>
      <c r="J550" s="9">
        <v>2</v>
      </c>
      <c r="K550" s="160">
        <f t="shared" si="8"/>
        <v>0.35859414261160716</v>
      </c>
      <c r="L550" s="52"/>
    </row>
    <row r="551" spans="1:12">
      <c r="A551" s="152" t="str">
        <f>Packaging!AF38</f>
        <v>Packaging</v>
      </c>
      <c r="B551" s="235">
        <f>Packaging!AG38</f>
        <v>2020</v>
      </c>
      <c r="C551" s="40" t="str">
        <f>Packaging!AI38</f>
        <v>OTHER</v>
      </c>
      <c r="D551" s="55">
        <f>Packaging!AJ38</f>
        <v>392.41505573346876</v>
      </c>
      <c r="E551" s="40" t="s">
        <v>126</v>
      </c>
      <c r="F551" s="29">
        <v>1</v>
      </c>
      <c r="G551" s="9">
        <v>1</v>
      </c>
      <c r="H551" s="9">
        <v>2</v>
      </c>
      <c r="I551" s="9">
        <v>1</v>
      </c>
      <c r="J551" s="9">
        <v>2</v>
      </c>
      <c r="K551" s="160">
        <f t="shared" si="8"/>
        <v>0.35859414261160716</v>
      </c>
      <c r="L551" s="63"/>
    </row>
    <row r="552" spans="1:12">
      <c r="A552" s="152" t="str">
        <f>Packaging!AF30</f>
        <v>Packaging</v>
      </c>
      <c r="B552" s="235">
        <f>Packaging!AG30</f>
        <v>2021</v>
      </c>
      <c r="C552" s="40" t="str">
        <f>Packaging!AI30</f>
        <v>OTHER</v>
      </c>
      <c r="D552" s="55">
        <f>Packaging!AJ30</f>
        <v>407.59852619243202</v>
      </c>
      <c r="E552" s="40" t="s">
        <v>126</v>
      </c>
      <c r="F552" s="29">
        <v>1</v>
      </c>
      <c r="G552" s="9">
        <v>1</v>
      </c>
      <c r="H552" s="9">
        <v>2</v>
      </c>
      <c r="I552" s="9">
        <v>1</v>
      </c>
      <c r="J552" s="9">
        <v>2</v>
      </c>
      <c r="K552" s="160">
        <f t="shared" si="8"/>
        <v>0.35859414261160716</v>
      </c>
      <c r="L552" s="52"/>
    </row>
    <row r="553" spans="1:12">
      <c r="A553" s="152" t="str">
        <f>Packaging!AF58</f>
        <v>Packaging</v>
      </c>
      <c r="B553" s="235">
        <f>Packaging!AG58</f>
        <v>2017</v>
      </c>
      <c r="C553" s="40" t="str">
        <f>Packaging!AI58</f>
        <v>PS</v>
      </c>
      <c r="D553" s="55">
        <f>Packaging!AJ58</f>
        <v>548.65033904328789</v>
      </c>
      <c r="E553" s="40" t="s">
        <v>126</v>
      </c>
      <c r="F553" s="29">
        <v>1</v>
      </c>
      <c r="G553" s="9">
        <v>1</v>
      </c>
      <c r="H553" s="9">
        <v>2</v>
      </c>
      <c r="I553" s="9">
        <v>1</v>
      </c>
      <c r="J553" s="9">
        <v>2</v>
      </c>
      <c r="K553" s="160">
        <f t="shared" si="8"/>
        <v>0.35859414261160716</v>
      </c>
      <c r="L553" s="52"/>
    </row>
    <row r="554" spans="1:12">
      <c r="A554" s="152" t="str">
        <f>Packaging!AF50</f>
        <v>Packaging</v>
      </c>
      <c r="B554" s="235">
        <f>Packaging!AG50</f>
        <v>2018</v>
      </c>
      <c r="C554" s="40" t="str">
        <f>Packaging!AI50</f>
        <v>PS</v>
      </c>
      <c r="D554" s="55">
        <f>Packaging!AJ50</f>
        <v>558.66660503628452</v>
      </c>
      <c r="E554" s="40" t="s">
        <v>126</v>
      </c>
      <c r="F554" s="29">
        <v>1</v>
      </c>
      <c r="G554" s="9">
        <v>1</v>
      </c>
      <c r="H554" s="9">
        <v>2</v>
      </c>
      <c r="I554" s="9">
        <v>1</v>
      </c>
      <c r="J554" s="9">
        <v>2</v>
      </c>
      <c r="K554" s="160">
        <f t="shared" si="8"/>
        <v>0.35859414261160716</v>
      </c>
      <c r="L554" s="52"/>
    </row>
    <row r="555" spans="1:12">
      <c r="A555" s="152" t="str">
        <f>Packaging!AF42</f>
        <v>Packaging</v>
      </c>
      <c r="B555" s="235">
        <f>Packaging!AG42</f>
        <v>2019</v>
      </c>
      <c r="C555" s="40" t="str">
        <f>Packaging!AI42</f>
        <v>PS</v>
      </c>
      <c r="D555" s="55">
        <f>Packaging!AJ42</f>
        <v>575.45789506406095</v>
      </c>
      <c r="E555" s="40" t="s">
        <v>126</v>
      </c>
      <c r="F555" s="29">
        <v>1</v>
      </c>
      <c r="G555" s="9">
        <v>1</v>
      </c>
      <c r="H555" s="9">
        <v>2</v>
      </c>
      <c r="I555" s="9">
        <v>1</v>
      </c>
      <c r="J555" s="9">
        <v>2</v>
      </c>
      <c r="K555" s="160">
        <f t="shared" si="8"/>
        <v>0.35859414261160716</v>
      </c>
      <c r="L555" s="52"/>
    </row>
    <row r="556" spans="1:12">
      <c r="A556" s="152" t="str">
        <f>Packaging!AF34</f>
        <v>Packaging</v>
      </c>
      <c r="B556" s="235">
        <f>Packaging!AG34</f>
        <v>2020</v>
      </c>
      <c r="C556" s="40" t="str">
        <f>Packaging!AI34</f>
        <v>PS</v>
      </c>
      <c r="D556" s="55">
        <f>Packaging!AJ34</f>
        <v>582.65459311399411</v>
      </c>
      <c r="E556" s="40" t="s">
        <v>126</v>
      </c>
      <c r="F556" s="29">
        <v>1</v>
      </c>
      <c r="G556" s="9">
        <v>1</v>
      </c>
      <c r="H556" s="9">
        <v>2</v>
      </c>
      <c r="I556" s="9">
        <v>1</v>
      </c>
      <c r="J556" s="9">
        <v>2</v>
      </c>
      <c r="K556" s="160">
        <f t="shared" si="8"/>
        <v>0.35859414261160716</v>
      </c>
      <c r="L556" s="63"/>
    </row>
    <row r="557" spans="1:12">
      <c r="A557" s="152" t="str">
        <f>Packaging!AF26</f>
        <v>Packaging</v>
      </c>
      <c r="B557" s="235">
        <f>Packaging!AG26</f>
        <v>2021</v>
      </c>
      <c r="C557" s="40" t="str">
        <f>Packaging!AI26</f>
        <v>PS</v>
      </c>
      <c r="D557" s="55">
        <f>Packaging!AJ26</f>
        <v>605.19888307705389</v>
      </c>
      <c r="E557" s="40" t="s">
        <v>126</v>
      </c>
      <c r="F557" s="29">
        <v>1</v>
      </c>
      <c r="G557" s="9">
        <v>1</v>
      </c>
      <c r="H557" s="9">
        <v>2</v>
      </c>
      <c r="I557" s="9">
        <v>1</v>
      </c>
      <c r="J557" s="9">
        <v>2</v>
      </c>
      <c r="K557" s="160">
        <f t="shared" si="8"/>
        <v>0.35859414261160716</v>
      </c>
      <c r="L557" s="52"/>
    </row>
    <row r="558" spans="1:12">
      <c r="A558" s="152" t="str">
        <f>Packaging!AF61</f>
        <v>Packaging</v>
      </c>
      <c r="B558" s="235">
        <f>Packaging!AG61</f>
        <v>2017</v>
      </c>
      <c r="C558" s="40" t="str">
        <f>Packaging!AI61</f>
        <v>PET</v>
      </c>
      <c r="D558" s="55">
        <f>Packaging!AJ61</f>
        <v>2670.371333170558</v>
      </c>
      <c r="E558" s="40" t="s">
        <v>126</v>
      </c>
      <c r="F558" s="29">
        <v>1</v>
      </c>
      <c r="G558" s="9">
        <v>1</v>
      </c>
      <c r="H558" s="9">
        <v>2</v>
      </c>
      <c r="I558" s="9">
        <v>1</v>
      </c>
      <c r="J558" s="9">
        <v>2</v>
      </c>
      <c r="K558" s="160">
        <f t="shared" si="8"/>
        <v>0.35859414261160716</v>
      </c>
      <c r="L558" s="52"/>
    </row>
    <row r="559" spans="1:12">
      <c r="A559" s="152" t="str">
        <f>Packaging!AF56</f>
        <v>Packaging</v>
      </c>
      <c r="B559" s="235">
        <f>Packaging!AG56</f>
        <v>2017</v>
      </c>
      <c r="C559" s="40" t="str">
        <f>Packaging!AI56</f>
        <v>HDPE</v>
      </c>
      <c r="D559" s="55">
        <f>Packaging!AJ56</f>
        <v>2679.9417770960026</v>
      </c>
      <c r="E559" s="40" t="s">
        <v>126</v>
      </c>
      <c r="F559" s="29">
        <v>1</v>
      </c>
      <c r="G559" s="9">
        <v>1</v>
      </c>
      <c r="H559" s="9">
        <v>2</v>
      </c>
      <c r="I559" s="9">
        <v>1</v>
      </c>
      <c r="J559" s="9">
        <v>2</v>
      </c>
      <c r="K559" s="160">
        <f t="shared" si="8"/>
        <v>0.35859414261160716</v>
      </c>
      <c r="L559" s="52"/>
    </row>
    <row r="560" spans="1:12">
      <c r="A560" s="152" t="str">
        <f>Packaging!AF53</f>
        <v>Packaging</v>
      </c>
      <c r="B560" s="235">
        <f>Packaging!AG53</f>
        <v>2018</v>
      </c>
      <c r="C560" s="40" t="str">
        <f>Packaging!AI53</f>
        <v>PET</v>
      </c>
      <c r="D560" s="55">
        <f>Packaging!AJ53</f>
        <v>2719.1221452446925</v>
      </c>
      <c r="E560" s="40" t="s">
        <v>126</v>
      </c>
      <c r="F560" s="29">
        <v>1</v>
      </c>
      <c r="G560" s="9">
        <v>1</v>
      </c>
      <c r="H560" s="9">
        <v>2</v>
      </c>
      <c r="I560" s="9">
        <v>1</v>
      </c>
      <c r="J560" s="9">
        <v>2</v>
      </c>
      <c r="K560" s="160">
        <f t="shared" si="8"/>
        <v>0.35859414261160716</v>
      </c>
      <c r="L560" s="52"/>
    </row>
    <row r="561" spans="1:12">
      <c r="A561" s="152" t="str">
        <f>Packaging!AF48</f>
        <v>Packaging</v>
      </c>
      <c r="B561" s="235">
        <f>Packaging!AG48</f>
        <v>2018</v>
      </c>
      <c r="C561" s="40" t="str">
        <f>Packaging!AI48</f>
        <v>HDPE</v>
      </c>
      <c r="D561" s="55">
        <f>Packaging!AJ48</f>
        <v>2728.8673090330567</v>
      </c>
      <c r="E561" s="40" t="s">
        <v>126</v>
      </c>
      <c r="F561" s="29">
        <v>1</v>
      </c>
      <c r="G561" s="9">
        <v>1</v>
      </c>
      <c r="H561" s="9">
        <v>2</v>
      </c>
      <c r="I561" s="9">
        <v>1</v>
      </c>
      <c r="J561" s="9">
        <v>2</v>
      </c>
      <c r="K561" s="160">
        <f t="shared" si="8"/>
        <v>0.35859414261160716</v>
      </c>
      <c r="L561" s="52"/>
    </row>
    <row r="562" spans="1:12">
      <c r="A562" s="152" t="str">
        <f>Packaging!AF45</f>
        <v>Packaging</v>
      </c>
      <c r="B562" s="235">
        <f>Packaging!AG45</f>
        <v>2019</v>
      </c>
      <c r="C562" s="40" t="str">
        <f>Packaging!AI45</f>
        <v>PET</v>
      </c>
      <c r="D562" s="55">
        <f>Packaging!AJ45</f>
        <v>2800.8481123065467</v>
      </c>
      <c r="E562" s="40" t="s">
        <v>126</v>
      </c>
      <c r="F562" s="29">
        <v>1</v>
      </c>
      <c r="G562" s="9">
        <v>1</v>
      </c>
      <c r="H562" s="9">
        <v>2</v>
      </c>
      <c r="I562" s="9">
        <v>1</v>
      </c>
      <c r="J562" s="9">
        <v>2</v>
      </c>
      <c r="K562" s="160">
        <f t="shared" si="8"/>
        <v>0.35859414261160716</v>
      </c>
      <c r="L562" s="52"/>
    </row>
    <row r="563" spans="1:12">
      <c r="A563" s="152" t="str">
        <f>Packaging!AF40</f>
        <v>Packaging</v>
      </c>
      <c r="B563" s="235">
        <f>Packaging!AG40</f>
        <v>2019</v>
      </c>
      <c r="C563" s="40" t="str">
        <f>Packaging!AI40</f>
        <v>HDPE</v>
      </c>
      <c r="D563" s="55">
        <f>Packaging!AJ40</f>
        <v>2810.8861768519337</v>
      </c>
      <c r="E563" s="40" t="s">
        <v>126</v>
      </c>
      <c r="F563" s="29">
        <v>1</v>
      </c>
      <c r="G563" s="9">
        <v>1</v>
      </c>
      <c r="H563" s="9">
        <v>2</v>
      </c>
      <c r="I563" s="9">
        <v>1</v>
      </c>
      <c r="J563" s="9">
        <v>2</v>
      </c>
      <c r="K563" s="160">
        <f t="shared" si="8"/>
        <v>0.35859414261160716</v>
      </c>
      <c r="L563" s="52"/>
    </row>
    <row r="564" spans="1:12">
      <c r="A564" s="152" t="str">
        <f>Packaging!AF37</f>
        <v>Packaging</v>
      </c>
      <c r="B564" s="235">
        <f>Packaging!AG37</f>
        <v>2020</v>
      </c>
      <c r="C564" s="40" t="str">
        <f>Packaging!AI37</f>
        <v>PET</v>
      </c>
      <c r="D564" s="55">
        <f>Packaging!AJ37</f>
        <v>2835.8756239992163</v>
      </c>
      <c r="E564" s="40" t="s">
        <v>126</v>
      </c>
      <c r="F564" s="29">
        <v>1</v>
      </c>
      <c r="G564" s="9">
        <v>1</v>
      </c>
      <c r="H564" s="9">
        <v>2</v>
      </c>
      <c r="I564" s="9">
        <v>1</v>
      </c>
      <c r="J564" s="9">
        <v>2</v>
      </c>
      <c r="K564" s="160">
        <f t="shared" si="8"/>
        <v>0.35859414261160716</v>
      </c>
      <c r="L564" s="63"/>
    </row>
    <row r="565" spans="1:12">
      <c r="A565" s="152" t="str">
        <f>Packaging!AF32</f>
        <v>Packaging</v>
      </c>
      <c r="B565" s="235">
        <f>Packaging!AG32</f>
        <v>2020</v>
      </c>
      <c r="C565" s="40" t="str">
        <f>Packaging!AI32</f>
        <v>HDPE</v>
      </c>
      <c r="D565" s="55">
        <f>Packaging!AJ32</f>
        <v>2846.0392249568386</v>
      </c>
      <c r="E565" s="40" t="s">
        <v>126</v>
      </c>
      <c r="F565" s="29">
        <v>1</v>
      </c>
      <c r="G565" s="9">
        <v>1</v>
      </c>
      <c r="H565" s="9">
        <v>2</v>
      </c>
      <c r="I565" s="9">
        <v>1</v>
      </c>
      <c r="J565" s="9">
        <v>2</v>
      </c>
      <c r="K565" s="160">
        <f t="shared" si="8"/>
        <v>0.35859414261160716</v>
      </c>
      <c r="L565" s="63"/>
    </row>
    <row r="566" spans="1:12">
      <c r="A566" s="152" t="str">
        <f>Packaging!AF29</f>
        <v>Packaging</v>
      </c>
      <c r="B566" s="235">
        <f>Packaging!AG29</f>
        <v>2021</v>
      </c>
      <c r="C566" s="40" t="str">
        <f>Packaging!AI29</f>
        <v>PET</v>
      </c>
      <c r="D566" s="55">
        <f>Packaging!AJ29</f>
        <v>2945.6023868569887</v>
      </c>
      <c r="E566" s="40" t="s">
        <v>126</v>
      </c>
      <c r="F566" s="29">
        <v>1</v>
      </c>
      <c r="G566" s="9">
        <v>1</v>
      </c>
      <c r="H566" s="9">
        <v>2</v>
      </c>
      <c r="I566" s="9">
        <v>1</v>
      </c>
      <c r="J566" s="9">
        <v>2</v>
      </c>
      <c r="K566" s="160">
        <f t="shared" si="8"/>
        <v>0.35859414261160716</v>
      </c>
      <c r="L566" s="52"/>
    </row>
    <row r="567" spans="1:12">
      <c r="A567" s="152" t="str">
        <f>Packaging!AF24</f>
        <v>Packaging</v>
      </c>
      <c r="B567" s="235">
        <f>Packaging!AG24</f>
        <v>2021</v>
      </c>
      <c r="C567" s="40" t="str">
        <f>Packaging!AI24</f>
        <v>HDPE</v>
      </c>
      <c r="D567" s="55">
        <f>Packaging!AJ24</f>
        <v>2956.1592416733561</v>
      </c>
      <c r="E567" s="40" t="s">
        <v>126</v>
      </c>
      <c r="F567" s="29">
        <v>1</v>
      </c>
      <c r="G567" s="9">
        <v>1</v>
      </c>
      <c r="H567" s="9">
        <v>2</v>
      </c>
      <c r="I567" s="9">
        <v>1</v>
      </c>
      <c r="J567" s="9">
        <v>2</v>
      </c>
      <c r="K567" s="160">
        <f t="shared" si="8"/>
        <v>0.35859414261160716</v>
      </c>
      <c r="L567" s="52"/>
    </row>
    <row r="568" spans="1:12">
      <c r="A568" s="152" t="str">
        <f>Packaging!AF57</f>
        <v>Packaging</v>
      </c>
      <c r="B568" s="235">
        <f>Packaging!AG57</f>
        <v>2017</v>
      </c>
      <c r="C568" s="40" t="str">
        <f>Packaging!AI57</f>
        <v>PP</v>
      </c>
      <c r="D568" s="55">
        <f>Packaging!AJ57</f>
        <v>3067.413114842308</v>
      </c>
      <c r="E568" s="40" t="s">
        <v>126</v>
      </c>
      <c r="F568" s="29">
        <v>1</v>
      </c>
      <c r="G568" s="9">
        <v>1</v>
      </c>
      <c r="H568" s="9">
        <v>2</v>
      </c>
      <c r="I568" s="9">
        <v>1</v>
      </c>
      <c r="J568" s="9">
        <v>2</v>
      </c>
      <c r="K568" s="160">
        <f t="shared" si="8"/>
        <v>0.35859414261160716</v>
      </c>
      <c r="L568" s="52"/>
    </row>
    <row r="569" spans="1:12">
      <c r="A569" s="152" t="str">
        <f>Packaging!AF49</f>
        <v>Packaging</v>
      </c>
      <c r="B569" s="235">
        <f>Packaging!AG49</f>
        <v>2018</v>
      </c>
      <c r="C569" s="40" t="str">
        <f>Packaging!AI49</f>
        <v>PP</v>
      </c>
      <c r="D569" s="55">
        <f>Packaging!AJ49</f>
        <v>3123.4123979599349</v>
      </c>
      <c r="E569" s="40" t="s">
        <v>126</v>
      </c>
      <c r="F569" s="29">
        <v>1</v>
      </c>
      <c r="G569" s="9">
        <v>1</v>
      </c>
      <c r="H569" s="9">
        <v>2</v>
      </c>
      <c r="I569" s="9">
        <v>1</v>
      </c>
      <c r="J569" s="9">
        <v>2</v>
      </c>
      <c r="K569" s="160">
        <f t="shared" si="8"/>
        <v>0.35859414261160716</v>
      </c>
      <c r="L569" s="52"/>
    </row>
    <row r="570" spans="1:12">
      <c r="A570" s="152" t="str">
        <f>Packaging!AF41</f>
        <v>Packaging</v>
      </c>
      <c r="B570" s="235">
        <f>Packaging!AG41</f>
        <v>2019</v>
      </c>
      <c r="C570" s="40" t="str">
        <f>Packaging!AI41</f>
        <v>PP</v>
      </c>
      <c r="D570" s="55">
        <f>Packaging!AJ41</f>
        <v>3217.2897175951252</v>
      </c>
      <c r="E570" s="40" t="s">
        <v>126</v>
      </c>
      <c r="F570" s="29">
        <v>1</v>
      </c>
      <c r="G570" s="9">
        <v>1</v>
      </c>
      <c r="H570" s="9">
        <v>2</v>
      </c>
      <c r="I570" s="9">
        <v>1</v>
      </c>
      <c r="J570" s="9">
        <v>2</v>
      </c>
      <c r="K570" s="160">
        <f t="shared" si="8"/>
        <v>0.35859414261160716</v>
      </c>
      <c r="L570" s="52"/>
    </row>
    <row r="571" spans="1:12">
      <c r="A571" s="152" t="str">
        <f>Packaging!AF33</f>
        <v>Packaging</v>
      </c>
      <c r="B571" s="235">
        <f>Packaging!AG33</f>
        <v>2020</v>
      </c>
      <c r="C571" s="40" t="str">
        <f>Packaging!AI33</f>
        <v>PP</v>
      </c>
      <c r="D571" s="55">
        <f>Packaging!AJ33</f>
        <v>3257.5252636451264</v>
      </c>
      <c r="E571" s="40" t="s">
        <v>126</v>
      </c>
      <c r="F571" s="29">
        <v>1</v>
      </c>
      <c r="G571" s="9">
        <v>1</v>
      </c>
      <c r="H571" s="9">
        <v>2</v>
      </c>
      <c r="I571" s="9">
        <v>1</v>
      </c>
      <c r="J571" s="9">
        <v>2</v>
      </c>
      <c r="K571" s="160">
        <f t="shared" si="8"/>
        <v>0.35859414261160716</v>
      </c>
      <c r="L571" s="63"/>
    </row>
    <row r="572" spans="1:12">
      <c r="A572" s="152" t="str">
        <f>Packaging!AF25</f>
        <v>Packaging</v>
      </c>
      <c r="B572" s="235">
        <f>Packaging!AG25</f>
        <v>2021</v>
      </c>
      <c r="C572" s="40" t="str">
        <f>Packaging!AI25</f>
        <v>PP</v>
      </c>
      <c r="D572" s="55">
        <f>Packaging!AJ25</f>
        <v>3383.566652443104</v>
      </c>
      <c r="E572" s="40" t="s">
        <v>126</v>
      </c>
      <c r="F572" s="29">
        <v>1</v>
      </c>
      <c r="G572" s="9">
        <v>1</v>
      </c>
      <c r="H572" s="9">
        <v>2</v>
      </c>
      <c r="I572" s="9">
        <v>1</v>
      </c>
      <c r="J572" s="9">
        <v>2</v>
      </c>
      <c r="K572" s="160">
        <f t="shared" si="8"/>
        <v>0.35859414261160716</v>
      </c>
      <c r="L572" s="52"/>
    </row>
    <row r="573" spans="1:12">
      <c r="A573" s="152" t="str">
        <f>Packaging!AF55</f>
        <v>Packaging</v>
      </c>
      <c r="B573" s="235">
        <f>Packaging!AG55</f>
        <v>2017</v>
      </c>
      <c r="C573" s="40" t="str">
        <f>Packaging!AI55</f>
        <v>LDPE</v>
      </c>
      <c r="D573" s="55">
        <f>Packaging!AJ55</f>
        <v>4707.1416612056973</v>
      </c>
      <c r="E573" s="40" t="s">
        <v>126</v>
      </c>
      <c r="F573" s="29">
        <v>1</v>
      </c>
      <c r="G573" s="9">
        <v>1</v>
      </c>
      <c r="H573" s="9">
        <v>2</v>
      </c>
      <c r="I573" s="9">
        <v>1</v>
      </c>
      <c r="J573" s="9">
        <v>2</v>
      </c>
      <c r="K573" s="160">
        <f t="shared" si="8"/>
        <v>0.35859414261160716</v>
      </c>
      <c r="L573" s="52"/>
    </row>
    <row r="574" spans="1:12">
      <c r="A574" s="152" t="str">
        <f>Packaging!AF47</f>
        <v>Packaging</v>
      </c>
      <c r="B574" s="235">
        <f>Packaging!AG47</f>
        <v>2018</v>
      </c>
      <c r="C574" s="40" t="str">
        <f>Packaging!AI47</f>
        <v>LDPE</v>
      </c>
      <c r="D574" s="55">
        <f>Packaging!AJ47</f>
        <v>4793.0761436805778</v>
      </c>
      <c r="E574" s="40" t="s">
        <v>126</v>
      </c>
      <c r="F574" s="29">
        <v>1</v>
      </c>
      <c r="G574" s="9">
        <v>1</v>
      </c>
      <c r="H574" s="9">
        <v>2</v>
      </c>
      <c r="I574" s="9">
        <v>1</v>
      </c>
      <c r="J574" s="9">
        <v>2</v>
      </c>
      <c r="K574" s="160">
        <f t="shared" si="8"/>
        <v>0.35859414261160716</v>
      </c>
      <c r="L574" s="52"/>
    </row>
    <row r="575" spans="1:12">
      <c r="A575" s="152" t="str">
        <f>Packaging!AF39</f>
        <v>Packaging</v>
      </c>
      <c r="B575" s="235">
        <f>Packaging!AG39</f>
        <v>2019</v>
      </c>
      <c r="C575" s="40" t="str">
        <f>Packaging!AI39</f>
        <v>LDPE</v>
      </c>
      <c r="D575" s="55">
        <f>Packaging!AJ39</f>
        <v>4937.1368964233152</v>
      </c>
      <c r="E575" s="40" t="s">
        <v>126</v>
      </c>
      <c r="F575" s="29">
        <v>1</v>
      </c>
      <c r="G575" s="9">
        <v>1</v>
      </c>
      <c r="H575" s="9">
        <v>2</v>
      </c>
      <c r="I575" s="9">
        <v>1</v>
      </c>
      <c r="J575" s="9">
        <v>2</v>
      </c>
      <c r="K575" s="160">
        <f t="shared" si="8"/>
        <v>0.35859414261160716</v>
      </c>
      <c r="L575" s="52"/>
    </row>
    <row r="576" spans="1:12">
      <c r="A576" s="152" t="str">
        <f>Packaging!AF31</f>
        <v>Packaging</v>
      </c>
      <c r="B576" s="235">
        <f>Packaging!AG31</f>
        <v>2020</v>
      </c>
      <c r="C576" s="40" t="str">
        <f>Packaging!AI31</f>
        <v>LDPE</v>
      </c>
      <c r="D576" s="55">
        <f>Packaging!AJ31</f>
        <v>4998.880915889391</v>
      </c>
      <c r="E576" s="40" t="s">
        <v>126</v>
      </c>
      <c r="F576" s="29">
        <v>1</v>
      </c>
      <c r="G576" s="9">
        <v>1</v>
      </c>
      <c r="H576" s="9">
        <v>2</v>
      </c>
      <c r="I576" s="9">
        <v>1</v>
      </c>
      <c r="J576" s="9">
        <v>2</v>
      </c>
      <c r="K576" s="160">
        <f t="shared" si="8"/>
        <v>0.35859414261160716</v>
      </c>
      <c r="L576" s="63"/>
    </row>
    <row r="577" spans="1:12" ht="15.75" thickBot="1">
      <c r="A577" s="230" t="str">
        <f>Packaging!AF23</f>
        <v>Packaging</v>
      </c>
      <c r="B577" s="238">
        <f>Packaging!AG23</f>
        <v>2021</v>
      </c>
      <c r="C577" s="154" t="str">
        <f>Packaging!AI23</f>
        <v>LDPE</v>
      </c>
      <c r="D577" s="157">
        <f>Packaging!AJ23</f>
        <v>5192.2994904453935</v>
      </c>
      <c r="E577" s="154" t="s">
        <v>126</v>
      </c>
      <c r="F577" s="155">
        <v>1</v>
      </c>
      <c r="G577" s="119">
        <v>1</v>
      </c>
      <c r="H577" s="119">
        <v>2</v>
      </c>
      <c r="I577" s="119">
        <v>1</v>
      </c>
      <c r="J577" s="119">
        <v>2</v>
      </c>
      <c r="K577" s="833">
        <f t="shared" si="8"/>
        <v>0.35859414261160716</v>
      </c>
      <c r="L577" s="61"/>
    </row>
    <row r="578" spans="1:12" ht="15.75" thickBot="1">
      <c r="A578" s="231" t="s">
        <v>127</v>
      </c>
      <c r="B578" s="239">
        <v>2019</v>
      </c>
      <c r="C578" s="167" t="s">
        <v>107</v>
      </c>
      <c r="D578" s="590">
        <v>2326</v>
      </c>
      <c r="E578" s="167" t="s">
        <v>136</v>
      </c>
      <c r="F578" s="799">
        <v>1</v>
      </c>
      <c r="G578" s="770">
        <v>1</v>
      </c>
      <c r="H578" s="770">
        <v>3</v>
      </c>
      <c r="I578" s="770">
        <v>1</v>
      </c>
      <c r="J578" s="770">
        <v>2</v>
      </c>
      <c r="K578" s="836">
        <f t="shared" ref="K578:K587" si="9">IF( OR( ISBLANK(F578),ISBLANK(G578), ISBLANK(H578), ISBLANK(I578), ISBLANK(J578) ), "", 1.5*SQRT(   EXP(2.21*(F578-1)) + EXP(2.21*(G578-1)) + EXP(2.21*(H578-1)) + EXP(2.21*(I578-1)) + EXP(2.21*J578)   )/100*2.45 )</f>
        <v>0.47802211380704585</v>
      </c>
      <c r="L578" s="837"/>
    </row>
    <row r="579" spans="1:12">
      <c r="A579" s="233" t="s">
        <v>130</v>
      </c>
      <c r="B579" s="237">
        <v>2017</v>
      </c>
      <c r="C579" s="162" t="s">
        <v>93</v>
      </c>
      <c r="D579" s="825">
        <v>0</v>
      </c>
      <c r="E579" s="834" t="s">
        <v>133</v>
      </c>
      <c r="F579" s="677">
        <v>1</v>
      </c>
      <c r="G579" s="118">
        <v>1</v>
      </c>
      <c r="H579" s="118">
        <v>3</v>
      </c>
      <c r="I579" s="118">
        <v>1</v>
      </c>
      <c r="J579" s="118">
        <v>2</v>
      </c>
      <c r="K579" s="835">
        <f t="shared" si="9"/>
        <v>0.47802211380704585</v>
      </c>
      <c r="L579" s="232" t="s">
        <v>134</v>
      </c>
    </row>
    <row r="580" spans="1:12">
      <c r="A580" s="152" t="s">
        <v>130</v>
      </c>
      <c r="B580" s="235">
        <v>2017</v>
      </c>
      <c r="C580" s="40" t="s">
        <v>94</v>
      </c>
      <c r="D580" s="59">
        <v>4</v>
      </c>
      <c r="E580" s="810" t="s">
        <v>133</v>
      </c>
      <c r="F580" s="29">
        <v>1</v>
      </c>
      <c r="G580" s="9">
        <v>1</v>
      </c>
      <c r="H580" s="9">
        <v>3</v>
      </c>
      <c r="I580" s="9">
        <v>1</v>
      </c>
      <c r="J580" s="9">
        <v>2</v>
      </c>
      <c r="K580" s="160">
        <f t="shared" si="9"/>
        <v>0.47802211380704585</v>
      </c>
      <c r="L580" s="63" t="s">
        <v>134</v>
      </c>
    </row>
    <row r="581" spans="1:12">
      <c r="A581" s="152" t="s">
        <v>130</v>
      </c>
      <c r="B581" s="235">
        <v>2017</v>
      </c>
      <c r="C581" s="40" t="s">
        <v>95</v>
      </c>
      <c r="D581" s="59">
        <v>1903.3411817515153</v>
      </c>
      <c r="E581" s="810" t="s">
        <v>133</v>
      </c>
      <c r="F581" s="29">
        <v>1</v>
      </c>
      <c r="G581" s="9">
        <v>1</v>
      </c>
      <c r="H581" s="9">
        <v>3</v>
      </c>
      <c r="I581" s="9">
        <v>1</v>
      </c>
      <c r="J581" s="9">
        <v>2</v>
      </c>
      <c r="K581" s="160">
        <f t="shared" si="9"/>
        <v>0.47802211380704585</v>
      </c>
      <c r="L581" s="63" t="s">
        <v>134</v>
      </c>
    </row>
    <row r="582" spans="1:12">
      <c r="A582" s="152" t="s">
        <v>130</v>
      </c>
      <c r="B582" s="235">
        <v>2017</v>
      </c>
      <c r="C582" s="40" t="s">
        <v>96</v>
      </c>
      <c r="D582" s="59">
        <v>0</v>
      </c>
      <c r="E582" s="810" t="s">
        <v>133</v>
      </c>
      <c r="F582" s="29">
        <v>1</v>
      </c>
      <c r="G582" s="9">
        <v>1</v>
      </c>
      <c r="H582" s="9">
        <v>3</v>
      </c>
      <c r="I582" s="9">
        <v>1</v>
      </c>
      <c r="J582" s="9">
        <v>2</v>
      </c>
      <c r="K582" s="160">
        <f t="shared" si="9"/>
        <v>0.47802211380704585</v>
      </c>
      <c r="L582" s="63" t="s">
        <v>134</v>
      </c>
    </row>
    <row r="583" spans="1:12">
      <c r="A583" s="152" t="s">
        <v>130</v>
      </c>
      <c r="B583" s="235">
        <v>2017</v>
      </c>
      <c r="C583" s="40" t="s">
        <v>97</v>
      </c>
      <c r="D583" s="59">
        <v>0</v>
      </c>
      <c r="E583" s="810" t="s">
        <v>133</v>
      </c>
      <c r="F583" s="29">
        <v>1</v>
      </c>
      <c r="G583" s="9">
        <v>1</v>
      </c>
      <c r="H583" s="9">
        <v>3</v>
      </c>
      <c r="I583" s="9">
        <v>1</v>
      </c>
      <c r="J583" s="9">
        <v>2</v>
      </c>
      <c r="K583" s="160">
        <f t="shared" si="9"/>
        <v>0.47802211380704585</v>
      </c>
      <c r="L583" s="63" t="s">
        <v>134</v>
      </c>
    </row>
    <row r="584" spans="1:12">
      <c r="A584" s="152" t="s">
        <v>130</v>
      </c>
      <c r="B584" s="235">
        <v>2017</v>
      </c>
      <c r="C584" s="40" t="s">
        <v>98</v>
      </c>
      <c r="D584" s="59">
        <v>208.87860763636365</v>
      </c>
      <c r="E584" s="810" t="s">
        <v>133</v>
      </c>
      <c r="F584" s="29">
        <v>1</v>
      </c>
      <c r="G584" s="9">
        <v>1</v>
      </c>
      <c r="H584" s="9">
        <v>3</v>
      </c>
      <c r="I584" s="9">
        <v>1</v>
      </c>
      <c r="J584" s="9">
        <v>2</v>
      </c>
      <c r="K584" s="160">
        <f t="shared" si="9"/>
        <v>0.47802211380704585</v>
      </c>
      <c r="L584" s="63" t="s">
        <v>134</v>
      </c>
    </row>
    <row r="585" spans="1:12">
      <c r="A585" s="152" t="s">
        <v>130</v>
      </c>
      <c r="B585" s="235">
        <v>2017</v>
      </c>
      <c r="C585" s="40" t="s">
        <v>99</v>
      </c>
      <c r="D585" s="59">
        <v>1840.5618588333332</v>
      </c>
      <c r="E585" s="810" t="s">
        <v>133</v>
      </c>
      <c r="F585" s="29">
        <v>1</v>
      </c>
      <c r="G585" s="9">
        <v>1</v>
      </c>
      <c r="H585" s="9">
        <v>3</v>
      </c>
      <c r="I585" s="9">
        <v>1</v>
      </c>
      <c r="J585" s="9">
        <v>2</v>
      </c>
      <c r="K585" s="160">
        <f t="shared" si="9"/>
        <v>0.47802211380704585</v>
      </c>
      <c r="L585" s="63" t="s">
        <v>134</v>
      </c>
    </row>
    <row r="586" spans="1:12">
      <c r="A586" s="152" t="s">
        <v>130</v>
      </c>
      <c r="B586" s="235">
        <v>2017</v>
      </c>
      <c r="C586" s="40" t="s">
        <v>103</v>
      </c>
      <c r="D586" s="59">
        <v>2388.6652442424243</v>
      </c>
      <c r="E586" s="810" t="s">
        <v>133</v>
      </c>
      <c r="F586" s="29">
        <v>1</v>
      </c>
      <c r="G586" s="9">
        <v>1</v>
      </c>
      <c r="H586" s="9">
        <v>3</v>
      </c>
      <c r="I586" s="9">
        <v>1</v>
      </c>
      <c r="J586" s="9">
        <v>2</v>
      </c>
      <c r="K586" s="160">
        <f t="shared" si="9"/>
        <v>0.47802211380704585</v>
      </c>
      <c r="L586" s="63" t="s">
        <v>134</v>
      </c>
    </row>
    <row r="587" spans="1:12" ht="15.75" thickBot="1">
      <c r="A587" s="230" t="s">
        <v>130</v>
      </c>
      <c r="B587" s="238">
        <v>2017</v>
      </c>
      <c r="C587" s="154" t="s">
        <v>107</v>
      </c>
      <c r="D587" s="822">
        <v>403.50709808181819</v>
      </c>
      <c r="E587" s="832" t="s">
        <v>133</v>
      </c>
      <c r="F587" s="155">
        <v>1</v>
      </c>
      <c r="G587" s="119">
        <v>1</v>
      </c>
      <c r="H587" s="119">
        <v>3</v>
      </c>
      <c r="I587" s="119">
        <v>1</v>
      </c>
      <c r="J587" s="119">
        <v>2</v>
      </c>
      <c r="K587" s="833">
        <f t="shared" si="9"/>
        <v>0.47802211380704585</v>
      </c>
      <c r="L587" s="513" t="s">
        <v>134</v>
      </c>
    </row>
    <row r="588" spans="1:12">
      <c r="A588" s="826" t="str">
        <f>'Tyre wear'!B46</f>
        <v>Tyre wear</v>
      </c>
      <c r="B588" s="234">
        <f>'Tyre wear'!C46</f>
        <v>1990</v>
      </c>
      <c r="C588" s="39" t="str">
        <f>'Tyre wear'!D46</f>
        <v>RUBBER</v>
      </c>
      <c r="D588" s="54">
        <f>'Tyre wear'!E46</f>
        <v>274.36551667214508</v>
      </c>
      <c r="E588" s="39" t="str">
        <f>'Tyre wear'!F46</f>
        <v>LOW - Scaling from NL to EU using population</v>
      </c>
      <c r="F588" s="28">
        <f>'Tyre wear'!G46</f>
        <v>1</v>
      </c>
      <c r="G588" s="11">
        <f>'Tyre wear'!H46</f>
        <v>1</v>
      </c>
      <c r="H588" s="11">
        <f>'Tyre wear'!I46</f>
        <v>1</v>
      </c>
      <c r="I588" s="11">
        <f>'Tyre wear'!J46</f>
        <v>1</v>
      </c>
      <c r="J588" s="11">
        <f>'Tyre wear'!K46</f>
        <v>2</v>
      </c>
      <c r="K588" s="159">
        <f>'Tyre wear'!L46</f>
        <v>0.2160744213792255</v>
      </c>
      <c r="L588" s="51"/>
    </row>
    <row r="589" spans="1:12">
      <c r="A589" s="626" t="str">
        <f>'Tyre wear'!B47</f>
        <v>Tyre wear</v>
      </c>
      <c r="B589" s="235">
        <f>'Tyre wear'!C47</f>
        <v>1995</v>
      </c>
      <c r="C589" s="40" t="str">
        <f>'Tyre wear'!D47</f>
        <v>RUBBER</v>
      </c>
      <c r="D589" s="55">
        <f>'Tyre wear'!E47</f>
        <v>289.04881285533907</v>
      </c>
      <c r="E589" s="40" t="str">
        <f>'Tyre wear'!F47</f>
        <v>LOW - Scaling from NL to EU using population</v>
      </c>
      <c r="F589" s="29">
        <f>'Tyre wear'!G47</f>
        <v>1</v>
      </c>
      <c r="G589" s="9">
        <f>'Tyre wear'!H47</f>
        <v>1</v>
      </c>
      <c r="H589" s="9">
        <f>'Tyre wear'!I47</f>
        <v>1</v>
      </c>
      <c r="I589" s="9">
        <f>'Tyre wear'!J47</f>
        <v>1</v>
      </c>
      <c r="J589" s="9">
        <f>'Tyre wear'!K47</f>
        <v>2</v>
      </c>
      <c r="K589" s="160">
        <f>'Tyre wear'!L47</f>
        <v>0.2160744213792255</v>
      </c>
      <c r="L589" s="52"/>
    </row>
    <row r="590" spans="1:12">
      <c r="A590" s="626" t="str">
        <f>'Tyre wear'!B53</f>
        <v>Tyre wear</v>
      </c>
      <c r="B590" s="235">
        <f>'Tyre wear'!C53</f>
        <v>2020</v>
      </c>
      <c r="C590" s="40" t="str">
        <f>'Tyre wear'!D53</f>
        <v>RUBBER</v>
      </c>
      <c r="D590" s="55">
        <f>'Tyre wear'!E53</f>
        <v>299.66901592225156</v>
      </c>
      <c r="E590" s="40" t="str">
        <f>'Tyre wear'!F53</f>
        <v>LOW - Scaling from NL to EU using population</v>
      </c>
      <c r="F590" s="29">
        <f>'Tyre wear'!G53</f>
        <v>1</v>
      </c>
      <c r="G590" s="9">
        <f>'Tyre wear'!H53</f>
        <v>1</v>
      </c>
      <c r="H590" s="9">
        <f>'Tyre wear'!I53</f>
        <v>1</v>
      </c>
      <c r="I590" s="9">
        <f>'Tyre wear'!J53</f>
        <v>1</v>
      </c>
      <c r="J590" s="9">
        <f>'Tyre wear'!K53</f>
        <v>2</v>
      </c>
      <c r="K590" s="160">
        <f>'Tyre wear'!L53</f>
        <v>0.2160744213792255</v>
      </c>
      <c r="L590" s="52"/>
    </row>
    <row r="591" spans="1:12">
      <c r="A591" s="626" t="str">
        <f>'Tyre wear'!B48</f>
        <v>Tyre wear</v>
      </c>
      <c r="B591" s="235">
        <f>'Tyre wear'!C48</f>
        <v>2000</v>
      </c>
      <c r="C591" s="40" t="str">
        <f>'Tyre wear'!D48</f>
        <v>RUBBER</v>
      </c>
      <c r="D591" s="55">
        <f>'Tyre wear'!E48</f>
        <v>315.12798141039013</v>
      </c>
      <c r="E591" s="40" t="str">
        <f>'Tyre wear'!F48</f>
        <v>LOW - Scaling from NL to EU using population</v>
      </c>
      <c r="F591" s="29">
        <f>'Tyre wear'!G48</f>
        <v>1</v>
      </c>
      <c r="G591" s="9">
        <f>'Tyre wear'!H48</f>
        <v>1</v>
      </c>
      <c r="H591" s="9">
        <f>'Tyre wear'!I48</f>
        <v>1</v>
      </c>
      <c r="I591" s="9">
        <f>'Tyre wear'!J48</f>
        <v>1</v>
      </c>
      <c r="J591" s="9">
        <f>'Tyre wear'!K48</f>
        <v>2</v>
      </c>
      <c r="K591" s="160">
        <f>'Tyre wear'!L48</f>
        <v>0.2160744213792255</v>
      </c>
      <c r="L591" s="52"/>
    </row>
    <row r="592" spans="1:12">
      <c r="A592" s="626" t="str">
        <f>'Tyre wear'!B49</f>
        <v>Tyre wear</v>
      </c>
      <c r="B592" s="235">
        <f>'Tyre wear'!C49</f>
        <v>2005</v>
      </c>
      <c r="C592" s="40" t="str">
        <f>'Tyre wear'!D49</f>
        <v>RUBBER</v>
      </c>
      <c r="D592" s="55">
        <f>'Tyre wear'!E49</f>
        <v>330.49692430627994</v>
      </c>
      <c r="E592" s="40" t="str">
        <f>'Tyre wear'!F49</f>
        <v>LOW - Scaling from NL to EU using population</v>
      </c>
      <c r="F592" s="29">
        <f>'Tyre wear'!G49</f>
        <v>1</v>
      </c>
      <c r="G592" s="9">
        <f>'Tyre wear'!H49</f>
        <v>1</v>
      </c>
      <c r="H592" s="9">
        <f>'Tyre wear'!I49</f>
        <v>1</v>
      </c>
      <c r="I592" s="9">
        <f>'Tyre wear'!J49</f>
        <v>1</v>
      </c>
      <c r="J592" s="9">
        <f>'Tyre wear'!K49</f>
        <v>2</v>
      </c>
      <c r="K592" s="160">
        <f>'Tyre wear'!L49</f>
        <v>0.2160744213792255</v>
      </c>
      <c r="L592" s="52"/>
    </row>
    <row r="593" spans="1:12">
      <c r="A593" s="626" t="str">
        <f>'Tyre wear'!B51</f>
        <v>Tyre wear</v>
      </c>
      <c r="B593" s="235">
        <f>'Tyre wear'!C51</f>
        <v>2015</v>
      </c>
      <c r="C593" s="40" t="str">
        <f>'Tyre wear'!D51</f>
        <v>RUBBER</v>
      </c>
      <c r="D593" s="55">
        <f>'Tyre wear'!E51</f>
        <v>333.36119378416316</v>
      </c>
      <c r="E593" s="40" t="str">
        <f>'Tyre wear'!F51</f>
        <v>LOW - Scaling from NL to EU using population</v>
      </c>
      <c r="F593" s="29">
        <f>'Tyre wear'!G51</f>
        <v>1</v>
      </c>
      <c r="G593" s="9">
        <f>'Tyre wear'!H51</f>
        <v>1</v>
      </c>
      <c r="H593" s="9">
        <f>'Tyre wear'!I51</f>
        <v>1</v>
      </c>
      <c r="I593" s="9">
        <f>'Tyre wear'!J51</f>
        <v>1</v>
      </c>
      <c r="J593" s="9">
        <f>'Tyre wear'!K51</f>
        <v>2</v>
      </c>
      <c r="K593" s="160">
        <f>'Tyre wear'!L51</f>
        <v>0.2160744213792255</v>
      </c>
      <c r="L593" s="52"/>
    </row>
    <row r="594" spans="1:12">
      <c r="A594" s="626" t="str">
        <f>'Tyre wear'!B50</f>
        <v>Tyre wear</v>
      </c>
      <c r="B594" s="235">
        <f>'Tyre wear'!C50</f>
        <v>2010</v>
      </c>
      <c r="C594" s="40" t="str">
        <f>'Tyre wear'!D50</f>
        <v>RUBBER</v>
      </c>
      <c r="D594" s="55">
        <f>'Tyre wear'!E50</f>
        <v>333.95978463908972</v>
      </c>
      <c r="E594" s="40" t="str">
        <f>'Tyre wear'!F50</f>
        <v>LOW - Scaling from NL to EU using population</v>
      </c>
      <c r="F594" s="29">
        <f>'Tyre wear'!G50</f>
        <v>1</v>
      </c>
      <c r="G594" s="9">
        <f>'Tyre wear'!H50</f>
        <v>1</v>
      </c>
      <c r="H594" s="9">
        <f>'Tyre wear'!I50</f>
        <v>1</v>
      </c>
      <c r="I594" s="9">
        <f>'Tyre wear'!J50</f>
        <v>1</v>
      </c>
      <c r="J594" s="9">
        <f>'Tyre wear'!K50</f>
        <v>2</v>
      </c>
      <c r="K594" s="160">
        <f>'Tyre wear'!L50</f>
        <v>0.2160744213792255</v>
      </c>
      <c r="L594" s="52"/>
    </row>
    <row r="595" spans="1:12">
      <c r="A595" s="626" t="str">
        <f>'Tyre wear'!B52</f>
        <v>Tyre wear</v>
      </c>
      <c r="B595" s="235">
        <f>'Tyre wear'!C52</f>
        <v>2019</v>
      </c>
      <c r="C595" s="40" t="str">
        <f>'Tyre wear'!D52</f>
        <v>RUBBER</v>
      </c>
      <c r="D595" s="55">
        <f>'Tyre wear'!E52</f>
        <v>347.5284875289928</v>
      </c>
      <c r="E595" s="40" t="str">
        <f>'Tyre wear'!F52</f>
        <v>LOW - Scaling from NL to EU using population</v>
      </c>
      <c r="F595" s="29">
        <f>'Tyre wear'!G52</f>
        <v>1</v>
      </c>
      <c r="G595" s="9">
        <f>'Tyre wear'!H52</f>
        <v>1</v>
      </c>
      <c r="H595" s="9">
        <f>'Tyre wear'!I52</f>
        <v>1</v>
      </c>
      <c r="I595" s="9">
        <f>'Tyre wear'!J52</f>
        <v>1</v>
      </c>
      <c r="J595" s="9">
        <f>'Tyre wear'!K52</f>
        <v>2</v>
      </c>
      <c r="K595" s="160">
        <f>'Tyre wear'!L52</f>
        <v>0.2160744213792255</v>
      </c>
      <c r="L595" s="52"/>
    </row>
    <row r="596" spans="1:12">
      <c r="A596" s="626" t="str">
        <f>'Tyre wear'!B55</f>
        <v>Tyre wear</v>
      </c>
      <c r="B596" s="235">
        <f>'Tyre wear'!C55</f>
        <v>1990</v>
      </c>
      <c r="C596" s="40" t="str">
        <f>'Tyre wear'!D55</f>
        <v>RUBBER</v>
      </c>
      <c r="D596" s="55">
        <f>'Tyre wear'!E55</f>
        <v>505.23406118894758</v>
      </c>
      <c r="E596" s="40" t="str">
        <f>'Tyre wear'!F55</f>
        <v>HIGH - Scaling from NL to EU using population</v>
      </c>
      <c r="F596" s="29">
        <f>'Tyre wear'!G55</f>
        <v>1</v>
      </c>
      <c r="G596" s="9">
        <f>'Tyre wear'!H55</f>
        <v>1</v>
      </c>
      <c r="H596" s="9">
        <f>'Tyre wear'!I55</f>
        <v>1</v>
      </c>
      <c r="I596" s="9">
        <f>'Tyre wear'!J55</f>
        <v>1</v>
      </c>
      <c r="J596" s="9">
        <f>'Tyre wear'!K55</f>
        <v>2</v>
      </c>
      <c r="K596" s="160">
        <v>0.61786151866399042</v>
      </c>
      <c r="L596" s="52"/>
    </row>
    <row r="597" spans="1:12">
      <c r="A597" s="626" t="str">
        <f>'Tyre wear'!B56</f>
        <v>Tyre wear</v>
      </c>
      <c r="B597" s="235">
        <f>'Tyre wear'!C56</f>
        <v>1995</v>
      </c>
      <c r="C597" s="40" t="str">
        <f>'Tyre wear'!D56</f>
        <v>RUBBER</v>
      </c>
      <c r="D597" s="55">
        <f>'Tyre wear'!E56</f>
        <v>532.27281391654117</v>
      </c>
      <c r="E597" s="40" t="str">
        <f>'Tyre wear'!F56</f>
        <v>HIGH - Scaling from NL to EU using population</v>
      </c>
      <c r="F597" s="29">
        <f>'Tyre wear'!G56</f>
        <v>1</v>
      </c>
      <c r="G597" s="9">
        <f>'Tyre wear'!H56</f>
        <v>1</v>
      </c>
      <c r="H597" s="9">
        <f>'Tyre wear'!I56</f>
        <v>1</v>
      </c>
      <c r="I597" s="9">
        <f>'Tyre wear'!J56</f>
        <v>1</v>
      </c>
      <c r="J597" s="9">
        <f>'Tyre wear'!K56</f>
        <v>2</v>
      </c>
      <c r="K597" s="160">
        <v>0.61786151866399042</v>
      </c>
      <c r="L597" s="52"/>
    </row>
    <row r="598" spans="1:12">
      <c r="A598" s="626" t="str">
        <f>'Tyre wear'!B62</f>
        <v>Tyre wear</v>
      </c>
      <c r="B598" s="235">
        <f>'Tyre wear'!C62</f>
        <v>2020</v>
      </c>
      <c r="C598" s="40" t="str">
        <f>'Tyre wear'!D62</f>
        <v>RUBBER</v>
      </c>
      <c r="D598" s="55">
        <f>'Tyre wear'!E62</f>
        <v>551.8295293202433</v>
      </c>
      <c r="E598" s="40" t="str">
        <f>'Tyre wear'!F62</f>
        <v>HIGH - Scaling from NL to EU using population</v>
      </c>
      <c r="F598" s="29">
        <f>'Tyre wear'!G62</f>
        <v>1</v>
      </c>
      <c r="G598" s="9">
        <f>'Tyre wear'!H62</f>
        <v>1</v>
      </c>
      <c r="H598" s="9">
        <f>'Tyre wear'!I62</f>
        <v>1</v>
      </c>
      <c r="I598" s="9">
        <f>'Tyre wear'!J62</f>
        <v>1</v>
      </c>
      <c r="J598" s="9">
        <f>'Tyre wear'!K62</f>
        <v>2</v>
      </c>
      <c r="K598" s="160">
        <v>0.61786151866399042</v>
      </c>
      <c r="L598" s="52"/>
    </row>
    <row r="599" spans="1:12">
      <c r="A599" s="626" t="str">
        <f>'Tyre wear'!B57</f>
        <v>Tyre wear</v>
      </c>
      <c r="B599" s="235">
        <f>'Tyre wear'!C57</f>
        <v>2000</v>
      </c>
      <c r="C599" s="40" t="str">
        <f>'Tyre wear'!D57</f>
        <v>RUBBER</v>
      </c>
      <c r="D599" s="55">
        <f>'Tyre wear'!E57</f>
        <v>580.29664869474288</v>
      </c>
      <c r="E599" s="40" t="str">
        <f>'Tyre wear'!F57</f>
        <v>HIGH - Scaling from NL to EU using population</v>
      </c>
      <c r="F599" s="29">
        <f>'Tyre wear'!G57</f>
        <v>1</v>
      </c>
      <c r="G599" s="9">
        <f>'Tyre wear'!H57</f>
        <v>1</v>
      </c>
      <c r="H599" s="9">
        <f>'Tyre wear'!I57</f>
        <v>1</v>
      </c>
      <c r="I599" s="9">
        <f>'Tyre wear'!J57</f>
        <v>1</v>
      </c>
      <c r="J599" s="9">
        <f>'Tyre wear'!K57</f>
        <v>2</v>
      </c>
      <c r="K599" s="160">
        <v>0.61786151866399042</v>
      </c>
      <c r="L599" s="52"/>
    </row>
    <row r="600" spans="1:12">
      <c r="A600" s="626" t="str">
        <f>'Tyre wear'!B58</f>
        <v>Tyre wear</v>
      </c>
      <c r="B600" s="235">
        <f>'Tyre wear'!C58</f>
        <v>2005</v>
      </c>
      <c r="C600" s="40" t="str">
        <f>'Tyre wear'!D58</f>
        <v>RUBBER</v>
      </c>
      <c r="D600" s="55">
        <f>'Tyre wear'!E58</f>
        <v>608.59799475912735</v>
      </c>
      <c r="E600" s="40" t="str">
        <f>'Tyre wear'!F58</f>
        <v>HIGH - Scaling from NL to EU using population</v>
      </c>
      <c r="F600" s="29">
        <f>'Tyre wear'!G58</f>
        <v>1</v>
      </c>
      <c r="G600" s="9">
        <f>'Tyre wear'!H58</f>
        <v>1</v>
      </c>
      <c r="H600" s="9">
        <f>'Tyre wear'!I58</f>
        <v>1</v>
      </c>
      <c r="I600" s="9">
        <f>'Tyre wear'!J58</f>
        <v>1</v>
      </c>
      <c r="J600" s="9">
        <f>'Tyre wear'!K58</f>
        <v>2</v>
      </c>
      <c r="K600" s="160">
        <v>0.61786151866399042</v>
      </c>
      <c r="L600" s="52"/>
    </row>
    <row r="601" spans="1:12">
      <c r="A601" s="626" t="str">
        <f>'Tyre wear'!B60</f>
        <v>Tyre wear</v>
      </c>
      <c r="B601" s="235">
        <f>'Tyre wear'!C60</f>
        <v>2015</v>
      </c>
      <c r="C601" s="40" t="str">
        <f>'Tyre wear'!D60</f>
        <v>RUBBER</v>
      </c>
      <c r="D601" s="55">
        <f>'Tyre wear'!E60</f>
        <v>613.87244221230344</v>
      </c>
      <c r="E601" s="40" t="str">
        <f>'Tyre wear'!F60</f>
        <v>HIGH - Scaling from NL to EU using population</v>
      </c>
      <c r="F601" s="29">
        <f>'Tyre wear'!G60</f>
        <v>1</v>
      </c>
      <c r="G601" s="9">
        <f>'Tyre wear'!H60</f>
        <v>1</v>
      </c>
      <c r="H601" s="9">
        <f>'Tyre wear'!I60</f>
        <v>1</v>
      </c>
      <c r="I601" s="9">
        <f>'Tyre wear'!J60</f>
        <v>1</v>
      </c>
      <c r="J601" s="9">
        <f>'Tyre wear'!K60</f>
        <v>2</v>
      </c>
      <c r="K601" s="160">
        <v>0.61786151866399042</v>
      </c>
      <c r="L601" s="52"/>
    </row>
    <row r="602" spans="1:12">
      <c r="A602" s="626" t="str">
        <f>'Tyre wear'!B59</f>
        <v>Tyre wear</v>
      </c>
      <c r="B602" s="235">
        <f>'Tyre wear'!C59</f>
        <v>2010</v>
      </c>
      <c r="C602" s="40" t="str">
        <f>'Tyre wear'!D59</f>
        <v>RUBBER</v>
      </c>
      <c r="D602" s="55">
        <f>'Tyre wear'!E59</f>
        <v>614.97472537198053</v>
      </c>
      <c r="E602" s="40" t="str">
        <f>'Tyre wear'!F59</f>
        <v>HIGH - Scaling from NL to EU using population</v>
      </c>
      <c r="F602" s="29">
        <f>'Tyre wear'!G59</f>
        <v>1</v>
      </c>
      <c r="G602" s="9">
        <f>'Tyre wear'!H59</f>
        <v>1</v>
      </c>
      <c r="H602" s="9">
        <f>'Tyre wear'!I59</f>
        <v>1</v>
      </c>
      <c r="I602" s="9">
        <f>'Tyre wear'!J59</f>
        <v>1</v>
      </c>
      <c r="J602" s="9">
        <f>'Tyre wear'!K59</f>
        <v>2</v>
      </c>
      <c r="K602" s="160">
        <v>0.61786151866399042</v>
      </c>
      <c r="L602" s="52"/>
    </row>
    <row r="603" spans="1:12" ht="15.75" thickBot="1">
      <c r="A603" s="827" t="str">
        <f>'Tyre wear'!B61</f>
        <v>Tyre wear</v>
      </c>
      <c r="B603" s="236">
        <f>'Tyre wear'!C61</f>
        <v>2019</v>
      </c>
      <c r="C603" s="41" t="str">
        <f>'Tyre wear'!D61</f>
        <v>RUBBER</v>
      </c>
      <c r="D603" s="56">
        <f>'Tyre wear'!E61</f>
        <v>639.96099532777771</v>
      </c>
      <c r="E603" s="41" t="str">
        <f>'Tyre wear'!F61</f>
        <v>HIGH - Scaling from NL to EU using population</v>
      </c>
      <c r="F603" s="30">
        <f>'Tyre wear'!G61</f>
        <v>1</v>
      </c>
      <c r="G603" s="12">
        <f>'Tyre wear'!H61</f>
        <v>1</v>
      </c>
      <c r="H603" s="12">
        <f>'Tyre wear'!I61</f>
        <v>1</v>
      </c>
      <c r="I603" s="12">
        <f>'Tyre wear'!J61</f>
        <v>1</v>
      </c>
      <c r="J603" s="12">
        <f>'Tyre wear'!K61</f>
        <v>2</v>
      </c>
      <c r="K603" s="161">
        <v>0.61786151866399042</v>
      </c>
      <c r="L603" s="53"/>
    </row>
  </sheetData>
  <autoFilter ref="A1:L603" xr:uid="{E97B31CE-E6BF-4F52-9FA7-52F353BEC4BE}">
    <sortState xmlns:xlrd2="http://schemas.microsoft.com/office/spreadsheetml/2017/richdata2" ref="A2:L603">
      <sortCondition ref="A1:A603"/>
    </sortState>
  </autoFilter>
  <phoneticPr fontId="22" type="noConversion"/>
  <conditionalFormatting sqref="D1 D604:D1048576">
    <cfRule type="cellIs" dxfId="170" priority="47" operator="greaterThan">
      <formula>0</formula>
    </cfRule>
    <cfRule type="cellIs" dxfId="169" priority="48" operator="equal">
      <formula>0</formula>
    </cfRule>
  </conditionalFormatting>
  <conditionalFormatting sqref="F579:F587">
    <cfRule type="dataBar" priority="2">
      <dataBar>
        <cfvo type="min"/>
        <cfvo type="num" val="4"/>
        <color rgb="FFFFC000"/>
      </dataBar>
      <extLst>
        <ext xmlns:x14="http://schemas.microsoft.com/office/spreadsheetml/2009/9/main" uri="{B025F937-C7B1-47D3-B67F-A62EFF666E3E}">
          <x14:id>{A9C58A51-31BA-447F-9AB1-2BF1024BB727}</x14:id>
        </ext>
      </extLst>
    </cfRule>
  </conditionalFormatting>
  <conditionalFormatting sqref="F2:J34">
    <cfRule type="dataBar" priority="7250">
      <dataBar>
        <cfvo type="min"/>
        <cfvo type="num" val="4"/>
        <color rgb="FFFFC000"/>
      </dataBar>
      <extLst>
        <ext xmlns:x14="http://schemas.microsoft.com/office/spreadsheetml/2009/9/main" uri="{B025F937-C7B1-47D3-B67F-A62EFF666E3E}">
          <x14:id>{BC5230D7-989F-4EBA-B737-88A8CF8C9C2D}</x14:id>
        </ext>
      </extLst>
    </cfRule>
  </conditionalFormatting>
  <conditionalFormatting sqref="F35:J50">
    <cfRule type="dataBar" priority="7443">
      <dataBar>
        <cfvo type="min"/>
        <cfvo type="num" val="4"/>
        <color rgb="FFFFC000"/>
      </dataBar>
      <extLst>
        <ext xmlns:x14="http://schemas.microsoft.com/office/spreadsheetml/2009/9/main" uri="{B025F937-C7B1-47D3-B67F-A62EFF666E3E}">
          <x14:id>{BDD5D7A0-5A76-4143-8AC8-88C3D184A7D9}</x14:id>
        </ext>
      </extLst>
    </cfRule>
  </conditionalFormatting>
  <conditionalFormatting sqref="F51:J55">
    <cfRule type="dataBar" priority="7478">
      <dataBar>
        <cfvo type="min"/>
        <cfvo type="num" val="4"/>
        <color rgb="FFFFC000"/>
      </dataBar>
      <extLst>
        <ext xmlns:x14="http://schemas.microsoft.com/office/spreadsheetml/2009/9/main" uri="{B025F937-C7B1-47D3-B67F-A62EFF666E3E}">
          <x14:id>{6621C3A7-CFE1-4625-89B8-FFE407902BE1}</x14:id>
        </ext>
      </extLst>
    </cfRule>
  </conditionalFormatting>
  <conditionalFormatting sqref="F56:J56">
    <cfRule type="cellIs" dxfId="168" priority="7480" stopIfTrue="1" operator="notBetween">
      <formula>1</formula>
      <formula>4</formula>
    </cfRule>
    <cfRule type="dataBar" priority="7481">
      <dataBar>
        <cfvo type="min"/>
        <cfvo type="num" val="4"/>
        <color rgb="FFFFC000"/>
      </dataBar>
      <extLst>
        <ext xmlns:x14="http://schemas.microsoft.com/office/spreadsheetml/2009/9/main" uri="{B025F937-C7B1-47D3-B67F-A62EFF666E3E}">
          <x14:id>{DF17E12F-2C54-4B67-9962-531B7E040F19}</x14:id>
        </ext>
      </extLst>
    </cfRule>
  </conditionalFormatting>
  <conditionalFormatting sqref="F57:J57">
    <cfRule type="dataBar" priority="16">
      <dataBar>
        <cfvo type="min"/>
        <cfvo type="num" val="4"/>
        <color rgb="FFFFC000"/>
      </dataBar>
      <extLst>
        <ext xmlns:x14="http://schemas.microsoft.com/office/spreadsheetml/2009/9/main" uri="{B025F937-C7B1-47D3-B67F-A62EFF666E3E}">
          <x14:id>{728F403B-7C89-487F-B15D-0AEC08C1987B}</x14:id>
        </ext>
      </extLst>
    </cfRule>
  </conditionalFormatting>
  <conditionalFormatting sqref="F58:J257">
    <cfRule type="dataBar" priority="7526">
      <dataBar>
        <cfvo type="min"/>
        <cfvo type="num" val="4"/>
        <color rgb="FFFFC000"/>
      </dataBar>
      <extLst>
        <ext xmlns:x14="http://schemas.microsoft.com/office/spreadsheetml/2009/9/main" uri="{B025F937-C7B1-47D3-B67F-A62EFF666E3E}">
          <x14:id>{02EBBB2B-9AFA-49B3-9DE3-D9FECD7308CA}</x14:id>
        </ext>
      </extLst>
    </cfRule>
  </conditionalFormatting>
  <conditionalFormatting sqref="F588:J603 G579:J587 F258:J578">
    <cfRule type="dataBar" priority="7611">
      <dataBar>
        <cfvo type="min"/>
        <cfvo type="num" val="4"/>
        <color rgb="FFFFC000"/>
      </dataBar>
      <extLst>
        <ext xmlns:x14="http://schemas.microsoft.com/office/spreadsheetml/2009/9/main" uri="{B025F937-C7B1-47D3-B67F-A62EFF666E3E}">
          <x14:id>{2EE27589-4012-4139-AFEA-BDAD27C17E09}</x14:id>
        </ext>
      </extLst>
    </cfRule>
  </conditionalFormatting>
  <conditionalFormatting sqref="F2:K603">
    <cfRule type="containsBlanks" dxfId="167" priority="1">
      <formula>LEN(TRIM(F2))=0</formula>
    </cfRule>
  </conditionalFormatting>
  <conditionalFormatting sqref="K1">
    <cfRule type="containsBlanks" dxfId="166" priority="49">
      <formula>LEN(TRIM(K1))=0</formula>
    </cfRule>
  </conditionalFormatting>
  <conditionalFormatting sqref="K1:K50">
    <cfRule type="dataBar" priority="7444">
      <dataBar>
        <cfvo type="min"/>
        <cfvo type="max"/>
        <color rgb="FF3FCDFF"/>
      </dataBar>
      <extLst>
        <ext xmlns:x14="http://schemas.microsoft.com/office/spreadsheetml/2009/9/main" uri="{B025F937-C7B1-47D3-B67F-A62EFF666E3E}">
          <x14:id>{B5E83B2D-0374-4072-BEDA-E50576C8BB57}</x14:id>
        </ext>
      </extLst>
    </cfRule>
  </conditionalFormatting>
  <conditionalFormatting sqref="K51:K55">
    <cfRule type="dataBar" priority="7479">
      <dataBar>
        <cfvo type="min"/>
        <cfvo type="max"/>
        <color rgb="FF3FCDFF"/>
      </dataBar>
      <extLst>
        <ext xmlns:x14="http://schemas.microsoft.com/office/spreadsheetml/2009/9/main" uri="{B025F937-C7B1-47D3-B67F-A62EFF666E3E}">
          <x14:id>{0C28E83C-6DDC-4A10-B92A-2AC19596BE9B}</x14:id>
        </ext>
      </extLst>
    </cfRule>
  </conditionalFormatting>
  <conditionalFormatting sqref="K56">
    <cfRule type="dataBar" priority="7484">
      <dataBar>
        <cfvo type="min"/>
        <cfvo type="max"/>
        <color rgb="FF3FCDFF"/>
      </dataBar>
      <extLst>
        <ext xmlns:x14="http://schemas.microsoft.com/office/spreadsheetml/2009/9/main" uri="{B025F937-C7B1-47D3-B67F-A62EFF666E3E}">
          <x14:id>{B40B2BE7-8170-4BDF-A0AE-8B1ADCE701F7}</x14:id>
        </ext>
      </extLst>
    </cfRule>
  </conditionalFormatting>
  <conditionalFormatting sqref="K57">
    <cfRule type="dataBar" priority="17">
      <dataBar>
        <cfvo type="min"/>
        <cfvo type="max"/>
        <color rgb="FF3FCDFF"/>
      </dataBar>
      <extLst>
        <ext xmlns:x14="http://schemas.microsoft.com/office/spreadsheetml/2009/9/main" uri="{B025F937-C7B1-47D3-B67F-A62EFF666E3E}">
          <x14:id>{34EBC6F7-E675-4E43-A6CA-E5E42B4B8384}</x14:id>
        </ext>
      </extLst>
    </cfRule>
  </conditionalFormatting>
  <conditionalFormatting sqref="K58:K603">
    <cfRule type="dataBar" priority="7613">
      <dataBar>
        <cfvo type="min"/>
        <cfvo type="max"/>
        <color rgb="FF3FCDFF"/>
      </dataBar>
      <extLst>
        <ext xmlns:x14="http://schemas.microsoft.com/office/spreadsheetml/2009/9/main" uri="{B025F937-C7B1-47D3-B67F-A62EFF666E3E}">
          <x14:id>{D00AEB03-79ED-48E9-9CCA-4045C96D7699}</x14:id>
        </ext>
      </extLst>
    </cfRule>
  </conditionalFormatting>
  <hyperlinks>
    <hyperlink ref="E21:E50" r:id="rId1" display="https://ec.europa.eu/eurostat/databrowser/view/DS-056120__custom_6262207/default/table" xr:uid="{FA62216D-99D2-4325-87E7-7BDAC7052D9D}"/>
    <hyperlink ref="E235" r:id="rId2" display="https://ec.europa.eu/eurostat/databrowser/view/DS-056120__custom_6262207/default/table" xr:uid="{F7357E44-0440-4F8F-AA59-0D6F51039446}"/>
    <hyperlink ref="E184" r:id="rId3" display="https://ec.europa.eu/eurostat/databrowser/view/DS-056120__custom_6262207/default/table" xr:uid="{AAA68EE9-3739-4A9D-9979-802B7EF386C7}"/>
    <hyperlink ref="E214" r:id="rId4" display="https://ec.europa.eu/eurostat/databrowser/view/DS-056120__custom_6262207/default/table" xr:uid="{639B3874-B030-45EA-86FE-BFA47173B4CE}"/>
    <hyperlink ref="E92" r:id="rId5" display="https://ec.europa.eu/eurostat/databrowser/view/DS-056120__custom_6262207/default/table" xr:uid="{60C1F36D-F5C0-4A29-B862-8F9746869510}"/>
    <hyperlink ref="E61" r:id="rId6" display="https://ec.europa.eu/eurostat/databrowser/view/DS-056120__custom_6262207/default/table" xr:uid="{48582179-9A5F-4715-93A1-6B9D4613DAE1}"/>
    <hyperlink ref="E198" r:id="rId7" display="https://ec.europa.eu/eurostat/databrowser/view/DS-056120__custom_6262207/default/table" xr:uid="{4AB33007-D0B1-403C-B9DD-B460A3D7091B}"/>
    <hyperlink ref="E131" r:id="rId8" display="https://ec.europa.eu/eurostat/databrowser/view/DS-056120__custom_6262207/default/table" xr:uid="{074B3EF4-6D72-499A-8A6B-3388900B8D87}"/>
    <hyperlink ref="E24" r:id="rId9" display="https://ec.europa.eu/eurostat/databrowser/view/DS-056120__custom_6262207/default/table" xr:uid="{97438B8D-17D0-4DAD-858A-4327B1D754F8}"/>
    <hyperlink ref="E56" r:id="rId10" display="https://ec.europa.eu/eurostat/databrowser/view/DS-056120__custom_6262207/default/table" xr:uid="{04D44AE7-3011-4B0F-981C-D74C28BB82F0}"/>
    <hyperlink ref="E158" r:id="rId11" display="https://ec.europa.eu/eurostat/databrowser/view/DS-056120__custom_6262207/default/table" xr:uid="{2BA3E80F-761D-4AB1-8EAE-CCACF79C721A}"/>
    <hyperlink ref="E105" r:id="rId12" display="https://ec.europa.eu/eurostat/databrowser/view/DS-056120__custom_6262207/default/table" xr:uid="{7D0F81FF-1BAD-4CF0-8836-252003C8B0B9}"/>
    <hyperlink ref="E156" r:id="rId13" display="https://ec.europa.eu/eurostat/databrowser/view/DS-056120__custom_6262207/default/table" xr:uid="{A73BC1B7-93CF-4D11-8028-82B0C5B5E3FA}"/>
    <hyperlink ref="E250" r:id="rId14" display="https://ec.europa.eu/eurostat/databrowser/view/DS-056120__custom_6262207/default/table" xr:uid="{020268D7-9FE8-4116-AFEF-1CAE5D73591C}"/>
    <hyperlink ref="E237" r:id="rId15" display="https://ec.europa.eu/eurostat/databrowser/view/DS-056120__custom_6262207/default/table" xr:uid="{B36B605D-D559-4AE2-86B2-A2F0A966F1A4}"/>
    <hyperlink ref="E179" r:id="rId16" display="https://ec.europa.eu/eurostat/databrowser/view/DS-056120__custom_6262207/default/table" xr:uid="{A76CB40F-875B-437E-BD61-9AE5248A2044}"/>
    <hyperlink ref="E215" r:id="rId17" display="https://ec.europa.eu/eurostat/databrowser/view/DS-056120__custom_6262207/default/table" xr:uid="{BEDD2980-4097-4DFB-8E2C-14E22AD7549E}"/>
    <hyperlink ref="E74" r:id="rId18" display="https://ec.europa.eu/eurostat/databrowser/view/DS-056120__custom_6262207/default/table" xr:uid="{8EBD8975-4ECF-4558-B078-98AB41184F3D}"/>
    <hyperlink ref="E57" r:id="rId19" display="https://ec.europa.eu/eurostat/databrowser/view/DS-056120__custom_6262207/default/table" xr:uid="{815116A1-54CB-496E-9063-93F29A855B88}"/>
    <hyperlink ref="E202" r:id="rId20" display="https://ec.europa.eu/eurostat/databrowser/view/DS-056120__custom_6262207/default/table" xr:uid="{66D58C65-2059-438A-809E-C220A1F74B8D}"/>
    <hyperlink ref="E133" r:id="rId21" display="https://ec.europa.eu/eurostat/databrowser/view/DS-056120__custom_6262207/default/table" xr:uid="{4EB45444-EF2E-4322-BB78-025D78A95475}"/>
    <hyperlink ref="E34" r:id="rId22" display="https://ec.europa.eu/eurostat/databrowser/view/DS-056120__custom_6262207/default/table" xr:uid="{93A74A06-7292-4762-A570-A212C90030A8}"/>
    <hyperlink ref="E46" r:id="rId23" display="https://ec.europa.eu/eurostat/databrowser/view/DS-056120__custom_6262207/default/table" xr:uid="{92C2D562-B036-491F-8A56-29B2FC376A4E}"/>
    <hyperlink ref="E148" r:id="rId24" display="https://ec.europa.eu/eurostat/databrowser/view/DS-056120__custom_6262207/default/table" xr:uid="{75A7F282-ACF9-4222-AEDA-FB5731E0F2DC}"/>
    <hyperlink ref="E97" r:id="rId25" display="https://ec.europa.eu/eurostat/databrowser/view/DS-056120__custom_6262207/default/table" xr:uid="{E5BEB830-CEE8-4BD0-AE68-C0433BE73F26}"/>
    <hyperlink ref="E157" r:id="rId26" display="https://ec.europa.eu/eurostat/databrowser/view/DS-056120__custom_6262207/default/table" xr:uid="{5E6651DA-AFAD-4E0D-8585-BE498BE1D6B1}"/>
    <hyperlink ref="E241" r:id="rId27" display="https://ec.europa.eu/eurostat/databrowser/view/DS-056120__custom_6262207/default/table" xr:uid="{D876076F-3F4A-4E59-8084-D6F2D9A38847}"/>
    <hyperlink ref="E238" r:id="rId28" display="https://ec.europa.eu/eurostat/databrowser/view/DS-056120__custom_6262207/default/table" xr:uid="{BFFC914F-40D9-43E5-AC4C-989869F36B11}"/>
    <hyperlink ref="E178" r:id="rId29" display="https://ec.europa.eu/eurostat/databrowser/view/DS-056120__custom_6262207/default/table" xr:uid="{D7E4D747-87DA-4BAD-9476-8FB47B8F7614}"/>
    <hyperlink ref="E217" r:id="rId30" display="https://ec.europa.eu/eurostat/databrowser/view/DS-056120__custom_6262207/default/table" xr:uid="{BB6000A7-7C1B-49A1-8B91-BCEAC978FE44}"/>
    <hyperlink ref="E76" r:id="rId31" display="https://ec.europa.eu/eurostat/databrowser/view/DS-056120__custom_6262207/default/table" xr:uid="{817F010F-4F15-4A22-A032-F080671C4C90}"/>
    <hyperlink ref="E48" r:id="rId32" display="https://ec.europa.eu/eurostat/databrowser/view/DS-056120__custom_6262207/default/table" xr:uid="{A327A556-88F9-4BBC-A6BA-8241682A6571}"/>
    <hyperlink ref="E199" r:id="rId33" display="https://ec.europa.eu/eurostat/databrowser/view/DS-056120__custom_6262207/default/table" xr:uid="{603CB061-6F91-4CAE-8C1A-F3C033A754C1}"/>
    <hyperlink ref="E172" r:id="rId34" display="https://ec.europa.eu/eurostat/databrowser/view/DS-056120__custom_6262207/default/table" xr:uid="{63178A06-93C6-4D49-9B7D-FE57945DF181}"/>
    <hyperlink ref="E32" r:id="rId35" display="https://ec.europa.eu/eurostat/databrowser/view/DS-056120__custom_6262207/default/table" xr:uid="{81E5B93B-1AC3-40DD-839F-B3BF0727877D}"/>
    <hyperlink ref="E49" r:id="rId36" display="https://ec.europa.eu/eurostat/databrowser/view/DS-056120__custom_6262207/default/table" xr:uid="{620D4A95-D380-49FA-849A-B42D7B524824}"/>
    <hyperlink ref="E165" r:id="rId37" display="https://ec.europa.eu/eurostat/databrowser/view/DS-056120__custom_6262207/default/table" xr:uid="{EAEEB634-65AC-419D-B4FC-9DAC3AE93C1A}"/>
    <hyperlink ref="E115" r:id="rId38" display="https://ec.europa.eu/eurostat/databrowser/view/DS-056120__custom_6262207/default/table" xr:uid="{5CAFF530-DF67-4940-999A-9005C7888439}"/>
    <hyperlink ref="E162" r:id="rId39" display="https://ec.europa.eu/eurostat/databrowser/view/DS-056120__custom_6262207/default/table" xr:uid="{7E33A4D4-EA7A-4C22-A369-5179ABE53654}"/>
    <hyperlink ref="E260" r:id="rId40" display="https://ec.europa.eu/eurostat/databrowser/view/DS-056120__custom_6262207/default/table" xr:uid="{4830C96D-B90D-4F81-9916-61F5FA245942}"/>
    <hyperlink ref="E239" r:id="rId41" display="https://ec.europa.eu/eurostat/databrowser/view/DS-056120__custom_6262207/default/table" xr:uid="{AB40965A-199B-4799-ABCC-CAB19D2ACF73}"/>
    <hyperlink ref="E174" r:id="rId42" display="https://ec.europa.eu/eurostat/databrowser/view/DS-056120__custom_6262207/default/table" xr:uid="{E575B10C-62F8-401F-A60B-3397F0BADDF7}"/>
    <hyperlink ref="E225" r:id="rId43" display="https://ec.europa.eu/eurostat/databrowser/view/DS-056120__custom_6262207/default/table" xr:uid="{BACBAA1B-C0D4-46BF-8073-716CF1BBA59F}"/>
    <hyperlink ref="E106" r:id="rId44" display="https://ec.europa.eu/eurostat/databrowser/view/DS-056120__custom_6262207/default/table" xr:uid="{4343DA6A-605E-4CAD-9D3C-61EE03D179BB}"/>
    <hyperlink ref="E53" r:id="rId45" display="https://ec.europa.eu/eurostat/databrowser/view/DS-056120__custom_6262207/default/table" xr:uid="{445614CE-054B-45CD-AC54-D10697E1D798}"/>
    <hyperlink ref="E197" r:id="rId46" display="https://ec.europa.eu/eurostat/databrowser/view/DS-056120__custom_6262207/default/table" xr:uid="{CF746984-99A4-4749-9DE4-7B7940028D74}"/>
    <hyperlink ref="E147" r:id="rId47" display="https://ec.europa.eu/eurostat/databrowser/view/DS-056120__custom_6262207/default/table" xr:uid="{4041A354-0376-4A2F-B8DC-7D13ECCA8282}"/>
    <hyperlink ref="E35" r:id="rId48" display="https://ec.europa.eu/eurostat/databrowser/view/DS-056120__custom_6262207/default/table" xr:uid="{65E91711-EFEB-44A5-89AF-32745E77207B}"/>
    <hyperlink ref="E45" r:id="rId49" display="https://ec.europa.eu/eurostat/databrowser/view/DS-056120__custom_6262207/default/table" xr:uid="{A3F58618-2E39-4D84-80E1-F8198C8FDE39}"/>
    <hyperlink ref="E160" r:id="rId50" display="https://ec.europa.eu/eurostat/databrowser/view/DS-056120__custom_6262207/default/table" xr:uid="{8757F067-288B-457F-9492-9ECBCF13F6B2}"/>
    <hyperlink ref="E121" r:id="rId51" display="https://ec.europa.eu/eurostat/databrowser/view/DS-056120__custom_6262207/default/table" xr:uid="{83657B03-3C41-400C-AC4A-47BF59FE7E35}"/>
    <hyperlink ref="E163" r:id="rId52" display="https://ec.europa.eu/eurostat/databrowser/view/DS-056120__custom_6262207/default/table" xr:uid="{1E293B25-C409-463E-B500-E63FEE9CA961}"/>
    <hyperlink ref="E267" r:id="rId53" display="https://ec.europa.eu/eurostat/databrowser/view/DS-056120__custom_6262207/default/table" xr:uid="{27C5BE5D-0BD9-4091-A7E9-7F5770DBEC93}"/>
    <hyperlink ref="E266" r:id="rId54" display="https://ec.europa.eu/eurostat/databrowser/view/DS-056120__custom_6262207/default/table" xr:uid="{09A93D8D-7488-4B8C-8422-10AB388F47AC}"/>
    <hyperlink ref="E191" r:id="rId55" display="https://ec.europa.eu/eurostat/databrowser/view/DS-056120__custom_6262207/default/table" xr:uid="{A634397F-CE41-4BA1-B7D3-D8C133A374EE}"/>
    <hyperlink ref="E230" r:id="rId56" display="https://ec.europa.eu/eurostat/databrowser/view/DS-056120__custom_6262207/default/table" xr:uid="{C38FC6CA-EB2B-4C2C-A4CD-DD0E8EE69AD2}"/>
    <hyperlink ref="E94" r:id="rId57" display="https://ec.europa.eu/eurostat/databrowser/view/DS-056120__custom_6262207/default/table" xr:uid="{F98CC72B-AF8F-46AD-BEF3-D6791C0D16C8}"/>
    <hyperlink ref="E64" r:id="rId58" display="https://ec.europa.eu/eurostat/databrowser/view/DS-056120__custom_6262207/default/table" xr:uid="{138F8628-BFD6-4498-913C-9076223E71A7}"/>
    <hyperlink ref="E193" r:id="rId59" display="https://ec.europa.eu/eurostat/databrowser/view/DS-056120__custom_6262207/default/table" xr:uid="{34736F90-A239-4A70-B2BF-3A7AFD504DEF}"/>
    <hyperlink ref="E138" r:id="rId60" display="https://ec.europa.eu/eurostat/databrowser/view/DS-056120__custom_6262207/default/table" xr:uid="{11A1AA83-C59B-4112-BBA2-6AA8D9D0D81A}"/>
    <hyperlink ref="E41" r:id="rId61" display="https://ec.europa.eu/eurostat/databrowser/view/DS-056120__custom_6262207/default/table" xr:uid="{2524089A-72C2-45AB-A78D-1D1DA477B374}"/>
    <hyperlink ref="E60" r:id="rId62" display="https://ec.europa.eu/eurostat/databrowser/view/DS-056120__custom_6262207/default/table" xr:uid="{141C221D-A3F8-43CB-B4A2-6BE91C1B6E60}"/>
    <hyperlink ref="E168" r:id="rId63" display="https://ec.europa.eu/eurostat/databrowser/view/DS-056120__custom_6262207/default/table" xr:uid="{1B7FC9DD-C3D5-4ABA-8B15-CEEA54FBD590}"/>
    <hyperlink ref="E132" r:id="rId64" display="https://ec.europa.eu/eurostat/databrowser/view/DS-056120__custom_6262207/default/table" xr:uid="{EF0B892D-F667-4B93-AE67-D0084B28882A}"/>
    <hyperlink ref="E129" r:id="rId65" display="https://ec.europa.eu/eurostat/databrowser/view/DS-056120__custom_6262207/default/table" xr:uid="{65BD3D2D-9FD4-4C8E-B8E2-DC54D25FBAE6}"/>
    <hyperlink ref="E265" r:id="rId66" display="https://ec.europa.eu/eurostat/databrowser/view/DS-056120__custom_6262207/default/table" xr:uid="{74C423DC-5ABC-4D08-8E67-90D976A30D22}"/>
    <hyperlink ref="E246" r:id="rId67" display="https://ec.europa.eu/eurostat/databrowser/view/DS-056120__custom_6262207/default/table" xr:uid="{DDA2CDF6-3205-42C1-BBA0-9EAFC05826D3}"/>
    <hyperlink ref="E176" r:id="rId68" display="https://ec.europa.eu/eurostat/databrowser/view/DS-056120__custom_6262207/default/table" xr:uid="{E768E35C-6767-40B7-B7AB-FBB4F055AA9A}"/>
    <hyperlink ref="E226" r:id="rId69" display="https://ec.europa.eu/eurostat/databrowser/view/DS-056120__custom_6262207/default/table" xr:uid="{C932BB5A-D2B3-4E59-935F-8172874F8D18}"/>
    <hyperlink ref="E82" r:id="rId70" display="https://ec.europa.eu/eurostat/databrowser/view/DS-056120__custom_6262207/default/table" xr:uid="{1AB979FB-0931-4CE0-8549-91B3653A2FE3}"/>
    <hyperlink ref="E62" r:id="rId71" display="https://ec.europa.eu/eurostat/databrowser/view/DS-056120__custom_6262207/default/table" xr:uid="{5B3FB41A-4937-476E-A6AD-4C3D05421A46}"/>
    <hyperlink ref="E182" r:id="rId72" display="https://ec.europa.eu/eurostat/databrowser/view/DS-056120__custom_6262207/default/table" xr:uid="{E54ACFB7-4579-493E-8EDB-7D2B0C2341D7}"/>
    <hyperlink ref="E152" r:id="rId73" display="https://ec.europa.eu/eurostat/databrowser/view/DS-056120__custom_6262207/default/table" xr:uid="{995642C1-3A46-49C3-9B95-4D7C6E53E27B}"/>
    <hyperlink ref="E39" r:id="rId74" display="https://ec.europa.eu/eurostat/databrowser/view/DS-056120__custom_6262207/default/table" xr:uid="{05B2215F-7DF0-43D9-9D85-0047584BA1D0}"/>
    <hyperlink ref="E59" r:id="rId75" display="https://ec.europa.eu/eurostat/databrowser/view/DS-056120__custom_6262207/default/table" xr:uid="{500620E9-CAFB-44DE-B79B-1365B47B679E}"/>
    <hyperlink ref="E171" r:id="rId76" display="https://ec.europa.eu/eurostat/databrowser/view/DS-056120__custom_6262207/default/table" xr:uid="{1F37E7FA-AA1E-4A6E-8574-2136B38DE981}"/>
    <hyperlink ref="E125" r:id="rId77" display="https://ec.europa.eu/eurostat/databrowser/view/DS-056120__custom_6262207/default/table" xr:uid="{F074E7F0-0C3B-4B2C-9AEB-4678A5B515BE}"/>
    <hyperlink ref="E137" r:id="rId78" display="https://ec.europa.eu/eurostat/databrowser/view/DS-056120__custom_6262207/default/table" xr:uid="{7108A1BA-4F24-4C2C-9E46-25E723A75437}"/>
    <hyperlink ref="E263" r:id="rId79" display="https://ec.europa.eu/eurostat/databrowser/view/DS-056120__custom_6262207/default/table" xr:uid="{11FEC34D-B1EB-470E-A0EF-DA70051A8EDF}"/>
    <hyperlink ref="E231" r:id="rId80" display="https://ec.europa.eu/eurostat/databrowser/view/DS-056120__custom_6262207/default/table" xr:uid="{CF119CE2-4B11-4A73-B391-8347D9C3A28F}"/>
    <hyperlink ref="E173" r:id="rId81" display="https://ec.europa.eu/eurostat/databrowser/view/DS-056120__custom_6262207/default/table" xr:uid="{13AA22AB-9912-40AF-87D6-A950977FDDB1}"/>
    <hyperlink ref="E224" r:id="rId82" display="https://ec.europa.eu/eurostat/databrowser/view/DS-056120__custom_6262207/default/table" xr:uid="{78178A5D-6738-4C6C-B257-2D92EA114902}"/>
    <hyperlink ref="E78" r:id="rId83" display="https://ec.europa.eu/eurostat/databrowser/view/DS-056120__custom_6262207/default/table" xr:uid="{A7D446E4-1D21-4412-9A32-4687A1A7E121}"/>
    <hyperlink ref="E75" r:id="rId84" display="https://ec.europa.eu/eurostat/databrowser/view/DS-056120__custom_6262207/default/table" xr:uid="{21D904F2-444A-4ACF-AFE4-476FFE551049}"/>
    <hyperlink ref="E189" r:id="rId85" display="https://ec.europa.eu/eurostat/databrowser/view/DS-056120__custom_6262207/default/table" xr:uid="{504F8F8D-287E-4D59-8FE6-DDE58B6482A5}"/>
    <hyperlink ref="E146" r:id="rId86" display="https://ec.europa.eu/eurostat/databrowser/view/DS-056120__custom_6262207/default/table" xr:uid="{9B51FA60-21F8-47D9-8FCF-2BAEFB411CFE}"/>
    <hyperlink ref="E31" r:id="rId87" display="https://ec.europa.eu/eurostat/databrowser/view/DS-056120__custom_6262207/default/table" xr:uid="{A6033054-BB49-4524-92EA-B362E4AEDD0A}"/>
    <hyperlink ref="E58" r:id="rId88" display="https://ec.europa.eu/eurostat/databrowser/view/DS-056120__custom_6262207/default/table" xr:uid="{9E99276B-A918-4DE2-A8D1-02B8026C2514}"/>
    <hyperlink ref="E164" r:id="rId89" display="https://ec.europa.eu/eurostat/databrowser/view/DS-056120__custom_6262207/default/table" xr:uid="{A784C047-BB9D-4559-8917-4D2B364C8875}"/>
    <hyperlink ref="E102" r:id="rId90" display="https://ec.europa.eu/eurostat/databrowser/view/DS-056120__custom_6262207/default/table" xr:uid="{B42640E7-4A39-4845-83F1-E498DB161887}"/>
    <hyperlink ref="E114" r:id="rId91" display="https://ec.europa.eu/eurostat/databrowser/view/DS-056120__custom_6262207/default/table" xr:uid="{CFB49543-4C59-45AF-890B-E7CB05720FB4}"/>
    <hyperlink ref="E264" r:id="rId92" display="https://ec.europa.eu/eurostat/databrowser/view/DS-056120__custom_6262207/default/table" xr:uid="{2CF3DE66-7D7F-497D-A511-C8000FF9912B}"/>
    <hyperlink ref="E232" r:id="rId93" display="https://ec.europa.eu/eurostat/databrowser/view/DS-056120__custom_6262207/default/table" xr:uid="{D9D98352-DE59-4738-A846-D3FFEC94DDB4}"/>
    <hyperlink ref="E175" r:id="rId94" display="https://ec.europa.eu/eurostat/databrowser/view/DS-056120__custom_6262207/default/table" xr:uid="{902277A9-D602-4541-855E-C9631499BCF9}"/>
    <hyperlink ref="E216" r:id="rId95" display="https://ec.europa.eu/eurostat/databrowser/view/DS-056120__custom_6262207/default/table" xr:uid="{5A60A697-7F7F-4D5D-B938-FDA5607B6BE9}"/>
    <hyperlink ref="E68" r:id="rId96" display="https://ec.europa.eu/eurostat/databrowser/view/DS-056120__custom_6262207/default/table" xr:uid="{DE31EDA6-2C4C-4856-B36B-46E4FBA335B7}"/>
    <hyperlink ref="E73" r:id="rId97" display="https://ec.europa.eu/eurostat/databrowser/view/DS-056120__custom_6262207/default/table" xr:uid="{715DA212-24D7-4C73-BFB6-834A5B4318E1}"/>
    <hyperlink ref="E183" r:id="rId98" display="https://ec.europa.eu/eurostat/databrowser/view/DS-056120__custom_6262207/default/table" xr:uid="{36F52C0E-F579-4B1F-90FA-572365AFB496}"/>
    <hyperlink ref="E151" r:id="rId99" display="https://ec.europa.eu/eurostat/databrowser/view/DS-056120__custom_6262207/default/table" xr:uid="{E690EC34-B02D-4BA7-B06A-FF2CF798E09F}"/>
    <hyperlink ref="E30" r:id="rId100" display="https://ec.europa.eu/eurostat/databrowser/view/DS-056120__custom_6262207/default/table" xr:uid="{E9D0CD6C-D691-475C-891B-F1D5C45FFC9C}"/>
    <hyperlink ref="E54" r:id="rId101" display="https://ec.europa.eu/eurostat/databrowser/view/DS-056120__custom_6262207/default/table" xr:uid="{70A1D1FA-E23C-4E34-9A93-63DD1EB94737}"/>
    <hyperlink ref="E161" r:id="rId102" display="https://ec.europa.eu/eurostat/databrowser/view/DS-056120__custom_6262207/default/table" xr:uid="{307682E9-0B90-4C04-B1C7-D45499384D49}"/>
    <hyperlink ref="E130" r:id="rId103" display="https://ec.europa.eu/eurostat/databrowser/view/DS-056120__custom_6262207/default/table" xr:uid="{90F40EB5-42F1-46BD-A128-F37F517CE23C}"/>
    <hyperlink ref="E100" r:id="rId104" display="https://ec.europa.eu/eurostat/databrowser/view/DS-056120__custom_6262207/default/table" xr:uid="{9EC112F8-FC7C-493B-9C89-4D2A7F8BED3E}"/>
    <hyperlink ref="E259" r:id="rId105" display="https://ec.europa.eu/eurostat/databrowser/view/DS-056120__custom_6262207/default/table" xr:uid="{AAD5DE0F-BFD9-40FB-A513-741A7CFCD25C}"/>
    <hyperlink ref="E240" r:id="rId106" display="https://ec.europa.eu/eurostat/databrowser/view/DS-056120__custom_6262207/default/table" xr:uid="{EBFF7091-1479-4240-8066-3ADC0BE80F20}"/>
    <hyperlink ref="E181" r:id="rId107" display="https://ec.europa.eu/eurostat/databrowser/view/DS-056120__custom_6262207/default/table" xr:uid="{B00F491A-3977-4456-A317-63F89C4C90C9}"/>
    <hyperlink ref="E228" r:id="rId108" display="https://ec.europa.eu/eurostat/databrowser/view/DS-056120__custom_6262207/default/table" xr:uid="{8B906281-F496-4717-94DB-4F001723AA3D}"/>
    <hyperlink ref="E80" r:id="rId109" display="https://ec.europa.eu/eurostat/databrowser/view/DS-056120__custom_6262207/default/table" xr:uid="{5C0C44E1-1B31-436A-ABED-5BBC7B52318E}"/>
    <hyperlink ref="E65" r:id="rId110" display="https://ec.europa.eu/eurostat/databrowser/view/DS-056120__custom_6262207/default/table" xr:uid="{ACEB88B3-9535-493B-B09B-1CC86288F6F4}"/>
    <hyperlink ref="E192" r:id="rId111" display="https://ec.europa.eu/eurostat/databrowser/view/DS-056120__custom_6262207/default/table" xr:uid="{DEEDE50A-7BA6-4EED-8059-9D8DB4DD0B4D}"/>
    <hyperlink ref="E149" r:id="rId112" display="https://ec.europa.eu/eurostat/databrowser/view/DS-056120__custom_6262207/default/table" xr:uid="{B536EF1A-C96F-4C9C-A953-6EA6D661C572}"/>
    <hyperlink ref="E37" r:id="rId113" display="https://ec.europa.eu/eurostat/databrowser/view/DS-056120__custom_6262207/default/table" xr:uid="{4CCCD603-95C6-440F-9767-7B7C99377AED}"/>
    <hyperlink ref="E63" r:id="rId114" display="https://ec.europa.eu/eurostat/databrowser/view/DS-056120__custom_6262207/default/table" xr:uid="{B1A0AE89-9DBC-4A9C-A14C-760E9F6BCEBA}"/>
    <hyperlink ref="E169" r:id="rId115" display="https://ec.europa.eu/eurostat/databrowser/view/DS-056120__custom_6262207/default/table" xr:uid="{BD4D8A7B-7DBF-4202-BEE2-1404BAB6E88F}"/>
    <hyperlink ref="E112" r:id="rId116" display="https://ec.europa.eu/eurostat/databrowser/view/DS-056120__custom_6262207/default/table" xr:uid="{A37BCB3B-6F35-43E2-A5BC-8C82B61FBAC9}"/>
    <hyperlink ref="E101" r:id="rId117" display="https://ec.europa.eu/eurostat/databrowser/view/DS-056120__custom_6262207/default/table" xr:uid="{5FE2AA9B-0F19-4273-A628-297B46094EC3}"/>
    <hyperlink ref="E261" r:id="rId118" display="https://ec.europa.eu/eurostat/databrowser/view/DS-056120__custom_6262207/default/table" xr:uid="{7A00454C-DB88-4AC5-9A99-5CB9F06C7026}"/>
    <hyperlink ref="E255" r:id="rId119" display="https://ec.europa.eu/eurostat/databrowser/view/DS-056120__custom_6262207/default/table" xr:uid="{31D49310-24D9-47DE-A07D-D10194AE1C3B}"/>
    <hyperlink ref="E195" r:id="rId120" display="https://ec.europa.eu/eurostat/databrowser/view/DS-056120__custom_6262207/default/table" xr:uid="{EBA27910-1B40-484F-A84A-F61052E92A96}"/>
    <hyperlink ref="E221" r:id="rId121" display="https://ec.europa.eu/eurostat/databrowser/view/DS-056120__custom_6262207/default/table" xr:uid="{0FC6CF8F-8541-4113-B429-EA771724E9FF}"/>
    <hyperlink ref="E88" r:id="rId122" display="https://ec.europa.eu/eurostat/databrowser/view/DS-056120__custom_6262207/default/table" xr:uid="{7DBCFCE2-5C62-45E7-8E4F-9B4E94A56706}"/>
    <hyperlink ref="E89" r:id="rId123" display="https://ec.europa.eu/eurostat/databrowser/view/DS-056120__custom_6262207/default/table" xr:uid="{D2C47646-9E51-4425-BAAB-2CF1AE374F58}"/>
    <hyperlink ref="E211" r:id="rId124" display="https://ec.europa.eu/eurostat/databrowser/view/DS-056120__custom_6262207/default/table" xr:uid="{047BB462-ED2A-49A8-9D55-9D3000D4A93B}"/>
    <hyperlink ref="E116" r:id="rId125" display="https://ec.europa.eu/eurostat/databrowser/view/DS-056120__custom_6262207/default/table" xr:uid="{7D73CAC6-F295-42F2-BDD7-84C5D6A47D5E}"/>
    <hyperlink ref="E25" r:id="rId126" display="https://ec.europa.eu/eurostat/databrowser/view/DS-056120__custom_6262207/default/table" xr:uid="{0CD4A6DD-5C60-45B8-AACF-5E4218AFFFFA}"/>
    <hyperlink ref="E40" r:id="rId127" display="https://ec.europa.eu/eurostat/databrowser/view/DS-056120__custom_6262207/default/table" xr:uid="{19ADD158-39F5-411D-849D-F065A434212B}"/>
    <hyperlink ref="E127" r:id="rId128" display="https://ec.europa.eu/eurostat/databrowser/view/DS-056120__custom_6262207/default/table" xr:uid="{18BFB3AF-8892-436D-949F-2AAF6FB1B81A}"/>
    <hyperlink ref="E91" r:id="rId129" display="https://ec.europa.eu/eurostat/databrowser/view/DS-056120__custom_6262207/default/table" xr:uid="{A679FDCA-2AEF-4727-89AB-991D9C83EF62}"/>
    <hyperlink ref="E167" r:id="rId130" display="https://ec.europa.eu/eurostat/databrowser/view/DS-056120__custom_6262207/default/table" xr:uid="{4C932A66-90E3-4848-8998-6E608CBF5494}"/>
    <hyperlink ref="E253" r:id="rId131" display="https://ec.europa.eu/eurostat/databrowser/view/DS-056120__custom_6262207/default/table" xr:uid="{8B86C560-F110-4F71-80DF-00C328ED5605}"/>
    <hyperlink ref="E242" r:id="rId132" display="https://ec.europa.eu/eurostat/databrowser/view/DS-056120__custom_6262207/default/table" xr:uid="{69956A57-3EF4-4625-9642-FAF6880C7B15}"/>
    <hyperlink ref="E196" r:id="rId133" display="https://ec.europa.eu/eurostat/databrowser/view/DS-056120__custom_6262207/default/table" xr:uid="{9F911D22-4C1F-4586-AB49-E984F957705F}"/>
    <hyperlink ref="E223" r:id="rId134" display="https://ec.europa.eu/eurostat/databrowser/view/DS-056120__custom_6262207/default/table" xr:uid="{8E3AC6D3-F372-4A25-AE7F-4D7F7ACAEFC0}"/>
    <hyperlink ref="E79" r:id="rId135" display="https://ec.europa.eu/eurostat/databrowser/view/DS-056120__custom_6262207/default/table" xr:uid="{A696C432-1F1F-4C9E-B46A-2F0974801049}"/>
    <hyperlink ref="E90" r:id="rId136" display="https://ec.europa.eu/eurostat/databrowser/view/DS-056120__custom_6262207/default/table" xr:uid="{84763808-12E5-4E63-81DE-F6EAC32B1D83}"/>
    <hyperlink ref="E201" r:id="rId137" display="https://ec.europa.eu/eurostat/databrowser/view/DS-056120__custom_6262207/default/table" xr:uid="{1E077FB7-A7DC-409D-8F84-45CC902D38CA}"/>
    <hyperlink ref="E117" r:id="rId138" display="https://ec.europa.eu/eurostat/databrowser/view/DS-056120__custom_6262207/default/table" xr:uid="{63C6D533-B6C5-4C6E-B1E3-01826CEB7452}"/>
    <hyperlink ref="E22" r:id="rId139" display="https://ec.europa.eu/eurostat/databrowser/view/DS-056120__custom_6262207/default/table" xr:uid="{8F44FAA1-3048-4B4B-B491-348E5F638BD4}"/>
    <hyperlink ref="E38" r:id="rId140" display="https://ec.europa.eu/eurostat/databrowser/view/DS-056120__custom_6262207/default/table" xr:uid="{4B139865-9758-4D67-AC5A-89913DB22BAD}"/>
    <hyperlink ref="E107" r:id="rId141" display="https://ec.europa.eu/eurostat/databrowser/view/DS-056120__custom_6262207/default/table" xr:uid="{D5F34CBA-8065-4EDA-A429-CA62F3AC76BC}"/>
    <hyperlink ref="E86" r:id="rId142" display="https://ec.europa.eu/eurostat/databrowser/view/DS-056120__custom_6262207/default/table" xr:uid="{BE1EA2DB-9AD6-462D-8494-F8EE1D9A994A}"/>
    <hyperlink ref="E113" r:id="rId143" display="https://ec.europa.eu/eurostat/databrowser/view/DS-056120__custom_6262207/default/table" xr:uid="{0A5CEF3A-0D68-463F-9129-2A42F58DB98D}"/>
    <hyperlink ref="E229" r:id="rId144" display="https://ec.europa.eu/eurostat/databrowser/view/DS-056120__custom_6262207/default/table" xr:uid="{DA0E3320-D8A2-40C9-915B-5FB83EA7C5F9}"/>
    <hyperlink ref="E236" r:id="rId145" display="https://ec.europa.eu/eurostat/databrowser/view/DS-056120__custom_6262207/default/table" xr:uid="{850275B6-3DF8-4B45-ADAD-7BAD55121480}"/>
    <hyperlink ref="E190" r:id="rId146" display="https://ec.europa.eu/eurostat/databrowser/view/DS-056120__custom_6262207/default/table" xr:uid="{44BA45EA-0780-401D-BDCC-2315B011A0BC}"/>
    <hyperlink ref="E213" r:id="rId147" display="https://ec.europa.eu/eurostat/databrowser/view/DS-056120__custom_6262207/default/table" xr:uid="{F685FD71-6158-48E6-A86C-5D93DEC95C94}"/>
    <hyperlink ref="E77" r:id="rId148" display="https://ec.europa.eu/eurostat/databrowser/view/DS-056120__custom_6262207/default/table" xr:uid="{C2921C6C-183E-4310-86AE-98BBEC0888F6}"/>
    <hyperlink ref="E98" r:id="rId149" display="https://ec.europa.eu/eurostat/databrowser/view/DS-056120__custom_6262207/default/table" xr:uid="{5CDAD650-7D7C-431E-820D-49A8642C45FB}"/>
    <hyperlink ref="E207" r:id="rId150" display="https://ec.europa.eu/eurostat/databrowser/view/DS-056120__custom_6262207/default/table" xr:uid="{0D621963-E3C7-4B9B-B926-5BCE5A8D6D77}"/>
    <hyperlink ref="E135" r:id="rId151" display="https://ec.europa.eu/eurostat/databrowser/view/DS-056120__custom_6262207/default/table" xr:uid="{82693FF1-77C1-4D82-9B9B-92E1821C7615}"/>
    <hyperlink ref="E36" r:id="rId152" display="https://ec.europa.eu/eurostat/databrowser/view/DS-056120__custom_6262207/default/table" xr:uid="{D4D8697C-AAF5-44B1-A048-9171EF7B6E4B}"/>
    <hyperlink ref="E43" r:id="rId153" display="https://ec.europa.eu/eurostat/databrowser/view/DS-056120__custom_6262207/default/table" xr:uid="{A6D97456-8E83-4AB6-88A3-5F71D4098ED8}"/>
    <hyperlink ref="E159" r:id="rId154" display="https://ec.europa.eu/eurostat/databrowser/view/DS-056120__custom_6262207/default/table" xr:uid="{E133C31D-C0C5-4F14-B569-065A73D20BE2}"/>
    <hyperlink ref="E124" r:id="rId155" display="https://ec.europa.eu/eurostat/databrowser/view/DS-056120__custom_6262207/default/table" xr:uid="{FE00349D-0653-40B4-B783-B64B1D8A695A}"/>
    <hyperlink ref="E150" r:id="rId156" display="https://ec.europa.eu/eurostat/databrowser/view/DS-056120__custom_6262207/default/table" xr:uid="{F2FEF57D-DE2B-4C43-8108-45BF3C46B09D}"/>
    <hyperlink ref="E249" r:id="rId157" display="https://ec.europa.eu/eurostat/databrowser/view/DS-056120__custom_6262207/default/table" xr:uid="{16B96ACE-53B8-498F-9747-0C847F64ABFE}"/>
    <hyperlink ref="E234" r:id="rId158" display="https://ec.europa.eu/eurostat/databrowser/view/DS-056120__custom_6262207/default/table" xr:uid="{31C7C261-551F-4EAD-BC3B-E46FF0C79C14}"/>
    <hyperlink ref="E180" r:id="rId159" display="https://ec.europa.eu/eurostat/databrowser/view/DS-056120__custom_6262207/default/table" xr:uid="{769E7599-9127-4B8B-9EAF-ABE7DCBD380C}"/>
    <hyperlink ref="E210" r:id="rId160" display="https://ec.europa.eu/eurostat/databrowser/view/DS-056120__custom_6262207/default/table" xr:uid="{68463E13-6E0E-4DFF-ACCB-66F7057491EA}"/>
    <hyperlink ref="E67" r:id="rId161" display="https://ec.europa.eu/eurostat/databrowser/view/DS-056120__custom_6262207/default/table" xr:uid="{B1BAD422-A809-46D7-AA61-90F0BE062EE0}"/>
    <hyperlink ref="E72" r:id="rId162" display="https://ec.europa.eu/eurostat/databrowser/view/DS-056120__custom_6262207/default/table" xr:uid="{CB994268-37AB-410F-B82F-6B516375B137}"/>
    <hyperlink ref="E206" r:id="rId163" display="https://ec.europa.eu/eurostat/databrowser/view/DS-056120__custom_6262207/default/table" xr:uid="{80BE37EE-119E-4B69-9C58-BE0FDE3159B7}"/>
    <hyperlink ref="E142" r:id="rId164" display="https://ec.europa.eu/eurostat/databrowser/view/DS-056120__custom_6262207/default/table" xr:uid="{041C1D80-4F63-4006-A16B-B656D574C575}"/>
    <hyperlink ref="E21" r:id="rId165" display="https://ec.europa.eu/eurostat/databrowser/view/DS-056120__custom_6262207/default/table" xr:uid="{AF1D3306-F2B6-4439-90D1-9E73ACF20B8A}"/>
    <hyperlink ref="E42" r:id="rId166" display="https://ec.europa.eu/eurostat/databrowser/view/DS-056120__custom_6262207/default/table" xr:uid="{92AFF34D-7BC9-49F2-AD78-3C0D20E365DD}"/>
    <hyperlink ref="E108" r:id="rId167" display="https://ec.europa.eu/eurostat/databrowser/view/DS-056120__custom_6262207/default/table" xr:uid="{7ED05963-9324-4F91-B364-C6EC2785AD1B}"/>
    <hyperlink ref="E122" r:id="rId168" display="https://ec.europa.eu/eurostat/databrowser/view/DS-056120__custom_6262207/default/table" xr:uid="{3D317347-D6DD-4EEC-9E03-2DE3F444C134}"/>
    <hyperlink ref="E119" r:id="rId169" display="https://ec.europa.eu/eurostat/databrowser/view/DS-056120__custom_6262207/default/table" xr:uid="{DDDD2028-2C14-4D01-AFCC-1D87571A3696}"/>
    <hyperlink ref="E248" r:id="rId170" display="https://ec.europa.eu/eurostat/databrowser/view/DS-056120__custom_6262207/default/table" xr:uid="{7AE4B0B4-ED3E-425B-8B69-C93BC85A5605}"/>
    <hyperlink ref="E233" r:id="rId171" display="https://ec.europa.eu/eurostat/databrowser/view/DS-056120__custom_6262207/default/table" xr:uid="{C8009921-A7AA-46AD-987D-81DCB09E2301}"/>
    <hyperlink ref="E177" r:id="rId172" display="https://ec.europa.eu/eurostat/databrowser/view/DS-056120__custom_6262207/default/table" xr:uid="{AF8C82B7-10DD-494D-8298-C0ADBC31567C}"/>
    <hyperlink ref="E212" r:id="rId173" display="https://ec.europa.eu/eurostat/databrowser/view/DS-056120__custom_6262207/default/table" xr:uid="{1E619868-110F-4C8A-B3BE-38BDF11C05AB}"/>
    <hyperlink ref="E81" r:id="rId174" display="https://ec.europa.eu/eurostat/databrowser/view/DS-056120__custom_6262207/default/table" xr:uid="{608736EC-F429-4871-AFB2-5ADB95C2CDBD}"/>
    <hyperlink ref="E66" r:id="rId175" display="https://ec.europa.eu/eurostat/databrowser/view/DS-056120__custom_6262207/default/table" xr:uid="{901A35B7-7057-4675-88CC-1307507350CD}"/>
    <hyperlink ref="E185" r:id="rId176" display="https://ec.europa.eu/eurostat/databrowser/view/DS-056120__custom_6262207/default/table" xr:uid="{3D587A61-DCF6-4D5C-BA5A-91A3086604D1}"/>
    <hyperlink ref="E136" r:id="rId177" display="https://ec.europa.eu/eurostat/databrowser/view/DS-056120__custom_6262207/default/table" xr:uid="{6A041EE5-B9A5-4F6F-9F0A-240E2FFABF91}"/>
    <hyperlink ref="E23" r:id="rId178" display="https://ec.europa.eu/eurostat/databrowser/view/DS-056120__custom_6262207/default/table" xr:uid="{4C0D2C55-85E2-484D-8C64-75A10365D645}"/>
    <hyperlink ref="E47" r:id="rId179" display="https://ec.europa.eu/eurostat/databrowser/view/DS-056120__custom_6262207/default/table" xr:uid="{0226B09A-E1CC-474D-B4D6-19C23E76EF19}"/>
    <hyperlink ref="E95" r:id="rId180" display="https://ec.europa.eu/eurostat/databrowser/view/DS-056120__custom_6262207/default/table" xr:uid="{826958D0-927E-41E3-AD64-6720912CC4C0}"/>
    <hyperlink ref="E118" r:id="rId181" display="https://ec.europa.eu/eurostat/databrowser/view/DS-056120__custom_6262207/default/table" xr:uid="{F784F533-D1B4-4218-9FDD-2867F36D7117}"/>
    <hyperlink ref="E120" r:id="rId182" display="https://ec.europa.eu/eurostat/databrowser/view/DS-056120__custom_6262207/default/table" xr:uid="{97F0828C-ED62-4383-8282-5F444E598589}"/>
    <hyperlink ref="E247" r:id="rId183" display="https://ec.europa.eu/eurostat/databrowser/view/DS-056120__custom_6262207/default/table" xr:uid="{20E60270-3DFA-437B-9E1F-44B7C2AA1973}"/>
    <hyperlink ref="E243" r:id="rId184" display="https://ec.europa.eu/eurostat/databrowser/view/DS-056120__custom_6262207/default/table" xr:uid="{72E5A5A9-07B8-43B6-902F-9CD52E4A4CF0}"/>
    <hyperlink ref="E186" r:id="rId185" display="https://ec.europa.eu/eurostat/databrowser/view/DS-056120__custom_6262207/default/table" xr:uid="{C91CF5EE-5BA4-47C5-B331-70DA9126DE93}"/>
    <hyperlink ref="E218" r:id="rId186" display="https://ec.europa.eu/eurostat/databrowser/view/DS-056120__custom_6262207/default/table" xr:uid="{4F0A5CC5-88A4-4E43-900E-0B14E63D07B6}"/>
    <hyperlink ref="E83" r:id="rId187" display="https://ec.europa.eu/eurostat/databrowser/view/DS-056120__custom_6262207/default/table" xr:uid="{8C404125-896C-4532-904A-0D0D1DDD404E}"/>
    <hyperlink ref="E69" r:id="rId188" display="https://ec.europa.eu/eurostat/databrowser/view/DS-056120__custom_6262207/default/table" xr:uid="{D3E36456-205A-4CD9-8511-7681009BC63F}"/>
    <hyperlink ref="E203" r:id="rId189" display="https://ec.europa.eu/eurostat/databrowser/view/DS-056120__custom_6262207/default/table" xr:uid="{8CAA602F-6737-4200-AA82-CA7DF4C6F530}"/>
    <hyperlink ref="E143" r:id="rId190" display="https://ec.europa.eu/eurostat/databrowser/view/DS-056120__custom_6262207/default/table" xr:uid="{26D5C41C-7245-4AF9-97DF-6D2C7EB9D419}"/>
    <hyperlink ref="E27" r:id="rId191" display="https://ec.europa.eu/eurostat/databrowser/view/DS-056120__custom_6262207/default/table" xr:uid="{1C795AD4-2E8B-41B9-A34A-6313F818E873}"/>
    <hyperlink ref="E50" r:id="rId192" display="https://ec.europa.eu/eurostat/databrowser/view/DS-056120__custom_6262207/default/table" xr:uid="{08AEF4D2-53EE-4365-BBFD-0965193F9DB8}"/>
    <hyperlink ref="E153" r:id="rId193" display="https://ec.europa.eu/eurostat/databrowser/view/DS-056120__custom_6262207/default/table" xr:uid="{62DDAD73-F647-4324-8F42-8C9F4E4F6AF7}"/>
    <hyperlink ref="E109" r:id="rId194" display="https://ec.europa.eu/eurostat/databrowser/view/DS-056120__custom_6262207/default/table" xr:uid="{CE8BCEEF-FF81-4BD6-A0DA-BE888F8BB560}"/>
    <hyperlink ref="E139" r:id="rId195" display="https://ec.europa.eu/eurostat/databrowser/view/DS-056120__custom_6262207/default/table" xr:uid="{0AA9ECEA-2640-4F80-9247-5FBC49401508}"/>
    <hyperlink ref="E256" r:id="rId196" display="https://ec.europa.eu/eurostat/databrowser/view/DS-056120__custom_6262207/default/table" xr:uid="{7817AB04-9B50-41FC-9B08-84E8F07D32DF}"/>
    <hyperlink ref="E244" r:id="rId197" display="https://ec.europa.eu/eurostat/databrowser/view/DS-056120__custom_6262207/default/table" xr:uid="{66D6C95F-C0C0-4822-B11B-94CAE02DF53B}"/>
    <hyperlink ref="E187" r:id="rId198" display="https://ec.europa.eu/eurostat/databrowser/view/DS-056120__custom_6262207/default/table" xr:uid="{A171EA28-D68C-4B99-8211-B7B666FBEC36}"/>
    <hyperlink ref="E219" r:id="rId199" display="https://ec.europa.eu/eurostat/databrowser/view/DS-056120__custom_6262207/default/table" xr:uid="{71747C53-B463-4812-9862-EDD76572F0A2}"/>
    <hyperlink ref="E84" r:id="rId200" display="https://ec.europa.eu/eurostat/databrowser/view/DS-056120__custom_6262207/default/table" xr:uid="{CFD62BAB-362F-4FA4-939C-37533F65834B}"/>
    <hyperlink ref="E70" r:id="rId201" display="https://ec.europa.eu/eurostat/databrowser/view/DS-056120__custom_6262207/default/table" xr:uid="{DD67316C-31B0-4B5D-9D6C-6E0D3B4B9515}"/>
    <hyperlink ref="E204" r:id="rId202" display="https://ec.europa.eu/eurostat/databrowser/view/DS-056120__custom_6262207/default/table" xr:uid="{BBA6A314-0531-4EA2-923F-C379BAC91588}"/>
    <hyperlink ref="E144" r:id="rId203" display="https://ec.europa.eu/eurostat/databrowser/view/DS-056120__custom_6262207/default/table" xr:uid="{13566B24-11A3-46A2-91B0-8625F85F1AD6}"/>
    <hyperlink ref="E28" r:id="rId204" display="https://ec.europa.eu/eurostat/databrowser/view/DS-056120__custom_6262207/default/table" xr:uid="{3015EAB3-E040-4E45-8778-25FA498CC468}"/>
    <hyperlink ref="E51" r:id="rId205" display="https://ec.europa.eu/eurostat/databrowser/view/DS-056120__custom_6262207/default/table" xr:uid="{42CCC44D-A66E-44E4-9774-1E9ABB6A3373}"/>
    <hyperlink ref="E154" r:id="rId206" display="https://ec.europa.eu/eurostat/databrowser/view/DS-056120__custom_6262207/default/table" xr:uid="{5EC0482C-DE28-44EB-BBF5-51B9193E7D2C}"/>
    <hyperlink ref="E110" r:id="rId207" display="https://ec.europa.eu/eurostat/databrowser/view/DS-056120__custom_6262207/default/table" xr:uid="{87B01286-2E71-429C-BCA3-FAAD5E278319}"/>
    <hyperlink ref="E140" r:id="rId208" display="https://ec.europa.eu/eurostat/databrowser/view/DS-056120__custom_6262207/default/table" xr:uid="{96D9BF63-E647-4966-8038-65E2C055D15E}"/>
    <hyperlink ref="E257" r:id="rId209" display="https://ec.europa.eu/eurostat/databrowser/view/DS-056120__custom_6262207/default/table" xr:uid="{7FD831EF-1A56-4E1B-BD25-8399B6CD3424}"/>
    <hyperlink ref="E245" r:id="rId210" display="https://ec.europa.eu/eurostat/databrowser/view/DS-056120__custom_6262207/default/table" xr:uid="{BFF6B099-FCBD-4E52-A9C6-9B1D9452977E}"/>
    <hyperlink ref="E188" r:id="rId211" display="https://ec.europa.eu/eurostat/databrowser/view/DS-056120__custom_6262207/default/table" xr:uid="{2F10BC12-6DB5-4C48-8243-2C5794E98216}"/>
    <hyperlink ref="E220" r:id="rId212" display="https://ec.europa.eu/eurostat/databrowser/view/DS-056120__custom_6262207/default/table" xr:uid="{278952B1-18D5-4E14-86DF-6B4C696242FD}"/>
    <hyperlink ref="E85" r:id="rId213" display="https://ec.europa.eu/eurostat/databrowser/view/DS-056120__custom_6262207/default/table" xr:uid="{37873748-E433-417C-A313-285794212AF9}"/>
    <hyperlink ref="E71" r:id="rId214" display="https://ec.europa.eu/eurostat/databrowser/view/DS-056120__custom_6262207/default/table" xr:uid="{B7A47D6C-7043-4C44-B677-9CCD376D12C8}"/>
    <hyperlink ref="E205" r:id="rId215" display="https://ec.europa.eu/eurostat/databrowser/view/DS-056120__custom_6262207/default/table" xr:uid="{51BCA18D-8DCF-4FFE-8E94-9B6820511BC4}"/>
    <hyperlink ref="E145" r:id="rId216" display="https://ec.europa.eu/eurostat/databrowser/view/DS-056120__custom_6262207/default/table" xr:uid="{68D3F1DB-22A9-4DE4-B7D0-5C0B7AAC473A}"/>
    <hyperlink ref="E29" r:id="rId217" display="https://ec.europa.eu/eurostat/databrowser/view/DS-056120__custom_6262207/default/table" xr:uid="{F6D22C49-AFEF-4358-BB45-D3E808DD9F2E}"/>
    <hyperlink ref="E52" r:id="rId218" display="https://ec.europa.eu/eurostat/databrowser/view/DS-056120__custom_6262207/default/table" xr:uid="{CAC95941-05AE-4370-B277-77A7EF016499}"/>
    <hyperlink ref="E155" r:id="rId219" display="https://ec.europa.eu/eurostat/databrowser/view/DS-056120__custom_6262207/default/table" xr:uid="{6DD7905D-FEBB-49BF-8382-7463224C935D}"/>
    <hyperlink ref="E111" r:id="rId220" display="https://ec.europa.eu/eurostat/databrowser/view/DS-056120__custom_6262207/default/table" xr:uid="{9E411710-96EF-437D-B541-9C8F60532D32}"/>
    <hyperlink ref="E141" r:id="rId221" display="https://ec.europa.eu/eurostat/databrowser/view/DS-056120__custom_6262207/default/table" xr:uid="{FEA9DAFD-4875-4A85-8C86-88E7F4383CED}"/>
    <hyperlink ref="E258" r:id="rId222" display="https://ec.europa.eu/eurostat/databrowser/view/DS-056120__custom_6262207/default/table" xr:uid="{9FBC692E-E282-46A3-B785-A0F52CE38BD3}"/>
    <hyperlink ref="E251" r:id="rId223" display="https://ec.europa.eu/eurostat/databrowser/view/DS-056120__custom_6262207/default/table" xr:uid="{5D35F766-3790-4200-8B6D-A39DDA275137}"/>
    <hyperlink ref="E194" r:id="rId224" display="https://ec.europa.eu/eurostat/databrowser/view/DS-056120__custom_6262207/default/table" xr:uid="{F4B2E493-B7AC-4840-AC22-FDCFD1D96DAE}"/>
    <hyperlink ref="E227" r:id="rId225" display="https://ec.europa.eu/eurostat/databrowser/view/DS-056120__custom_6262207/default/table" xr:uid="{F500FA7F-4BDB-48CA-AD66-AE98C43CB65B}"/>
    <hyperlink ref="E96" r:id="rId226" display="https://ec.europa.eu/eurostat/databrowser/view/DS-056120__custom_6262207/default/table" xr:uid="{FFD7EC30-E38C-416B-837A-913A8D1A8146}"/>
    <hyperlink ref="E87" r:id="rId227" display="https://ec.europa.eu/eurostat/databrowser/view/DS-056120__custom_6262207/default/table" xr:uid="{ED219F9F-3726-41DB-8365-4FAC504C3009}"/>
    <hyperlink ref="E209" r:id="rId228" display="https://ec.europa.eu/eurostat/databrowser/view/DS-056120__custom_6262207/default/table" xr:uid="{6BE40070-B095-4ED4-8A1B-FEB4A7ABA7D4}"/>
    <hyperlink ref="E126" r:id="rId229" display="https://ec.europa.eu/eurostat/databrowser/view/DS-056120__custom_6262207/default/table" xr:uid="{5B8B5CDD-CADD-4C9B-8913-3416B92C7BB3}"/>
    <hyperlink ref="E26" r:id="rId230" display="https://ec.europa.eu/eurostat/databrowser/view/DS-056120__custom_6262207/default/table" xr:uid="{977F4B55-93E1-4B7E-AACC-75F9BF5181A3}"/>
    <hyperlink ref="E44" r:id="rId231" display="https://ec.europa.eu/eurostat/databrowser/view/DS-056120__custom_6262207/default/table" xr:uid="{242D98B5-229C-42C4-BEC7-BF5F7C15254E}"/>
    <hyperlink ref="E123" r:id="rId232" display="https://ec.europa.eu/eurostat/databrowser/view/DS-056120__custom_6262207/default/table" xr:uid="{2A450C07-BD51-45C3-9726-7FD67E387665}"/>
    <hyperlink ref="E103" r:id="rId233" display="https://ec.europa.eu/eurostat/databrowser/view/DS-056120__custom_6262207/default/table" xr:uid="{4D597B80-2FEC-47FA-AA46-F39186C3B129}"/>
    <hyperlink ref="E170" r:id="rId234" display="https://ec.europa.eu/eurostat/databrowser/view/DS-056120__custom_6262207/default/table" xr:uid="{2505E8E8-0056-4B1D-B5DB-E4140A89038F}"/>
    <hyperlink ref="E254" r:id="rId235" display="https://ec.europa.eu/eurostat/databrowser/view/DS-056120__custom_6262207/default/table" xr:uid="{DBBCE1BF-CD6F-407B-9712-0E60CB7ED289}"/>
    <hyperlink ref="E252" r:id="rId236" display="https://ec.europa.eu/eurostat/databrowser/view/DS-056120__custom_6262207/default/table" xr:uid="{9E326D87-33FD-49D5-B235-1F28B585F3E0}"/>
    <hyperlink ref="E200" r:id="rId237" display="https://ec.europa.eu/eurostat/databrowser/view/DS-056120__custom_6262207/default/table" xr:uid="{CF7DD899-9958-49F0-BBA0-EDA31521E10B}"/>
    <hyperlink ref="E222" r:id="rId238" display="https://ec.europa.eu/eurostat/databrowser/view/DS-056120__custom_6262207/default/table" xr:uid="{3F164E0F-1342-41CC-B1A5-57536318942B}"/>
    <hyperlink ref="E99" r:id="rId239" display="https://ec.europa.eu/eurostat/databrowser/view/DS-056120__custom_6262207/default/table" xr:uid="{FAFB1296-3EFF-4DE5-85AC-3714939D5AB4}"/>
    <hyperlink ref="E93" r:id="rId240" display="https://ec.europa.eu/eurostat/databrowser/view/DS-056120__custom_6262207/default/table" xr:uid="{44DA203A-4BC5-4CFE-91B2-52BC1C50CD07}"/>
    <hyperlink ref="E208" r:id="rId241" display="https://ec.europa.eu/eurostat/databrowser/view/DS-056120__custom_6262207/default/table" xr:uid="{5068F117-ECA6-420E-B382-A7DC980D70C2}"/>
    <hyperlink ref="E134" r:id="rId242" display="https://ec.europa.eu/eurostat/databrowser/view/DS-056120__custom_6262207/default/table" xr:uid="{723CF9BB-211A-48CB-8EC4-34C2D8304898}"/>
    <hyperlink ref="E33" r:id="rId243" display="https://ec.europa.eu/eurostat/databrowser/view/DS-056120__custom_6262207/default/table" xr:uid="{612A7FA5-9636-4C1A-A489-E877CAA38CEF}"/>
    <hyperlink ref="E55" r:id="rId244" display="https://ec.europa.eu/eurostat/databrowser/view/DS-056120__custom_6262207/default/table" xr:uid="{B2DAF263-42D6-4727-A097-E8C16B2318E0}"/>
    <hyperlink ref="E128" r:id="rId245" display="https://ec.europa.eu/eurostat/databrowser/view/DS-056120__custom_6262207/default/table" xr:uid="{490BD6DC-AD0A-4AF9-96F7-D8A453BE22CF}"/>
    <hyperlink ref="E104" r:id="rId246" display="https://ec.europa.eu/eurostat/databrowser/view/DS-056120__custom_6262207/default/table" xr:uid="{366BAA97-82E2-4E64-8A28-BF3CFA3592E9}"/>
    <hyperlink ref="E166" r:id="rId247" display="https://ec.europa.eu/eurostat/databrowser/view/DS-056120__custom_6262207/default/table" xr:uid="{9842C3D9-E46E-4B6C-A2CB-0C40F70379D2}"/>
    <hyperlink ref="E262" r:id="rId248" display="https://ec.europa.eu/eurostat/databrowser/view/DS-056120__custom_6262207/default/table" xr:uid="{38912661-C5C5-4B6C-B34F-30957ED166C5}"/>
    <hyperlink ref="E277" r:id="rId249" display="https://ec.europa.eu/eurostat/databrowser/view/DS-056120__custom_6262207/default/table" xr:uid="{FD456AA6-4075-434B-BE47-0A0BB17041C6}"/>
    <hyperlink ref="E278" r:id="rId250" display="https://ec.europa.eu/eurostat/databrowser/view/DS-056120__custom_6262207/default/table" xr:uid="{020C4771-6587-492F-9A1F-E93A40818F28}"/>
    <hyperlink ref="E279" r:id="rId251" display="https://ec.europa.eu/eurostat/databrowser/view/DS-056120__custom_6262207/default/table" xr:uid="{6AD4BA07-480E-411E-BB9B-39B8AAEFA58F}"/>
    <hyperlink ref="E280" r:id="rId252" display="https://ec.europa.eu/eurostat/databrowser/view/DS-056120__custom_6262207/default/table" xr:uid="{60444564-C065-4873-BA15-396495078D29}"/>
    <hyperlink ref="E281" r:id="rId253" display="https://ec.europa.eu/eurostat/databrowser/view/DS-056120__custom_6262207/default/table" xr:uid="{E7599506-B1F4-4C91-B49D-631C496140F8}"/>
    <hyperlink ref="E282" r:id="rId254" display="https://ec.europa.eu/eurostat/databrowser/view/DS-056120__custom_6262207/default/table" xr:uid="{D2A47E1F-9604-4319-AFC4-6A0C829059B0}"/>
    <hyperlink ref="E283" r:id="rId255" display="https://ec.europa.eu/eurostat/databrowser/view/DS-056120__custom_6262207/default/table" xr:uid="{1FEC6A75-B13F-4B09-AA99-872C3AF97166}"/>
    <hyperlink ref="E284" r:id="rId256" display="https://ec.europa.eu/eurostat/databrowser/view/DS-056120__custom_6262207/default/table" xr:uid="{7E310A14-5E53-4B2A-B0CD-B61D412A15CE}"/>
    <hyperlink ref="E285" r:id="rId257" display="https://ec.europa.eu/eurostat/databrowser/view/DS-056120__custom_6262207/default/table" xr:uid="{B43F55F6-1088-4304-93BD-5CE3696523D7}"/>
    <hyperlink ref="E286" r:id="rId258" display="https://ec.europa.eu/eurostat/databrowser/view/DS-056120__custom_6262207/default/table" xr:uid="{188D2D3A-C29E-474D-AFF7-1776EAE5A660}"/>
    <hyperlink ref="E287" r:id="rId259" display="https://ec.europa.eu/eurostat/databrowser/view/DS-056120__custom_6262207/default/table" xr:uid="{B5D053B4-7633-4E46-9322-C623BBA98846}"/>
    <hyperlink ref="E288" r:id="rId260" display="https://ec.europa.eu/eurostat/databrowser/view/DS-056120__custom_6262207/default/table" xr:uid="{36A56383-3EC2-4D98-A155-00C2A54D7A1F}"/>
    <hyperlink ref="E289" r:id="rId261" display="https://ec.europa.eu/eurostat/databrowser/view/DS-056120__custom_6262207/default/table" xr:uid="{2231A592-FA55-4770-AD97-6F58FB88558B}"/>
    <hyperlink ref="E290" r:id="rId262" display="https://ec.europa.eu/eurostat/databrowser/view/DS-056120__custom_6262207/default/table" xr:uid="{328DA63B-104A-4F4D-AE6F-82F452AEF556}"/>
    <hyperlink ref="E291" r:id="rId263" display="https://ec.europa.eu/eurostat/databrowser/view/DS-056120__custom_6262207/default/table" xr:uid="{0C8ED762-59A5-42AA-A8E5-B7443175F15C}"/>
    <hyperlink ref="E292" r:id="rId264" display="https://ec.europa.eu/eurostat/databrowser/view/DS-056120__custom_6262207/default/table" xr:uid="{0D7727EB-D181-4A2E-8F91-51E204126989}"/>
    <hyperlink ref="E293" r:id="rId265" display="https://ec.europa.eu/eurostat/databrowser/view/DS-056120__custom_6262207/default/table" xr:uid="{3B4419CC-34F6-4132-AAC9-2924BF9B79A6}"/>
    <hyperlink ref="E294" r:id="rId266" display="https://ec.europa.eu/eurostat/databrowser/view/DS-056120__custom_6262207/default/table" xr:uid="{D243E669-05ED-4A45-B555-E083ED95E3BA}"/>
    <hyperlink ref="E295" r:id="rId267" display="https://ec.europa.eu/eurostat/databrowser/view/DS-056120__custom_6262207/default/table" xr:uid="{748B6E5B-8D71-4F10-8B08-97F027A7F388}"/>
    <hyperlink ref="E296" r:id="rId268" display="https://ec.europa.eu/eurostat/databrowser/view/DS-056120__custom_6262207/default/table" xr:uid="{19331325-648D-4600-9C4F-D84AFDD48970}"/>
    <hyperlink ref="E297" r:id="rId269" display="https://ec.europa.eu/eurostat/databrowser/view/DS-056120__custom_6262207/default/table" xr:uid="{2E767DF8-7D5E-437E-8928-0B9C74451E53}"/>
    <hyperlink ref="E298" r:id="rId270" display="https://ec.europa.eu/eurostat/databrowser/view/DS-056120__custom_6262207/default/table" xr:uid="{3B33F15E-98C6-4CCD-A23C-817ED8C35E3C}"/>
    <hyperlink ref="E299" r:id="rId271" display="https://ec.europa.eu/eurostat/databrowser/view/DS-056120__custom_6262207/default/table" xr:uid="{B253F8D4-25EB-4797-A35E-99CAC56AD666}"/>
    <hyperlink ref="E300" r:id="rId272" display="https://ec.europa.eu/eurostat/databrowser/view/DS-056120__custom_6262207/default/table" xr:uid="{B6123721-E6B4-4DD4-8FBA-EBF9261E9950}"/>
    <hyperlink ref="E301" r:id="rId273" display="https://ec.europa.eu/eurostat/databrowser/view/DS-056120__custom_6262207/default/table" xr:uid="{BC21A54F-1627-492C-8B53-BA4B51E50AAA}"/>
    <hyperlink ref="E302" r:id="rId274" display="https://ec.europa.eu/eurostat/databrowser/view/DS-056120__custom_6262207/default/table" xr:uid="{4748E617-9739-4FD3-9824-42393325AB20}"/>
    <hyperlink ref="E303" r:id="rId275" display="https://ec.europa.eu/eurostat/databrowser/view/DS-056120__custom_6262207/default/table" xr:uid="{F7B82879-D75D-4937-BD8C-E5BBF30D312D}"/>
    <hyperlink ref="E304" r:id="rId276" display="https://ec.europa.eu/eurostat/databrowser/view/DS-056120__custom_6262207/default/table" xr:uid="{467DC69E-D477-4126-89B6-71F2758FB875}"/>
    <hyperlink ref="E305" r:id="rId277" display="https://ec.europa.eu/eurostat/databrowser/view/DS-056120__custom_6262207/default/table" xr:uid="{888E0D74-E5F1-4AD8-9D09-3A3129A8AA6D}"/>
    <hyperlink ref="E306" r:id="rId278" display="https://ec.europa.eu/eurostat/databrowser/view/DS-056120__custom_6262207/default/table" xr:uid="{335DA9B8-586F-49B3-A8D4-514FECF9C18C}"/>
    <hyperlink ref="E307" r:id="rId279" display="https://ec.europa.eu/eurostat/databrowser/view/DS-056120__custom_6262207/default/table" xr:uid="{29396490-C53A-454A-ACDE-043ABEF349B0}"/>
    <hyperlink ref="E308" r:id="rId280" display="https://ec.europa.eu/eurostat/databrowser/view/DS-056120__custom_6262207/default/table" xr:uid="{86C4C7B8-3150-4442-86F3-B70D1C36D78A}"/>
    <hyperlink ref="E309" r:id="rId281" display="https://ec.europa.eu/eurostat/databrowser/view/DS-056120__custom_6262207/default/table" xr:uid="{BA494505-CFC6-4BD3-BD3B-94A93B14EEA3}"/>
    <hyperlink ref="E310" r:id="rId282" display="https://ec.europa.eu/eurostat/databrowser/view/DS-056120__custom_6262207/default/table" xr:uid="{6BA730FC-EB5D-43C4-8036-83F73006B519}"/>
    <hyperlink ref="E311" r:id="rId283" display="https://ec.europa.eu/eurostat/databrowser/view/DS-056120__custom_6262207/default/table" xr:uid="{AEC8D50F-E31F-4BEB-A5B3-2BDC5A2D2608}"/>
    <hyperlink ref="E312" r:id="rId284" display="https://ec.europa.eu/eurostat/databrowser/view/DS-056120__custom_6262207/default/table" xr:uid="{7B996ECB-0C4F-4534-A4AD-230A9ABC77D7}"/>
    <hyperlink ref="E313" r:id="rId285" display="https://ec.europa.eu/eurostat/databrowser/view/DS-056120__custom_6262207/default/table" xr:uid="{57725F6F-B365-428D-8C9A-7750ABE66BEC}"/>
    <hyperlink ref="E314" r:id="rId286" display="https://ec.europa.eu/eurostat/databrowser/view/DS-056120__custom_6262207/default/table" xr:uid="{694DCA1D-5B6F-421A-9AE5-569A46815DC6}"/>
    <hyperlink ref="E315" r:id="rId287" display="https://ec.europa.eu/eurostat/databrowser/view/DS-056120__custom_6262207/default/table" xr:uid="{BE3C8F56-9CC7-4E17-9258-C0736AD4FE66}"/>
    <hyperlink ref="E316" r:id="rId288" display="https://ec.europa.eu/eurostat/databrowser/view/DS-056120__custom_6262207/default/table" xr:uid="{D67FAD9B-0F95-4DD5-B9FB-47091AF6BCD3}"/>
    <hyperlink ref="E317" r:id="rId289" display="https://ec.europa.eu/eurostat/databrowser/view/DS-056120__custom_6262207/default/table" xr:uid="{C3A8AC9C-1F34-49E8-873A-B0620FD4CD83}"/>
    <hyperlink ref="E318" r:id="rId290" display="https://ec.europa.eu/eurostat/databrowser/view/DS-056120__custom_6262207/default/table" xr:uid="{A2946427-4055-40E3-8990-98109A3FA1EC}"/>
    <hyperlink ref="E319" r:id="rId291" display="https://ec.europa.eu/eurostat/databrowser/view/DS-056120__custom_6262207/default/table" xr:uid="{DB2CB828-A340-4E51-AC42-C90C8E733357}"/>
    <hyperlink ref="E320" r:id="rId292" display="https://ec.europa.eu/eurostat/databrowser/view/DS-056120__custom_6262207/default/table" xr:uid="{A87FE6C0-6C90-4A1A-98B5-2D6D308E7109}"/>
    <hyperlink ref="E321" r:id="rId293" display="https://ec.europa.eu/eurostat/databrowser/view/DS-056120__custom_6262207/default/table" xr:uid="{DE295E71-9957-4927-A0FE-ADE4E1057798}"/>
    <hyperlink ref="E322" r:id="rId294" display="https://ec.europa.eu/eurostat/databrowser/view/DS-056120__custom_6262207/default/table" xr:uid="{D101FBF4-87B3-4E80-8DD6-E0A934E4D7B5}"/>
    <hyperlink ref="E323" r:id="rId295" display="https://ec.europa.eu/eurostat/databrowser/view/DS-056120__custom_6262207/default/table" xr:uid="{F9F9A612-82CD-46DC-8CF0-0562F4F60294}"/>
    <hyperlink ref="E324" r:id="rId296" display="https://ec.europa.eu/eurostat/databrowser/view/DS-056120__custom_6262207/default/table" xr:uid="{1BBC47DB-AAED-45D2-BD23-21BCEE1456B6}"/>
    <hyperlink ref="E325" r:id="rId297" display="https://ec.europa.eu/eurostat/databrowser/view/DS-056120__custom_6262207/default/table" xr:uid="{D6777486-355E-4470-93D0-68361F9C484B}"/>
    <hyperlink ref="E326" r:id="rId298" display="https://ec.europa.eu/eurostat/databrowser/view/DS-056120__custom_6262207/default/table" xr:uid="{941A825D-7C25-4120-A283-A654B1565D7C}"/>
    <hyperlink ref="E327" r:id="rId299" display="https://ec.europa.eu/eurostat/databrowser/view/DS-056120__custom_6262207/default/table" xr:uid="{2839BAC2-EBAF-4CD3-B52C-B0D3C4B06F6F}"/>
    <hyperlink ref="E328" r:id="rId300" display="https://ec.europa.eu/eurostat/databrowser/view/DS-056120__custom_6262207/default/table" xr:uid="{0E657644-3434-4A0F-BEF1-231B442B134F}"/>
    <hyperlink ref="E329" r:id="rId301" display="https://ec.europa.eu/eurostat/databrowser/view/DS-056120__custom_6262207/default/table" xr:uid="{1761A52B-FEFD-4F65-AC3C-527DE7BA3526}"/>
    <hyperlink ref="E330" r:id="rId302" display="https://ec.europa.eu/eurostat/databrowser/view/DS-056120__custom_6262207/default/table" xr:uid="{62E8DD83-5E53-4E00-84DC-3F8B21EF0F67}"/>
    <hyperlink ref="E331" r:id="rId303" display="https://ec.europa.eu/eurostat/databrowser/view/DS-056120__custom_6262207/default/table" xr:uid="{E6BBAE81-747C-4A28-9C8D-06EFCAC7423B}"/>
    <hyperlink ref="E332" r:id="rId304" display="https://ec.europa.eu/eurostat/databrowser/view/DS-056120__custom_6262207/default/table" xr:uid="{F6A2E8EF-A65C-4F3C-86F3-E9C8655DFEC9}"/>
    <hyperlink ref="E333" r:id="rId305" display="https://ec.europa.eu/eurostat/databrowser/view/DS-056120__custom_6262207/default/table" xr:uid="{216B16AF-19AE-4944-86A6-172210239A88}"/>
    <hyperlink ref="E334" r:id="rId306" display="https://ec.europa.eu/eurostat/databrowser/view/DS-056120__custom_6262207/default/table" xr:uid="{7618D355-2289-45D6-A092-56241BFE5BBF}"/>
    <hyperlink ref="E335" r:id="rId307" display="https://ec.europa.eu/eurostat/databrowser/view/DS-056120__custom_6262207/default/table" xr:uid="{8A69762C-8898-48FF-99B1-317B3833FF60}"/>
    <hyperlink ref="E336" r:id="rId308" display="https://ec.europa.eu/eurostat/databrowser/view/DS-056120__custom_6262207/default/table" xr:uid="{A37BEB00-93EF-4F48-97DE-38C071C09668}"/>
    <hyperlink ref="E337" r:id="rId309" display="https://ec.europa.eu/eurostat/databrowser/view/DS-056120__custom_6262207/default/table" xr:uid="{DE5CA885-051A-424C-99D9-CAB1B9B39634}"/>
    <hyperlink ref="E338" r:id="rId310" display="https://ec.europa.eu/eurostat/databrowser/view/DS-056120__custom_6262207/default/table" xr:uid="{8A68680D-C358-4845-A251-5AFD3CDE7835}"/>
    <hyperlink ref="E339" r:id="rId311" display="https://ec.europa.eu/eurostat/databrowser/view/DS-056120__custom_6262207/default/table" xr:uid="{627CF42F-5EB5-478F-B288-DCAA33C6F988}"/>
    <hyperlink ref="E340" r:id="rId312" display="https://ec.europa.eu/eurostat/databrowser/view/DS-056120__custom_6262207/default/table" xr:uid="{F0AD6AA6-17CC-4B75-9C55-E754B7D28ED4}"/>
    <hyperlink ref="E341" r:id="rId313" display="https://ec.europa.eu/eurostat/databrowser/view/DS-056120__custom_6262207/default/table" xr:uid="{EA0D1B95-3E17-421E-94B2-875D7A225ECA}"/>
    <hyperlink ref="E342" r:id="rId314" display="https://ec.europa.eu/eurostat/databrowser/view/DS-056120__custom_6262207/default/table" xr:uid="{E02FCFAD-986A-4B11-975E-271D10ABA757}"/>
    <hyperlink ref="E343" r:id="rId315" display="https://ec.europa.eu/eurostat/databrowser/view/DS-056120__custom_6262207/default/table" xr:uid="{8EE7A8C6-A17E-4B19-B7F2-A02AFA628768}"/>
    <hyperlink ref="E344" r:id="rId316" display="https://ec.europa.eu/eurostat/databrowser/view/DS-056120__custom_6262207/default/table" xr:uid="{E59C1D46-1BE9-4F1A-AAD7-6088FE6560E8}"/>
    <hyperlink ref="E345" r:id="rId317" display="https://ec.europa.eu/eurostat/databrowser/view/DS-056120__custom_6262207/default/table" xr:uid="{897CEA97-6190-4948-B5DC-D6CF4E398DA8}"/>
    <hyperlink ref="E346" r:id="rId318" display="https://ec.europa.eu/eurostat/databrowser/view/DS-056120__custom_6262207/default/table" xr:uid="{EE8BC9B2-069F-4B84-A0B3-75508AEB1A07}"/>
    <hyperlink ref="E347" r:id="rId319" display="https://ec.europa.eu/eurostat/databrowser/view/DS-056120__custom_6262207/default/table" xr:uid="{AC501496-0581-4806-808A-5A8E307619A2}"/>
    <hyperlink ref="E348" r:id="rId320" display="https://ec.europa.eu/eurostat/databrowser/view/DS-056120__custom_6262207/default/table" xr:uid="{1EB845C1-000B-46F4-9748-8AA752B74191}"/>
    <hyperlink ref="E349" r:id="rId321" display="https://ec.europa.eu/eurostat/databrowser/view/DS-056120__custom_6262207/default/table" xr:uid="{1BACADC9-DD38-4386-9EC6-79DBB266CDE4}"/>
    <hyperlink ref="E350" r:id="rId322" display="https://ec.europa.eu/eurostat/databrowser/view/DS-056120__custom_6262207/default/table" xr:uid="{8559CD28-3949-487A-945F-D1E8DEDEF70E}"/>
    <hyperlink ref="E351" r:id="rId323" display="https://ec.europa.eu/eurostat/databrowser/view/DS-056120__custom_6262207/default/table" xr:uid="{DBE54B43-6EF0-43B8-A577-B226AE859BCC}"/>
    <hyperlink ref="E352" r:id="rId324" display="https://ec.europa.eu/eurostat/databrowser/view/DS-056120__custom_6262207/default/table" xr:uid="{E8DFDC9C-7BBC-49D4-9608-9476210D4145}"/>
    <hyperlink ref="E353" r:id="rId325" display="https://ec.europa.eu/eurostat/databrowser/view/DS-056120__custom_6262207/default/table" xr:uid="{1055A378-CAD7-4221-BE08-971BB34B5CF1}"/>
    <hyperlink ref="E354" r:id="rId326" display="https://ec.europa.eu/eurostat/databrowser/view/DS-056120__custom_6262207/default/table" xr:uid="{1EAC1F75-E41A-4354-9175-8FF7F8D0D56C}"/>
    <hyperlink ref="E355" r:id="rId327" display="https://ec.europa.eu/eurostat/databrowser/view/DS-056120__custom_6262207/default/table" xr:uid="{DF6B9E93-7DBF-441D-A8EE-D17DB8356B9C}"/>
    <hyperlink ref="E356" r:id="rId328" display="https://ec.europa.eu/eurostat/databrowser/view/DS-056120__custom_6262207/default/table" xr:uid="{206E3BD4-E837-4ED7-BC10-6D52C476F272}"/>
    <hyperlink ref="E357" r:id="rId329" display="https://ec.europa.eu/eurostat/databrowser/view/DS-056120__custom_6262207/default/table" xr:uid="{68C98B2C-4938-46DC-A296-B43BE2E327CF}"/>
    <hyperlink ref="E358" r:id="rId330" display="https://ec.europa.eu/eurostat/databrowser/view/DS-056120__custom_6262207/default/table" xr:uid="{D71D3ECC-DB09-4F55-B15C-4658AC6EF7CB}"/>
    <hyperlink ref="E359" r:id="rId331" display="https://ec.europa.eu/eurostat/databrowser/view/DS-056120__custom_6262207/default/table" xr:uid="{45087012-3213-4431-AE79-15D92F00956E}"/>
    <hyperlink ref="E360" r:id="rId332" display="https://ec.europa.eu/eurostat/databrowser/view/DS-056120__custom_6262207/default/table" xr:uid="{3C2AE8DA-560E-41E8-A693-84AFA50DBEA0}"/>
    <hyperlink ref="E361" r:id="rId333" display="https://ec.europa.eu/eurostat/databrowser/view/DS-056120__custom_6262207/default/table" xr:uid="{14828EF1-CA5A-446B-B040-7CCBB10A2407}"/>
    <hyperlink ref="E362" r:id="rId334" display="https://ec.europa.eu/eurostat/databrowser/view/DS-056120__custom_6262207/default/table" xr:uid="{F4A12B08-7A8E-4C03-9814-7A5A178786C1}"/>
    <hyperlink ref="E363" r:id="rId335" display="https://ec.europa.eu/eurostat/databrowser/view/DS-056120__custom_6262207/default/table" xr:uid="{CCF77E7D-399C-430A-9702-95857EC069C3}"/>
    <hyperlink ref="E364" r:id="rId336" display="https://ec.europa.eu/eurostat/databrowser/view/DS-056120__custom_6262207/default/table" xr:uid="{7CA28300-2912-4B54-BEC0-6247419DE455}"/>
    <hyperlink ref="E365" r:id="rId337" display="https://ec.europa.eu/eurostat/databrowser/view/DS-056120__custom_6262207/default/table" xr:uid="{F1481316-3B65-4ADE-8420-92FF7B9434A8}"/>
    <hyperlink ref="E366" r:id="rId338" display="https://ec.europa.eu/eurostat/databrowser/view/DS-056120__custom_6262207/default/table" xr:uid="{26CA70B9-0B7E-464A-9BC2-05AD0FC40D35}"/>
    <hyperlink ref="E367" r:id="rId339" display="https://ec.europa.eu/eurostat/databrowser/view/DS-056120__custom_6262207/default/table" xr:uid="{CC4E1054-E141-4245-A5B4-F70B7B5F2754}"/>
    <hyperlink ref="E368" r:id="rId340" display="https://ec.europa.eu/eurostat/databrowser/view/DS-056120__custom_6262207/default/table" xr:uid="{1E783DD0-D910-4135-8638-C8023589AF3D}"/>
    <hyperlink ref="E369" r:id="rId341" display="https://ec.europa.eu/eurostat/databrowser/view/DS-056120__custom_6262207/default/table" xr:uid="{D2BCD5D5-3303-474D-9D2E-ABB617BF3705}"/>
    <hyperlink ref="E370" r:id="rId342" display="https://ec.europa.eu/eurostat/databrowser/view/DS-056120__custom_6262207/default/table" xr:uid="{F7EC44C1-A438-4D0C-A3F8-7F73965FA836}"/>
    <hyperlink ref="E371" r:id="rId343" display="https://ec.europa.eu/eurostat/databrowser/view/DS-056120__custom_6262207/default/table" xr:uid="{C186F1A9-3C55-4EC3-B89B-601D672E1442}"/>
    <hyperlink ref="E372" r:id="rId344" display="https://ec.europa.eu/eurostat/databrowser/view/DS-056120__custom_6262207/default/table" xr:uid="{01C92469-34E8-49C1-947A-CABE649CC2DB}"/>
    <hyperlink ref="E373" r:id="rId345" display="https://ec.europa.eu/eurostat/databrowser/view/DS-056120__custom_6262207/default/table" xr:uid="{A4367C36-2B01-41BE-B8AF-8EFA6258763E}"/>
    <hyperlink ref="E374" r:id="rId346" display="https://ec.europa.eu/eurostat/databrowser/view/DS-056120__custom_6262207/default/table" xr:uid="{19264F4D-A132-40D7-B87F-DE1FD0E27975}"/>
    <hyperlink ref="E375" r:id="rId347" display="https://ec.europa.eu/eurostat/databrowser/view/DS-056120__custom_6262207/default/table" xr:uid="{996D332C-D388-4C55-8FC8-F9A9580E5794}"/>
    <hyperlink ref="E376" r:id="rId348" display="https://ec.europa.eu/eurostat/databrowser/view/DS-056120__custom_6262207/default/table" xr:uid="{FE65A306-F659-4E2A-8DD1-90B83F04033D}"/>
    <hyperlink ref="E377" r:id="rId349" display="https://ec.europa.eu/eurostat/databrowser/view/DS-056120__custom_6262207/default/table" xr:uid="{6455DDE7-EA90-47C3-A772-550AE24E47B5}"/>
    <hyperlink ref="E378" r:id="rId350" display="https://ec.europa.eu/eurostat/databrowser/view/DS-056120__custom_6262207/default/table" xr:uid="{471A2C1A-282F-4626-83FA-5BACD7817F06}"/>
    <hyperlink ref="E379" r:id="rId351" display="https://ec.europa.eu/eurostat/databrowser/view/DS-056120__custom_6262207/default/table" xr:uid="{0587D274-CF51-4092-A048-28BCAE644A6E}"/>
    <hyperlink ref="E380" r:id="rId352" display="https://ec.europa.eu/eurostat/databrowser/view/DS-056120__custom_6262207/default/table" xr:uid="{BC9A317D-A37B-4500-9405-E92509D906D2}"/>
    <hyperlink ref="E381" r:id="rId353" display="https://ec.europa.eu/eurostat/databrowser/view/DS-056120__custom_6262207/default/table" xr:uid="{0D51FED6-50A7-403D-8392-04EE62DA41F7}"/>
    <hyperlink ref="E382" r:id="rId354" display="https://ec.europa.eu/eurostat/databrowser/view/DS-056120__custom_6262207/default/table" xr:uid="{7CD24EE9-1A52-488B-8CC9-F695F8BDA3FA}"/>
    <hyperlink ref="E383" r:id="rId355" display="https://ec.europa.eu/eurostat/databrowser/view/DS-056120__custom_6262207/default/table" xr:uid="{1C6EB0DF-B35E-4FAB-9C9F-C8867DAD612D}"/>
    <hyperlink ref="E384" r:id="rId356" display="https://ec.europa.eu/eurostat/databrowser/view/DS-056120__custom_6262207/default/table" xr:uid="{5AFF0967-8B13-437E-B90E-89A3E97E3738}"/>
    <hyperlink ref="E385" r:id="rId357" display="https://ec.europa.eu/eurostat/databrowser/view/DS-056120__custom_6262207/default/table" xr:uid="{0346C3EF-542C-47C6-8D2E-71AD5AF87B4C}"/>
    <hyperlink ref="E386" r:id="rId358" display="https://ec.europa.eu/eurostat/databrowser/view/DS-056120__custom_6262207/default/table" xr:uid="{46F4391F-1291-4A74-A9A5-23AF18A0A0ED}"/>
    <hyperlink ref="E387" r:id="rId359" display="https://ec.europa.eu/eurostat/databrowser/view/DS-056120__custom_6262207/default/table" xr:uid="{AED78288-CF1C-436B-B5FE-8AE928B41157}"/>
    <hyperlink ref="E388" r:id="rId360" display="https://ec.europa.eu/eurostat/databrowser/view/DS-056120__custom_6262207/default/table" xr:uid="{F94AF190-4E49-4AAF-8437-CB11B5BA9A67}"/>
    <hyperlink ref="E389" r:id="rId361" display="https://ec.europa.eu/eurostat/databrowser/view/DS-056120__custom_6262207/default/table" xr:uid="{C0A905F5-6829-4BFB-8F6D-953075EAE791}"/>
    <hyperlink ref="E390" r:id="rId362" display="https://ec.europa.eu/eurostat/databrowser/view/DS-056120__custom_6262207/default/table" xr:uid="{E366385D-BE75-4B69-8D02-CF013D565B1A}"/>
    <hyperlink ref="E391" r:id="rId363" display="https://ec.europa.eu/eurostat/databrowser/view/DS-056120__custom_6262207/default/table" xr:uid="{86A8F9A8-78CF-4251-B010-05FF1C81A5F3}"/>
    <hyperlink ref="E392" r:id="rId364" display="https://ec.europa.eu/eurostat/databrowser/view/DS-056120__custom_6262207/default/table" xr:uid="{A665A25C-3981-4BE8-A7CB-75C6C42F8585}"/>
    <hyperlink ref="E393" r:id="rId365" display="https://ec.europa.eu/eurostat/databrowser/view/DS-056120__custom_6262207/default/table" xr:uid="{957166C7-227A-44E0-9E28-2933878C423F}"/>
    <hyperlink ref="E394" r:id="rId366" display="https://ec.europa.eu/eurostat/databrowser/view/DS-056120__custom_6262207/default/table" xr:uid="{3E79005F-0018-44EB-9A05-15EA78A23614}"/>
    <hyperlink ref="E395" r:id="rId367" display="https://ec.europa.eu/eurostat/databrowser/view/DS-056120__custom_6262207/default/table" xr:uid="{CE630E70-1CCB-41AD-87E8-69D7F018A97D}"/>
    <hyperlink ref="E396" r:id="rId368" display="https://ec.europa.eu/eurostat/databrowser/view/DS-056120__custom_6262207/default/table" xr:uid="{91F374CF-A94E-4AD5-A160-CE519274C4B6}"/>
    <hyperlink ref="E397" r:id="rId369" display="https://ec.europa.eu/eurostat/databrowser/view/DS-056120__custom_6262207/default/table" xr:uid="{315A5A73-53B4-4934-A090-0738B5E074CC}"/>
    <hyperlink ref="E398" r:id="rId370" display="https://ec.europa.eu/eurostat/databrowser/view/DS-056120__custom_6262207/default/table" xr:uid="{76E1C768-F2C7-425F-AA00-9147B050D564}"/>
    <hyperlink ref="E399" r:id="rId371" display="https://ec.europa.eu/eurostat/databrowser/view/DS-056120__custom_6262207/default/table" xr:uid="{5AB8B5D3-9DDA-4037-AEBF-55A0A922AA85}"/>
    <hyperlink ref="E400" r:id="rId372" display="https://ec.europa.eu/eurostat/databrowser/view/DS-056120__custom_6262207/default/table" xr:uid="{42C60B84-AC98-49CB-8D13-08F133F6974E}"/>
    <hyperlink ref="E401" r:id="rId373" display="https://ec.europa.eu/eurostat/databrowser/view/DS-056120__custom_6262207/default/table" xr:uid="{DF4AEA55-06B8-4806-B163-A51BFB8E7DDE}"/>
    <hyperlink ref="E402" r:id="rId374" display="https://ec.europa.eu/eurostat/databrowser/view/DS-056120__custom_6262207/default/table" xr:uid="{886756E9-6A2A-4E23-814B-02485008EDEE}"/>
    <hyperlink ref="E403" r:id="rId375" display="https://ec.europa.eu/eurostat/databrowser/view/DS-056120__custom_6262207/default/table" xr:uid="{3393F6AB-9266-4C2E-9F4F-7314436D1A8C}"/>
    <hyperlink ref="E404" r:id="rId376" display="https://ec.europa.eu/eurostat/databrowser/view/DS-056120__custom_6262207/default/table" xr:uid="{6DD1DA8B-B42F-44E2-9894-15483ACFDC83}"/>
    <hyperlink ref="E405" r:id="rId377" display="https://ec.europa.eu/eurostat/databrowser/view/DS-056120__custom_6262207/default/table" xr:uid="{F883FC44-4811-4AFC-9BDB-6C89F403B6FF}"/>
    <hyperlink ref="E406" r:id="rId378" display="https://ec.europa.eu/eurostat/databrowser/view/DS-056120__custom_6262207/default/table" xr:uid="{859E775F-1D71-4C61-AE24-D7328B475905}"/>
    <hyperlink ref="E407" r:id="rId379" display="https://ec.europa.eu/eurostat/databrowser/view/DS-056120__custom_6262207/default/table" xr:uid="{CA86FAF2-1FAA-45F2-9E46-7524255FED0A}"/>
    <hyperlink ref="E408" r:id="rId380" display="https://ec.europa.eu/eurostat/databrowser/view/DS-056120__custom_6262207/default/table" xr:uid="{2F79D13D-A2CE-4920-9648-F584F9DD34AD}"/>
    <hyperlink ref="E409" r:id="rId381" display="https://ec.europa.eu/eurostat/databrowser/view/DS-056120__custom_6262207/default/table" xr:uid="{0697BF63-5808-484A-AAAD-FE9789243DC5}"/>
    <hyperlink ref="E410" r:id="rId382" display="https://ec.europa.eu/eurostat/databrowser/view/DS-056120__custom_6262207/default/table" xr:uid="{22546579-2F0D-42FA-87F1-7D0D7FA494CB}"/>
    <hyperlink ref="E411" r:id="rId383" display="https://ec.europa.eu/eurostat/databrowser/view/DS-056120__custom_6262207/default/table" xr:uid="{18037198-8DE5-463C-ABFC-3AF04EAF4B36}"/>
    <hyperlink ref="E412" r:id="rId384" display="https://ec.europa.eu/eurostat/databrowser/view/DS-056120__custom_6262207/default/table" xr:uid="{59FDB143-C66D-4428-AD4E-BC5C03335901}"/>
    <hyperlink ref="E413" r:id="rId385" display="https://ec.europa.eu/eurostat/databrowser/view/DS-056120__custom_6262207/default/table" xr:uid="{C70AF2CA-EECF-49B4-B3DE-A51FB34E74C4}"/>
    <hyperlink ref="E414" r:id="rId386" display="https://ec.europa.eu/eurostat/databrowser/view/DS-056120__custom_6262207/default/table" xr:uid="{7A5F78DD-5D39-4700-B757-863F0CF7C2BC}"/>
    <hyperlink ref="E415" r:id="rId387" display="https://ec.europa.eu/eurostat/databrowser/view/DS-056120__custom_6262207/default/table" xr:uid="{DA2B2313-76FB-4E5D-B7CF-E1171615F308}"/>
    <hyperlink ref="E416" r:id="rId388" display="https://ec.europa.eu/eurostat/databrowser/view/DS-056120__custom_6262207/default/table" xr:uid="{E967951B-1582-419C-8AF8-EF42CBC3311D}"/>
    <hyperlink ref="E417" r:id="rId389" display="https://ec.europa.eu/eurostat/databrowser/view/DS-056120__custom_6262207/default/table" xr:uid="{91886F20-BE0E-4186-A64D-B5BC9FA1BBD0}"/>
    <hyperlink ref="E418" r:id="rId390" display="https://ec.europa.eu/eurostat/databrowser/view/DS-056120__custom_6262207/default/table" xr:uid="{050F24CF-3BC4-4642-8B6D-F79004E26C95}"/>
    <hyperlink ref="E419" r:id="rId391" display="https://ec.europa.eu/eurostat/databrowser/view/DS-056120__custom_6262207/default/table" xr:uid="{974853DA-A944-4C27-804E-50549E2C9A6D}"/>
    <hyperlink ref="E420" r:id="rId392" display="https://ec.europa.eu/eurostat/databrowser/view/DS-056120__custom_6262207/default/table" xr:uid="{33EBC6C0-5C32-41DE-84BF-90FF24EB5EA8}"/>
    <hyperlink ref="E421" r:id="rId393" display="https://ec.europa.eu/eurostat/databrowser/view/DS-056120__custom_6262207/default/table" xr:uid="{2C03853D-E138-44B0-A909-E9701F39CE81}"/>
    <hyperlink ref="E422" r:id="rId394" display="https://ec.europa.eu/eurostat/databrowser/view/DS-056120__custom_6262207/default/table" xr:uid="{D0B9F5D3-F7BF-4A38-AA26-EF5A6077C87D}"/>
    <hyperlink ref="E423" r:id="rId395" display="https://ec.europa.eu/eurostat/databrowser/view/DS-056120__custom_6262207/default/table" xr:uid="{0DCDBB2A-F132-430B-AFFA-8745649F68D3}"/>
    <hyperlink ref="E424" r:id="rId396" display="https://ec.europa.eu/eurostat/databrowser/view/DS-056120__custom_6262207/default/table" xr:uid="{480556B7-B5C0-4073-A7B1-1D4D652C6AAE}"/>
    <hyperlink ref="E425" r:id="rId397" display="https://ec.europa.eu/eurostat/databrowser/view/DS-056120__custom_6262207/default/table" xr:uid="{21EB8D5F-0720-4D4C-9888-71D71BAB9243}"/>
    <hyperlink ref="E426" r:id="rId398" display="https://ec.europa.eu/eurostat/databrowser/view/DS-056120__custom_6262207/default/table" xr:uid="{5D9270FC-F0F4-41FB-B986-D819D33FE668}"/>
    <hyperlink ref="E427" r:id="rId399" display="https://ec.europa.eu/eurostat/databrowser/view/DS-056120__custom_6262207/default/table" xr:uid="{3C758D74-33A0-4934-9B58-77D533F0B813}"/>
    <hyperlink ref="E428" r:id="rId400" display="https://ec.europa.eu/eurostat/databrowser/view/DS-056120__custom_6262207/default/table" xr:uid="{FB0E678B-8C92-4112-A215-7B200577A4A2}"/>
    <hyperlink ref="E429" r:id="rId401" display="https://ec.europa.eu/eurostat/databrowser/view/DS-056120__custom_6262207/default/table" xr:uid="{A73071EF-86D3-4C89-9B5B-44000F466B2C}"/>
    <hyperlink ref="E430" r:id="rId402" display="https://ec.europa.eu/eurostat/databrowser/view/DS-056120__custom_6262207/default/table" xr:uid="{99C4D422-2364-4290-B4C8-31AC8704B37E}"/>
    <hyperlink ref="E431" r:id="rId403" display="https://ec.europa.eu/eurostat/databrowser/view/DS-056120__custom_6262207/default/table" xr:uid="{E72B2A1D-F944-440F-84F1-2D90ACFAF80D}"/>
    <hyperlink ref="E432" r:id="rId404" display="https://ec.europa.eu/eurostat/databrowser/view/DS-056120__custom_6262207/default/table" xr:uid="{60C82F5A-2DF2-4545-816D-F136719A1D15}"/>
    <hyperlink ref="E433" r:id="rId405" display="https://ec.europa.eu/eurostat/databrowser/view/DS-056120__custom_6262207/default/table" xr:uid="{4CC8C237-0802-439E-9E3C-D44A7482CD48}"/>
    <hyperlink ref="E434" r:id="rId406" display="https://ec.europa.eu/eurostat/databrowser/view/DS-056120__custom_6262207/default/table" xr:uid="{B2C24E22-70F4-4227-8940-2C43E5AFA686}"/>
    <hyperlink ref="E435" r:id="rId407" display="https://ec.europa.eu/eurostat/databrowser/view/DS-056120__custom_6262207/default/table" xr:uid="{88655300-226F-481F-A98B-54E8E581BF3F}"/>
    <hyperlink ref="E436" r:id="rId408" display="https://ec.europa.eu/eurostat/databrowser/view/DS-056120__custom_6262207/default/table" xr:uid="{5CA94A91-101A-4227-9819-CAACCF7C7B57}"/>
    <hyperlink ref="E437" r:id="rId409" display="https://ec.europa.eu/eurostat/databrowser/view/DS-056120__custom_6262207/default/table" xr:uid="{6768D8A5-CA8D-4B04-9513-AF45365EA152}"/>
    <hyperlink ref="E438" r:id="rId410" display="https://ec.europa.eu/eurostat/databrowser/view/DS-056120__custom_6262207/default/table" xr:uid="{976EA528-93AD-443E-8D1D-A5FD41B1D795}"/>
    <hyperlink ref="E439" r:id="rId411" display="https://ec.europa.eu/eurostat/databrowser/view/DS-056120__custom_6262207/default/table" xr:uid="{4898097F-284F-4B62-A34B-0B98DA679506}"/>
    <hyperlink ref="E440" r:id="rId412" display="https://ec.europa.eu/eurostat/databrowser/view/DS-056120__custom_6262207/default/table" xr:uid="{590C7802-D88E-4870-8F76-6032691F2859}"/>
    <hyperlink ref="E441" r:id="rId413" display="https://ec.europa.eu/eurostat/databrowser/view/DS-056120__custom_6262207/default/table" xr:uid="{D54F5F5C-E9D6-4FCF-A818-32FACFAC7197}"/>
    <hyperlink ref="E442" r:id="rId414" display="https://ec.europa.eu/eurostat/databrowser/view/DS-056120__custom_6262207/default/table" xr:uid="{80305AA0-3271-4EAE-A6F1-8F7B099BB85E}"/>
    <hyperlink ref="E443" r:id="rId415" display="https://ec.europa.eu/eurostat/databrowser/view/DS-056120__custom_6262207/default/table" xr:uid="{CFA833BD-3DAF-4BCC-B7BF-FDF04330AE02}"/>
    <hyperlink ref="E444" r:id="rId416" display="https://ec.europa.eu/eurostat/databrowser/view/DS-056120__custom_6262207/default/table" xr:uid="{021626CE-42EF-4BEA-AE7D-79431959A687}"/>
    <hyperlink ref="E445" r:id="rId417" display="https://ec.europa.eu/eurostat/databrowser/view/DS-056120__custom_6262207/default/table" xr:uid="{8B51069B-7543-48A7-81EE-0579D23FB2B1}"/>
    <hyperlink ref="E446" r:id="rId418" display="https://ec.europa.eu/eurostat/databrowser/view/DS-056120__custom_6262207/default/table" xr:uid="{772F328F-C5D1-41F8-8306-95882F06994C}"/>
    <hyperlink ref="E447" r:id="rId419" display="https://ec.europa.eu/eurostat/databrowser/view/DS-056120__custom_6262207/default/table" xr:uid="{114085F5-176F-4321-BBEA-828042503FB2}"/>
    <hyperlink ref="E448" r:id="rId420" display="https://ec.europa.eu/eurostat/databrowser/view/DS-056120__custom_6262207/default/table" xr:uid="{935AEB98-C4E6-429C-86E6-F279B9FD54A3}"/>
    <hyperlink ref="E449" r:id="rId421" display="https://ec.europa.eu/eurostat/databrowser/view/DS-056120__custom_6262207/default/table" xr:uid="{F3ED4718-9E91-40CB-A392-561AA03C42C8}"/>
    <hyperlink ref="E450" r:id="rId422" display="https://ec.europa.eu/eurostat/databrowser/view/DS-056120__custom_6262207/default/table" xr:uid="{273951AF-80B4-4226-8E29-39864265D70E}"/>
    <hyperlink ref="E451" r:id="rId423" display="https://ec.europa.eu/eurostat/databrowser/view/DS-056120__custom_6262207/default/table" xr:uid="{375F225A-A62F-4168-B2EC-FF2F6A1A76D5}"/>
    <hyperlink ref="E452" r:id="rId424" display="https://ec.europa.eu/eurostat/databrowser/view/DS-056120__custom_6262207/default/table" xr:uid="{44617B4F-D001-4FA3-B733-53219D4422C6}"/>
    <hyperlink ref="E453" r:id="rId425" display="https://ec.europa.eu/eurostat/databrowser/view/DS-056120__custom_6262207/default/table" xr:uid="{29E48C65-1C53-4FAB-87F5-D5A9B9704AEF}"/>
    <hyperlink ref="E454" r:id="rId426" display="https://ec.europa.eu/eurostat/databrowser/view/DS-056120__custom_6262207/default/table" xr:uid="{802C9CA2-FAAB-4553-ABB2-3AB3EBE3C4B7}"/>
    <hyperlink ref="E455" r:id="rId427" display="https://ec.europa.eu/eurostat/databrowser/view/DS-056120__custom_6262207/default/table" xr:uid="{E03AF577-8F6E-42C1-8C38-4187CDD70751}"/>
    <hyperlink ref="E456" r:id="rId428" display="https://ec.europa.eu/eurostat/databrowser/view/DS-056120__custom_6262207/default/table" xr:uid="{422BFBB5-A558-4674-9F37-C1D078C89AC4}"/>
    <hyperlink ref="E457" r:id="rId429" display="https://ec.europa.eu/eurostat/databrowser/view/DS-056120__custom_6262207/default/table" xr:uid="{ED375519-9B13-4F0B-A2C7-74B6D178F6ED}"/>
    <hyperlink ref="E458" r:id="rId430" display="https://ec.europa.eu/eurostat/databrowser/view/DS-056120__custom_6262207/default/table" xr:uid="{217E6867-0200-4FA7-8144-8E33B5215EFD}"/>
    <hyperlink ref="E459" r:id="rId431" display="https://ec.europa.eu/eurostat/databrowser/view/DS-056120__custom_6262207/default/table" xr:uid="{0F8926BD-940B-44D0-91E4-D4CAB6A9F7E4}"/>
    <hyperlink ref="E460" r:id="rId432" display="https://ec.europa.eu/eurostat/databrowser/view/DS-056120__custom_6262207/default/table" xr:uid="{6CD6BC4D-2002-453F-A2A4-28544B0AF7EE}"/>
    <hyperlink ref="E461" r:id="rId433" display="https://ec.europa.eu/eurostat/databrowser/view/DS-056120__custom_6262207/default/table" xr:uid="{F0B02E4B-14F8-4C3B-9E4F-EBB2DD3B8BDB}"/>
    <hyperlink ref="E462" r:id="rId434" display="https://ec.europa.eu/eurostat/databrowser/view/DS-056120__custom_6262207/default/table" xr:uid="{48E879A2-0D3B-4935-847B-2E67528E2A1C}"/>
    <hyperlink ref="E463" r:id="rId435" display="https://ec.europa.eu/eurostat/databrowser/view/DS-056120__custom_6262207/default/table" xr:uid="{CE98B3EC-01C0-4C1B-83C0-73C9439E1661}"/>
    <hyperlink ref="E464" r:id="rId436" display="https://ec.europa.eu/eurostat/databrowser/view/DS-056120__custom_6262207/default/table" xr:uid="{609FA6DE-EE4C-467B-8C7E-0F5203720D2B}"/>
    <hyperlink ref="E465" r:id="rId437" display="https://ec.europa.eu/eurostat/databrowser/view/DS-056120__custom_6262207/default/table" xr:uid="{DBD2E213-AF7F-4302-A212-8659DD80B3DC}"/>
    <hyperlink ref="E466" r:id="rId438" display="https://ec.europa.eu/eurostat/databrowser/view/DS-056120__custom_6262207/default/table" xr:uid="{F36BA05D-9B95-4317-AF04-AC8E04333046}"/>
    <hyperlink ref="E467" r:id="rId439" display="https://ec.europa.eu/eurostat/databrowser/view/DS-056120__custom_6262207/default/table" xr:uid="{9418125E-5DBB-4C44-B7D8-F8D88EC4894A}"/>
    <hyperlink ref="E468" r:id="rId440" display="https://ec.europa.eu/eurostat/databrowser/view/DS-056120__custom_6262207/default/table" xr:uid="{3B7B20EC-C5F8-4D75-A29E-FC7868152515}"/>
    <hyperlink ref="E469" r:id="rId441" display="https://ec.europa.eu/eurostat/databrowser/view/DS-056120__custom_6262207/default/table" xr:uid="{F4DB5DDB-3D1F-4C7F-930B-6A98DF32171B}"/>
    <hyperlink ref="E470" r:id="rId442" display="https://ec.europa.eu/eurostat/databrowser/view/DS-056120__custom_6262207/default/table" xr:uid="{F827E7ED-AC2B-4C21-90DF-9C6D44429DF7}"/>
    <hyperlink ref="E471" r:id="rId443" display="https://ec.europa.eu/eurostat/databrowser/view/DS-056120__custom_6262207/default/table" xr:uid="{6971E499-AE8A-45D7-9D74-E6AD9CCB89FF}"/>
    <hyperlink ref="E472" r:id="rId444" display="https://ec.europa.eu/eurostat/databrowser/view/DS-056120__custom_6262207/default/table" xr:uid="{D336E3E7-EB08-4474-9CFA-230D721887AD}"/>
    <hyperlink ref="E473" r:id="rId445" display="https://ec.europa.eu/eurostat/databrowser/view/DS-056120__custom_6262207/default/table" xr:uid="{B80DD698-908C-4E63-8095-AEE357AAEF06}"/>
    <hyperlink ref="E474" r:id="rId446" display="https://ec.europa.eu/eurostat/databrowser/view/DS-056120__custom_6262207/default/table" xr:uid="{D774DCE3-3DE9-449C-B8D8-7445E3781507}"/>
    <hyperlink ref="E475" r:id="rId447" display="https://ec.europa.eu/eurostat/databrowser/view/DS-056120__custom_6262207/default/table" xr:uid="{E0C1559A-948E-4A1F-85C0-4A553324CE5C}"/>
    <hyperlink ref="E476" r:id="rId448" display="https://ec.europa.eu/eurostat/databrowser/view/DS-056120__custom_6262207/default/table" xr:uid="{19711C98-B808-4309-BFFF-7AFEB1768EC9}"/>
    <hyperlink ref="E477" r:id="rId449" display="https://ec.europa.eu/eurostat/databrowser/view/DS-056120__custom_6262207/default/table" xr:uid="{83AC6CC6-00B4-4638-B77B-DC5F733C7FC5}"/>
    <hyperlink ref="E478" r:id="rId450" display="https://ec.europa.eu/eurostat/databrowser/view/DS-056120__custom_6262207/default/table" xr:uid="{BC026CD7-95FA-4827-A1DA-056256755374}"/>
    <hyperlink ref="E479" r:id="rId451" display="https://ec.europa.eu/eurostat/databrowser/view/DS-056120__custom_6262207/default/table" xr:uid="{4B746491-8A9A-4AAA-9FF6-E981411546D4}"/>
    <hyperlink ref="E480" r:id="rId452" display="https://ec.europa.eu/eurostat/databrowser/view/DS-056120__custom_6262207/default/table" xr:uid="{516ABAA2-FA16-487B-A3F6-001076FB8DCE}"/>
    <hyperlink ref="E481" r:id="rId453" display="https://ec.europa.eu/eurostat/databrowser/view/DS-056120__custom_6262207/default/table" xr:uid="{68470EAB-063C-4B4A-9A14-8CC9A5516C34}"/>
    <hyperlink ref="E482" r:id="rId454" display="https://ec.europa.eu/eurostat/databrowser/view/DS-056120__custom_6262207/default/table" xr:uid="{AA8A5821-B4BB-4927-ABF6-927170F03F37}"/>
    <hyperlink ref="E483" r:id="rId455" display="https://ec.europa.eu/eurostat/databrowser/view/DS-056120__custom_6262207/default/table" xr:uid="{F85E70ED-7BD4-4053-B35C-D587B7791DD2}"/>
    <hyperlink ref="E484" r:id="rId456" display="https://ec.europa.eu/eurostat/databrowser/view/DS-056120__custom_6262207/default/table" xr:uid="{5207847A-09BE-4D6D-A9F1-633EBFA8DBA6}"/>
    <hyperlink ref="E485" r:id="rId457" display="https://ec.europa.eu/eurostat/databrowser/view/DS-056120__custom_6262207/default/table" xr:uid="{8C0CD1F9-64D9-4E4F-83EA-F4BA1A470BAA}"/>
    <hyperlink ref="E486" r:id="rId458" display="https://ec.europa.eu/eurostat/databrowser/view/DS-056120__custom_6262207/default/table" xr:uid="{B5FB34D9-4AE6-4137-BCD9-363C43216B9E}"/>
    <hyperlink ref="E487" r:id="rId459" display="https://ec.europa.eu/eurostat/databrowser/view/DS-056120__custom_6262207/default/table" xr:uid="{CD5739A7-DA9D-4009-A554-E45FCB20E3FD}"/>
    <hyperlink ref="E488" r:id="rId460" display="https://ec.europa.eu/eurostat/databrowser/view/DS-056120__custom_6262207/default/table" xr:uid="{63A67072-4368-4EB4-85BC-7FCDBD5652D7}"/>
    <hyperlink ref="E489" r:id="rId461" display="https://ec.europa.eu/eurostat/databrowser/view/DS-056120__custom_6262207/default/table" xr:uid="{78BFDCF2-715D-4FEE-829C-EFE6760E4BF5}"/>
    <hyperlink ref="E490" r:id="rId462" display="https://ec.europa.eu/eurostat/databrowser/view/DS-056120__custom_6262207/default/table" xr:uid="{A48C456B-8E7F-48AE-A2A2-2D6C4F089254}"/>
    <hyperlink ref="E491" r:id="rId463" display="https://ec.europa.eu/eurostat/databrowser/view/DS-056120__custom_6262207/default/table" xr:uid="{7E91A45B-5428-4136-94A2-273445108B10}"/>
    <hyperlink ref="E492" r:id="rId464" display="https://ec.europa.eu/eurostat/databrowser/view/DS-056120__custom_6262207/default/table" xr:uid="{2E7DDBDE-B4F7-45C3-B5D3-26067F3C4997}"/>
    <hyperlink ref="E493" r:id="rId465" display="https://ec.europa.eu/eurostat/databrowser/view/DS-056120__custom_6262207/default/table" xr:uid="{141F43C0-E3D0-4DA8-9C8E-BF189E40A765}"/>
    <hyperlink ref="E494" r:id="rId466" display="https://ec.europa.eu/eurostat/databrowser/view/DS-056120__custom_6262207/default/table" xr:uid="{3B1D81F7-3C32-4C88-B952-A98454DE9760}"/>
    <hyperlink ref="E495" r:id="rId467" display="https://ec.europa.eu/eurostat/databrowser/view/DS-056120__custom_6262207/default/table" xr:uid="{922777D4-3402-419B-B18E-5BAF376E0844}"/>
    <hyperlink ref="E496" r:id="rId468" display="https://ec.europa.eu/eurostat/databrowser/view/DS-056120__custom_6262207/default/table" xr:uid="{E637F234-4FF8-40CD-99A2-31675659A46A}"/>
    <hyperlink ref="E497" r:id="rId469" display="https://ec.europa.eu/eurostat/databrowser/view/DS-056120__custom_6262207/default/table" xr:uid="{D752E5F6-2287-4D82-AD6B-1D116C997C7D}"/>
    <hyperlink ref="E498" r:id="rId470" display="https://ec.europa.eu/eurostat/databrowser/view/DS-056120__custom_6262207/default/table" xr:uid="{6E8D8114-8EC6-4D2E-885A-193514459308}"/>
    <hyperlink ref="E499" r:id="rId471" display="https://ec.europa.eu/eurostat/databrowser/view/DS-056120__custom_6262207/default/table" xr:uid="{F70617CC-E0F3-4152-89DA-660E69A389C0}"/>
    <hyperlink ref="E500" r:id="rId472" display="https://ec.europa.eu/eurostat/databrowser/view/DS-056120__custom_6262207/default/table" xr:uid="{257129FF-C0B3-482B-8704-F8A7602E1F9B}"/>
    <hyperlink ref="E501" r:id="rId473" display="https://ec.europa.eu/eurostat/databrowser/view/DS-056120__custom_6262207/default/table" xr:uid="{094EE2A9-4AF5-4D22-BEEF-544E1FC72537}"/>
    <hyperlink ref="E502" r:id="rId474" display="https://ec.europa.eu/eurostat/databrowser/view/DS-056120__custom_6262207/default/table" xr:uid="{F121A529-CF53-4B33-8861-DF0FC0935B4C}"/>
    <hyperlink ref="E503" r:id="rId475" display="https://ec.europa.eu/eurostat/databrowser/view/DS-056120__custom_6262207/default/table" xr:uid="{7A4F57C8-7F1D-4779-A441-31D5D7DA2FC9}"/>
    <hyperlink ref="E504" r:id="rId476" display="https://ec.europa.eu/eurostat/databrowser/view/DS-056120__custom_6262207/default/table" xr:uid="{15BBE6D2-6658-44B3-BBBF-E914CD961C30}"/>
    <hyperlink ref="E505" r:id="rId477" display="https://ec.europa.eu/eurostat/databrowser/view/DS-056120__custom_6262207/default/table" xr:uid="{1B11DDD2-399D-4133-BBF7-4515EC46562A}"/>
    <hyperlink ref="E506" r:id="rId478" display="https://ec.europa.eu/eurostat/databrowser/view/DS-056120__custom_6262207/default/table" xr:uid="{749095D2-63AD-48E9-9935-549DC06ABA19}"/>
    <hyperlink ref="E507" r:id="rId479" display="https://ec.europa.eu/eurostat/databrowser/view/DS-056120__custom_6262207/default/table" xr:uid="{785F566B-6034-4701-BE87-795174069FF3}"/>
    <hyperlink ref="E508" r:id="rId480" display="https://ec.europa.eu/eurostat/databrowser/view/DS-056120__custom_6262207/default/table" xr:uid="{069027AF-710C-4FF4-9B09-0074B3EFB867}"/>
    <hyperlink ref="E509" r:id="rId481" display="https://ec.europa.eu/eurostat/databrowser/view/DS-056120__custom_6262207/default/table" xr:uid="{FED59DB3-9513-42AA-885A-EF5EC540525D}"/>
    <hyperlink ref="E510" r:id="rId482" display="https://ec.europa.eu/eurostat/databrowser/view/DS-056120__custom_6262207/default/table" xr:uid="{868290AA-4C4B-40D7-A559-CD5EEFE7D040}"/>
    <hyperlink ref="E511" r:id="rId483" display="https://ec.europa.eu/eurostat/databrowser/view/DS-056120__custom_6262207/default/table" xr:uid="{CAB0958D-3EE2-40CF-B772-DDFF49F0D461}"/>
    <hyperlink ref="E512" r:id="rId484" display="https://ec.europa.eu/eurostat/databrowser/view/DS-056120__custom_6262207/default/table" xr:uid="{2425609E-B8CB-4494-BAEC-029207551F9B}"/>
    <hyperlink ref="E513" r:id="rId485" display="https://ec.europa.eu/eurostat/databrowser/view/DS-056120__custom_6262207/default/table" xr:uid="{D7BFD267-807C-42D2-B0BE-C3D69CB6C39C}"/>
    <hyperlink ref="E514" r:id="rId486" display="https://ec.europa.eu/eurostat/databrowser/view/DS-056120__custom_6262207/default/table" xr:uid="{C1710B67-E7EB-4F58-9621-FC35574EC290}"/>
    <hyperlink ref="E515" r:id="rId487" display="https://ec.europa.eu/eurostat/databrowser/view/DS-056120__custom_6262207/default/table" xr:uid="{81B3E971-8EF2-40CA-A0BD-F4F80B4A3CA3}"/>
    <hyperlink ref="E516" r:id="rId488" display="https://ec.europa.eu/eurostat/databrowser/view/DS-056120__custom_6262207/default/table" xr:uid="{D565F81C-EEAB-47EA-97BA-7B52EBB330B7}"/>
    <hyperlink ref="E517" r:id="rId489" display="https://ec.europa.eu/eurostat/databrowser/view/DS-056120__custom_6262207/default/table" xr:uid="{5F302535-CC56-4CA7-AF5C-EBBA2E7A8865}"/>
    <hyperlink ref="E518" r:id="rId490" display="https://ec.europa.eu/eurostat/databrowser/view/DS-056120__custom_6262207/default/table" xr:uid="{BAFDA03F-6A76-47B0-9606-E7FD5560A411}"/>
    <hyperlink ref="E519" r:id="rId491" display="https://ec.europa.eu/eurostat/databrowser/view/DS-056120__custom_6262207/default/table" xr:uid="{A327D4F0-4F27-4F7A-A4E8-130F4D0F25E7}"/>
    <hyperlink ref="E520" r:id="rId492" display="https://ec.europa.eu/eurostat/databrowser/view/DS-056120__custom_6262207/default/table" xr:uid="{DE5F6BC5-9389-4300-850D-77C8645704E3}"/>
    <hyperlink ref="E521" r:id="rId493" display="https://ec.europa.eu/eurostat/databrowser/view/DS-056120__custom_6262207/default/table" xr:uid="{1CDAFCF8-CD26-4257-BBEA-3D64253A033C}"/>
    <hyperlink ref="E522" r:id="rId494" display="https://ec.europa.eu/eurostat/databrowser/view/DS-056120__custom_6262207/default/table" xr:uid="{2788C008-BFBB-4EEC-A463-5E7CF6C0832D}"/>
    <hyperlink ref="E523" r:id="rId495" display="https://ec.europa.eu/eurostat/databrowser/view/DS-056120__custom_6262207/default/table" xr:uid="{788D249D-8A00-4FA2-84F8-6D64B7E4CA40}"/>
  </hyperlinks>
  <pageMargins left="0.7" right="0.7" top="0.75" bottom="0.75" header="0.3" footer="0.3"/>
  <pageSetup paperSize="9" orientation="portrait" r:id="rId496"/>
  <extLst>
    <ext xmlns:x14="http://schemas.microsoft.com/office/spreadsheetml/2009/9/main" uri="{78C0D931-6437-407d-A8EE-F0AAD7539E65}">
      <x14:conditionalFormattings>
        <x14:conditionalFormatting xmlns:xm="http://schemas.microsoft.com/office/excel/2006/main">
          <x14:cfRule type="dataBar" id="{A9C58A51-31BA-447F-9AB1-2BF1024BB727}">
            <x14:dataBar minLength="0" maxLength="100" gradient="0">
              <x14:cfvo type="autoMin"/>
              <x14:cfvo type="num">
                <xm:f>4</xm:f>
              </x14:cfvo>
              <x14:negativeFillColor rgb="FFFF0000"/>
              <x14:axisColor rgb="FF000000"/>
            </x14:dataBar>
          </x14:cfRule>
          <xm:sqref>F579:F587</xm:sqref>
        </x14:conditionalFormatting>
        <x14:conditionalFormatting xmlns:xm="http://schemas.microsoft.com/office/excel/2006/main">
          <x14:cfRule type="dataBar" id="{BC5230D7-989F-4EBA-B737-88A8CF8C9C2D}">
            <x14:dataBar minLength="0" maxLength="100" gradient="0">
              <x14:cfvo type="autoMin"/>
              <x14:cfvo type="num">
                <xm:f>4</xm:f>
              </x14:cfvo>
              <x14:negativeFillColor rgb="FFFF0000"/>
              <x14:axisColor rgb="FF000000"/>
            </x14:dataBar>
          </x14:cfRule>
          <xm:sqref>F2:J34</xm:sqref>
        </x14:conditionalFormatting>
        <x14:conditionalFormatting xmlns:xm="http://schemas.microsoft.com/office/excel/2006/main">
          <x14:cfRule type="dataBar" id="{BDD5D7A0-5A76-4143-8AC8-88C3D184A7D9}">
            <x14:dataBar minLength="0" maxLength="100" gradient="0">
              <x14:cfvo type="autoMin"/>
              <x14:cfvo type="num">
                <xm:f>4</xm:f>
              </x14:cfvo>
              <x14:negativeFillColor rgb="FFFF0000"/>
              <x14:axisColor rgb="FF000000"/>
            </x14:dataBar>
          </x14:cfRule>
          <xm:sqref>F35:J50</xm:sqref>
        </x14:conditionalFormatting>
        <x14:conditionalFormatting xmlns:xm="http://schemas.microsoft.com/office/excel/2006/main">
          <x14:cfRule type="dataBar" id="{6621C3A7-CFE1-4625-89B8-FFE407902BE1}">
            <x14:dataBar minLength="0" maxLength="100" gradient="0">
              <x14:cfvo type="autoMin"/>
              <x14:cfvo type="num">
                <xm:f>4</xm:f>
              </x14:cfvo>
              <x14:negativeFillColor rgb="FFFF0000"/>
              <x14:axisColor rgb="FF000000"/>
            </x14:dataBar>
          </x14:cfRule>
          <xm:sqref>F51:J55</xm:sqref>
        </x14:conditionalFormatting>
        <x14:conditionalFormatting xmlns:xm="http://schemas.microsoft.com/office/excel/2006/main">
          <x14:cfRule type="dataBar" id="{DF17E12F-2C54-4B67-9962-531B7E040F19}">
            <x14:dataBar minLength="0" maxLength="100" gradient="0">
              <x14:cfvo type="autoMin"/>
              <x14:cfvo type="num">
                <xm:f>4</xm:f>
              </x14:cfvo>
              <x14:negativeFillColor rgb="FFFF0000"/>
              <x14:axisColor rgb="FF000000"/>
            </x14:dataBar>
          </x14:cfRule>
          <xm:sqref>F56:J56</xm:sqref>
        </x14:conditionalFormatting>
        <x14:conditionalFormatting xmlns:xm="http://schemas.microsoft.com/office/excel/2006/main">
          <x14:cfRule type="dataBar" id="{728F403B-7C89-487F-B15D-0AEC08C1987B}">
            <x14:dataBar minLength="0" maxLength="100" gradient="0">
              <x14:cfvo type="autoMin"/>
              <x14:cfvo type="num">
                <xm:f>4</xm:f>
              </x14:cfvo>
              <x14:negativeFillColor rgb="FFFF0000"/>
              <x14:axisColor rgb="FF000000"/>
            </x14:dataBar>
          </x14:cfRule>
          <xm:sqref>F57:J57</xm:sqref>
        </x14:conditionalFormatting>
        <x14:conditionalFormatting xmlns:xm="http://schemas.microsoft.com/office/excel/2006/main">
          <x14:cfRule type="dataBar" id="{02EBBB2B-9AFA-49B3-9DE3-D9FECD7308CA}">
            <x14:dataBar minLength="0" maxLength="100" gradient="0">
              <x14:cfvo type="autoMin"/>
              <x14:cfvo type="num">
                <xm:f>4</xm:f>
              </x14:cfvo>
              <x14:negativeFillColor rgb="FFFF0000"/>
              <x14:axisColor rgb="FF000000"/>
            </x14:dataBar>
          </x14:cfRule>
          <xm:sqref>F58:J257</xm:sqref>
        </x14:conditionalFormatting>
        <x14:conditionalFormatting xmlns:xm="http://schemas.microsoft.com/office/excel/2006/main">
          <x14:cfRule type="dataBar" id="{2EE27589-4012-4139-AFEA-BDAD27C17E09}">
            <x14:dataBar minLength="0" maxLength="100" gradient="0">
              <x14:cfvo type="autoMin"/>
              <x14:cfvo type="num">
                <xm:f>4</xm:f>
              </x14:cfvo>
              <x14:negativeFillColor rgb="FFFF0000"/>
              <x14:axisColor rgb="FF000000"/>
            </x14:dataBar>
          </x14:cfRule>
          <xm:sqref>F588:J603 G579:J587 F258:J578</xm:sqref>
        </x14:conditionalFormatting>
        <x14:conditionalFormatting xmlns:xm="http://schemas.microsoft.com/office/excel/2006/main">
          <x14:cfRule type="dataBar" id="{B5E83B2D-0374-4072-BEDA-E50576C8BB57}">
            <x14:dataBar minLength="0" maxLength="100" gradient="0">
              <x14:cfvo type="autoMin"/>
              <x14:cfvo type="autoMax"/>
              <x14:negativeFillColor rgb="FFFF0000"/>
              <x14:axisColor rgb="FF000000"/>
            </x14:dataBar>
          </x14:cfRule>
          <xm:sqref>K1:K50</xm:sqref>
        </x14:conditionalFormatting>
        <x14:conditionalFormatting xmlns:xm="http://schemas.microsoft.com/office/excel/2006/main">
          <x14:cfRule type="dataBar" id="{0C28E83C-6DDC-4A10-B92A-2AC19596BE9B}">
            <x14:dataBar minLength="0" maxLength="100" gradient="0">
              <x14:cfvo type="autoMin"/>
              <x14:cfvo type="autoMax"/>
              <x14:negativeFillColor rgb="FFFF0000"/>
              <x14:axisColor rgb="FF000000"/>
            </x14:dataBar>
          </x14:cfRule>
          <xm:sqref>K51:K55</xm:sqref>
        </x14:conditionalFormatting>
        <x14:conditionalFormatting xmlns:xm="http://schemas.microsoft.com/office/excel/2006/main">
          <x14:cfRule type="dataBar" id="{B40B2BE7-8170-4BDF-A0AE-8B1ADCE701F7}">
            <x14:dataBar minLength="0" maxLength="100" gradient="0">
              <x14:cfvo type="autoMin"/>
              <x14:cfvo type="autoMax"/>
              <x14:negativeFillColor rgb="FFFF0000"/>
              <x14:axisColor rgb="FF000000"/>
            </x14:dataBar>
          </x14:cfRule>
          <xm:sqref>K56</xm:sqref>
        </x14:conditionalFormatting>
        <x14:conditionalFormatting xmlns:xm="http://schemas.microsoft.com/office/excel/2006/main">
          <x14:cfRule type="dataBar" id="{34EBC6F7-E675-4E43-A6CA-E5E42B4B8384}">
            <x14:dataBar minLength="0" maxLength="100" gradient="0">
              <x14:cfvo type="autoMin"/>
              <x14:cfvo type="autoMax"/>
              <x14:negativeFillColor rgb="FFFF0000"/>
              <x14:axisColor rgb="FF000000"/>
            </x14:dataBar>
          </x14:cfRule>
          <xm:sqref>K57</xm:sqref>
        </x14:conditionalFormatting>
        <x14:conditionalFormatting xmlns:xm="http://schemas.microsoft.com/office/excel/2006/main">
          <x14:cfRule type="dataBar" id="{D00AEB03-79ED-48E9-9CCA-4045C96D7699}">
            <x14:dataBar minLength="0" maxLength="100" gradient="0">
              <x14:cfvo type="autoMin"/>
              <x14:cfvo type="autoMax"/>
              <x14:negativeFillColor rgb="FFFF0000"/>
              <x14:axisColor rgb="FF000000"/>
            </x14:dataBar>
          </x14:cfRule>
          <xm:sqref>K58:K603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F49C5-045C-4C41-8133-90E2E1555C53}">
  <sheetPr filterMode="1">
    <tabColor rgb="FF00B0F0"/>
  </sheetPr>
  <dimension ref="A1:AGJ3077"/>
  <sheetViews>
    <sheetView tabSelected="1" zoomScale="85" zoomScaleNormal="85" workbookViewId="0">
      <pane ySplit="1" topLeftCell="A329" activePane="bottomLeft" state="frozen"/>
      <selection pane="bottomLeft" activeCell="G1233" sqref="G1233"/>
    </sheetView>
  </sheetViews>
  <sheetFormatPr defaultColWidth="9.28515625" defaultRowHeight="15"/>
  <cols>
    <col min="1" max="1" width="56.140625" style="7" customWidth="1"/>
    <col min="2" max="2" width="60.7109375" style="7" bestFit="1" customWidth="1"/>
    <col min="3" max="3" width="9.140625" style="7" customWidth="1"/>
    <col min="4" max="4" width="15.7109375" style="7" customWidth="1"/>
    <col min="5" max="5" width="16.28515625" style="120" customWidth="1"/>
    <col min="6" max="6" width="15.28515625" style="7" customWidth="1"/>
    <col min="7" max="7" width="65.85546875" style="7" customWidth="1"/>
    <col min="8" max="13" width="10.7109375" style="7" customWidth="1"/>
    <col min="14" max="15" width="10.7109375" style="64" customWidth="1"/>
    <col min="16" max="16" width="119.28515625" style="592" customWidth="1"/>
    <col min="17" max="868" width="9.28515625" style="16"/>
    <col min="869" max="16384" width="9.28515625" style="6"/>
  </cols>
  <sheetData>
    <row r="1" spans="1:868" ht="30" customHeight="1">
      <c r="A1" s="65" t="s">
        <v>137</v>
      </c>
      <c r="B1" s="107" t="s">
        <v>138</v>
      </c>
      <c r="C1" s="108" t="s">
        <v>139</v>
      </c>
      <c r="D1" s="109" t="s">
        <v>110</v>
      </c>
      <c r="E1" s="229" t="s">
        <v>140</v>
      </c>
      <c r="F1" s="108" t="s">
        <v>141</v>
      </c>
      <c r="G1" s="110" t="s">
        <v>112</v>
      </c>
      <c r="H1" s="111" t="s">
        <v>142</v>
      </c>
      <c r="I1" s="112" t="s">
        <v>143</v>
      </c>
      <c r="J1" s="112" t="s">
        <v>69</v>
      </c>
      <c r="K1" s="112" t="s">
        <v>75</v>
      </c>
      <c r="L1" s="112" t="s">
        <v>81</v>
      </c>
      <c r="M1" s="113" t="s">
        <v>87</v>
      </c>
      <c r="N1" s="842" t="s">
        <v>144</v>
      </c>
      <c r="O1" s="842" t="s">
        <v>145</v>
      </c>
      <c r="P1" s="115" t="s">
        <v>132</v>
      </c>
    </row>
    <row r="2" spans="1:868" hidden="1">
      <c r="A2" s="151" t="str">
        <f>Agriculture!A92</f>
        <v>Agriculture</v>
      </c>
      <c r="B2" s="33" t="str">
        <f>Agriculture!B92</f>
        <v>Agricultural greenhouse films (discarded)</v>
      </c>
      <c r="C2" s="39" t="str">
        <f>Agriculture!C92</f>
        <v>NL</v>
      </c>
      <c r="D2" s="33" t="str">
        <f>Agriculture!D92</f>
        <v>PVC</v>
      </c>
      <c r="E2" s="865">
        <f>Agriculture!E92</f>
        <v>6.2695657834368257E-2</v>
      </c>
      <c r="F2" s="234">
        <f>Agriculture!F92</f>
        <v>1</v>
      </c>
      <c r="G2" s="39" t="str">
        <f>Agriculture!G92</f>
        <v>Urbanus, J.H., Brunner, A., Boersma, A., Henke, S., Kooter, I., Lensen, S., Parker, L., Schwarz, A., Imhof, P., Dortmans, A., Wijngaard, M., 2022. Autobanden, verpakkingen en landbouwfolie zijn in Nederland de grootste bronnen van microplastics. TNO.</v>
      </c>
      <c r="H2" s="28">
        <v>1</v>
      </c>
      <c r="I2" s="11"/>
      <c r="J2" s="11">
        <v>2</v>
      </c>
      <c r="K2" s="11">
        <v>1</v>
      </c>
      <c r="L2" s="11">
        <v>1</v>
      </c>
      <c r="M2" s="11">
        <v>2</v>
      </c>
      <c r="N2" s="830">
        <f t="shared" ref="N2:N33" si="0">IF( OR( ISBLANK(H2),ISBLANK(J2), ISBLANK(K2), ISBLANK(L2), ISBLANK(M2) ), "", 1.5*SQRT(   EXP(2.21*(H2-1)) + EXP(2.21*(J2-1)) + EXP(2.21*(K2-1)) + EXP(2.21*(L2-1)) + EXP(2.21*M2)   )/100*2.45 )</f>
        <v>0.35859414261160716</v>
      </c>
      <c r="O2" s="159" t="str">
        <f t="shared" ref="O2:O33" si="1">IF( OR( ISBLANK(I2),ISBLANK(J2), ISBLANK(K2), ISBLANK(L2), ISBLANK(M2) ), "", 1.5*SQRT( EXP(2.21*(I2-1)) + EXP(2.21*(J2-1)) + EXP(2.21*(K2-1)) + EXP(2.21*(L2-1)) + EXP(2.21*M2)   )/100*2.45 )</f>
        <v/>
      </c>
      <c r="P2" s="351"/>
    </row>
    <row r="3" spans="1:868" hidden="1">
      <c r="A3" s="152" t="str">
        <f>Agriculture!A93</f>
        <v>Agriculture</v>
      </c>
      <c r="B3" s="34" t="str">
        <f>Agriculture!B93</f>
        <v>Agricultural greenhouse films (discarded)</v>
      </c>
      <c r="C3" s="40" t="str">
        <f>Agriculture!C93</f>
        <v>NL</v>
      </c>
      <c r="D3" s="34" t="str">
        <f>Agriculture!D93</f>
        <v>PS</v>
      </c>
      <c r="E3" s="866">
        <f>Agriculture!E93</f>
        <v>0</v>
      </c>
      <c r="F3" s="235">
        <f>Agriculture!F93</f>
        <v>1</v>
      </c>
      <c r="G3" s="40" t="str">
        <f>Agriculture!G93</f>
        <v>Urbanus, J.H., Brunner, A., Boersma, A., Henke, S., Kooter, I., Lensen, S., Parker, L., Schwarz, A., Imhof, P., Dortmans, A., Wijngaard, M., 2022. Autobanden, verpakkingen en landbouwfolie zijn in Nederland de grootste bronnen van microplastics. TNO.</v>
      </c>
      <c r="H3" s="29">
        <v>1</v>
      </c>
      <c r="I3" s="9"/>
      <c r="J3" s="9">
        <v>2</v>
      </c>
      <c r="K3" s="9">
        <v>1</v>
      </c>
      <c r="L3" s="9">
        <v>1</v>
      </c>
      <c r="M3" s="9">
        <v>2</v>
      </c>
      <c r="N3" s="186">
        <f t="shared" si="0"/>
        <v>0.35859414261160716</v>
      </c>
      <c r="O3" s="160" t="str">
        <f t="shared" si="1"/>
        <v/>
      </c>
      <c r="P3" s="63"/>
    </row>
    <row r="4" spans="1:868" hidden="1">
      <c r="A4" s="152" t="str">
        <f>Agriculture!A94</f>
        <v>Agriculture</v>
      </c>
      <c r="B4" s="34" t="str">
        <f>Agriculture!B94</f>
        <v>Agricultural greenhouse films (discarded)</v>
      </c>
      <c r="C4" s="40" t="str">
        <f>Agriculture!C94</f>
        <v>NL</v>
      </c>
      <c r="D4" s="34" t="str">
        <f>Agriculture!D94</f>
        <v>PP</v>
      </c>
      <c r="E4" s="866">
        <f>Agriculture!E94</f>
        <v>0</v>
      </c>
      <c r="F4" s="235">
        <f>Agriculture!F94</f>
        <v>1</v>
      </c>
      <c r="G4" s="40" t="str">
        <f>Agriculture!G94</f>
        <v>Urbanus, J.H., Brunner, A., Boersma, A., Henke, S., Kooter, I., Lensen, S., Parker, L., Schwarz, A., Imhof, P., Dortmans, A., Wijngaard, M., 2022. Autobanden, verpakkingen en landbouwfolie zijn in Nederland de grootste bronnen van microplastics. TNO.</v>
      </c>
      <c r="H4" s="29">
        <v>1</v>
      </c>
      <c r="I4" s="9"/>
      <c r="J4" s="9">
        <v>2</v>
      </c>
      <c r="K4" s="9">
        <v>1</v>
      </c>
      <c r="L4" s="9">
        <v>1</v>
      </c>
      <c r="M4" s="9">
        <v>2</v>
      </c>
      <c r="N4" s="186">
        <f t="shared" si="0"/>
        <v>0.35859414261160716</v>
      </c>
      <c r="O4" s="160" t="str">
        <f t="shared" si="1"/>
        <v/>
      </c>
      <c r="P4" s="63"/>
    </row>
    <row r="5" spans="1:868" hidden="1">
      <c r="A5" s="152" t="str">
        <f>Agriculture!A95</f>
        <v>Agriculture</v>
      </c>
      <c r="B5" s="34" t="str">
        <f>Agriculture!B95</f>
        <v>Agricultural greenhouse films (discarded)</v>
      </c>
      <c r="C5" s="40" t="str">
        <f>Agriculture!C95</f>
        <v>NL</v>
      </c>
      <c r="D5" s="34" t="str">
        <f>Agriculture!D95</f>
        <v>LDPE</v>
      </c>
      <c r="E5" s="866">
        <f>Agriculture!E95</f>
        <v>0.13959893420941549</v>
      </c>
      <c r="F5" s="235">
        <f>Agriculture!F95</f>
        <v>1</v>
      </c>
      <c r="G5" s="40" t="str">
        <f>Agriculture!G95</f>
        <v>Urbanus, J.H., Brunner, A., Boersma, A., Henke, S., Kooter, I., Lensen, S., Parker, L., Schwarz, A., Imhof, P., Dortmans, A., Wijngaard, M., 2022. Autobanden, verpakkingen en landbouwfolie zijn in Nederland de grootste bronnen van microplastics. TNO.</v>
      </c>
      <c r="H5" s="29">
        <v>1</v>
      </c>
      <c r="I5" s="9"/>
      <c r="J5" s="9">
        <v>2</v>
      </c>
      <c r="K5" s="9">
        <v>1</v>
      </c>
      <c r="L5" s="9">
        <v>1</v>
      </c>
      <c r="M5" s="9">
        <v>2</v>
      </c>
      <c r="N5" s="186">
        <f t="shared" si="0"/>
        <v>0.35859414261160716</v>
      </c>
      <c r="O5" s="160" t="str">
        <f t="shared" si="1"/>
        <v/>
      </c>
      <c r="P5" s="63"/>
    </row>
    <row r="6" spans="1:868" s="843" customFormat="1" hidden="1">
      <c r="A6" s="152" t="str">
        <f>Agriculture!A96</f>
        <v>Agriculture</v>
      </c>
      <c r="B6" s="34" t="str">
        <f>Agriculture!B96</f>
        <v>Agricultural greenhouse films (discarded)</v>
      </c>
      <c r="C6" s="40" t="str">
        <f>Agriculture!C96</f>
        <v>NL</v>
      </c>
      <c r="D6" s="34" t="str">
        <f>Agriculture!D96</f>
        <v>HDPE</v>
      </c>
      <c r="E6" s="866">
        <f>Agriculture!E96</f>
        <v>0</v>
      </c>
      <c r="F6" s="235">
        <f>Agriculture!F96</f>
        <v>1</v>
      </c>
      <c r="G6" s="40" t="str">
        <f>Agriculture!G96</f>
        <v>Urbanus, J.H., Brunner, A., Boersma, A., Henke, S., Kooter, I., Lensen, S., Parker, L., Schwarz, A., Imhof, P., Dortmans, A., Wijngaard, M., 2022. Autobanden, verpakkingen en landbouwfolie zijn in Nederland de grootste bronnen van microplastics. TNO.</v>
      </c>
      <c r="H6" s="29">
        <v>1</v>
      </c>
      <c r="I6" s="9"/>
      <c r="J6" s="9">
        <v>2</v>
      </c>
      <c r="K6" s="9">
        <v>1</v>
      </c>
      <c r="L6" s="9">
        <v>1</v>
      </c>
      <c r="M6" s="9">
        <v>2</v>
      </c>
      <c r="N6" s="186">
        <f t="shared" si="0"/>
        <v>0.35859414261160716</v>
      </c>
      <c r="O6" s="160" t="str">
        <f t="shared" si="1"/>
        <v/>
      </c>
      <c r="P6" s="63"/>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c r="EM6" s="16"/>
      <c r="EN6" s="16"/>
      <c r="EO6" s="16"/>
      <c r="EP6" s="16"/>
      <c r="EQ6" s="16"/>
      <c r="ER6" s="16"/>
      <c r="ES6" s="16"/>
      <c r="ET6" s="16"/>
      <c r="EU6" s="16"/>
      <c r="EV6" s="16"/>
      <c r="EW6" s="16"/>
      <c r="EX6" s="16"/>
      <c r="EY6" s="16"/>
      <c r="EZ6" s="16"/>
      <c r="FA6" s="16"/>
      <c r="FB6" s="16"/>
      <c r="FC6" s="16"/>
      <c r="FD6" s="16"/>
      <c r="FE6" s="16"/>
      <c r="FF6" s="16"/>
      <c r="FG6" s="16"/>
      <c r="FH6" s="16"/>
      <c r="FI6" s="16"/>
      <c r="FJ6" s="16"/>
      <c r="FK6" s="16"/>
      <c r="FL6" s="16"/>
      <c r="FM6" s="16"/>
      <c r="FN6" s="16"/>
      <c r="FO6" s="16"/>
      <c r="FP6" s="16"/>
      <c r="FQ6" s="16"/>
      <c r="FR6" s="16"/>
      <c r="FS6" s="16"/>
      <c r="FT6" s="16"/>
      <c r="FU6" s="16"/>
      <c r="FV6" s="16"/>
      <c r="FW6" s="16"/>
      <c r="FX6" s="16"/>
      <c r="FY6" s="16"/>
      <c r="FZ6" s="16"/>
      <c r="GA6" s="16"/>
      <c r="GB6" s="16"/>
      <c r="GC6" s="16"/>
      <c r="GD6" s="16"/>
      <c r="GE6" s="16"/>
      <c r="GF6" s="16"/>
      <c r="GG6" s="16"/>
      <c r="GH6" s="16"/>
      <c r="GI6" s="16"/>
      <c r="GJ6" s="16"/>
      <c r="GK6" s="16"/>
      <c r="GL6" s="16"/>
      <c r="GM6" s="16"/>
      <c r="GN6" s="16"/>
      <c r="GO6" s="16"/>
      <c r="GP6" s="16"/>
      <c r="GQ6" s="16"/>
      <c r="GR6" s="16"/>
      <c r="GS6" s="16"/>
      <c r="GT6" s="16"/>
      <c r="GU6" s="16"/>
      <c r="GV6" s="16"/>
      <c r="GW6" s="16"/>
      <c r="GX6" s="16"/>
      <c r="GY6" s="16"/>
      <c r="GZ6" s="16"/>
      <c r="HA6" s="16"/>
      <c r="HB6" s="16"/>
      <c r="HC6" s="16"/>
      <c r="HD6" s="16"/>
      <c r="HE6" s="16"/>
      <c r="HF6" s="16"/>
      <c r="HG6" s="16"/>
      <c r="HH6" s="16"/>
      <c r="HI6" s="16"/>
      <c r="HJ6" s="16"/>
      <c r="HK6" s="16"/>
      <c r="HL6" s="16"/>
      <c r="HM6" s="16"/>
      <c r="HN6" s="16"/>
      <c r="HO6" s="16"/>
      <c r="HP6" s="16"/>
      <c r="HQ6" s="16"/>
      <c r="HR6" s="16"/>
      <c r="HS6" s="16"/>
      <c r="HT6" s="16"/>
      <c r="HU6" s="16"/>
      <c r="HV6" s="16"/>
      <c r="HW6" s="16"/>
      <c r="HX6" s="16"/>
      <c r="HY6" s="16"/>
      <c r="HZ6" s="16"/>
      <c r="IA6" s="16"/>
      <c r="IB6" s="16"/>
      <c r="IC6" s="16"/>
      <c r="ID6" s="16"/>
      <c r="IE6" s="16"/>
      <c r="IF6" s="16"/>
      <c r="IG6" s="16"/>
      <c r="IH6" s="16"/>
      <c r="II6" s="16"/>
      <c r="IJ6" s="16"/>
      <c r="IK6" s="16"/>
      <c r="IL6" s="16"/>
      <c r="IM6" s="16"/>
      <c r="IN6" s="16"/>
      <c r="IO6" s="16"/>
      <c r="IP6" s="16"/>
      <c r="IQ6" s="16"/>
      <c r="IR6" s="16"/>
      <c r="IS6" s="16"/>
      <c r="IT6" s="16"/>
      <c r="IU6" s="16"/>
      <c r="IV6" s="16"/>
      <c r="IW6" s="16"/>
      <c r="IX6" s="16"/>
      <c r="IY6" s="16"/>
      <c r="IZ6" s="16"/>
      <c r="JA6" s="16"/>
      <c r="JB6" s="16"/>
      <c r="JC6" s="16"/>
      <c r="JD6" s="16"/>
      <c r="JE6" s="16"/>
      <c r="JF6" s="16"/>
      <c r="JG6" s="16"/>
      <c r="JH6" s="16"/>
      <c r="JI6" s="16"/>
      <c r="JJ6" s="16"/>
      <c r="JK6" s="16"/>
      <c r="JL6" s="16"/>
      <c r="JM6" s="16"/>
      <c r="JN6" s="16"/>
      <c r="JO6" s="16"/>
      <c r="JP6" s="16"/>
      <c r="JQ6" s="16"/>
      <c r="JR6" s="16"/>
      <c r="JS6" s="16"/>
      <c r="JT6" s="16"/>
      <c r="JU6" s="16"/>
      <c r="JV6" s="16"/>
      <c r="JW6" s="16"/>
      <c r="JX6" s="16"/>
      <c r="JY6" s="16"/>
      <c r="JZ6" s="16"/>
      <c r="KA6" s="16"/>
      <c r="KB6" s="16"/>
      <c r="KC6" s="16"/>
      <c r="KD6" s="16"/>
      <c r="KE6" s="16"/>
      <c r="KF6" s="16"/>
      <c r="KG6" s="16"/>
      <c r="KH6" s="16"/>
      <c r="KI6" s="16"/>
      <c r="KJ6" s="16"/>
      <c r="KK6" s="16"/>
      <c r="KL6" s="16"/>
      <c r="KM6" s="16"/>
      <c r="KN6" s="16"/>
      <c r="KO6" s="16"/>
      <c r="KP6" s="16"/>
      <c r="KQ6" s="16"/>
      <c r="KR6" s="16"/>
      <c r="KS6" s="16"/>
      <c r="KT6" s="16"/>
      <c r="KU6" s="16"/>
      <c r="KV6" s="16"/>
      <c r="KW6" s="16"/>
      <c r="KX6" s="16"/>
      <c r="KY6" s="16"/>
      <c r="KZ6" s="16"/>
      <c r="LA6" s="16"/>
      <c r="LB6" s="16"/>
      <c r="LC6" s="16"/>
      <c r="LD6" s="16"/>
      <c r="LE6" s="16"/>
      <c r="LF6" s="16"/>
      <c r="LG6" s="16"/>
      <c r="LH6" s="16"/>
      <c r="LI6" s="16"/>
      <c r="LJ6" s="16"/>
      <c r="LK6" s="16"/>
      <c r="LL6" s="16"/>
      <c r="LM6" s="16"/>
      <c r="LN6" s="16"/>
      <c r="LO6" s="16"/>
      <c r="LP6" s="16"/>
      <c r="LQ6" s="16"/>
      <c r="LR6" s="16"/>
      <c r="LS6" s="16"/>
      <c r="LT6" s="16"/>
      <c r="LU6" s="16"/>
      <c r="LV6" s="16"/>
      <c r="LW6" s="16"/>
      <c r="LX6" s="16"/>
      <c r="LY6" s="16"/>
      <c r="LZ6" s="16"/>
      <c r="MA6" s="16"/>
      <c r="MB6" s="16"/>
      <c r="MC6" s="16"/>
      <c r="MD6" s="16"/>
      <c r="ME6" s="16"/>
      <c r="MF6" s="16"/>
      <c r="MG6" s="16"/>
      <c r="MH6" s="16"/>
      <c r="MI6" s="16"/>
      <c r="MJ6" s="16"/>
      <c r="MK6" s="16"/>
      <c r="ML6" s="16"/>
      <c r="MM6" s="16"/>
      <c r="MN6" s="16"/>
      <c r="MO6" s="16"/>
      <c r="MP6" s="16"/>
      <c r="MQ6" s="16"/>
      <c r="MR6" s="16"/>
      <c r="MS6" s="16"/>
      <c r="MT6" s="16"/>
      <c r="MU6" s="16"/>
      <c r="MV6" s="16"/>
      <c r="MW6" s="16"/>
      <c r="MX6" s="16"/>
      <c r="MY6" s="16"/>
      <c r="MZ6" s="16"/>
      <c r="NA6" s="16"/>
      <c r="NB6" s="16"/>
      <c r="NC6" s="16"/>
      <c r="ND6" s="16"/>
      <c r="NE6" s="16"/>
      <c r="NF6" s="16"/>
      <c r="NG6" s="16"/>
      <c r="NH6" s="16"/>
      <c r="NI6" s="16"/>
      <c r="NJ6" s="16"/>
      <c r="NK6" s="16"/>
      <c r="NL6" s="16"/>
      <c r="NM6" s="16"/>
      <c r="NN6" s="16"/>
      <c r="NO6" s="16"/>
      <c r="NP6" s="16"/>
      <c r="NQ6" s="16"/>
      <c r="NR6" s="16"/>
      <c r="NS6" s="16"/>
      <c r="NT6" s="16"/>
      <c r="NU6" s="16"/>
      <c r="NV6" s="16"/>
      <c r="NW6" s="16"/>
      <c r="NX6" s="16"/>
      <c r="NY6" s="16"/>
      <c r="NZ6" s="16"/>
      <c r="OA6" s="16"/>
      <c r="OB6" s="16"/>
      <c r="OC6" s="16"/>
      <c r="OD6" s="16"/>
      <c r="OE6" s="16"/>
      <c r="OF6" s="16"/>
      <c r="OG6" s="16"/>
      <c r="OH6" s="16"/>
      <c r="OI6" s="16"/>
      <c r="OJ6" s="16"/>
      <c r="OK6" s="16"/>
      <c r="OL6" s="16"/>
      <c r="OM6" s="16"/>
      <c r="ON6" s="16"/>
      <c r="OO6" s="16"/>
      <c r="OP6" s="16"/>
      <c r="OQ6" s="16"/>
      <c r="OR6" s="16"/>
      <c r="OS6" s="16"/>
      <c r="OT6" s="16"/>
      <c r="OU6" s="16"/>
      <c r="OV6" s="16"/>
      <c r="OW6" s="16"/>
      <c r="OX6" s="16"/>
      <c r="OY6" s="16"/>
      <c r="OZ6" s="16"/>
      <c r="PA6" s="16"/>
      <c r="PB6" s="16"/>
      <c r="PC6" s="16"/>
      <c r="PD6" s="16"/>
      <c r="PE6" s="16"/>
      <c r="PF6" s="16"/>
      <c r="PG6" s="16"/>
      <c r="PH6" s="16"/>
      <c r="PI6" s="16"/>
      <c r="PJ6" s="16"/>
      <c r="PK6" s="16"/>
      <c r="PL6" s="16"/>
      <c r="PM6" s="16"/>
      <c r="PN6" s="16"/>
      <c r="PO6" s="16"/>
      <c r="PP6" s="16"/>
      <c r="PQ6" s="16"/>
      <c r="PR6" s="16"/>
      <c r="PS6" s="16"/>
      <c r="PT6" s="16"/>
      <c r="PU6" s="16"/>
      <c r="PV6" s="16"/>
      <c r="PW6" s="16"/>
      <c r="PX6" s="16"/>
      <c r="PY6" s="16"/>
      <c r="PZ6" s="16"/>
      <c r="QA6" s="16"/>
      <c r="QB6" s="16"/>
      <c r="QC6" s="16"/>
      <c r="QD6" s="16"/>
      <c r="QE6" s="16"/>
      <c r="QF6" s="16"/>
      <c r="QG6" s="16"/>
      <c r="QH6" s="16"/>
      <c r="QI6" s="16"/>
      <c r="QJ6" s="16"/>
      <c r="QK6" s="16"/>
      <c r="QL6" s="16"/>
      <c r="QM6" s="16"/>
      <c r="QN6" s="16"/>
      <c r="QO6" s="16"/>
      <c r="QP6" s="16"/>
      <c r="QQ6" s="16"/>
      <c r="QR6" s="16"/>
      <c r="QS6" s="16"/>
      <c r="QT6" s="16"/>
      <c r="QU6" s="16"/>
      <c r="QV6" s="16"/>
      <c r="QW6" s="16"/>
      <c r="QX6" s="16"/>
      <c r="QY6" s="16"/>
      <c r="QZ6" s="16"/>
      <c r="RA6" s="16"/>
      <c r="RB6" s="16"/>
      <c r="RC6" s="16"/>
      <c r="RD6" s="16"/>
      <c r="RE6" s="16"/>
      <c r="RF6" s="16"/>
      <c r="RG6" s="16"/>
      <c r="RH6" s="16"/>
      <c r="RI6" s="16"/>
      <c r="RJ6" s="16"/>
      <c r="RK6" s="16"/>
      <c r="RL6" s="16"/>
      <c r="RM6" s="16"/>
      <c r="RN6" s="16"/>
      <c r="RO6" s="16"/>
      <c r="RP6" s="16"/>
      <c r="RQ6" s="16"/>
      <c r="RR6" s="16"/>
      <c r="RS6" s="16"/>
      <c r="RT6" s="16"/>
      <c r="RU6" s="16"/>
      <c r="RV6" s="16"/>
      <c r="RW6" s="16"/>
      <c r="RX6" s="16"/>
      <c r="RY6" s="16"/>
      <c r="RZ6" s="16"/>
      <c r="SA6" s="16"/>
      <c r="SB6" s="16"/>
      <c r="SC6" s="16"/>
      <c r="SD6" s="16"/>
      <c r="SE6" s="16"/>
      <c r="SF6" s="16"/>
      <c r="SG6" s="16"/>
      <c r="SH6" s="16"/>
      <c r="SI6" s="16"/>
      <c r="SJ6" s="16"/>
      <c r="SK6" s="16"/>
      <c r="SL6" s="16"/>
      <c r="SM6" s="16"/>
      <c r="SN6" s="16"/>
      <c r="SO6" s="16"/>
      <c r="SP6" s="16"/>
      <c r="SQ6" s="16"/>
      <c r="SR6" s="16"/>
      <c r="SS6" s="16"/>
      <c r="ST6" s="16"/>
      <c r="SU6" s="16"/>
      <c r="SV6" s="16"/>
      <c r="SW6" s="16"/>
      <c r="SX6" s="16"/>
      <c r="SY6" s="16"/>
      <c r="SZ6" s="16"/>
      <c r="TA6" s="16"/>
      <c r="TB6" s="16"/>
      <c r="TC6" s="16"/>
      <c r="TD6" s="16"/>
      <c r="TE6" s="16"/>
      <c r="TF6" s="16"/>
      <c r="TG6" s="16"/>
      <c r="TH6" s="16"/>
      <c r="TI6" s="16"/>
      <c r="TJ6" s="16"/>
      <c r="TK6" s="16"/>
      <c r="TL6" s="16"/>
      <c r="TM6" s="16"/>
      <c r="TN6" s="16"/>
      <c r="TO6" s="16"/>
      <c r="TP6" s="16"/>
      <c r="TQ6" s="16"/>
      <c r="TR6" s="16"/>
      <c r="TS6" s="16"/>
      <c r="TT6" s="16"/>
      <c r="TU6" s="16"/>
      <c r="TV6" s="16"/>
      <c r="TW6" s="16"/>
      <c r="TX6" s="16"/>
      <c r="TY6" s="16"/>
      <c r="TZ6" s="16"/>
      <c r="UA6" s="16"/>
      <c r="UB6" s="16"/>
      <c r="UC6" s="16"/>
      <c r="UD6" s="16"/>
      <c r="UE6" s="16"/>
      <c r="UF6" s="16"/>
      <c r="UG6" s="16"/>
      <c r="UH6" s="16"/>
      <c r="UI6" s="16"/>
      <c r="UJ6" s="16"/>
      <c r="UK6" s="16"/>
      <c r="UL6" s="16"/>
      <c r="UM6" s="16"/>
      <c r="UN6" s="16"/>
      <c r="UO6" s="16"/>
      <c r="UP6" s="16"/>
      <c r="UQ6" s="16"/>
      <c r="UR6" s="16"/>
      <c r="US6" s="16"/>
      <c r="UT6" s="16"/>
      <c r="UU6" s="16"/>
      <c r="UV6" s="16"/>
      <c r="UW6" s="16"/>
      <c r="UX6" s="16"/>
      <c r="UY6" s="16"/>
      <c r="UZ6" s="16"/>
      <c r="VA6" s="16"/>
      <c r="VB6" s="16"/>
      <c r="VC6" s="16"/>
      <c r="VD6" s="16"/>
      <c r="VE6" s="16"/>
      <c r="VF6" s="16"/>
      <c r="VG6" s="16"/>
      <c r="VH6" s="16"/>
      <c r="VI6" s="16"/>
      <c r="VJ6" s="16"/>
      <c r="VK6" s="16"/>
      <c r="VL6" s="16"/>
      <c r="VM6" s="16"/>
      <c r="VN6" s="16"/>
      <c r="VO6" s="16"/>
      <c r="VP6" s="16"/>
      <c r="VQ6" s="16"/>
      <c r="VR6" s="16"/>
      <c r="VS6" s="16"/>
      <c r="VT6" s="16"/>
      <c r="VU6" s="16"/>
      <c r="VV6" s="16"/>
      <c r="VW6" s="16"/>
      <c r="VX6" s="16"/>
      <c r="VY6" s="16"/>
      <c r="VZ6" s="16"/>
      <c r="WA6" s="16"/>
      <c r="WB6" s="16"/>
      <c r="WC6" s="16"/>
      <c r="WD6" s="16"/>
      <c r="WE6" s="16"/>
      <c r="WF6" s="16"/>
      <c r="WG6" s="16"/>
      <c r="WH6" s="16"/>
      <c r="WI6" s="16"/>
      <c r="WJ6" s="16"/>
      <c r="WK6" s="16"/>
      <c r="WL6" s="16"/>
      <c r="WM6" s="16"/>
      <c r="WN6" s="16"/>
      <c r="WO6" s="16"/>
      <c r="WP6" s="16"/>
      <c r="WQ6" s="16"/>
      <c r="WR6" s="16"/>
      <c r="WS6" s="16"/>
      <c r="WT6" s="16"/>
      <c r="WU6" s="16"/>
      <c r="WV6" s="16"/>
      <c r="WW6" s="16"/>
      <c r="WX6" s="16"/>
      <c r="WY6" s="16"/>
      <c r="WZ6" s="16"/>
      <c r="XA6" s="16"/>
      <c r="XB6" s="16"/>
      <c r="XC6" s="16"/>
      <c r="XD6" s="16"/>
      <c r="XE6" s="16"/>
      <c r="XF6" s="16"/>
      <c r="XG6" s="16"/>
      <c r="XH6" s="16"/>
      <c r="XI6" s="16"/>
      <c r="XJ6" s="16"/>
      <c r="XK6" s="16"/>
      <c r="XL6" s="16"/>
      <c r="XM6" s="16"/>
      <c r="XN6" s="16"/>
      <c r="XO6" s="16"/>
      <c r="XP6" s="16"/>
      <c r="XQ6" s="16"/>
      <c r="XR6" s="16"/>
      <c r="XS6" s="16"/>
      <c r="XT6" s="16"/>
      <c r="XU6" s="16"/>
      <c r="XV6" s="16"/>
      <c r="XW6" s="16"/>
      <c r="XX6" s="16"/>
      <c r="XY6" s="16"/>
      <c r="XZ6" s="16"/>
      <c r="YA6" s="16"/>
      <c r="YB6" s="16"/>
      <c r="YC6" s="16"/>
      <c r="YD6" s="16"/>
      <c r="YE6" s="16"/>
      <c r="YF6" s="16"/>
      <c r="YG6" s="16"/>
      <c r="YH6" s="16"/>
      <c r="YI6" s="16"/>
      <c r="YJ6" s="16"/>
      <c r="YK6" s="16"/>
      <c r="YL6" s="16"/>
      <c r="YM6" s="16"/>
      <c r="YN6" s="16"/>
      <c r="YO6" s="16"/>
      <c r="YP6" s="16"/>
      <c r="YQ6" s="16"/>
      <c r="YR6" s="16"/>
      <c r="YS6" s="16"/>
      <c r="YT6" s="16"/>
      <c r="YU6" s="16"/>
      <c r="YV6" s="16"/>
      <c r="YW6" s="16"/>
      <c r="YX6" s="16"/>
      <c r="YY6" s="16"/>
      <c r="YZ6" s="16"/>
      <c r="ZA6" s="16"/>
      <c r="ZB6" s="16"/>
      <c r="ZC6" s="16"/>
      <c r="ZD6" s="16"/>
      <c r="ZE6" s="16"/>
      <c r="ZF6" s="16"/>
      <c r="ZG6" s="16"/>
      <c r="ZH6" s="16"/>
      <c r="ZI6" s="16"/>
      <c r="ZJ6" s="16"/>
      <c r="ZK6" s="16"/>
      <c r="ZL6" s="16"/>
      <c r="ZM6" s="16"/>
      <c r="ZN6" s="16"/>
      <c r="ZO6" s="16"/>
      <c r="ZP6" s="16"/>
      <c r="ZQ6" s="16"/>
      <c r="ZR6" s="16"/>
      <c r="ZS6" s="16"/>
      <c r="ZT6" s="16"/>
      <c r="ZU6" s="16"/>
      <c r="ZV6" s="16"/>
      <c r="ZW6" s="16"/>
      <c r="ZX6" s="16"/>
      <c r="ZY6" s="16"/>
      <c r="ZZ6" s="16"/>
      <c r="AAA6" s="16"/>
      <c r="AAB6" s="16"/>
      <c r="AAC6" s="16"/>
      <c r="AAD6" s="16"/>
      <c r="AAE6" s="16"/>
      <c r="AAF6" s="16"/>
      <c r="AAG6" s="16"/>
      <c r="AAH6" s="16"/>
      <c r="AAI6" s="16"/>
      <c r="AAJ6" s="16"/>
      <c r="AAK6" s="16"/>
      <c r="AAL6" s="16"/>
      <c r="AAM6" s="16"/>
      <c r="AAN6" s="16"/>
      <c r="AAO6" s="16"/>
      <c r="AAP6" s="16"/>
      <c r="AAQ6" s="16"/>
      <c r="AAR6" s="16"/>
      <c r="AAS6" s="16"/>
      <c r="AAT6" s="16"/>
      <c r="AAU6" s="16"/>
      <c r="AAV6" s="16"/>
      <c r="AAW6" s="16"/>
      <c r="AAX6" s="16"/>
      <c r="AAY6" s="16"/>
      <c r="AAZ6" s="16"/>
      <c r="ABA6" s="16"/>
      <c r="ABB6" s="16"/>
      <c r="ABC6" s="16"/>
      <c r="ABD6" s="16"/>
      <c r="ABE6" s="16"/>
      <c r="ABF6" s="16"/>
      <c r="ABG6" s="16"/>
      <c r="ABH6" s="16"/>
      <c r="ABI6" s="16"/>
      <c r="ABJ6" s="16"/>
      <c r="ABK6" s="16"/>
      <c r="ABL6" s="16"/>
      <c r="ABM6" s="16"/>
      <c r="ABN6" s="16"/>
      <c r="ABO6" s="16"/>
      <c r="ABP6" s="16"/>
      <c r="ABQ6" s="16"/>
      <c r="ABR6" s="16"/>
      <c r="ABS6" s="16"/>
      <c r="ABT6" s="16"/>
      <c r="ABU6" s="16"/>
      <c r="ABV6" s="16"/>
      <c r="ABW6" s="16"/>
      <c r="ABX6" s="16"/>
      <c r="ABY6" s="16"/>
      <c r="ABZ6" s="16"/>
      <c r="ACA6" s="16"/>
      <c r="ACB6" s="16"/>
      <c r="ACC6" s="16"/>
      <c r="ACD6" s="16"/>
      <c r="ACE6" s="16"/>
      <c r="ACF6" s="16"/>
      <c r="ACG6" s="16"/>
      <c r="ACH6" s="16"/>
      <c r="ACI6" s="16"/>
      <c r="ACJ6" s="16"/>
      <c r="ACK6" s="16"/>
      <c r="ACL6" s="16"/>
      <c r="ACM6" s="16"/>
      <c r="ACN6" s="16"/>
      <c r="ACO6" s="16"/>
      <c r="ACP6" s="16"/>
      <c r="ACQ6" s="16"/>
      <c r="ACR6" s="16"/>
      <c r="ACS6" s="16"/>
      <c r="ACT6" s="16"/>
      <c r="ACU6" s="16"/>
      <c r="ACV6" s="16"/>
      <c r="ACW6" s="16"/>
      <c r="ACX6" s="16"/>
      <c r="ACY6" s="16"/>
      <c r="ACZ6" s="16"/>
      <c r="ADA6" s="16"/>
      <c r="ADB6" s="16"/>
      <c r="ADC6" s="16"/>
      <c r="ADD6" s="16"/>
      <c r="ADE6" s="16"/>
      <c r="ADF6" s="16"/>
      <c r="ADG6" s="16"/>
      <c r="ADH6" s="16"/>
      <c r="ADI6" s="16"/>
      <c r="ADJ6" s="16"/>
      <c r="ADK6" s="16"/>
      <c r="ADL6" s="16"/>
      <c r="ADM6" s="16"/>
      <c r="ADN6" s="16"/>
      <c r="ADO6" s="16"/>
      <c r="ADP6" s="16"/>
      <c r="ADQ6" s="16"/>
      <c r="ADR6" s="16"/>
      <c r="ADS6" s="16"/>
      <c r="ADT6" s="16"/>
      <c r="ADU6" s="16"/>
      <c r="ADV6" s="16"/>
      <c r="ADW6" s="16"/>
      <c r="ADX6" s="16"/>
      <c r="ADY6" s="16"/>
      <c r="ADZ6" s="16"/>
      <c r="AEA6" s="16"/>
      <c r="AEB6" s="16"/>
      <c r="AEC6" s="16"/>
      <c r="AED6" s="16"/>
      <c r="AEE6" s="16"/>
      <c r="AEF6" s="16"/>
      <c r="AEG6" s="16"/>
      <c r="AEH6" s="16"/>
      <c r="AEI6" s="16"/>
      <c r="AEJ6" s="16"/>
      <c r="AEK6" s="16"/>
      <c r="AEL6" s="16"/>
      <c r="AEM6" s="16"/>
      <c r="AEN6" s="16"/>
      <c r="AEO6" s="16"/>
      <c r="AEP6" s="16"/>
      <c r="AEQ6" s="16"/>
      <c r="AER6" s="16"/>
      <c r="AES6" s="16"/>
      <c r="AET6" s="16"/>
      <c r="AEU6" s="16"/>
      <c r="AEV6" s="16"/>
      <c r="AEW6" s="16"/>
      <c r="AEX6" s="16"/>
      <c r="AEY6" s="16"/>
      <c r="AEZ6" s="16"/>
      <c r="AFA6" s="16"/>
      <c r="AFB6" s="16"/>
      <c r="AFC6" s="16"/>
      <c r="AFD6" s="16"/>
      <c r="AFE6" s="16"/>
      <c r="AFF6" s="16"/>
      <c r="AFG6" s="16"/>
      <c r="AFH6" s="16"/>
      <c r="AFI6" s="16"/>
      <c r="AFJ6" s="16"/>
      <c r="AFK6" s="16"/>
      <c r="AFL6" s="16"/>
      <c r="AFM6" s="16"/>
      <c r="AFN6" s="16"/>
      <c r="AFO6" s="16"/>
      <c r="AFP6" s="16"/>
      <c r="AFQ6" s="16"/>
      <c r="AFR6" s="16"/>
      <c r="AFS6" s="16"/>
      <c r="AFT6" s="16"/>
      <c r="AFU6" s="16"/>
      <c r="AFV6" s="16"/>
      <c r="AFW6" s="16"/>
      <c r="AFX6" s="16"/>
      <c r="AFY6" s="16"/>
      <c r="AFZ6" s="16"/>
      <c r="AGA6" s="16"/>
      <c r="AGB6" s="16"/>
      <c r="AGC6" s="16"/>
      <c r="AGD6" s="16"/>
      <c r="AGE6" s="16"/>
      <c r="AGF6" s="16"/>
      <c r="AGG6" s="16"/>
      <c r="AGH6" s="16"/>
      <c r="AGI6" s="16"/>
      <c r="AGJ6" s="16"/>
    </row>
    <row r="7" spans="1:868" hidden="1">
      <c r="A7" s="152" t="str">
        <f>Agriculture!A97</f>
        <v>Agriculture</v>
      </c>
      <c r="B7" s="34" t="str">
        <f>Agriculture!B97</f>
        <v>Agricultural greenhouse films (discarded)</v>
      </c>
      <c r="C7" s="40" t="str">
        <f>Agriculture!C97</f>
        <v>EU</v>
      </c>
      <c r="D7" s="34" t="str">
        <f>Agriculture!D97</f>
        <v>PVC</v>
      </c>
      <c r="E7" s="866">
        <f>Agriculture!E97</f>
        <v>9.1158630137710292E-2</v>
      </c>
      <c r="F7" s="235">
        <f>Agriculture!F97</f>
        <v>1</v>
      </c>
      <c r="G7" s="40" t="str">
        <f>Agriculture!G97</f>
        <v>Assessment of agricultural plastics and their sustainability: A call for action, 2021. . FAO. https://doi.org/10.4060/cb7856en</v>
      </c>
      <c r="H7" s="29"/>
      <c r="I7" s="9">
        <v>1</v>
      </c>
      <c r="J7" s="9">
        <v>2</v>
      </c>
      <c r="K7" s="9">
        <v>1</v>
      </c>
      <c r="L7" s="9">
        <v>1</v>
      </c>
      <c r="M7" s="9">
        <v>2</v>
      </c>
      <c r="N7" s="186" t="str">
        <f t="shared" si="0"/>
        <v/>
      </c>
      <c r="O7" s="160">
        <f t="shared" si="1"/>
        <v>0.35859414261160716</v>
      </c>
      <c r="P7" s="63"/>
    </row>
    <row r="8" spans="1:868" hidden="1">
      <c r="A8" s="152" t="str">
        <f>Agriculture!A98</f>
        <v>Agriculture</v>
      </c>
      <c r="B8" s="34" t="str">
        <f>Agriculture!B98</f>
        <v>Agricultural greenhouse films (discarded)</v>
      </c>
      <c r="C8" s="40" t="str">
        <f>Agriculture!C98</f>
        <v>EU</v>
      </c>
      <c r="D8" s="34" t="str">
        <f>Agriculture!D98</f>
        <v>PS</v>
      </c>
      <c r="E8" s="866">
        <f>Agriculture!E98</f>
        <v>0</v>
      </c>
      <c r="F8" s="235">
        <f>Agriculture!F98</f>
        <v>1</v>
      </c>
      <c r="G8" s="40" t="str">
        <f>Agriculture!G98</f>
        <v>Assessment of agricultural plastics and their sustainability: A call for action, 2021. . FAO. https://doi.org/10.4060/cb7856en</v>
      </c>
      <c r="H8" s="29"/>
      <c r="I8" s="9">
        <v>1</v>
      </c>
      <c r="J8" s="9">
        <v>2</v>
      </c>
      <c r="K8" s="9">
        <v>1</v>
      </c>
      <c r="L8" s="9">
        <v>1</v>
      </c>
      <c r="M8" s="9">
        <v>2</v>
      </c>
      <c r="N8" s="186" t="str">
        <f t="shared" si="0"/>
        <v/>
      </c>
      <c r="O8" s="160">
        <f t="shared" si="1"/>
        <v>0.35859414261160716</v>
      </c>
      <c r="P8" s="63"/>
    </row>
    <row r="9" spans="1:868" hidden="1">
      <c r="A9" s="152" t="str">
        <f>Agriculture!A99</f>
        <v>Agriculture</v>
      </c>
      <c r="B9" s="34" t="str">
        <f>Agriculture!B99</f>
        <v>Agricultural greenhouse films (discarded)</v>
      </c>
      <c r="C9" s="40" t="str">
        <f>Agriculture!C99</f>
        <v>EU</v>
      </c>
      <c r="D9" s="34" t="str">
        <f>Agriculture!D99</f>
        <v>PP</v>
      </c>
      <c r="E9" s="866">
        <f>Agriculture!E99</f>
        <v>0</v>
      </c>
      <c r="F9" s="235">
        <f>Agriculture!F99</f>
        <v>1</v>
      </c>
      <c r="G9" s="40" t="str">
        <f>Agriculture!G99</f>
        <v>Assessment of agricultural plastics and their sustainability: A call for action, 2021. . FAO. https://doi.org/10.4060/cb7856en</v>
      </c>
      <c r="H9" s="29"/>
      <c r="I9" s="9">
        <v>1</v>
      </c>
      <c r="J9" s="9">
        <v>2</v>
      </c>
      <c r="K9" s="9">
        <v>1</v>
      </c>
      <c r="L9" s="9">
        <v>1</v>
      </c>
      <c r="M9" s="9">
        <v>2</v>
      </c>
      <c r="N9" s="186" t="str">
        <f t="shared" si="0"/>
        <v/>
      </c>
      <c r="O9" s="160">
        <f t="shared" si="1"/>
        <v>0.35859414261160716</v>
      </c>
      <c r="P9" s="63"/>
    </row>
    <row r="10" spans="1:868" hidden="1">
      <c r="A10" s="152" t="str">
        <f>Agriculture!A100</f>
        <v>Agriculture</v>
      </c>
      <c r="B10" s="34" t="str">
        <f>Agriculture!B100</f>
        <v>Agricultural greenhouse films (discarded)</v>
      </c>
      <c r="C10" s="40" t="str">
        <f>Agriculture!C100</f>
        <v>EU</v>
      </c>
      <c r="D10" s="34" t="str">
        <f>Agriculture!D100</f>
        <v>LDPE</v>
      </c>
      <c r="E10" s="866">
        <f>Agriculture!E100</f>
        <v>0.15678950022134661</v>
      </c>
      <c r="F10" s="235">
        <f>Agriculture!F100</f>
        <v>1</v>
      </c>
      <c r="G10" s="40" t="str">
        <f>Agriculture!G100</f>
        <v>Assessment of agricultural plastics and their sustainability: A call for action, 2021. . FAO. https://doi.org/10.4060/cb7856en</v>
      </c>
      <c r="H10" s="29"/>
      <c r="I10" s="9">
        <v>1</v>
      </c>
      <c r="J10" s="9">
        <v>2</v>
      </c>
      <c r="K10" s="9">
        <v>1</v>
      </c>
      <c r="L10" s="9">
        <v>1</v>
      </c>
      <c r="M10" s="9">
        <v>2</v>
      </c>
      <c r="N10" s="186" t="str">
        <f t="shared" si="0"/>
        <v/>
      </c>
      <c r="O10" s="160">
        <f t="shared" si="1"/>
        <v>0.35859414261160716</v>
      </c>
      <c r="P10" s="63"/>
    </row>
    <row r="11" spans="1:868" s="843" customFormat="1" hidden="1">
      <c r="A11" s="152" t="str">
        <f>Agriculture!A101</f>
        <v>Agriculture</v>
      </c>
      <c r="B11" s="34" t="str">
        <f>Agriculture!B101</f>
        <v>Agricultural greenhouse films (discarded)</v>
      </c>
      <c r="C11" s="40" t="str">
        <f>Agriculture!C101</f>
        <v>EU</v>
      </c>
      <c r="D11" s="34" t="str">
        <f>Agriculture!D101</f>
        <v>HDPE</v>
      </c>
      <c r="E11" s="866">
        <f>Agriculture!E101</f>
        <v>0</v>
      </c>
      <c r="F11" s="235">
        <f>Agriculture!F101</f>
        <v>1</v>
      </c>
      <c r="G11" s="40" t="str">
        <f>Agriculture!G101</f>
        <v>Assessment of agricultural plastics and their sustainability: A call for action, 2021. . FAO. https://doi.org/10.4060/cb7856en</v>
      </c>
      <c r="H11" s="29"/>
      <c r="I11" s="9">
        <v>1</v>
      </c>
      <c r="J11" s="9">
        <v>2</v>
      </c>
      <c r="K11" s="9">
        <v>1</v>
      </c>
      <c r="L11" s="9">
        <v>1</v>
      </c>
      <c r="M11" s="9">
        <v>2</v>
      </c>
      <c r="N11" s="186" t="str">
        <f t="shared" si="0"/>
        <v/>
      </c>
      <c r="O11" s="160">
        <f t="shared" si="1"/>
        <v>0.35859414261160716</v>
      </c>
      <c r="P11" s="63"/>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c r="DO11" s="16"/>
      <c r="DP11" s="16"/>
      <c r="DQ11" s="16"/>
      <c r="DR11" s="16"/>
      <c r="DS11" s="16"/>
      <c r="DT11" s="16"/>
      <c r="DU11" s="16"/>
      <c r="DV11" s="16"/>
      <c r="DW11" s="16"/>
      <c r="DX11" s="16"/>
      <c r="DY11" s="16"/>
      <c r="DZ11" s="16"/>
      <c r="EA11" s="16"/>
      <c r="EB11" s="16"/>
      <c r="EC11" s="16"/>
      <c r="ED11" s="16"/>
      <c r="EE11" s="16"/>
      <c r="EF11" s="16"/>
      <c r="EG11" s="16"/>
      <c r="EH11" s="16"/>
      <c r="EI11" s="16"/>
      <c r="EJ11" s="16"/>
      <c r="EK11" s="16"/>
      <c r="EL11" s="16"/>
      <c r="EM11" s="16"/>
      <c r="EN11" s="16"/>
      <c r="EO11" s="16"/>
      <c r="EP11" s="16"/>
      <c r="EQ11" s="16"/>
      <c r="ER11" s="16"/>
      <c r="ES11" s="16"/>
      <c r="ET11" s="16"/>
      <c r="EU11" s="16"/>
      <c r="EV11" s="16"/>
      <c r="EW11" s="16"/>
      <c r="EX11" s="16"/>
      <c r="EY11" s="16"/>
      <c r="EZ11" s="16"/>
      <c r="FA11" s="16"/>
      <c r="FB11" s="16"/>
      <c r="FC11" s="16"/>
      <c r="FD11" s="16"/>
      <c r="FE11" s="16"/>
      <c r="FF11" s="16"/>
      <c r="FG11" s="16"/>
      <c r="FH11" s="16"/>
      <c r="FI11" s="16"/>
      <c r="FJ11" s="16"/>
      <c r="FK11" s="16"/>
      <c r="FL11" s="16"/>
      <c r="FM11" s="16"/>
      <c r="FN11" s="16"/>
      <c r="FO11" s="16"/>
      <c r="FP11" s="16"/>
      <c r="FQ11" s="16"/>
      <c r="FR11" s="16"/>
      <c r="FS11" s="16"/>
      <c r="FT11" s="16"/>
      <c r="FU11" s="16"/>
      <c r="FV11" s="16"/>
      <c r="FW11" s="16"/>
      <c r="FX11" s="16"/>
      <c r="FY11" s="16"/>
      <c r="FZ11" s="16"/>
      <c r="GA11" s="16"/>
      <c r="GB11" s="16"/>
      <c r="GC11" s="16"/>
      <c r="GD11" s="16"/>
      <c r="GE11" s="16"/>
      <c r="GF11" s="16"/>
      <c r="GG11" s="16"/>
      <c r="GH11" s="16"/>
      <c r="GI11" s="16"/>
      <c r="GJ11" s="16"/>
      <c r="GK11" s="16"/>
      <c r="GL11" s="16"/>
      <c r="GM11" s="16"/>
      <c r="GN11" s="16"/>
      <c r="GO11" s="16"/>
      <c r="GP11" s="16"/>
      <c r="GQ11" s="16"/>
      <c r="GR11" s="16"/>
      <c r="GS11" s="16"/>
      <c r="GT11" s="16"/>
      <c r="GU11" s="16"/>
      <c r="GV11" s="16"/>
      <c r="GW11" s="16"/>
      <c r="GX11" s="16"/>
      <c r="GY11" s="16"/>
      <c r="GZ11" s="16"/>
      <c r="HA11" s="16"/>
      <c r="HB11" s="16"/>
      <c r="HC11" s="16"/>
      <c r="HD11" s="16"/>
      <c r="HE11" s="16"/>
      <c r="HF11" s="16"/>
      <c r="HG11" s="16"/>
      <c r="HH11" s="16"/>
      <c r="HI11" s="16"/>
      <c r="HJ11" s="16"/>
      <c r="HK11" s="16"/>
      <c r="HL11" s="16"/>
      <c r="HM11" s="16"/>
      <c r="HN11" s="16"/>
      <c r="HO11" s="16"/>
      <c r="HP11" s="16"/>
      <c r="HQ11" s="16"/>
      <c r="HR11" s="16"/>
      <c r="HS11" s="16"/>
      <c r="HT11" s="16"/>
      <c r="HU11" s="16"/>
      <c r="HV11" s="16"/>
      <c r="HW11" s="16"/>
      <c r="HX11" s="16"/>
      <c r="HY11" s="16"/>
      <c r="HZ11" s="16"/>
      <c r="IA11" s="16"/>
      <c r="IB11" s="16"/>
      <c r="IC11" s="16"/>
      <c r="ID11" s="16"/>
      <c r="IE11" s="16"/>
      <c r="IF11" s="16"/>
      <c r="IG11" s="16"/>
      <c r="IH11" s="16"/>
      <c r="II11" s="16"/>
      <c r="IJ11" s="16"/>
      <c r="IK11" s="16"/>
      <c r="IL11" s="16"/>
      <c r="IM11" s="16"/>
      <c r="IN11" s="16"/>
      <c r="IO11" s="16"/>
      <c r="IP11" s="16"/>
      <c r="IQ11" s="16"/>
      <c r="IR11" s="16"/>
      <c r="IS11" s="16"/>
      <c r="IT11" s="16"/>
      <c r="IU11" s="16"/>
      <c r="IV11" s="16"/>
      <c r="IW11" s="16"/>
      <c r="IX11" s="16"/>
      <c r="IY11" s="16"/>
      <c r="IZ11" s="16"/>
      <c r="JA11" s="16"/>
      <c r="JB11" s="16"/>
      <c r="JC11" s="16"/>
      <c r="JD11" s="16"/>
      <c r="JE11" s="16"/>
      <c r="JF11" s="16"/>
      <c r="JG11" s="16"/>
      <c r="JH11" s="16"/>
      <c r="JI11" s="16"/>
      <c r="JJ11" s="16"/>
      <c r="JK11" s="16"/>
      <c r="JL11" s="16"/>
      <c r="JM11" s="16"/>
      <c r="JN11" s="16"/>
      <c r="JO11" s="16"/>
      <c r="JP11" s="16"/>
      <c r="JQ11" s="16"/>
      <c r="JR11" s="16"/>
      <c r="JS11" s="16"/>
      <c r="JT11" s="16"/>
      <c r="JU11" s="16"/>
      <c r="JV11" s="16"/>
      <c r="JW11" s="16"/>
      <c r="JX11" s="16"/>
      <c r="JY11" s="16"/>
      <c r="JZ11" s="16"/>
      <c r="KA11" s="16"/>
      <c r="KB11" s="16"/>
      <c r="KC11" s="16"/>
      <c r="KD11" s="16"/>
      <c r="KE11" s="16"/>
      <c r="KF11" s="16"/>
      <c r="KG11" s="16"/>
      <c r="KH11" s="16"/>
      <c r="KI11" s="16"/>
      <c r="KJ11" s="16"/>
      <c r="KK11" s="16"/>
      <c r="KL11" s="16"/>
      <c r="KM11" s="16"/>
      <c r="KN11" s="16"/>
      <c r="KO11" s="16"/>
      <c r="KP11" s="16"/>
      <c r="KQ11" s="16"/>
      <c r="KR11" s="16"/>
      <c r="KS11" s="16"/>
      <c r="KT11" s="16"/>
      <c r="KU11" s="16"/>
      <c r="KV11" s="16"/>
      <c r="KW11" s="16"/>
      <c r="KX11" s="16"/>
      <c r="KY11" s="16"/>
      <c r="KZ11" s="16"/>
      <c r="LA11" s="16"/>
      <c r="LB11" s="16"/>
      <c r="LC11" s="16"/>
      <c r="LD11" s="16"/>
      <c r="LE11" s="16"/>
      <c r="LF11" s="16"/>
      <c r="LG11" s="16"/>
      <c r="LH11" s="16"/>
      <c r="LI11" s="16"/>
      <c r="LJ11" s="16"/>
      <c r="LK11" s="16"/>
      <c r="LL11" s="16"/>
      <c r="LM11" s="16"/>
      <c r="LN11" s="16"/>
      <c r="LO11" s="16"/>
      <c r="LP11" s="16"/>
      <c r="LQ11" s="16"/>
      <c r="LR11" s="16"/>
      <c r="LS11" s="16"/>
      <c r="LT11" s="16"/>
      <c r="LU11" s="16"/>
      <c r="LV11" s="16"/>
      <c r="LW11" s="16"/>
      <c r="LX11" s="16"/>
      <c r="LY11" s="16"/>
      <c r="LZ11" s="16"/>
      <c r="MA11" s="16"/>
      <c r="MB11" s="16"/>
      <c r="MC11" s="16"/>
      <c r="MD11" s="16"/>
      <c r="ME11" s="16"/>
      <c r="MF11" s="16"/>
      <c r="MG11" s="16"/>
      <c r="MH11" s="16"/>
      <c r="MI11" s="16"/>
      <c r="MJ11" s="16"/>
      <c r="MK11" s="16"/>
      <c r="ML11" s="16"/>
      <c r="MM11" s="16"/>
      <c r="MN11" s="16"/>
      <c r="MO11" s="16"/>
      <c r="MP11" s="16"/>
      <c r="MQ11" s="16"/>
      <c r="MR11" s="16"/>
      <c r="MS11" s="16"/>
      <c r="MT11" s="16"/>
      <c r="MU11" s="16"/>
      <c r="MV11" s="16"/>
      <c r="MW11" s="16"/>
      <c r="MX11" s="16"/>
      <c r="MY11" s="16"/>
      <c r="MZ11" s="16"/>
      <c r="NA11" s="16"/>
      <c r="NB11" s="16"/>
      <c r="NC11" s="16"/>
      <c r="ND11" s="16"/>
      <c r="NE11" s="16"/>
      <c r="NF11" s="16"/>
      <c r="NG11" s="16"/>
      <c r="NH11" s="16"/>
      <c r="NI11" s="16"/>
      <c r="NJ11" s="16"/>
      <c r="NK11" s="16"/>
      <c r="NL11" s="16"/>
      <c r="NM11" s="16"/>
      <c r="NN11" s="16"/>
      <c r="NO11" s="16"/>
      <c r="NP11" s="16"/>
      <c r="NQ11" s="16"/>
      <c r="NR11" s="16"/>
      <c r="NS11" s="16"/>
      <c r="NT11" s="16"/>
      <c r="NU11" s="16"/>
      <c r="NV11" s="16"/>
      <c r="NW11" s="16"/>
      <c r="NX11" s="16"/>
      <c r="NY11" s="16"/>
      <c r="NZ11" s="16"/>
      <c r="OA11" s="16"/>
      <c r="OB11" s="16"/>
      <c r="OC11" s="16"/>
      <c r="OD11" s="16"/>
      <c r="OE11" s="16"/>
      <c r="OF11" s="16"/>
      <c r="OG11" s="16"/>
      <c r="OH11" s="16"/>
      <c r="OI11" s="16"/>
      <c r="OJ11" s="16"/>
      <c r="OK11" s="16"/>
      <c r="OL11" s="16"/>
      <c r="OM11" s="16"/>
      <c r="ON11" s="16"/>
      <c r="OO11" s="16"/>
      <c r="OP11" s="16"/>
      <c r="OQ11" s="16"/>
      <c r="OR11" s="16"/>
      <c r="OS11" s="16"/>
      <c r="OT11" s="16"/>
      <c r="OU11" s="16"/>
      <c r="OV11" s="16"/>
      <c r="OW11" s="16"/>
      <c r="OX11" s="16"/>
      <c r="OY11" s="16"/>
      <c r="OZ11" s="16"/>
      <c r="PA11" s="16"/>
      <c r="PB11" s="16"/>
      <c r="PC11" s="16"/>
      <c r="PD11" s="16"/>
      <c r="PE11" s="16"/>
      <c r="PF11" s="16"/>
      <c r="PG11" s="16"/>
      <c r="PH11" s="16"/>
      <c r="PI11" s="16"/>
      <c r="PJ11" s="16"/>
      <c r="PK11" s="16"/>
      <c r="PL11" s="16"/>
      <c r="PM11" s="16"/>
      <c r="PN11" s="16"/>
      <c r="PO11" s="16"/>
      <c r="PP11" s="16"/>
      <c r="PQ11" s="16"/>
      <c r="PR11" s="16"/>
      <c r="PS11" s="16"/>
      <c r="PT11" s="16"/>
      <c r="PU11" s="16"/>
      <c r="PV11" s="16"/>
      <c r="PW11" s="16"/>
      <c r="PX11" s="16"/>
      <c r="PY11" s="16"/>
      <c r="PZ11" s="16"/>
      <c r="QA11" s="16"/>
      <c r="QB11" s="16"/>
      <c r="QC11" s="16"/>
      <c r="QD11" s="16"/>
      <c r="QE11" s="16"/>
      <c r="QF11" s="16"/>
      <c r="QG11" s="16"/>
      <c r="QH11" s="16"/>
      <c r="QI11" s="16"/>
      <c r="QJ11" s="16"/>
      <c r="QK11" s="16"/>
      <c r="QL11" s="16"/>
      <c r="QM11" s="16"/>
      <c r="QN11" s="16"/>
      <c r="QO11" s="16"/>
      <c r="QP11" s="16"/>
      <c r="QQ11" s="16"/>
      <c r="QR11" s="16"/>
      <c r="QS11" s="16"/>
      <c r="QT11" s="16"/>
      <c r="QU11" s="16"/>
      <c r="QV11" s="16"/>
      <c r="QW11" s="16"/>
      <c r="QX11" s="16"/>
      <c r="QY11" s="16"/>
      <c r="QZ11" s="16"/>
      <c r="RA11" s="16"/>
      <c r="RB11" s="16"/>
      <c r="RC11" s="16"/>
      <c r="RD11" s="16"/>
      <c r="RE11" s="16"/>
      <c r="RF11" s="16"/>
      <c r="RG11" s="16"/>
      <c r="RH11" s="16"/>
      <c r="RI11" s="16"/>
      <c r="RJ11" s="16"/>
      <c r="RK11" s="16"/>
      <c r="RL11" s="16"/>
      <c r="RM11" s="16"/>
      <c r="RN11" s="16"/>
      <c r="RO11" s="16"/>
      <c r="RP11" s="16"/>
      <c r="RQ11" s="16"/>
      <c r="RR11" s="16"/>
      <c r="RS11" s="16"/>
      <c r="RT11" s="16"/>
      <c r="RU11" s="16"/>
      <c r="RV11" s="16"/>
      <c r="RW11" s="16"/>
      <c r="RX11" s="16"/>
      <c r="RY11" s="16"/>
      <c r="RZ11" s="16"/>
      <c r="SA11" s="16"/>
      <c r="SB11" s="16"/>
      <c r="SC11" s="16"/>
      <c r="SD11" s="16"/>
      <c r="SE11" s="16"/>
      <c r="SF11" s="16"/>
      <c r="SG11" s="16"/>
      <c r="SH11" s="16"/>
      <c r="SI11" s="16"/>
      <c r="SJ11" s="16"/>
      <c r="SK11" s="16"/>
      <c r="SL11" s="16"/>
      <c r="SM11" s="16"/>
      <c r="SN11" s="16"/>
      <c r="SO11" s="16"/>
      <c r="SP11" s="16"/>
      <c r="SQ11" s="16"/>
      <c r="SR11" s="16"/>
      <c r="SS11" s="16"/>
      <c r="ST11" s="16"/>
      <c r="SU11" s="16"/>
      <c r="SV11" s="16"/>
      <c r="SW11" s="16"/>
      <c r="SX11" s="16"/>
      <c r="SY11" s="16"/>
      <c r="SZ11" s="16"/>
      <c r="TA11" s="16"/>
      <c r="TB11" s="16"/>
      <c r="TC11" s="16"/>
      <c r="TD11" s="16"/>
      <c r="TE11" s="16"/>
      <c r="TF11" s="16"/>
      <c r="TG11" s="16"/>
      <c r="TH11" s="16"/>
      <c r="TI11" s="16"/>
      <c r="TJ11" s="16"/>
      <c r="TK11" s="16"/>
      <c r="TL11" s="16"/>
      <c r="TM11" s="16"/>
      <c r="TN11" s="16"/>
      <c r="TO11" s="16"/>
      <c r="TP11" s="16"/>
      <c r="TQ11" s="16"/>
      <c r="TR11" s="16"/>
      <c r="TS11" s="16"/>
      <c r="TT11" s="16"/>
      <c r="TU11" s="16"/>
      <c r="TV11" s="16"/>
      <c r="TW11" s="16"/>
      <c r="TX11" s="16"/>
      <c r="TY11" s="16"/>
      <c r="TZ11" s="16"/>
      <c r="UA11" s="16"/>
      <c r="UB11" s="16"/>
      <c r="UC11" s="16"/>
      <c r="UD11" s="16"/>
      <c r="UE11" s="16"/>
      <c r="UF11" s="16"/>
      <c r="UG11" s="16"/>
      <c r="UH11" s="16"/>
      <c r="UI11" s="16"/>
      <c r="UJ11" s="16"/>
      <c r="UK11" s="16"/>
      <c r="UL11" s="16"/>
      <c r="UM11" s="16"/>
      <c r="UN11" s="16"/>
      <c r="UO11" s="16"/>
      <c r="UP11" s="16"/>
      <c r="UQ11" s="16"/>
      <c r="UR11" s="16"/>
      <c r="US11" s="16"/>
      <c r="UT11" s="16"/>
      <c r="UU11" s="16"/>
      <c r="UV11" s="16"/>
      <c r="UW11" s="16"/>
      <c r="UX11" s="16"/>
      <c r="UY11" s="16"/>
      <c r="UZ11" s="16"/>
      <c r="VA11" s="16"/>
      <c r="VB11" s="16"/>
      <c r="VC11" s="16"/>
      <c r="VD11" s="16"/>
      <c r="VE11" s="16"/>
      <c r="VF11" s="16"/>
      <c r="VG11" s="16"/>
      <c r="VH11" s="16"/>
      <c r="VI11" s="16"/>
      <c r="VJ11" s="16"/>
      <c r="VK11" s="16"/>
      <c r="VL11" s="16"/>
      <c r="VM11" s="16"/>
      <c r="VN11" s="16"/>
      <c r="VO11" s="16"/>
      <c r="VP11" s="16"/>
      <c r="VQ11" s="16"/>
      <c r="VR11" s="16"/>
      <c r="VS11" s="16"/>
      <c r="VT11" s="16"/>
      <c r="VU11" s="16"/>
      <c r="VV11" s="16"/>
      <c r="VW11" s="16"/>
      <c r="VX11" s="16"/>
      <c r="VY11" s="16"/>
      <c r="VZ11" s="16"/>
      <c r="WA11" s="16"/>
      <c r="WB11" s="16"/>
      <c r="WC11" s="16"/>
      <c r="WD11" s="16"/>
      <c r="WE11" s="16"/>
      <c r="WF11" s="16"/>
      <c r="WG11" s="16"/>
      <c r="WH11" s="16"/>
      <c r="WI11" s="16"/>
      <c r="WJ11" s="16"/>
      <c r="WK11" s="16"/>
      <c r="WL11" s="16"/>
      <c r="WM11" s="16"/>
      <c r="WN11" s="16"/>
      <c r="WO11" s="16"/>
      <c r="WP11" s="16"/>
      <c r="WQ11" s="16"/>
      <c r="WR11" s="16"/>
      <c r="WS11" s="16"/>
      <c r="WT11" s="16"/>
      <c r="WU11" s="16"/>
      <c r="WV11" s="16"/>
      <c r="WW11" s="16"/>
      <c r="WX11" s="16"/>
      <c r="WY11" s="16"/>
      <c r="WZ11" s="16"/>
      <c r="XA11" s="16"/>
      <c r="XB11" s="16"/>
      <c r="XC11" s="16"/>
      <c r="XD11" s="16"/>
      <c r="XE11" s="16"/>
      <c r="XF11" s="16"/>
      <c r="XG11" s="16"/>
      <c r="XH11" s="16"/>
      <c r="XI11" s="16"/>
      <c r="XJ11" s="16"/>
      <c r="XK11" s="16"/>
      <c r="XL11" s="16"/>
      <c r="XM11" s="16"/>
      <c r="XN11" s="16"/>
      <c r="XO11" s="16"/>
      <c r="XP11" s="16"/>
      <c r="XQ11" s="16"/>
      <c r="XR11" s="16"/>
      <c r="XS11" s="16"/>
      <c r="XT11" s="16"/>
      <c r="XU11" s="16"/>
      <c r="XV11" s="16"/>
      <c r="XW11" s="16"/>
      <c r="XX11" s="16"/>
      <c r="XY11" s="16"/>
      <c r="XZ11" s="16"/>
      <c r="YA11" s="16"/>
      <c r="YB11" s="16"/>
      <c r="YC11" s="16"/>
      <c r="YD11" s="16"/>
      <c r="YE11" s="16"/>
      <c r="YF11" s="16"/>
      <c r="YG11" s="16"/>
      <c r="YH11" s="16"/>
      <c r="YI11" s="16"/>
      <c r="YJ11" s="16"/>
      <c r="YK11" s="16"/>
      <c r="YL11" s="16"/>
      <c r="YM11" s="16"/>
      <c r="YN11" s="16"/>
      <c r="YO11" s="16"/>
      <c r="YP11" s="16"/>
      <c r="YQ11" s="16"/>
      <c r="YR11" s="16"/>
      <c r="YS11" s="16"/>
      <c r="YT11" s="16"/>
      <c r="YU11" s="16"/>
      <c r="YV11" s="16"/>
      <c r="YW11" s="16"/>
      <c r="YX11" s="16"/>
      <c r="YY11" s="16"/>
      <c r="YZ11" s="16"/>
      <c r="ZA11" s="16"/>
      <c r="ZB11" s="16"/>
      <c r="ZC11" s="16"/>
      <c r="ZD11" s="16"/>
      <c r="ZE11" s="16"/>
      <c r="ZF11" s="16"/>
      <c r="ZG11" s="16"/>
      <c r="ZH11" s="16"/>
      <c r="ZI11" s="16"/>
      <c r="ZJ11" s="16"/>
      <c r="ZK11" s="16"/>
      <c r="ZL11" s="16"/>
      <c r="ZM11" s="16"/>
      <c r="ZN11" s="16"/>
      <c r="ZO11" s="16"/>
      <c r="ZP11" s="16"/>
      <c r="ZQ11" s="16"/>
      <c r="ZR11" s="16"/>
      <c r="ZS11" s="16"/>
      <c r="ZT11" s="16"/>
      <c r="ZU11" s="16"/>
      <c r="ZV11" s="16"/>
      <c r="ZW11" s="16"/>
      <c r="ZX11" s="16"/>
      <c r="ZY11" s="16"/>
      <c r="ZZ11" s="16"/>
      <c r="AAA11" s="16"/>
      <c r="AAB11" s="16"/>
      <c r="AAC11" s="16"/>
      <c r="AAD11" s="16"/>
      <c r="AAE11" s="16"/>
      <c r="AAF11" s="16"/>
      <c r="AAG11" s="16"/>
      <c r="AAH11" s="16"/>
      <c r="AAI11" s="16"/>
      <c r="AAJ11" s="16"/>
      <c r="AAK11" s="16"/>
      <c r="AAL11" s="16"/>
      <c r="AAM11" s="16"/>
      <c r="AAN11" s="16"/>
      <c r="AAO11" s="16"/>
      <c r="AAP11" s="16"/>
      <c r="AAQ11" s="16"/>
      <c r="AAR11" s="16"/>
      <c r="AAS11" s="16"/>
      <c r="AAT11" s="16"/>
      <c r="AAU11" s="16"/>
      <c r="AAV11" s="16"/>
      <c r="AAW11" s="16"/>
      <c r="AAX11" s="16"/>
      <c r="AAY11" s="16"/>
      <c r="AAZ11" s="16"/>
      <c r="ABA11" s="16"/>
      <c r="ABB11" s="16"/>
      <c r="ABC11" s="16"/>
      <c r="ABD11" s="16"/>
      <c r="ABE11" s="16"/>
      <c r="ABF11" s="16"/>
      <c r="ABG11" s="16"/>
      <c r="ABH11" s="16"/>
      <c r="ABI11" s="16"/>
      <c r="ABJ11" s="16"/>
      <c r="ABK11" s="16"/>
      <c r="ABL11" s="16"/>
      <c r="ABM11" s="16"/>
      <c r="ABN11" s="16"/>
      <c r="ABO11" s="16"/>
      <c r="ABP11" s="16"/>
      <c r="ABQ11" s="16"/>
      <c r="ABR11" s="16"/>
      <c r="ABS11" s="16"/>
      <c r="ABT11" s="16"/>
      <c r="ABU11" s="16"/>
      <c r="ABV11" s="16"/>
      <c r="ABW11" s="16"/>
      <c r="ABX11" s="16"/>
      <c r="ABY11" s="16"/>
      <c r="ABZ11" s="16"/>
      <c r="ACA11" s="16"/>
      <c r="ACB11" s="16"/>
      <c r="ACC11" s="16"/>
      <c r="ACD11" s="16"/>
      <c r="ACE11" s="16"/>
      <c r="ACF11" s="16"/>
      <c r="ACG11" s="16"/>
      <c r="ACH11" s="16"/>
      <c r="ACI11" s="16"/>
      <c r="ACJ11" s="16"/>
      <c r="ACK11" s="16"/>
      <c r="ACL11" s="16"/>
      <c r="ACM11" s="16"/>
      <c r="ACN11" s="16"/>
      <c r="ACO11" s="16"/>
      <c r="ACP11" s="16"/>
      <c r="ACQ11" s="16"/>
      <c r="ACR11" s="16"/>
      <c r="ACS11" s="16"/>
      <c r="ACT11" s="16"/>
      <c r="ACU11" s="16"/>
      <c r="ACV11" s="16"/>
      <c r="ACW11" s="16"/>
      <c r="ACX11" s="16"/>
      <c r="ACY11" s="16"/>
      <c r="ACZ11" s="16"/>
      <c r="ADA11" s="16"/>
      <c r="ADB11" s="16"/>
      <c r="ADC11" s="16"/>
      <c r="ADD11" s="16"/>
      <c r="ADE11" s="16"/>
      <c r="ADF11" s="16"/>
      <c r="ADG11" s="16"/>
      <c r="ADH11" s="16"/>
      <c r="ADI11" s="16"/>
      <c r="ADJ11" s="16"/>
      <c r="ADK11" s="16"/>
      <c r="ADL11" s="16"/>
      <c r="ADM11" s="16"/>
      <c r="ADN11" s="16"/>
      <c r="ADO11" s="16"/>
      <c r="ADP11" s="16"/>
      <c r="ADQ11" s="16"/>
      <c r="ADR11" s="16"/>
      <c r="ADS11" s="16"/>
      <c r="ADT11" s="16"/>
      <c r="ADU11" s="16"/>
      <c r="ADV11" s="16"/>
      <c r="ADW11" s="16"/>
      <c r="ADX11" s="16"/>
      <c r="ADY11" s="16"/>
      <c r="ADZ11" s="16"/>
      <c r="AEA11" s="16"/>
      <c r="AEB11" s="16"/>
      <c r="AEC11" s="16"/>
      <c r="AED11" s="16"/>
      <c r="AEE11" s="16"/>
      <c r="AEF11" s="16"/>
      <c r="AEG11" s="16"/>
      <c r="AEH11" s="16"/>
      <c r="AEI11" s="16"/>
      <c r="AEJ11" s="16"/>
      <c r="AEK11" s="16"/>
      <c r="AEL11" s="16"/>
      <c r="AEM11" s="16"/>
      <c r="AEN11" s="16"/>
      <c r="AEO11" s="16"/>
      <c r="AEP11" s="16"/>
      <c r="AEQ11" s="16"/>
      <c r="AER11" s="16"/>
      <c r="AES11" s="16"/>
      <c r="AET11" s="16"/>
      <c r="AEU11" s="16"/>
      <c r="AEV11" s="16"/>
      <c r="AEW11" s="16"/>
      <c r="AEX11" s="16"/>
      <c r="AEY11" s="16"/>
      <c r="AEZ11" s="16"/>
      <c r="AFA11" s="16"/>
      <c r="AFB11" s="16"/>
      <c r="AFC11" s="16"/>
      <c r="AFD11" s="16"/>
      <c r="AFE11" s="16"/>
      <c r="AFF11" s="16"/>
      <c r="AFG11" s="16"/>
      <c r="AFH11" s="16"/>
      <c r="AFI11" s="16"/>
      <c r="AFJ11" s="16"/>
      <c r="AFK11" s="16"/>
      <c r="AFL11" s="16"/>
      <c r="AFM11" s="16"/>
      <c r="AFN11" s="16"/>
      <c r="AFO11" s="16"/>
      <c r="AFP11" s="16"/>
      <c r="AFQ11" s="16"/>
      <c r="AFR11" s="16"/>
      <c r="AFS11" s="16"/>
      <c r="AFT11" s="16"/>
      <c r="AFU11" s="16"/>
      <c r="AFV11" s="16"/>
      <c r="AFW11" s="16"/>
      <c r="AFX11" s="16"/>
      <c r="AFY11" s="16"/>
      <c r="AFZ11" s="16"/>
      <c r="AGA11" s="16"/>
      <c r="AGB11" s="16"/>
      <c r="AGC11" s="16"/>
      <c r="AGD11" s="16"/>
      <c r="AGE11" s="16"/>
      <c r="AGF11" s="16"/>
      <c r="AGG11" s="16"/>
      <c r="AGH11" s="16"/>
      <c r="AGI11" s="16"/>
      <c r="AGJ11" s="16"/>
    </row>
    <row r="12" spans="1:868" hidden="1">
      <c r="A12" s="152" t="str">
        <f>Agriculture!A72</f>
        <v>Agriculture</v>
      </c>
      <c r="B12" s="34" t="str">
        <f>Agriculture!B72</f>
        <v>Agricultural greenhouse films (in use)</v>
      </c>
      <c r="C12" s="40" t="str">
        <f>Agriculture!C72</f>
        <v>NL</v>
      </c>
      <c r="D12" s="34" t="str">
        <f>Agriculture!D72</f>
        <v>PVC</v>
      </c>
      <c r="E12" s="866">
        <f>Agriculture!E72</f>
        <v>6.3729615065902419E-3</v>
      </c>
      <c r="F12" s="235">
        <f>Agriculture!F72</f>
        <v>2</v>
      </c>
      <c r="G12" s="40" t="str">
        <f>Agriculture!G72</f>
        <v>Urbanus, J.H., Brunner, A., Boersma, A., Henke, S., Kooter, I., Lensen, S., Parker, L., Schwarz, A., Imhof, P., Dortmans, A., Wijngaard, M., 2022. Autobanden, verpakkingen en landbouwfolie zijn in Nederland de grootste bronnen van microplastics. TNO.</v>
      </c>
      <c r="H12" s="831">
        <v>1</v>
      </c>
      <c r="I12" s="637"/>
      <c r="J12" s="9">
        <v>2</v>
      </c>
      <c r="K12" s="637">
        <v>1</v>
      </c>
      <c r="L12" s="637">
        <v>1</v>
      </c>
      <c r="M12" s="9">
        <v>2</v>
      </c>
      <c r="N12" s="186">
        <f t="shared" si="0"/>
        <v>0.35859414261160716</v>
      </c>
      <c r="O12" s="160" t="str">
        <f t="shared" si="1"/>
        <v/>
      </c>
      <c r="P12" s="63"/>
    </row>
    <row r="13" spans="1:868" hidden="1">
      <c r="A13" s="152" t="str">
        <f>Agriculture!A73</f>
        <v>Agriculture</v>
      </c>
      <c r="B13" s="34" t="str">
        <f>Agriculture!B73</f>
        <v>Agricultural greenhouse films (in use)</v>
      </c>
      <c r="C13" s="40" t="str">
        <f>Agriculture!C73</f>
        <v>NL</v>
      </c>
      <c r="D13" s="34" t="str">
        <f>Agriculture!D73</f>
        <v>PS</v>
      </c>
      <c r="E13" s="866">
        <f>Agriculture!E73</f>
        <v>0</v>
      </c>
      <c r="F13" s="235">
        <f>Agriculture!F73</f>
        <v>2</v>
      </c>
      <c r="G13" s="40" t="str">
        <f>Agriculture!G73</f>
        <v>Urbanus, J.H., Brunner, A., Boersma, A., Henke, S., Kooter, I., Lensen, S., Parker, L., Schwarz, A., Imhof, P., Dortmans, A., Wijngaard, M., 2022. Autobanden, verpakkingen en landbouwfolie zijn in Nederland de grootste bronnen van microplastics. TNO.</v>
      </c>
      <c r="H13" s="831">
        <v>1</v>
      </c>
      <c r="I13" s="637"/>
      <c r="J13" s="9">
        <v>2</v>
      </c>
      <c r="K13" s="637">
        <v>1</v>
      </c>
      <c r="L13" s="637">
        <v>1</v>
      </c>
      <c r="M13" s="9">
        <v>2</v>
      </c>
      <c r="N13" s="186">
        <f t="shared" si="0"/>
        <v>0.35859414261160716</v>
      </c>
      <c r="O13" s="160" t="str">
        <f t="shared" si="1"/>
        <v/>
      </c>
      <c r="P13" s="63"/>
    </row>
    <row r="14" spans="1:868" hidden="1">
      <c r="A14" s="152" t="str">
        <f>Agriculture!A74</f>
        <v>Agriculture</v>
      </c>
      <c r="B14" s="34" t="str">
        <f>Agriculture!B74</f>
        <v>Agricultural greenhouse films (in use)</v>
      </c>
      <c r="C14" s="40" t="str">
        <f>Agriculture!C74</f>
        <v>NL</v>
      </c>
      <c r="D14" s="34" t="str">
        <f>Agriculture!D74</f>
        <v>PP</v>
      </c>
      <c r="E14" s="866">
        <f>Agriculture!E74</f>
        <v>0</v>
      </c>
      <c r="F14" s="235">
        <f>Agriculture!F74</f>
        <v>2</v>
      </c>
      <c r="G14" s="40" t="str">
        <f>Agriculture!G74</f>
        <v>Urbanus, J.H., Brunner, A., Boersma, A., Henke, S., Kooter, I., Lensen, S., Parker, L., Schwarz, A., Imhof, P., Dortmans, A., Wijngaard, M., 2022. Autobanden, verpakkingen en landbouwfolie zijn in Nederland de grootste bronnen van microplastics. TNO.</v>
      </c>
      <c r="H14" s="831">
        <v>1</v>
      </c>
      <c r="I14" s="637"/>
      <c r="J14" s="9">
        <v>2</v>
      </c>
      <c r="K14" s="637">
        <v>1</v>
      </c>
      <c r="L14" s="637">
        <v>1</v>
      </c>
      <c r="M14" s="9">
        <v>2</v>
      </c>
      <c r="N14" s="186">
        <f t="shared" si="0"/>
        <v>0.35859414261160716</v>
      </c>
      <c r="O14" s="160" t="str">
        <f t="shared" si="1"/>
        <v/>
      </c>
      <c r="P14" s="63"/>
    </row>
    <row r="15" spans="1:868" hidden="1">
      <c r="A15" s="152" t="str">
        <f>Agriculture!A75</f>
        <v>Agriculture</v>
      </c>
      <c r="B15" s="34" t="str">
        <f>Agriculture!B75</f>
        <v>Agricultural greenhouse films (in use)</v>
      </c>
      <c r="C15" s="40" t="str">
        <f>Agriculture!C75</f>
        <v>NL</v>
      </c>
      <c r="D15" s="34" t="str">
        <f>Agriculture!D75</f>
        <v>LDPE</v>
      </c>
      <c r="E15" s="866">
        <f>Agriculture!E75</f>
        <v>1.4190115628548983E-2</v>
      </c>
      <c r="F15" s="235">
        <f>Agriculture!F75</f>
        <v>2</v>
      </c>
      <c r="G15" s="40" t="str">
        <f>Agriculture!G75</f>
        <v>Urbanus, J.H., Brunner, A., Boersma, A., Henke, S., Kooter, I., Lensen, S., Parker, L., Schwarz, A., Imhof, P., Dortmans, A., Wijngaard, M., 2022. Autobanden, verpakkingen en landbouwfolie zijn in Nederland de grootste bronnen van microplastics. TNO.</v>
      </c>
      <c r="H15" s="831">
        <v>1</v>
      </c>
      <c r="I15" s="637"/>
      <c r="J15" s="9">
        <v>2</v>
      </c>
      <c r="K15" s="637">
        <v>1</v>
      </c>
      <c r="L15" s="637">
        <v>1</v>
      </c>
      <c r="M15" s="9">
        <v>2</v>
      </c>
      <c r="N15" s="186">
        <f t="shared" si="0"/>
        <v>0.35859414261160716</v>
      </c>
      <c r="O15" s="160" t="str">
        <f t="shared" si="1"/>
        <v/>
      </c>
      <c r="P15" s="63"/>
    </row>
    <row r="16" spans="1:868" hidden="1">
      <c r="A16" s="152" t="str">
        <f>Agriculture!A76</f>
        <v>Agriculture</v>
      </c>
      <c r="B16" s="34" t="str">
        <f>Agriculture!B76</f>
        <v>Agricultural greenhouse films (in use)</v>
      </c>
      <c r="C16" s="40" t="str">
        <f>Agriculture!C76</f>
        <v>NL</v>
      </c>
      <c r="D16" s="34" t="str">
        <f>Agriculture!D76</f>
        <v>HDPE</v>
      </c>
      <c r="E16" s="866">
        <f>Agriculture!E76</f>
        <v>0</v>
      </c>
      <c r="F16" s="235">
        <f>Agriculture!F76</f>
        <v>2</v>
      </c>
      <c r="G16" s="40" t="str">
        <f>Agriculture!G76</f>
        <v>Urbanus, J.H., Brunner, A., Boersma, A., Henke, S., Kooter, I., Lensen, S., Parker, L., Schwarz, A., Imhof, P., Dortmans, A., Wijngaard, M., 2022. Autobanden, verpakkingen en landbouwfolie zijn in Nederland de grootste bronnen van microplastics. TNO.</v>
      </c>
      <c r="H16" s="831">
        <v>1</v>
      </c>
      <c r="I16" s="637"/>
      <c r="J16" s="9">
        <v>2</v>
      </c>
      <c r="K16" s="637">
        <v>1</v>
      </c>
      <c r="L16" s="637">
        <v>1</v>
      </c>
      <c r="M16" s="9">
        <v>2</v>
      </c>
      <c r="N16" s="186">
        <f t="shared" si="0"/>
        <v>0.35859414261160716</v>
      </c>
      <c r="O16" s="160" t="str">
        <f t="shared" si="1"/>
        <v/>
      </c>
      <c r="P16" s="63"/>
    </row>
    <row r="17" spans="1:16" hidden="1">
      <c r="A17" s="152" t="str">
        <f>Agriculture!A77</f>
        <v>Agriculture</v>
      </c>
      <c r="B17" s="34" t="str">
        <f>Agriculture!B77</f>
        <v>Agricultural greenhouse films (in use)</v>
      </c>
      <c r="C17" s="40" t="str">
        <f>Agriculture!C77</f>
        <v>EU</v>
      </c>
      <c r="D17" s="34" t="str">
        <f>Agriculture!D77</f>
        <v>PVC</v>
      </c>
      <c r="E17" s="866">
        <f>Agriculture!E77</f>
        <v>9.2661989829646799E-3</v>
      </c>
      <c r="F17" s="235">
        <f>Agriculture!F77</f>
        <v>2</v>
      </c>
      <c r="G17" s="40" t="str">
        <f>Agriculture!G77</f>
        <v>Assessment of agricultural plastics and their sustainability: A call for action, 2021. . FAO. https://doi.org/10.4060/cb7856en</v>
      </c>
      <c r="H17" s="831"/>
      <c r="I17" s="637">
        <v>1</v>
      </c>
      <c r="J17" s="9">
        <v>2</v>
      </c>
      <c r="K17" s="637">
        <v>1</v>
      </c>
      <c r="L17" s="637">
        <v>1</v>
      </c>
      <c r="M17" s="9">
        <v>2</v>
      </c>
      <c r="N17" s="186" t="str">
        <f t="shared" si="0"/>
        <v/>
      </c>
      <c r="O17" s="160">
        <f t="shared" si="1"/>
        <v>0.35859414261160716</v>
      </c>
      <c r="P17" s="63"/>
    </row>
    <row r="18" spans="1:16" hidden="1">
      <c r="A18" s="152" t="str">
        <f>Agriculture!A78</f>
        <v>Agriculture</v>
      </c>
      <c r="B18" s="34" t="str">
        <f>Agriculture!B78</f>
        <v>Agricultural greenhouse films (in use)</v>
      </c>
      <c r="C18" s="40" t="str">
        <f>Agriculture!C78</f>
        <v>EU</v>
      </c>
      <c r="D18" s="34" t="str">
        <f>Agriculture!D78</f>
        <v>PS</v>
      </c>
      <c r="E18" s="866">
        <f>Agriculture!E78</f>
        <v>0</v>
      </c>
      <c r="F18" s="235">
        <f>Agriculture!F78</f>
        <v>2</v>
      </c>
      <c r="G18" s="40" t="str">
        <f>Agriculture!G78</f>
        <v>Assessment of agricultural plastics and their sustainability: A call for action, 2021. . FAO. https://doi.org/10.4060/cb7856en</v>
      </c>
      <c r="H18" s="831"/>
      <c r="I18" s="637">
        <v>1</v>
      </c>
      <c r="J18" s="9">
        <v>2</v>
      </c>
      <c r="K18" s="637">
        <v>1</v>
      </c>
      <c r="L18" s="637">
        <v>1</v>
      </c>
      <c r="M18" s="9">
        <v>2</v>
      </c>
      <c r="N18" s="186" t="str">
        <f t="shared" si="0"/>
        <v/>
      </c>
      <c r="O18" s="160">
        <f t="shared" si="1"/>
        <v>0.35859414261160716</v>
      </c>
      <c r="P18" s="63"/>
    </row>
    <row r="19" spans="1:16" hidden="1">
      <c r="A19" s="152" t="str">
        <f>Agriculture!A79</f>
        <v>Agriculture</v>
      </c>
      <c r="B19" s="34" t="str">
        <f>Agriculture!B79</f>
        <v>Agricultural greenhouse films (in use)</v>
      </c>
      <c r="C19" s="40" t="str">
        <f>Agriculture!C79</f>
        <v>EU</v>
      </c>
      <c r="D19" s="34" t="str">
        <f>Agriculture!D79</f>
        <v>PP</v>
      </c>
      <c r="E19" s="866">
        <f>Agriculture!E79</f>
        <v>0</v>
      </c>
      <c r="F19" s="235">
        <f>Agriculture!F79</f>
        <v>2</v>
      </c>
      <c r="G19" s="40" t="str">
        <f>Agriculture!G79</f>
        <v>Assessment of agricultural plastics and their sustainability: A call for action, 2021. . FAO. https://doi.org/10.4060/cb7856en</v>
      </c>
      <c r="H19" s="831"/>
      <c r="I19" s="637">
        <v>1</v>
      </c>
      <c r="J19" s="9">
        <v>2</v>
      </c>
      <c r="K19" s="637">
        <v>1</v>
      </c>
      <c r="L19" s="637">
        <v>1</v>
      </c>
      <c r="M19" s="9">
        <v>2</v>
      </c>
      <c r="N19" s="186" t="str">
        <f t="shared" si="0"/>
        <v/>
      </c>
      <c r="O19" s="160">
        <f t="shared" si="1"/>
        <v>0.35859414261160716</v>
      </c>
      <c r="P19" s="63"/>
    </row>
    <row r="20" spans="1:16" hidden="1">
      <c r="A20" s="152" t="str">
        <f>Agriculture!A80</f>
        <v>Agriculture</v>
      </c>
      <c r="B20" s="34" t="str">
        <f>Agriculture!B80</f>
        <v>Agricultural greenhouse films (in use)</v>
      </c>
      <c r="C20" s="40" t="str">
        <f>Agriculture!C80</f>
        <v>EU</v>
      </c>
      <c r="D20" s="34" t="str">
        <f>Agriculture!D80</f>
        <v>LDPE</v>
      </c>
      <c r="E20" s="866">
        <f>Agriculture!E80</f>
        <v>1.5937522374961335E-2</v>
      </c>
      <c r="F20" s="235">
        <f>Agriculture!F80</f>
        <v>2</v>
      </c>
      <c r="G20" s="40" t="str">
        <f>Agriculture!G80</f>
        <v>Assessment of agricultural plastics and their sustainability: A call for action, 2021. . FAO. https://doi.org/10.4060/cb7856en</v>
      </c>
      <c r="H20" s="831"/>
      <c r="I20" s="637">
        <v>1</v>
      </c>
      <c r="J20" s="9">
        <v>2</v>
      </c>
      <c r="K20" s="637">
        <v>1</v>
      </c>
      <c r="L20" s="637">
        <v>1</v>
      </c>
      <c r="M20" s="9">
        <v>2</v>
      </c>
      <c r="N20" s="186" t="str">
        <f t="shared" si="0"/>
        <v/>
      </c>
      <c r="O20" s="160">
        <f t="shared" si="1"/>
        <v>0.35859414261160716</v>
      </c>
      <c r="P20" s="63"/>
    </row>
    <row r="21" spans="1:16" hidden="1">
      <c r="A21" s="152" t="str">
        <f>Agriculture!A81</f>
        <v>Agriculture</v>
      </c>
      <c r="B21" s="34" t="str">
        <f>Agriculture!B81</f>
        <v>Agricultural greenhouse films (in use)</v>
      </c>
      <c r="C21" s="40" t="str">
        <f>Agriculture!C81</f>
        <v>EU</v>
      </c>
      <c r="D21" s="34" t="str">
        <f>Agriculture!D81</f>
        <v>HDPE</v>
      </c>
      <c r="E21" s="866">
        <f>Agriculture!E81</f>
        <v>0</v>
      </c>
      <c r="F21" s="235">
        <f>Agriculture!F81</f>
        <v>2</v>
      </c>
      <c r="G21" s="40" t="str">
        <f>Agriculture!G81</f>
        <v>Assessment of agricultural plastics and their sustainability: A call for action, 2021. . FAO. https://doi.org/10.4060/cb7856en</v>
      </c>
      <c r="H21" s="831"/>
      <c r="I21" s="637">
        <v>1</v>
      </c>
      <c r="J21" s="9">
        <v>2</v>
      </c>
      <c r="K21" s="637">
        <v>1</v>
      </c>
      <c r="L21" s="637">
        <v>1</v>
      </c>
      <c r="M21" s="9">
        <v>2</v>
      </c>
      <c r="N21" s="186" t="str">
        <f t="shared" si="0"/>
        <v/>
      </c>
      <c r="O21" s="160">
        <f t="shared" si="1"/>
        <v>0.35859414261160716</v>
      </c>
      <c r="P21" s="63"/>
    </row>
    <row r="22" spans="1:16" hidden="1">
      <c r="A22" s="152" t="str">
        <f>Agriculture!A102</f>
        <v>Agriculture</v>
      </c>
      <c r="B22" s="34" t="str">
        <f>Agriculture!B102</f>
        <v>Agricultural mulching films</v>
      </c>
      <c r="C22" s="40" t="str">
        <f>Agriculture!C102</f>
        <v>NL</v>
      </c>
      <c r="D22" s="34" t="str">
        <f>Agriculture!D102</f>
        <v>PVC</v>
      </c>
      <c r="E22" s="866">
        <f>Agriculture!E102</f>
        <v>0.27195768865502412</v>
      </c>
      <c r="F22" s="235">
        <f>Agriculture!F102</f>
        <v>1</v>
      </c>
      <c r="G22" s="40" t="str">
        <f>Agriculture!G102</f>
        <v>Urbanus, J.H., Brunner, A., Boersma, A., Henke, S., Kooter, I., Lensen, S., Parker, L., Schwarz, A., Imhof, P., Dortmans, A., Wijngaard, M., 2022. Autobanden, verpakkingen en landbouwfolie zijn in Nederland de grootste bronnen van microplastics. TNO.</v>
      </c>
      <c r="H22" s="29">
        <v>1</v>
      </c>
      <c r="I22" s="9"/>
      <c r="J22" s="9">
        <v>2</v>
      </c>
      <c r="K22" s="9">
        <v>1</v>
      </c>
      <c r="L22" s="9">
        <v>1</v>
      </c>
      <c r="M22" s="9">
        <v>2</v>
      </c>
      <c r="N22" s="186">
        <f t="shared" si="0"/>
        <v>0.35859414261160716</v>
      </c>
      <c r="O22" s="160" t="str">
        <f t="shared" si="1"/>
        <v/>
      </c>
      <c r="P22" s="63"/>
    </row>
    <row r="23" spans="1:16" hidden="1">
      <c r="A23" s="152" t="str">
        <f>Agriculture!A103</f>
        <v>Agriculture</v>
      </c>
      <c r="B23" s="34" t="str">
        <f>Agriculture!B103</f>
        <v>Agricultural mulching films</v>
      </c>
      <c r="C23" s="40" t="str">
        <f>Agriculture!C103</f>
        <v>NL</v>
      </c>
      <c r="D23" s="34" t="str">
        <f>Agriculture!D103</f>
        <v>PS</v>
      </c>
      <c r="E23" s="866">
        <f>Agriculture!E103</f>
        <v>0</v>
      </c>
      <c r="F23" s="235">
        <f>Agriculture!F103</f>
        <v>1</v>
      </c>
      <c r="G23" s="40" t="str">
        <f>Agriculture!G103</f>
        <v>Urbanus, J.H., Brunner, A., Boersma, A., Henke, S., Kooter, I., Lensen, S., Parker, L., Schwarz, A., Imhof, P., Dortmans, A., Wijngaard, M., 2022. Autobanden, verpakkingen en landbouwfolie zijn in Nederland de grootste bronnen van microplastics. TNO.</v>
      </c>
      <c r="H23" s="29">
        <v>1</v>
      </c>
      <c r="I23" s="9"/>
      <c r="J23" s="9">
        <v>2</v>
      </c>
      <c r="K23" s="9">
        <v>1</v>
      </c>
      <c r="L23" s="9">
        <v>1</v>
      </c>
      <c r="M23" s="9">
        <v>2</v>
      </c>
      <c r="N23" s="186">
        <f t="shared" si="0"/>
        <v>0.35859414261160716</v>
      </c>
      <c r="O23" s="160" t="str">
        <f t="shared" si="1"/>
        <v/>
      </c>
      <c r="P23" s="63"/>
    </row>
    <row r="24" spans="1:16" hidden="1">
      <c r="A24" s="152" t="str">
        <f>Agriculture!A104</f>
        <v>Agriculture</v>
      </c>
      <c r="B24" s="34" t="str">
        <f>Agriculture!B104</f>
        <v>Agricultural mulching films</v>
      </c>
      <c r="C24" s="40" t="str">
        <f>Agriculture!C104</f>
        <v>NL</v>
      </c>
      <c r="D24" s="34" t="str">
        <f>Agriculture!D104</f>
        <v>PP</v>
      </c>
      <c r="E24" s="866">
        <f>Agriculture!E104</f>
        <v>0</v>
      </c>
      <c r="F24" s="235">
        <f>Agriculture!F104</f>
        <v>1</v>
      </c>
      <c r="G24" s="40" t="str">
        <f>Agriculture!G104</f>
        <v>Urbanus, J.H., Brunner, A., Boersma, A., Henke, S., Kooter, I., Lensen, S., Parker, L., Schwarz, A., Imhof, P., Dortmans, A., Wijngaard, M., 2022. Autobanden, verpakkingen en landbouwfolie zijn in Nederland de grootste bronnen van microplastics. TNO.</v>
      </c>
      <c r="H24" s="29">
        <v>1</v>
      </c>
      <c r="I24" s="9"/>
      <c r="J24" s="9">
        <v>2</v>
      </c>
      <c r="K24" s="9">
        <v>1</v>
      </c>
      <c r="L24" s="9">
        <v>1</v>
      </c>
      <c r="M24" s="9">
        <v>2</v>
      </c>
      <c r="N24" s="186">
        <f t="shared" si="0"/>
        <v>0.35859414261160716</v>
      </c>
      <c r="O24" s="160" t="str">
        <f t="shared" si="1"/>
        <v/>
      </c>
      <c r="P24" s="63"/>
    </row>
    <row r="25" spans="1:16" hidden="1">
      <c r="A25" s="152" t="str">
        <f>Agriculture!A105</f>
        <v>Agriculture</v>
      </c>
      <c r="B25" s="34" t="str">
        <f>Agriculture!B105</f>
        <v>Agricultural mulching films</v>
      </c>
      <c r="C25" s="40" t="str">
        <f>Agriculture!C105</f>
        <v>NL</v>
      </c>
      <c r="D25" s="34" t="str">
        <f>Agriculture!D105</f>
        <v>LDPE</v>
      </c>
      <c r="E25" s="866">
        <f>Agriculture!E105</f>
        <v>0.60554438373698527</v>
      </c>
      <c r="F25" s="235">
        <f>Agriculture!F105</f>
        <v>1</v>
      </c>
      <c r="G25" s="40" t="str">
        <f>Agriculture!G105</f>
        <v>Urbanus, J.H., Brunner, A., Boersma, A., Henke, S., Kooter, I., Lensen, S., Parker, L., Schwarz, A., Imhof, P., Dortmans, A., Wijngaard, M., 2022. Autobanden, verpakkingen en landbouwfolie zijn in Nederland de grootste bronnen van microplastics. TNO.</v>
      </c>
      <c r="H25" s="29">
        <v>1</v>
      </c>
      <c r="I25" s="9"/>
      <c r="J25" s="9">
        <v>2</v>
      </c>
      <c r="K25" s="9">
        <v>1</v>
      </c>
      <c r="L25" s="9">
        <v>1</v>
      </c>
      <c r="M25" s="9">
        <v>2</v>
      </c>
      <c r="N25" s="186">
        <f t="shared" si="0"/>
        <v>0.35859414261160716</v>
      </c>
      <c r="O25" s="160" t="str">
        <f t="shared" si="1"/>
        <v/>
      </c>
      <c r="P25" s="63"/>
    </row>
    <row r="26" spans="1:16" hidden="1">
      <c r="A26" s="152" t="str">
        <f>Agriculture!A106</f>
        <v>Agriculture</v>
      </c>
      <c r="B26" s="34" t="str">
        <f>Agriculture!B106</f>
        <v>Agricultural mulching films</v>
      </c>
      <c r="C26" s="40" t="str">
        <f>Agriculture!C106</f>
        <v>NL</v>
      </c>
      <c r="D26" s="34" t="str">
        <f>Agriculture!D106</f>
        <v>HDPE</v>
      </c>
      <c r="E26" s="866">
        <f>Agriculture!E106</f>
        <v>0</v>
      </c>
      <c r="F26" s="235">
        <f>Agriculture!F106</f>
        <v>1</v>
      </c>
      <c r="G26" s="40" t="str">
        <f>Agriculture!G106</f>
        <v>Urbanus, J.H., Brunner, A., Boersma, A., Henke, S., Kooter, I., Lensen, S., Parker, L., Schwarz, A., Imhof, P., Dortmans, A., Wijngaard, M., 2022. Autobanden, verpakkingen en landbouwfolie zijn in Nederland de grootste bronnen van microplastics. TNO.</v>
      </c>
      <c r="H26" s="29">
        <v>1</v>
      </c>
      <c r="I26" s="9"/>
      <c r="J26" s="9">
        <v>2</v>
      </c>
      <c r="K26" s="9">
        <v>1</v>
      </c>
      <c r="L26" s="9">
        <v>1</v>
      </c>
      <c r="M26" s="9">
        <v>2</v>
      </c>
      <c r="N26" s="186">
        <f t="shared" si="0"/>
        <v>0.35859414261160716</v>
      </c>
      <c r="O26" s="160" t="str">
        <f t="shared" si="1"/>
        <v/>
      </c>
      <c r="P26" s="63"/>
    </row>
    <row r="27" spans="1:16" hidden="1">
      <c r="A27" s="152" t="str">
        <f>Agriculture!A107</f>
        <v>Agriculture</v>
      </c>
      <c r="B27" s="34" t="str">
        <f>Agriculture!B107</f>
        <v>Agricultural mulching films</v>
      </c>
      <c r="C27" s="40" t="str">
        <f>Agriculture!C107</f>
        <v>EU</v>
      </c>
      <c r="D27" s="34" t="str">
        <f>Agriculture!D107</f>
        <v>PVC</v>
      </c>
      <c r="E27" s="866">
        <f>Agriculture!E107</f>
        <v>0.39542276466265769</v>
      </c>
      <c r="F27" s="235">
        <f>Agriculture!F107</f>
        <v>1</v>
      </c>
      <c r="G27" s="40" t="str">
        <f>Agriculture!G107</f>
        <v>Assessment of agricultural plastics and their sustainability: A call for action, 2021. . FAO. https://doi.org/10.4060/cb7856en</v>
      </c>
      <c r="H27" s="29"/>
      <c r="I27" s="9">
        <v>1</v>
      </c>
      <c r="J27" s="9">
        <v>2</v>
      </c>
      <c r="K27" s="9">
        <v>1</v>
      </c>
      <c r="L27" s="9">
        <v>1</v>
      </c>
      <c r="M27" s="9">
        <v>2</v>
      </c>
      <c r="N27" s="186" t="str">
        <f t="shared" si="0"/>
        <v/>
      </c>
      <c r="O27" s="160">
        <f t="shared" si="1"/>
        <v>0.35859414261160716</v>
      </c>
      <c r="P27" s="63"/>
    </row>
    <row r="28" spans="1:16" hidden="1">
      <c r="A28" s="152" t="str">
        <f>Agriculture!A108</f>
        <v>Agriculture</v>
      </c>
      <c r="B28" s="34" t="str">
        <f>Agriculture!B108</f>
        <v>Agricultural mulching films</v>
      </c>
      <c r="C28" s="40" t="str">
        <f>Agriculture!C108</f>
        <v>EU</v>
      </c>
      <c r="D28" s="34" t="str">
        <f>Agriculture!D108</f>
        <v>PS</v>
      </c>
      <c r="E28" s="866">
        <f>Agriculture!E108</f>
        <v>0</v>
      </c>
      <c r="F28" s="235">
        <f>Agriculture!F108</f>
        <v>1</v>
      </c>
      <c r="G28" s="40" t="str">
        <f>Agriculture!G108</f>
        <v>Assessment of agricultural plastics and their sustainability: A call for action, 2021. . FAO. https://doi.org/10.4060/cb7856en</v>
      </c>
      <c r="H28" s="29"/>
      <c r="I28" s="9">
        <v>1</v>
      </c>
      <c r="J28" s="9">
        <v>2</v>
      </c>
      <c r="K28" s="9">
        <v>1</v>
      </c>
      <c r="L28" s="9">
        <v>1</v>
      </c>
      <c r="M28" s="9">
        <v>2</v>
      </c>
      <c r="N28" s="186" t="str">
        <f t="shared" si="0"/>
        <v/>
      </c>
      <c r="O28" s="160">
        <f t="shared" si="1"/>
        <v>0.35859414261160716</v>
      </c>
      <c r="P28" s="63"/>
    </row>
    <row r="29" spans="1:16" hidden="1">
      <c r="A29" s="152" t="str">
        <f>Agriculture!A109</f>
        <v>Agriculture</v>
      </c>
      <c r="B29" s="34" t="str">
        <f>Agriculture!B109</f>
        <v>Agricultural mulching films</v>
      </c>
      <c r="C29" s="40" t="str">
        <f>Agriculture!C109</f>
        <v>EU</v>
      </c>
      <c r="D29" s="34" t="str">
        <f>Agriculture!D109</f>
        <v>PP</v>
      </c>
      <c r="E29" s="866">
        <f>Agriculture!E109</f>
        <v>0</v>
      </c>
      <c r="F29" s="235">
        <f>Agriculture!F109</f>
        <v>1</v>
      </c>
      <c r="G29" s="40" t="str">
        <f>Agriculture!G109</f>
        <v>Assessment of agricultural plastics and their sustainability: A call for action, 2021. . FAO. https://doi.org/10.4060/cb7856en</v>
      </c>
      <c r="H29" s="29"/>
      <c r="I29" s="9">
        <v>1</v>
      </c>
      <c r="J29" s="9">
        <v>2</v>
      </c>
      <c r="K29" s="9">
        <v>1</v>
      </c>
      <c r="L29" s="9">
        <v>1</v>
      </c>
      <c r="M29" s="9">
        <v>2</v>
      </c>
      <c r="N29" s="186" t="str">
        <f t="shared" si="0"/>
        <v/>
      </c>
      <c r="O29" s="160">
        <f t="shared" si="1"/>
        <v>0.35859414261160716</v>
      </c>
      <c r="P29" s="63"/>
    </row>
    <row r="30" spans="1:16" hidden="1">
      <c r="A30" s="152" t="str">
        <f>Agriculture!A110</f>
        <v>Agriculture</v>
      </c>
      <c r="B30" s="34" t="str">
        <f>Agriculture!B110</f>
        <v>Agricultural mulching films</v>
      </c>
      <c r="C30" s="40" t="str">
        <f>Agriculture!C110</f>
        <v>EU</v>
      </c>
      <c r="D30" s="34" t="str">
        <f>Agriculture!D110</f>
        <v>LDPE</v>
      </c>
      <c r="E30" s="866">
        <f>Agriculture!E110</f>
        <v>0.68011265147296251</v>
      </c>
      <c r="F30" s="235">
        <f>Agriculture!F110</f>
        <v>1</v>
      </c>
      <c r="G30" s="40" t="str">
        <f>Agriculture!G110</f>
        <v>Assessment of agricultural plastics and their sustainability: A call for action, 2021. . FAO. https://doi.org/10.4060/cb7856en</v>
      </c>
      <c r="H30" s="29"/>
      <c r="I30" s="9">
        <v>1</v>
      </c>
      <c r="J30" s="9">
        <v>2</v>
      </c>
      <c r="K30" s="9">
        <v>1</v>
      </c>
      <c r="L30" s="9">
        <v>1</v>
      </c>
      <c r="M30" s="9">
        <v>2</v>
      </c>
      <c r="N30" s="186" t="str">
        <f t="shared" si="0"/>
        <v/>
      </c>
      <c r="O30" s="160">
        <f t="shared" si="1"/>
        <v>0.35859414261160716</v>
      </c>
      <c r="P30" s="63"/>
    </row>
    <row r="31" spans="1:16" hidden="1">
      <c r="A31" s="152" t="str">
        <f>Agriculture!A111</f>
        <v>Agriculture</v>
      </c>
      <c r="B31" s="34" t="str">
        <f>Agriculture!B111</f>
        <v>Agricultural mulching films</v>
      </c>
      <c r="C31" s="40" t="str">
        <f>Agriculture!C111</f>
        <v>EU</v>
      </c>
      <c r="D31" s="34" t="str">
        <f>Agriculture!D111</f>
        <v>HDPE</v>
      </c>
      <c r="E31" s="866">
        <f>Agriculture!E111</f>
        <v>0</v>
      </c>
      <c r="F31" s="235">
        <f>Agriculture!F111</f>
        <v>1</v>
      </c>
      <c r="G31" s="40" t="str">
        <f>Agriculture!G111</f>
        <v>Assessment of agricultural plastics and their sustainability: A call for action, 2021. . FAO. https://doi.org/10.4060/cb7856en</v>
      </c>
      <c r="H31" s="29"/>
      <c r="I31" s="9">
        <v>1</v>
      </c>
      <c r="J31" s="9">
        <v>2</v>
      </c>
      <c r="K31" s="9">
        <v>1</v>
      </c>
      <c r="L31" s="9">
        <v>1</v>
      </c>
      <c r="M31" s="9">
        <v>2</v>
      </c>
      <c r="N31" s="186" t="str">
        <f t="shared" si="0"/>
        <v/>
      </c>
      <c r="O31" s="160">
        <f t="shared" si="1"/>
        <v>0.35859414261160716</v>
      </c>
      <c r="P31" s="63"/>
    </row>
    <row r="32" spans="1:16" hidden="1">
      <c r="A32" s="152" t="str">
        <f>Agriculture!A62</f>
        <v>Agriculture</v>
      </c>
      <c r="B32" s="34" t="str">
        <f>Agriculture!B62</f>
        <v>Agricultural other</v>
      </c>
      <c r="C32" s="40" t="str">
        <f>Agriculture!C62</f>
        <v>NL</v>
      </c>
      <c r="D32" s="34" t="str">
        <f>Agriculture!D62</f>
        <v>PVC</v>
      </c>
      <c r="E32" s="866">
        <f>Agriculture!E62</f>
        <v>0.2192024530360637</v>
      </c>
      <c r="F32" s="235">
        <f>Agriculture!F62</f>
        <v>2</v>
      </c>
      <c r="G32" s="40" t="str">
        <f>Agriculture!G62</f>
        <v>Urbanus, J.H., Brunner, A., Boersma, A., Henke, S., Kooter, I., Lensen, S., Parker, L., Schwarz, A., Imhof, P., Dortmans, A., Wijngaard, M., 2022. Autobanden, verpakkingen en landbouwfolie zijn in Nederland de grootste bronnen van microplastics. TNO.</v>
      </c>
      <c r="H32" s="29">
        <v>1</v>
      </c>
      <c r="I32" s="9"/>
      <c r="J32" s="9">
        <v>2</v>
      </c>
      <c r="K32" s="9">
        <v>1</v>
      </c>
      <c r="L32" s="9">
        <v>1</v>
      </c>
      <c r="M32" s="9">
        <v>2</v>
      </c>
      <c r="N32" s="186">
        <f t="shared" si="0"/>
        <v>0.35859414261160716</v>
      </c>
      <c r="O32" s="160" t="str">
        <f t="shared" si="1"/>
        <v/>
      </c>
      <c r="P32" s="63"/>
    </row>
    <row r="33" spans="1:16" hidden="1">
      <c r="A33" s="152" t="str">
        <f>Agriculture!A63</f>
        <v>Agriculture</v>
      </c>
      <c r="B33" s="34" t="str">
        <f>Agriculture!B63</f>
        <v>Agricultural other</v>
      </c>
      <c r="C33" s="40" t="str">
        <f>Agriculture!C63</f>
        <v>NL</v>
      </c>
      <c r="D33" s="34" t="str">
        <f>Agriculture!D63</f>
        <v>PS</v>
      </c>
      <c r="E33" s="866">
        <f>Agriculture!E63</f>
        <v>1</v>
      </c>
      <c r="F33" s="235">
        <f>Agriculture!F63</f>
        <v>2</v>
      </c>
      <c r="G33" s="40" t="str">
        <f>Agriculture!G63</f>
        <v>Urbanus, J.H., Brunner, A., Boersma, A., Henke, S., Kooter, I., Lensen, S., Parker, L., Schwarz, A., Imhof, P., Dortmans, A., Wijngaard, M., 2022. Autobanden, verpakkingen en landbouwfolie zijn in Nederland de grootste bronnen van microplastics. TNO.</v>
      </c>
      <c r="H33" s="29">
        <v>1</v>
      </c>
      <c r="I33" s="9"/>
      <c r="J33" s="9">
        <v>2</v>
      </c>
      <c r="K33" s="9">
        <v>1</v>
      </c>
      <c r="L33" s="9">
        <v>1</v>
      </c>
      <c r="M33" s="9">
        <v>2</v>
      </c>
      <c r="N33" s="186">
        <f t="shared" si="0"/>
        <v>0.35859414261160716</v>
      </c>
      <c r="O33" s="160" t="str">
        <f t="shared" si="1"/>
        <v/>
      </c>
      <c r="P33" s="63"/>
    </row>
    <row r="34" spans="1:16" hidden="1">
      <c r="A34" s="152" t="str">
        <f>Agriculture!A64</f>
        <v>Agriculture</v>
      </c>
      <c r="B34" s="34" t="str">
        <f>Agriculture!B64</f>
        <v>Agricultural other</v>
      </c>
      <c r="C34" s="40" t="str">
        <f>Agriculture!C64</f>
        <v>NL</v>
      </c>
      <c r="D34" s="34" t="str">
        <f>Agriculture!D64</f>
        <v>PP</v>
      </c>
      <c r="E34" s="866">
        <f>Agriculture!E64</f>
        <v>1</v>
      </c>
      <c r="F34" s="235">
        <f>Agriculture!F64</f>
        <v>2</v>
      </c>
      <c r="G34" s="40" t="str">
        <f>Agriculture!G64</f>
        <v>Urbanus, J.H., Brunner, A., Boersma, A., Henke, S., Kooter, I., Lensen, S., Parker, L., Schwarz, A., Imhof, P., Dortmans, A., Wijngaard, M., 2022. Autobanden, verpakkingen en landbouwfolie zijn in Nederland de grootste bronnen van microplastics. TNO.</v>
      </c>
      <c r="H34" s="29">
        <v>1</v>
      </c>
      <c r="I34" s="9"/>
      <c r="J34" s="9">
        <v>2</v>
      </c>
      <c r="K34" s="9">
        <v>1</v>
      </c>
      <c r="L34" s="9">
        <v>1</v>
      </c>
      <c r="M34" s="9">
        <v>2</v>
      </c>
      <c r="N34" s="186">
        <f t="shared" ref="N34:N65" si="2">IF( OR( ISBLANK(H34),ISBLANK(J34), ISBLANK(K34), ISBLANK(L34), ISBLANK(M34) ), "", 1.5*SQRT(   EXP(2.21*(H34-1)) + EXP(2.21*(J34-1)) + EXP(2.21*(K34-1)) + EXP(2.21*(L34-1)) + EXP(2.21*M34)   )/100*2.45 )</f>
        <v>0.35859414261160716</v>
      </c>
      <c r="O34" s="160" t="str">
        <f t="shared" ref="O34:O65" si="3">IF( OR( ISBLANK(I34),ISBLANK(J34), ISBLANK(K34), ISBLANK(L34), ISBLANK(M34) ), "", 1.5*SQRT( EXP(2.21*(I34-1)) + EXP(2.21*(J34-1)) + EXP(2.21*(K34-1)) + EXP(2.21*(L34-1)) + EXP(2.21*M34)   )/100*2.45 )</f>
        <v/>
      </c>
      <c r="P34" s="63"/>
    </row>
    <row r="35" spans="1:16" hidden="1">
      <c r="A35" s="152" t="str">
        <f>Agriculture!A65</f>
        <v>Agriculture</v>
      </c>
      <c r="B35" s="34" t="str">
        <f>Agriculture!B65</f>
        <v>Agricultural other</v>
      </c>
      <c r="C35" s="40" t="str">
        <f>Agriculture!C65</f>
        <v>NL</v>
      </c>
      <c r="D35" s="34" t="str">
        <f>Agriculture!D65</f>
        <v>LDPE</v>
      </c>
      <c r="E35" s="866">
        <f>Agriculture!E65</f>
        <v>8.6056019698713113E-2</v>
      </c>
      <c r="F35" s="235">
        <f>Agriculture!F65</f>
        <v>2</v>
      </c>
      <c r="G35" s="40" t="str">
        <f>Agriculture!G65</f>
        <v>Urbanus, J.H., Brunner, A., Boersma, A., Henke, S., Kooter, I., Lensen, S., Parker, L., Schwarz, A., Imhof, P., Dortmans, A., Wijngaard, M., 2022. Autobanden, verpakkingen en landbouwfolie zijn in Nederland de grootste bronnen van microplastics. TNO.</v>
      </c>
      <c r="H35" s="29">
        <v>1</v>
      </c>
      <c r="I35" s="9"/>
      <c r="J35" s="9">
        <v>2</v>
      </c>
      <c r="K35" s="9">
        <v>1</v>
      </c>
      <c r="L35" s="9">
        <v>1</v>
      </c>
      <c r="M35" s="9">
        <v>2</v>
      </c>
      <c r="N35" s="186">
        <f t="shared" si="2"/>
        <v>0.35859414261160716</v>
      </c>
      <c r="O35" s="160" t="str">
        <f t="shared" si="3"/>
        <v/>
      </c>
      <c r="P35" s="63"/>
    </row>
    <row r="36" spans="1:16" hidden="1">
      <c r="A36" s="152" t="str">
        <f>Agriculture!A66</f>
        <v>Agriculture</v>
      </c>
      <c r="B36" s="34" t="str">
        <f>Agriculture!B66</f>
        <v>Agricultural other</v>
      </c>
      <c r="C36" s="40" t="str">
        <f>Agriculture!C66</f>
        <v>NL</v>
      </c>
      <c r="D36" s="34" t="str">
        <f>Agriculture!D66</f>
        <v>HDPE</v>
      </c>
      <c r="E36" s="866">
        <f>Agriculture!E66</f>
        <v>0.39319670484919866</v>
      </c>
      <c r="F36" s="235">
        <f>Agriculture!F66</f>
        <v>2</v>
      </c>
      <c r="G36" s="40" t="str">
        <f>Agriculture!G66</f>
        <v>Urbanus, J.H., Brunner, A., Boersma, A., Henke, S., Kooter, I., Lensen, S., Parker, L., Schwarz, A., Imhof, P., Dortmans, A., Wijngaard, M., 2022. Autobanden, verpakkingen en landbouwfolie zijn in Nederland de grootste bronnen van microplastics. TNO.</v>
      </c>
      <c r="H36" s="29">
        <v>1</v>
      </c>
      <c r="I36" s="9"/>
      <c r="J36" s="9">
        <v>2</v>
      </c>
      <c r="K36" s="9">
        <v>1</v>
      </c>
      <c r="L36" s="9">
        <v>1</v>
      </c>
      <c r="M36" s="9">
        <v>2</v>
      </c>
      <c r="N36" s="186">
        <f t="shared" si="2"/>
        <v>0.35859414261160716</v>
      </c>
      <c r="O36" s="160" t="str">
        <f t="shared" si="3"/>
        <v/>
      </c>
      <c r="P36" s="63"/>
    </row>
    <row r="37" spans="1:16" hidden="1">
      <c r="A37" s="152" t="str">
        <f>Agriculture!A67</f>
        <v>Agriculture</v>
      </c>
      <c r="B37" s="34" t="str">
        <f>Agriculture!B67</f>
        <v>Agricultural other</v>
      </c>
      <c r="C37" s="40" t="str">
        <f>Agriculture!C67</f>
        <v>EU</v>
      </c>
      <c r="D37" s="34" t="str">
        <f>Agriculture!D67</f>
        <v>PVC</v>
      </c>
      <c r="E37" s="866">
        <f>Agriculture!E67</f>
        <v>0.32338771379945241</v>
      </c>
      <c r="F37" s="235">
        <f>Agriculture!F67</f>
        <v>2</v>
      </c>
      <c r="G37" s="40" t="str">
        <f>Agriculture!G67</f>
        <v>Assessment of agricultural plastics and their sustainability: A call for action, 2021. . FAO. https://doi.org/10.4060/cb7856en</v>
      </c>
      <c r="H37" s="29"/>
      <c r="I37" s="9">
        <v>1</v>
      </c>
      <c r="J37" s="9">
        <v>2</v>
      </c>
      <c r="K37" s="9">
        <v>1</v>
      </c>
      <c r="L37" s="9">
        <v>1</v>
      </c>
      <c r="M37" s="9">
        <v>2</v>
      </c>
      <c r="N37" s="186" t="str">
        <f t="shared" si="2"/>
        <v/>
      </c>
      <c r="O37" s="160">
        <f t="shared" si="3"/>
        <v>0.35859414261160716</v>
      </c>
      <c r="P37" s="63"/>
    </row>
    <row r="38" spans="1:16" hidden="1">
      <c r="A38" s="152" t="str">
        <f>Agriculture!A68</f>
        <v>Agriculture</v>
      </c>
      <c r="B38" s="34" t="str">
        <f>Agriculture!B68</f>
        <v>Agricultural other</v>
      </c>
      <c r="C38" s="40" t="str">
        <f>Agriculture!C68</f>
        <v>EU</v>
      </c>
      <c r="D38" s="34" t="str">
        <f>Agriculture!D68</f>
        <v>PS</v>
      </c>
      <c r="E38" s="866">
        <f>Agriculture!E68</f>
        <v>1</v>
      </c>
      <c r="F38" s="235">
        <f>Agriculture!F68</f>
        <v>2</v>
      </c>
      <c r="G38" s="40" t="str">
        <f>Agriculture!G68</f>
        <v>Assessment of agricultural plastics and their sustainability: A call for action, 2021. . FAO. https://doi.org/10.4060/cb7856en</v>
      </c>
      <c r="H38" s="29"/>
      <c r="I38" s="9">
        <v>1</v>
      </c>
      <c r="J38" s="9">
        <v>2</v>
      </c>
      <c r="K38" s="9">
        <v>1</v>
      </c>
      <c r="L38" s="9">
        <v>1</v>
      </c>
      <c r="M38" s="9">
        <v>2</v>
      </c>
      <c r="N38" s="186" t="str">
        <f t="shared" si="2"/>
        <v/>
      </c>
      <c r="O38" s="160">
        <f t="shared" si="3"/>
        <v>0.35859414261160716</v>
      </c>
      <c r="P38" s="63"/>
    </row>
    <row r="39" spans="1:16" hidden="1">
      <c r="A39" s="152" t="str">
        <f>Agriculture!A69</f>
        <v>Agriculture</v>
      </c>
      <c r="B39" s="34" t="str">
        <f>Agriculture!B69</f>
        <v>Agricultural other</v>
      </c>
      <c r="C39" s="40" t="str">
        <f>Agriculture!C69</f>
        <v>EU</v>
      </c>
      <c r="D39" s="34" t="str">
        <f>Agriculture!D69</f>
        <v>PP</v>
      </c>
      <c r="E39" s="866">
        <f>Agriculture!E69</f>
        <v>1</v>
      </c>
      <c r="F39" s="235">
        <f>Agriculture!F69</f>
        <v>2</v>
      </c>
      <c r="G39" s="40" t="str">
        <f>Agriculture!G69</f>
        <v>Assessment of agricultural plastics and their sustainability: A call for action, 2021. . FAO. https://doi.org/10.4060/cb7856en</v>
      </c>
      <c r="H39" s="29"/>
      <c r="I39" s="9">
        <v>1</v>
      </c>
      <c r="J39" s="9">
        <v>2</v>
      </c>
      <c r="K39" s="9">
        <v>1</v>
      </c>
      <c r="L39" s="9">
        <v>1</v>
      </c>
      <c r="M39" s="9">
        <v>2</v>
      </c>
      <c r="N39" s="186" t="str">
        <f t="shared" si="2"/>
        <v/>
      </c>
      <c r="O39" s="160">
        <f t="shared" si="3"/>
        <v>0.35859414261160716</v>
      </c>
      <c r="P39" s="63"/>
    </row>
    <row r="40" spans="1:16" hidden="1">
      <c r="A40" s="152" t="str">
        <f>Agriculture!A70</f>
        <v>Agriculture</v>
      </c>
      <c r="B40" s="34" t="str">
        <f>Agriculture!B70</f>
        <v>Agricultural other</v>
      </c>
      <c r="C40" s="40" t="str">
        <f>Agriculture!C70</f>
        <v>EU</v>
      </c>
      <c r="D40" s="34" t="str">
        <f>Agriculture!D70</f>
        <v>LDPE</v>
      </c>
      <c r="E40" s="866">
        <f>Agriculture!E70</f>
        <v>9.8069487929673418E-2</v>
      </c>
      <c r="F40" s="235">
        <f>Agriculture!F70</f>
        <v>2</v>
      </c>
      <c r="G40" s="40" t="str">
        <f>Agriculture!G70</f>
        <v>Assessment of agricultural plastics and their sustainability: A call for action, 2021. . FAO. https://doi.org/10.4060/cb7856en</v>
      </c>
      <c r="H40" s="29"/>
      <c r="I40" s="9">
        <v>1</v>
      </c>
      <c r="J40" s="9">
        <v>2</v>
      </c>
      <c r="K40" s="9">
        <v>1</v>
      </c>
      <c r="L40" s="9">
        <v>1</v>
      </c>
      <c r="M40" s="9">
        <v>2</v>
      </c>
      <c r="N40" s="186" t="str">
        <f t="shared" si="2"/>
        <v/>
      </c>
      <c r="O40" s="160">
        <f t="shared" si="3"/>
        <v>0.35859414261160716</v>
      </c>
      <c r="P40" s="63"/>
    </row>
    <row r="41" spans="1:16" hidden="1">
      <c r="A41" s="152" t="str">
        <f>Agriculture!A71</f>
        <v>Agriculture</v>
      </c>
      <c r="B41" s="34" t="str">
        <f>Agriculture!B71</f>
        <v>Agricultural other</v>
      </c>
      <c r="C41" s="40" t="str">
        <f>Agriculture!C71</f>
        <v>EU</v>
      </c>
      <c r="D41" s="34" t="str">
        <f>Agriculture!D71</f>
        <v>HDPE</v>
      </c>
      <c r="E41" s="866">
        <f>Agriculture!E71</f>
        <v>0.6993112144789928</v>
      </c>
      <c r="F41" s="235">
        <f>Agriculture!F71</f>
        <v>2</v>
      </c>
      <c r="G41" s="40" t="str">
        <f>Agriculture!G71</f>
        <v>Assessment of agricultural plastics and their sustainability: A call for action, 2021. . FAO. https://doi.org/10.4060/cb7856en</v>
      </c>
      <c r="H41" s="29"/>
      <c r="I41" s="9">
        <v>1</v>
      </c>
      <c r="J41" s="9">
        <v>2</v>
      </c>
      <c r="K41" s="9">
        <v>1</v>
      </c>
      <c r="L41" s="9">
        <v>1</v>
      </c>
      <c r="M41" s="9">
        <v>2</v>
      </c>
      <c r="N41" s="186" t="str">
        <f t="shared" si="2"/>
        <v/>
      </c>
      <c r="O41" s="160">
        <f t="shared" si="3"/>
        <v>0.35859414261160716</v>
      </c>
      <c r="P41" s="63"/>
    </row>
    <row r="42" spans="1:16" hidden="1">
      <c r="A42" s="152" t="s">
        <v>39</v>
      </c>
      <c r="B42" s="34" t="s">
        <v>146</v>
      </c>
      <c r="C42" s="40" t="s">
        <v>147</v>
      </c>
      <c r="D42" s="34" t="s">
        <v>93</v>
      </c>
      <c r="E42" s="260">
        <v>0</v>
      </c>
      <c r="F42" s="235">
        <v>1</v>
      </c>
      <c r="G42" s="40" t="s">
        <v>148</v>
      </c>
      <c r="H42" s="29"/>
      <c r="I42" s="9"/>
      <c r="J42" s="9"/>
      <c r="K42" s="9"/>
      <c r="L42" s="9"/>
      <c r="M42" s="9"/>
      <c r="N42" s="186" t="str">
        <f t="shared" si="2"/>
        <v/>
      </c>
      <c r="O42" s="160" t="str">
        <f t="shared" si="3"/>
        <v/>
      </c>
      <c r="P42" s="63"/>
    </row>
    <row r="43" spans="1:16" hidden="1">
      <c r="A43" s="152" t="s">
        <v>39</v>
      </c>
      <c r="B43" s="34" t="s">
        <v>146</v>
      </c>
      <c r="C43" s="40" t="s">
        <v>147</v>
      </c>
      <c r="D43" s="34" t="s">
        <v>94</v>
      </c>
      <c r="E43" s="260">
        <v>1.2200000000000001E-2</v>
      </c>
      <c r="F43" s="235">
        <v>1</v>
      </c>
      <c r="G43" s="40" t="s">
        <v>148</v>
      </c>
      <c r="H43" s="29">
        <v>2</v>
      </c>
      <c r="I43" s="9">
        <v>2</v>
      </c>
      <c r="J43" s="9">
        <v>2</v>
      </c>
      <c r="K43" s="9">
        <v>1</v>
      </c>
      <c r="L43" s="9">
        <v>1</v>
      </c>
      <c r="M43" s="9">
        <v>2</v>
      </c>
      <c r="N43" s="186">
        <f t="shared" si="2"/>
        <v>0.37356464144298934</v>
      </c>
      <c r="O43" s="160">
        <f t="shared" si="3"/>
        <v>0.37356464144298934</v>
      </c>
      <c r="P43" s="63"/>
    </row>
    <row r="44" spans="1:16" hidden="1">
      <c r="A44" s="152" t="s">
        <v>39</v>
      </c>
      <c r="B44" s="34" t="s">
        <v>146</v>
      </c>
      <c r="C44" s="40" t="s">
        <v>147</v>
      </c>
      <c r="D44" s="34" t="s">
        <v>95</v>
      </c>
      <c r="E44" s="260">
        <v>0</v>
      </c>
      <c r="F44" s="235">
        <v>1</v>
      </c>
      <c r="G44" s="40" t="s">
        <v>148</v>
      </c>
      <c r="H44" s="29"/>
      <c r="I44" s="9"/>
      <c r="J44" s="9"/>
      <c r="K44" s="9"/>
      <c r="L44" s="9"/>
      <c r="M44" s="9"/>
      <c r="N44" s="186" t="str">
        <f t="shared" si="2"/>
        <v/>
      </c>
      <c r="O44" s="160" t="str">
        <f t="shared" si="3"/>
        <v/>
      </c>
      <c r="P44" s="63"/>
    </row>
    <row r="45" spans="1:16" hidden="1">
      <c r="A45" s="152" t="s">
        <v>39</v>
      </c>
      <c r="B45" s="34" t="s">
        <v>146</v>
      </c>
      <c r="C45" s="40" t="s">
        <v>147</v>
      </c>
      <c r="D45" s="34" t="s">
        <v>96</v>
      </c>
      <c r="E45" s="260">
        <v>0</v>
      </c>
      <c r="F45" s="235">
        <v>1</v>
      </c>
      <c r="G45" s="40" t="s">
        <v>148</v>
      </c>
      <c r="H45" s="29"/>
      <c r="I45" s="9"/>
      <c r="J45" s="9"/>
      <c r="K45" s="9"/>
      <c r="L45" s="9"/>
      <c r="M45" s="9"/>
      <c r="N45" s="186" t="str">
        <f t="shared" si="2"/>
        <v/>
      </c>
      <c r="O45" s="160" t="str">
        <f t="shared" si="3"/>
        <v/>
      </c>
      <c r="P45" s="63"/>
    </row>
    <row r="46" spans="1:16" hidden="1">
      <c r="A46" s="152" t="s">
        <v>39</v>
      </c>
      <c r="B46" s="34" t="s">
        <v>146</v>
      </c>
      <c r="C46" s="40" t="s">
        <v>147</v>
      </c>
      <c r="D46" s="34" t="s">
        <v>97</v>
      </c>
      <c r="E46" s="260">
        <v>0</v>
      </c>
      <c r="F46" s="235">
        <v>1</v>
      </c>
      <c r="G46" s="40" t="s">
        <v>148</v>
      </c>
      <c r="H46" s="29"/>
      <c r="I46" s="9"/>
      <c r="J46" s="9"/>
      <c r="K46" s="9"/>
      <c r="L46" s="9"/>
      <c r="M46" s="9"/>
      <c r="N46" s="186" t="str">
        <f t="shared" si="2"/>
        <v/>
      </c>
      <c r="O46" s="160" t="str">
        <f t="shared" si="3"/>
        <v/>
      </c>
      <c r="P46" s="63"/>
    </row>
    <row r="47" spans="1:16" hidden="1">
      <c r="A47" s="152" t="s">
        <v>39</v>
      </c>
      <c r="B47" s="34" t="s">
        <v>146</v>
      </c>
      <c r="C47" s="40" t="s">
        <v>147</v>
      </c>
      <c r="D47" s="34" t="s">
        <v>98</v>
      </c>
      <c r="E47" s="260">
        <v>0</v>
      </c>
      <c r="F47" s="235">
        <v>1</v>
      </c>
      <c r="G47" s="40" t="s">
        <v>148</v>
      </c>
      <c r="H47" s="29"/>
      <c r="I47" s="9"/>
      <c r="J47" s="9"/>
      <c r="K47" s="9"/>
      <c r="L47" s="9"/>
      <c r="M47" s="9"/>
      <c r="N47" s="186" t="str">
        <f t="shared" si="2"/>
        <v/>
      </c>
      <c r="O47" s="160" t="str">
        <f t="shared" si="3"/>
        <v/>
      </c>
      <c r="P47" s="63"/>
    </row>
    <row r="48" spans="1:16" hidden="1">
      <c r="A48" s="152" t="s">
        <v>39</v>
      </c>
      <c r="B48" s="34" t="s">
        <v>146</v>
      </c>
      <c r="C48" s="40" t="s">
        <v>147</v>
      </c>
      <c r="D48" s="34" t="s">
        <v>99</v>
      </c>
      <c r="E48" s="260">
        <v>0</v>
      </c>
      <c r="F48" s="235">
        <v>1</v>
      </c>
      <c r="G48" s="40" t="s">
        <v>148</v>
      </c>
      <c r="H48" s="29"/>
      <c r="I48" s="9"/>
      <c r="J48" s="9"/>
      <c r="K48" s="9"/>
      <c r="L48" s="9"/>
      <c r="M48" s="9"/>
      <c r="N48" s="186" t="str">
        <f t="shared" si="2"/>
        <v/>
      </c>
      <c r="O48" s="160" t="str">
        <f t="shared" si="3"/>
        <v/>
      </c>
      <c r="P48" s="63"/>
    </row>
    <row r="49" spans="1:16" hidden="1">
      <c r="A49" s="152" t="s">
        <v>39</v>
      </c>
      <c r="B49" s="34" t="s">
        <v>146</v>
      </c>
      <c r="C49" s="40" t="s">
        <v>147</v>
      </c>
      <c r="D49" s="34" t="s">
        <v>106</v>
      </c>
      <c r="E49" s="260">
        <v>0</v>
      </c>
      <c r="F49" s="235">
        <v>1</v>
      </c>
      <c r="G49" s="40" t="s">
        <v>149</v>
      </c>
      <c r="H49" s="29"/>
      <c r="I49" s="9"/>
      <c r="J49" s="9"/>
      <c r="K49" s="9"/>
      <c r="L49" s="9"/>
      <c r="M49" s="9"/>
      <c r="N49" s="186" t="str">
        <f t="shared" si="2"/>
        <v/>
      </c>
      <c r="O49" s="160" t="str">
        <f t="shared" si="3"/>
        <v/>
      </c>
      <c r="P49" s="63"/>
    </row>
    <row r="50" spans="1:16" hidden="1">
      <c r="A50" s="152" t="s">
        <v>39</v>
      </c>
      <c r="B50" s="34" t="s">
        <v>150</v>
      </c>
      <c r="C50" s="40" t="s">
        <v>147</v>
      </c>
      <c r="D50" s="34" t="s">
        <v>93</v>
      </c>
      <c r="E50" s="260">
        <v>3.2899999999999999E-2</v>
      </c>
      <c r="F50" s="235">
        <v>1</v>
      </c>
      <c r="G50" s="40" t="s">
        <v>148</v>
      </c>
      <c r="H50" s="29">
        <v>2</v>
      </c>
      <c r="I50" s="9">
        <v>2</v>
      </c>
      <c r="J50" s="9">
        <v>2</v>
      </c>
      <c r="K50" s="9">
        <v>1</v>
      </c>
      <c r="L50" s="9">
        <v>1</v>
      </c>
      <c r="M50" s="9">
        <v>2</v>
      </c>
      <c r="N50" s="186">
        <f t="shared" si="2"/>
        <v>0.37356464144298934</v>
      </c>
      <c r="O50" s="160">
        <f t="shared" si="3"/>
        <v>0.37356464144298934</v>
      </c>
      <c r="P50" s="63"/>
    </row>
    <row r="51" spans="1:16" hidden="1">
      <c r="A51" s="152" t="s">
        <v>39</v>
      </c>
      <c r="B51" s="34" t="s">
        <v>150</v>
      </c>
      <c r="C51" s="40" t="s">
        <v>147</v>
      </c>
      <c r="D51" s="34" t="s">
        <v>94</v>
      </c>
      <c r="E51" s="260">
        <v>0</v>
      </c>
      <c r="F51" s="235">
        <v>1</v>
      </c>
      <c r="G51" s="40" t="s">
        <v>148</v>
      </c>
      <c r="H51" s="29"/>
      <c r="I51" s="9"/>
      <c r="J51" s="9"/>
      <c r="K51" s="9"/>
      <c r="L51" s="9"/>
      <c r="M51" s="9"/>
      <c r="N51" s="186" t="str">
        <f t="shared" si="2"/>
        <v/>
      </c>
      <c r="O51" s="160" t="str">
        <f t="shared" si="3"/>
        <v/>
      </c>
      <c r="P51" s="63"/>
    </row>
    <row r="52" spans="1:16" hidden="1">
      <c r="A52" s="152" t="s">
        <v>39</v>
      </c>
      <c r="B52" s="34" t="s">
        <v>150</v>
      </c>
      <c r="C52" s="40" t="s">
        <v>147</v>
      </c>
      <c r="D52" s="34" t="s">
        <v>95</v>
      </c>
      <c r="E52" s="260">
        <v>2.58E-2</v>
      </c>
      <c r="F52" s="235">
        <v>1</v>
      </c>
      <c r="G52" s="40" t="s">
        <v>148</v>
      </c>
      <c r="H52" s="29">
        <v>2</v>
      </c>
      <c r="I52" s="9">
        <v>2</v>
      </c>
      <c r="J52" s="9">
        <v>2</v>
      </c>
      <c r="K52" s="9">
        <v>1</v>
      </c>
      <c r="L52" s="9">
        <v>1</v>
      </c>
      <c r="M52" s="9">
        <v>2</v>
      </c>
      <c r="N52" s="186">
        <f t="shared" si="2"/>
        <v>0.37356464144298934</v>
      </c>
      <c r="O52" s="160">
        <f t="shared" si="3"/>
        <v>0.37356464144298934</v>
      </c>
      <c r="P52" s="63"/>
    </row>
    <row r="53" spans="1:16" hidden="1">
      <c r="A53" s="152" t="s">
        <v>39</v>
      </c>
      <c r="B53" s="34" t="s">
        <v>150</v>
      </c>
      <c r="C53" s="40" t="s">
        <v>147</v>
      </c>
      <c r="D53" s="34" t="s">
        <v>96</v>
      </c>
      <c r="E53" s="260">
        <v>0</v>
      </c>
      <c r="F53" s="235">
        <v>1</v>
      </c>
      <c r="G53" s="40" t="s">
        <v>148</v>
      </c>
      <c r="H53" s="29"/>
      <c r="I53" s="9"/>
      <c r="J53" s="9"/>
      <c r="K53" s="9"/>
      <c r="L53" s="9"/>
      <c r="M53" s="9"/>
      <c r="N53" s="186" t="str">
        <f t="shared" si="2"/>
        <v/>
      </c>
      <c r="O53" s="160" t="str">
        <f t="shared" si="3"/>
        <v/>
      </c>
      <c r="P53" s="63"/>
    </row>
    <row r="54" spans="1:16" hidden="1">
      <c r="A54" s="152" t="s">
        <v>39</v>
      </c>
      <c r="B54" s="34" t="s">
        <v>150</v>
      </c>
      <c r="C54" s="40" t="s">
        <v>147</v>
      </c>
      <c r="D54" s="34" t="s">
        <v>97</v>
      </c>
      <c r="E54" s="260">
        <v>0</v>
      </c>
      <c r="F54" s="235">
        <v>1</v>
      </c>
      <c r="G54" s="40" t="s">
        <v>148</v>
      </c>
      <c r="H54" s="29"/>
      <c r="I54" s="9"/>
      <c r="J54" s="9"/>
      <c r="K54" s="9"/>
      <c r="L54" s="9"/>
      <c r="M54" s="9"/>
      <c r="N54" s="186" t="str">
        <f t="shared" si="2"/>
        <v/>
      </c>
      <c r="O54" s="160" t="str">
        <f t="shared" si="3"/>
        <v/>
      </c>
      <c r="P54" s="63"/>
    </row>
    <row r="55" spans="1:16" hidden="1">
      <c r="A55" s="152" t="s">
        <v>39</v>
      </c>
      <c r="B55" s="34" t="s">
        <v>150</v>
      </c>
      <c r="C55" s="40" t="s">
        <v>147</v>
      </c>
      <c r="D55" s="34" t="s">
        <v>98</v>
      </c>
      <c r="E55" s="260">
        <v>0</v>
      </c>
      <c r="F55" s="235">
        <v>1</v>
      </c>
      <c r="G55" s="40" t="s">
        <v>148</v>
      </c>
      <c r="H55" s="29"/>
      <c r="I55" s="9"/>
      <c r="J55" s="9"/>
      <c r="K55" s="9"/>
      <c r="L55" s="9"/>
      <c r="M55" s="9"/>
      <c r="N55" s="186" t="str">
        <f t="shared" si="2"/>
        <v/>
      </c>
      <c r="O55" s="160" t="str">
        <f t="shared" si="3"/>
        <v/>
      </c>
      <c r="P55" s="63"/>
    </row>
    <row r="56" spans="1:16" hidden="1">
      <c r="A56" s="152" t="s">
        <v>39</v>
      </c>
      <c r="B56" s="34" t="s">
        <v>150</v>
      </c>
      <c r="C56" s="40" t="s">
        <v>147</v>
      </c>
      <c r="D56" s="34" t="s">
        <v>99</v>
      </c>
      <c r="E56" s="260">
        <v>0</v>
      </c>
      <c r="F56" s="235">
        <v>1</v>
      </c>
      <c r="G56" s="40" t="s">
        <v>148</v>
      </c>
      <c r="H56" s="29"/>
      <c r="I56" s="9"/>
      <c r="J56" s="9"/>
      <c r="K56" s="9"/>
      <c r="L56" s="9"/>
      <c r="M56" s="9"/>
      <c r="N56" s="186" t="str">
        <f t="shared" si="2"/>
        <v/>
      </c>
      <c r="O56" s="160" t="str">
        <f t="shared" si="3"/>
        <v/>
      </c>
      <c r="P56" s="63"/>
    </row>
    <row r="57" spans="1:16" hidden="1">
      <c r="A57" s="152" t="s">
        <v>39</v>
      </c>
      <c r="B57" s="34" t="s">
        <v>150</v>
      </c>
      <c r="C57" s="40" t="s">
        <v>147</v>
      </c>
      <c r="D57" s="34" t="s">
        <v>106</v>
      </c>
      <c r="E57" s="260">
        <v>1.3310580204778157E-2</v>
      </c>
      <c r="F57" s="235">
        <v>1</v>
      </c>
      <c r="G57" s="40" t="s">
        <v>149</v>
      </c>
      <c r="H57" s="29">
        <v>2</v>
      </c>
      <c r="I57" s="9">
        <v>1</v>
      </c>
      <c r="J57" s="9">
        <v>2</v>
      </c>
      <c r="K57" s="9">
        <v>2</v>
      </c>
      <c r="L57" s="9">
        <v>1</v>
      </c>
      <c r="M57" s="9">
        <v>2</v>
      </c>
      <c r="N57" s="186">
        <f t="shared" si="2"/>
        <v>0.38795788889711302</v>
      </c>
      <c r="O57" s="160">
        <f t="shared" si="3"/>
        <v>0.37356464144298934</v>
      </c>
      <c r="P57" s="63"/>
    </row>
    <row r="58" spans="1:16" hidden="1">
      <c r="A58" s="152" t="str">
        <f>Agriculture!A52</f>
        <v>Agriculture</v>
      </c>
      <c r="B58" s="34" t="str">
        <f>Agriculture!B52</f>
        <v>Agricultural pipes (discarded)</v>
      </c>
      <c r="C58" s="40" t="str">
        <f>Agriculture!C52</f>
        <v>NL</v>
      </c>
      <c r="D58" s="34" t="str">
        <f>Agriculture!D52</f>
        <v>PVC</v>
      </c>
      <c r="E58" s="866">
        <f>Agriculture!E52</f>
        <v>0.40710942904980374</v>
      </c>
      <c r="F58" s="235">
        <f>Agriculture!F52</f>
        <v>2</v>
      </c>
      <c r="G58" s="40" t="str">
        <f>Agriculture!G52</f>
        <v>Urbanus, J.H., Brunner, A., Boersma, A., Henke, S., Kooter, I., Lensen, S., Parker, L., Schwarz, A., Imhof, P., Dortmans, A., Wijngaard, M., 2022. Autobanden, verpakkingen en landbouwfolie zijn in Nederland de grootste bronnen van microplastics. TNO.</v>
      </c>
      <c r="H58" s="29">
        <v>1</v>
      </c>
      <c r="I58" s="9"/>
      <c r="J58" s="9">
        <v>2</v>
      </c>
      <c r="K58" s="9">
        <v>1</v>
      </c>
      <c r="L58" s="9">
        <v>1</v>
      </c>
      <c r="M58" s="9">
        <v>2</v>
      </c>
      <c r="N58" s="186">
        <f t="shared" si="2"/>
        <v>0.35859414261160716</v>
      </c>
      <c r="O58" s="160" t="str">
        <f t="shared" si="3"/>
        <v/>
      </c>
      <c r="P58" s="63"/>
    </row>
    <row r="59" spans="1:16" hidden="1">
      <c r="A59" s="152" t="str">
        <f>Agriculture!A53</f>
        <v>Agriculture</v>
      </c>
      <c r="B59" s="34" t="str">
        <f>Agriculture!B53</f>
        <v>Agricultural pipes (discarded)</v>
      </c>
      <c r="C59" s="40" t="str">
        <f>Agriculture!C53</f>
        <v>NL</v>
      </c>
      <c r="D59" s="34" t="str">
        <f>Agriculture!D53</f>
        <v>PS</v>
      </c>
      <c r="E59" s="866">
        <f>Agriculture!E53</f>
        <v>0</v>
      </c>
      <c r="F59" s="235">
        <f>Agriculture!F53</f>
        <v>2</v>
      </c>
      <c r="G59" s="40" t="str">
        <f>Agriculture!G53</f>
        <v>Urbanus, J.H., Brunner, A., Boersma, A., Henke, S., Kooter, I., Lensen, S., Parker, L., Schwarz, A., Imhof, P., Dortmans, A., Wijngaard, M., 2022. Autobanden, verpakkingen en landbouwfolie zijn in Nederland de grootste bronnen van microplastics. TNO.</v>
      </c>
      <c r="H59" s="29">
        <v>1</v>
      </c>
      <c r="I59" s="9"/>
      <c r="J59" s="9">
        <v>2</v>
      </c>
      <c r="K59" s="9">
        <v>1</v>
      </c>
      <c r="L59" s="9">
        <v>1</v>
      </c>
      <c r="M59" s="9">
        <v>2</v>
      </c>
      <c r="N59" s="186">
        <f t="shared" si="2"/>
        <v>0.35859414261160716</v>
      </c>
      <c r="O59" s="160" t="str">
        <f t="shared" si="3"/>
        <v/>
      </c>
      <c r="P59" s="63"/>
    </row>
    <row r="60" spans="1:16" hidden="1">
      <c r="A60" s="152" t="str">
        <f>Agriculture!A54</f>
        <v>Agriculture</v>
      </c>
      <c r="B60" s="34" t="str">
        <f>Agriculture!B54</f>
        <v>Agricultural pipes (discarded)</v>
      </c>
      <c r="C60" s="40" t="str">
        <f>Agriculture!C54</f>
        <v>NL</v>
      </c>
      <c r="D60" s="34" t="str">
        <f>Agriculture!D54</f>
        <v>PP</v>
      </c>
      <c r="E60" s="866">
        <f>Agriculture!E54</f>
        <v>0</v>
      </c>
      <c r="F60" s="235">
        <f>Agriculture!F54</f>
        <v>2</v>
      </c>
      <c r="G60" s="40" t="str">
        <f>Agriculture!G54</f>
        <v>Urbanus, J.H., Brunner, A., Boersma, A., Henke, S., Kooter, I., Lensen, S., Parker, L., Schwarz, A., Imhof, P., Dortmans, A., Wijngaard, M., 2022. Autobanden, verpakkingen en landbouwfolie zijn in Nederland de grootste bronnen van microplastics. TNO.</v>
      </c>
      <c r="H60" s="29">
        <v>1</v>
      </c>
      <c r="I60" s="9"/>
      <c r="J60" s="9">
        <v>2</v>
      </c>
      <c r="K60" s="9">
        <v>1</v>
      </c>
      <c r="L60" s="9">
        <v>1</v>
      </c>
      <c r="M60" s="9">
        <v>2</v>
      </c>
      <c r="N60" s="186">
        <f t="shared" si="2"/>
        <v>0.35859414261160716</v>
      </c>
      <c r="O60" s="160" t="str">
        <f t="shared" si="3"/>
        <v/>
      </c>
      <c r="P60" s="63"/>
    </row>
    <row r="61" spans="1:16" hidden="1">
      <c r="A61" s="152" t="str">
        <f>Agriculture!A55</f>
        <v>Agriculture</v>
      </c>
      <c r="B61" s="34" t="str">
        <f>Agriculture!B55</f>
        <v>Agricultural pipes (discarded)</v>
      </c>
      <c r="C61" s="40" t="str">
        <f>Agriculture!C55</f>
        <v>NL</v>
      </c>
      <c r="D61" s="34" t="str">
        <f>Agriculture!D55</f>
        <v>LDPE</v>
      </c>
      <c r="E61" s="866">
        <f>Agriculture!E55</f>
        <v>0.14312762142097193</v>
      </c>
      <c r="F61" s="235">
        <f>Agriculture!F55</f>
        <v>2</v>
      </c>
      <c r="G61" s="40" t="str">
        <f>Agriculture!G55</f>
        <v>Urbanus, J.H., Brunner, A., Boersma, A., Henke, S., Kooter, I., Lensen, S., Parker, L., Schwarz, A., Imhof, P., Dortmans, A., Wijngaard, M., 2022. Autobanden, verpakkingen en landbouwfolie zijn in Nederland de grootste bronnen van microplastics. TNO.</v>
      </c>
      <c r="H61" s="29">
        <v>1</v>
      </c>
      <c r="I61" s="9"/>
      <c r="J61" s="9">
        <v>2</v>
      </c>
      <c r="K61" s="9">
        <v>1</v>
      </c>
      <c r="L61" s="9">
        <v>1</v>
      </c>
      <c r="M61" s="9">
        <v>2</v>
      </c>
      <c r="N61" s="186">
        <f t="shared" si="2"/>
        <v>0.35859414261160716</v>
      </c>
      <c r="O61" s="160" t="str">
        <f t="shared" si="3"/>
        <v/>
      </c>
      <c r="P61" s="63"/>
    </row>
    <row r="62" spans="1:16" hidden="1">
      <c r="A62" s="152" t="str">
        <f>Agriculture!A56</f>
        <v>Agriculture</v>
      </c>
      <c r="B62" s="34" t="str">
        <f>Agriculture!B56</f>
        <v>Agricultural pipes (discarded)</v>
      </c>
      <c r="C62" s="40" t="str">
        <f>Agriculture!C56</f>
        <v>NL</v>
      </c>
      <c r="D62" s="34" t="str">
        <f>Agriculture!D56</f>
        <v>HDPE</v>
      </c>
      <c r="E62" s="866">
        <f>Agriculture!E56</f>
        <v>0.56173601441995114</v>
      </c>
      <c r="F62" s="235">
        <f>Agriculture!F56</f>
        <v>2</v>
      </c>
      <c r="G62" s="40" t="str">
        <f>Agriculture!G56</f>
        <v>Urbanus, J.H., Brunner, A., Boersma, A., Henke, S., Kooter, I., Lensen, S., Parker, L., Schwarz, A., Imhof, P., Dortmans, A., Wijngaard, M., 2022. Autobanden, verpakkingen en landbouwfolie zijn in Nederland de grootste bronnen van microplastics. TNO.</v>
      </c>
      <c r="H62" s="29">
        <v>1</v>
      </c>
      <c r="I62" s="9"/>
      <c r="J62" s="9">
        <v>2</v>
      </c>
      <c r="K62" s="9">
        <v>1</v>
      </c>
      <c r="L62" s="9">
        <v>1</v>
      </c>
      <c r="M62" s="9">
        <v>2</v>
      </c>
      <c r="N62" s="186">
        <f t="shared" si="2"/>
        <v>0.35859414261160716</v>
      </c>
      <c r="O62" s="160" t="str">
        <f t="shared" si="3"/>
        <v/>
      </c>
      <c r="P62" s="63"/>
    </row>
    <row r="63" spans="1:16" hidden="1">
      <c r="A63" s="152" t="str">
        <f>Agriculture!A57</f>
        <v>Agriculture</v>
      </c>
      <c r="B63" s="34" t="str">
        <f>Agriculture!B57</f>
        <v>Agricultural pipes (discarded)</v>
      </c>
      <c r="C63" s="40" t="str">
        <f>Agriculture!C57</f>
        <v>EU</v>
      </c>
      <c r="D63" s="34" t="str">
        <f>Agriculture!D57</f>
        <v>PVC</v>
      </c>
      <c r="E63" s="866">
        <f>Agriculture!E57</f>
        <v>0.16733929871138836</v>
      </c>
      <c r="F63" s="235">
        <f>Agriculture!F57</f>
        <v>2</v>
      </c>
      <c r="G63" s="40" t="str">
        <f>Agriculture!G57</f>
        <v>Assessment of agricultural plastics and their sustainability: A call for action, 2021. . FAO. https://doi.org/10.4060/cb7856en</v>
      </c>
      <c r="H63" s="29"/>
      <c r="I63" s="9">
        <v>1</v>
      </c>
      <c r="J63" s="9">
        <v>2</v>
      </c>
      <c r="K63" s="9">
        <v>1</v>
      </c>
      <c r="L63" s="9">
        <v>1</v>
      </c>
      <c r="M63" s="9">
        <v>2</v>
      </c>
      <c r="N63" s="186" t="str">
        <f t="shared" si="2"/>
        <v/>
      </c>
      <c r="O63" s="160">
        <f t="shared" si="3"/>
        <v>0.35859414261160716</v>
      </c>
      <c r="P63" s="63"/>
    </row>
    <row r="64" spans="1:16" hidden="1">
      <c r="A64" s="152" t="str">
        <f>Agriculture!A58</f>
        <v>Agriculture</v>
      </c>
      <c r="B64" s="34" t="str">
        <f>Agriculture!B58</f>
        <v>Agricultural pipes (discarded)</v>
      </c>
      <c r="C64" s="40" t="str">
        <f>Agriculture!C58</f>
        <v>EU</v>
      </c>
      <c r="D64" s="34" t="str">
        <f>Agriculture!D58</f>
        <v>PS</v>
      </c>
      <c r="E64" s="866">
        <f>Agriculture!E58</f>
        <v>0</v>
      </c>
      <c r="F64" s="235">
        <f>Agriculture!F58</f>
        <v>2</v>
      </c>
      <c r="G64" s="40" t="str">
        <f>Agriculture!G58</f>
        <v>Assessment of agricultural plastics and their sustainability: A call for action, 2021. . FAO. https://doi.org/10.4060/cb7856en</v>
      </c>
      <c r="H64" s="29"/>
      <c r="I64" s="9">
        <v>1</v>
      </c>
      <c r="J64" s="9">
        <v>2</v>
      </c>
      <c r="K64" s="9">
        <v>1</v>
      </c>
      <c r="L64" s="9">
        <v>1</v>
      </c>
      <c r="M64" s="9">
        <v>2</v>
      </c>
      <c r="N64" s="186" t="str">
        <f t="shared" si="2"/>
        <v/>
      </c>
      <c r="O64" s="160">
        <f t="shared" si="3"/>
        <v>0.35859414261160716</v>
      </c>
      <c r="P64" s="63"/>
    </row>
    <row r="65" spans="1:16" hidden="1">
      <c r="A65" s="152" t="str">
        <f>Agriculture!A59</f>
        <v>Agriculture</v>
      </c>
      <c r="B65" s="34" t="str">
        <f>Agriculture!B59</f>
        <v>Agricultural pipes (discarded)</v>
      </c>
      <c r="C65" s="40" t="str">
        <f>Agriculture!C59</f>
        <v>EU</v>
      </c>
      <c r="D65" s="34" t="str">
        <f>Agriculture!D59</f>
        <v>PP</v>
      </c>
      <c r="E65" s="866">
        <f>Agriculture!E59</f>
        <v>0</v>
      </c>
      <c r="F65" s="235">
        <f>Agriculture!F59</f>
        <v>2</v>
      </c>
      <c r="G65" s="40" t="str">
        <f>Agriculture!G59</f>
        <v>Assessment of agricultural plastics and their sustainability: A call for action, 2021. . FAO. https://doi.org/10.4060/cb7856en</v>
      </c>
      <c r="H65" s="29"/>
      <c r="I65" s="9">
        <v>1</v>
      </c>
      <c r="J65" s="9">
        <v>2</v>
      </c>
      <c r="K65" s="9">
        <v>1</v>
      </c>
      <c r="L65" s="9">
        <v>1</v>
      </c>
      <c r="M65" s="9">
        <v>2</v>
      </c>
      <c r="N65" s="186" t="str">
        <f t="shared" si="2"/>
        <v/>
      </c>
      <c r="O65" s="160">
        <f t="shared" si="3"/>
        <v>0.35859414261160716</v>
      </c>
      <c r="P65" s="63"/>
    </row>
    <row r="66" spans="1:16" hidden="1">
      <c r="A66" s="152" t="str">
        <f>Agriculture!A60</f>
        <v>Agriculture</v>
      </c>
      <c r="B66" s="34" t="str">
        <f>Agriculture!B60</f>
        <v>Agricultural pipes (discarded)</v>
      </c>
      <c r="C66" s="40" t="str">
        <f>Agriculture!C60</f>
        <v>EU</v>
      </c>
      <c r="D66" s="34" t="str">
        <f>Agriculture!D60</f>
        <v>LDPE</v>
      </c>
      <c r="E66" s="866">
        <f>Agriculture!E60</f>
        <v>4.5444861462717513E-2</v>
      </c>
      <c r="F66" s="235">
        <f>Agriculture!F60</f>
        <v>2</v>
      </c>
      <c r="G66" s="40" t="str">
        <f>Agriculture!G60</f>
        <v>Assessment of agricultural plastics and their sustainability: A call for action, 2021. . FAO. https://doi.org/10.4060/cb7856en</v>
      </c>
      <c r="H66" s="29"/>
      <c r="I66" s="9">
        <v>1</v>
      </c>
      <c r="J66" s="9">
        <v>2</v>
      </c>
      <c r="K66" s="9">
        <v>1</v>
      </c>
      <c r="L66" s="9">
        <v>1</v>
      </c>
      <c r="M66" s="9">
        <v>2</v>
      </c>
      <c r="N66" s="186" t="str">
        <f t="shared" ref="N66:N84" si="4">IF( OR( ISBLANK(H66),ISBLANK(J66), ISBLANK(K66), ISBLANK(L66), ISBLANK(M66) ), "", 1.5*SQRT(   EXP(2.21*(H66-1)) + EXP(2.21*(J66-1)) + EXP(2.21*(K66-1)) + EXP(2.21*(L66-1)) + EXP(2.21*M66)   )/100*2.45 )</f>
        <v/>
      </c>
      <c r="O66" s="160">
        <f t="shared" ref="O66:O84" si="5">IF( OR( ISBLANK(I66),ISBLANK(J66), ISBLANK(K66), ISBLANK(L66), ISBLANK(M66) ), "", 1.5*SQRT( EXP(2.21*(I66-1)) + EXP(2.21*(J66-1)) + EXP(2.21*(K66-1)) + EXP(2.21*(L66-1)) + EXP(2.21*M66)   )/100*2.45 )</f>
        <v>0.35859414261160716</v>
      </c>
      <c r="P66" s="63"/>
    </row>
    <row r="67" spans="1:16" hidden="1">
      <c r="A67" s="152" t="str">
        <f>Agriculture!A61</f>
        <v>Agriculture</v>
      </c>
      <c r="B67" s="34" t="str">
        <f>Agriculture!B61</f>
        <v>Agricultural pipes (discarded)</v>
      </c>
      <c r="C67" s="40" t="str">
        <f>Agriculture!C61</f>
        <v>EU</v>
      </c>
      <c r="D67" s="34" t="str">
        <f>Agriculture!D61</f>
        <v>HDPE</v>
      </c>
      <c r="E67" s="866">
        <f>Agriculture!E61</f>
        <v>0.27835662942036199</v>
      </c>
      <c r="F67" s="235">
        <f>Agriculture!F61</f>
        <v>2</v>
      </c>
      <c r="G67" s="40" t="str">
        <f>Agriculture!G61</f>
        <v>Assessment of agricultural plastics and their sustainability: A call for action, 2021. . FAO. https://doi.org/10.4060/cb7856en</v>
      </c>
      <c r="H67" s="29"/>
      <c r="I67" s="9">
        <v>1</v>
      </c>
      <c r="J67" s="9">
        <v>2</v>
      </c>
      <c r="K67" s="9">
        <v>1</v>
      </c>
      <c r="L67" s="9">
        <v>1</v>
      </c>
      <c r="M67" s="9">
        <v>2</v>
      </c>
      <c r="N67" s="186" t="str">
        <f t="shared" si="4"/>
        <v/>
      </c>
      <c r="O67" s="160">
        <f t="shared" si="5"/>
        <v>0.35859414261160716</v>
      </c>
      <c r="P67" s="63"/>
    </row>
    <row r="68" spans="1:16" hidden="1">
      <c r="A68" s="152" t="str">
        <f>Agriculture!A82</f>
        <v>Agriculture</v>
      </c>
      <c r="B68" s="34" t="str">
        <f>Agriculture!B82</f>
        <v>Agricultural pipes (in use)</v>
      </c>
      <c r="C68" s="40" t="str">
        <f>Agriculture!C82</f>
        <v>NL</v>
      </c>
      <c r="D68" s="34" t="str">
        <f>Agriculture!D82</f>
        <v>PVC</v>
      </c>
      <c r="E68" s="866">
        <f>Agriculture!E82</f>
        <v>3.2661809918149924E-2</v>
      </c>
      <c r="F68" s="235">
        <f>Agriculture!F82</f>
        <v>2</v>
      </c>
      <c r="G68" s="40" t="str">
        <f>Agriculture!G82</f>
        <v>Urbanus, J.H., Brunner, A., Boersma, A., Henke, S., Kooter, I., Lensen, S., Parker, L., Schwarz, A., Imhof, P., Dortmans, A., Wijngaard, M., 2022. Autobanden, verpakkingen en landbouwfolie zijn in Nederland de grootste bronnen van microplastics. TNO.</v>
      </c>
      <c r="H68" s="831">
        <v>1</v>
      </c>
      <c r="I68" s="637"/>
      <c r="J68" s="9">
        <v>2</v>
      </c>
      <c r="K68" s="637">
        <v>1</v>
      </c>
      <c r="L68" s="637">
        <v>1</v>
      </c>
      <c r="M68" s="9">
        <v>2</v>
      </c>
      <c r="N68" s="186">
        <f t="shared" si="4"/>
        <v>0.35859414261160716</v>
      </c>
      <c r="O68" s="160" t="str">
        <f t="shared" si="5"/>
        <v/>
      </c>
      <c r="P68" s="63"/>
    </row>
    <row r="69" spans="1:16" hidden="1">
      <c r="A69" s="152" t="str">
        <f>Agriculture!A83</f>
        <v>Agriculture</v>
      </c>
      <c r="B69" s="34" t="str">
        <f>Agriculture!B83</f>
        <v>Agricultural pipes (in use)</v>
      </c>
      <c r="C69" s="40" t="str">
        <f>Agriculture!C83</f>
        <v>NL</v>
      </c>
      <c r="D69" s="34" t="str">
        <f>Agriculture!D83</f>
        <v>PS</v>
      </c>
      <c r="E69" s="866">
        <f>Agriculture!E83</f>
        <v>0</v>
      </c>
      <c r="F69" s="235">
        <f>Agriculture!F83</f>
        <v>2</v>
      </c>
      <c r="G69" s="40" t="str">
        <f>Agriculture!G83</f>
        <v>Urbanus, J.H., Brunner, A., Boersma, A., Henke, S., Kooter, I., Lensen, S., Parker, L., Schwarz, A., Imhof, P., Dortmans, A., Wijngaard, M., 2022. Autobanden, verpakkingen en landbouwfolie zijn in Nederland de grootste bronnen van microplastics. TNO.</v>
      </c>
      <c r="H69" s="831">
        <v>1</v>
      </c>
      <c r="I69" s="637"/>
      <c r="J69" s="9">
        <v>2</v>
      </c>
      <c r="K69" s="637">
        <v>1</v>
      </c>
      <c r="L69" s="637">
        <v>1</v>
      </c>
      <c r="M69" s="9">
        <v>2</v>
      </c>
      <c r="N69" s="186">
        <f t="shared" si="4"/>
        <v>0.35859414261160716</v>
      </c>
      <c r="O69" s="160" t="str">
        <f t="shared" si="5"/>
        <v/>
      </c>
      <c r="P69" s="63"/>
    </row>
    <row r="70" spans="1:16" hidden="1">
      <c r="A70" s="152" t="str">
        <f>Agriculture!A84</f>
        <v>Agriculture</v>
      </c>
      <c r="B70" s="34" t="str">
        <f>Agriculture!B84</f>
        <v>Agricultural pipes (in use)</v>
      </c>
      <c r="C70" s="40" t="str">
        <f>Agriculture!C84</f>
        <v>NL</v>
      </c>
      <c r="D70" s="34" t="str">
        <f>Agriculture!D84</f>
        <v>PP</v>
      </c>
      <c r="E70" s="866">
        <f>Agriculture!E84</f>
        <v>0</v>
      </c>
      <c r="F70" s="235">
        <f>Agriculture!F84</f>
        <v>2</v>
      </c>
      <c r="G70" s="40" t="str">
        <f>Agriculture!G84</f>
        <v>Urbanus, J.H., Brunner, A., Boersma, A., Henke, S., Kooter, I., Lensen, S., Parker, L., Schwarz, A., Imhof, P., Dortmans, A., Wijngaard, M., 2022. Autobanden, verpakkingen en landbouwfolie zijn in Nederland de grootste bronnen van microplastics. TNO.</v>
      </c>
      <c r="H70" s="831">
        <v>1</v>
      </c>
      <c r="I70" s="637"/>
      <c r="J70" s="9">
        <v>2</v>
      </c>
      <c r="K70" s="637">
        <v>1</v>
      </c>
      <c r="L70" s="637">
        <v>1</v>
      </c>
      <c r="M70" s="9">
        <v>2</v>
      </c>
      <c r="N70" s="186">
        <f t="shared" si="4"/>
        <v>0.35859414261160716</v>
      </c>
      <c r="O70" s="160" t="str">
        <f t="shared" si="5"/>
        <v/>
      </c>
      <c r="P70" s="63"/>
    </row>
    <row r="71" spans="1:16" hidden="1">
      <c r="A71" s="152" t="str">
        <f>Agriculture!A85</f>
        <v>Agriculture</v>
      </c>
      <c r="B71" s="34" t="str">
        <f>Agriculture!B85</f>
        <v>Agricultural pipes (in use)</v>
      </c>
      <c r="C71" s="40" t="str">
        <f>Agriculture!C85</f>
        <v>NL</v>
      </c>
      <c r="D71" s="34" t="str">
        <f>Agriculture!D85</f>
        <v>LDPE</v>
      </c>
      <c r="E71" s="866">
        <f>Agriculture!E85</f>
        <v>1.1482925305365051E-2</v>
      </c>
      <c r="F71" s="235">
        <f>Agriculture!F85</f>
        <v>2</v>
      </c>
      <c r="G71" s="40" t="str">
        <f>Agriculture!G85</f>
        <v>Urbanus, J.H., Brunner, A., Boersma, A., Henke, S., Kooter, I., Lensen, S., Parker, L., Schwarz, A., Imhof, P., Dortmans, A., Wijngaard, M., 2022. Autobanden, verpakkingen en landbouwfolie zijn in Nederland de grootste bronnen van microplastics. TNO.</v>
      </c>
      <c r="H71" s="831">
        <v>1</v>
      </c>
      <c r="I71" s="637"/>
      <c r="J71" s="9">
        <v>2</v>
      </c>
      <c r="K71" s="637">
        <v>1</v>
      </c>
      <c r="L71" s="637">
        <v>1</v>
      </c>
      <c r="M71" s="9">
        <v>2</v>
      </c>
      <c r="N71" s="186">
        <f t="shared" si="4"/>
        <v>0.35859414261160716</v>
      </c>
      <c r="O71" s="160" t="str">
        <f t="shared" si="5"/>
        <v/>
      </c>
      <c r="P71" s="63"/>
    </row>
    <row r="72" spans="1:16" hidden="1">
      <c r="A72" s="152" t="str">
        <f>Agriculture!A86</f>
        <v>Agriculture</v>
      </c>
      <c r="B72" s="34" t="str">
        <f>Agriculture!B86</f>
        <v>Agricultural pipes (in use)</v>
      </c>
      <c r="C72" s="40" t="str">
        <f>Agriculture!C86</f>
        <v>NL</v>
      </c>
      <c r="D72" s="34" t="str">
        <f>Agriculture!D86</f>
        <v>HDPE</v>
      </c>
      <c r="E72" s="866">
        <f>Agriculture!E86</f>
        <v>4.5067280730850014E-2</v>
      </c>
      <c r="F72" s="235">
        <f>Agriculture!F86</f>
        <v>2</v>
      </c>
      <c r="G72" s="40" t="str">
        <f>Agriculture!G86</f>
        <v>Urbanus, J.H., Brunner, A., Boersma, A., Henke, S., Kooter, I., Lensen, S., Parker, L., Schwarz, A., Imhof, P., Dortmans, A., Wijngaard, M., 2022. Autobanden, verpakkingen en landbouwfolie zijn in Nederland de grootste bronnen van microplastics. TNO.</v>
      </c>
      <c r="H72" s="831">
        <v>1</v>
      </c>
      <c r="I72" s="637"/>
      <c r="J72" s="9">
        <v>2</v>
      </c>
      <c r="K72" s="637">
        <v>1</v>
      </c>
      <c r="L72" s="637">
        <v>1</v>
      </c>
      <c r="M72" s="9">
        <v>2</v>
      </c>
      <c r="N72" s="186">
        <f t="shared" si="4"/>
        <v>0.35859414261160716</v>
      </c>
      <c r="O72" s="160" t="str">
        <f t="shared" si="5"/>
        <v/>
      </c>
      <c r="P72" s="63"/>
    </row>
    <row r="73" spans="1:16" hidden="1">
      <c r="A73" s="152" t="str">
        <f>Agriculture!A87</f>
        <v>Agriculture</v>
      </c>
      <c r="B73" s="34" t="str">
        <f>Agriculture!B87</f>
        <v>Agricultural pipes (in use)</v>
      </c>
      <c r="C73" s="40" t="str">
        <f>Agriculture!C87</f>
        <v>EU</v>
      </c>
      <c r="D73" s="34" t="str">
        <f>Agriculture!D87</f>
        <v>PVC</v>
      </c>
      <c r="E73" s="866">
        <f>Agriculture!E87</f>
        <v>1.3425393705826556E-2</v>
      </c>
      <c r="F73" s="235">
        <f>Agriculture!F87</f>
        <v>2</v>
      </c>
      <c r="G73" s="40" t="str">
        <f>Agriculture!G87</f>
        <v>Assessment of agricultural plastics and their sustainability: A call for action, 2021. . FAO. https://doi.org/10.4060/cb7856en</v>
      </c>
      <c r="H73" s="831"/>
      <c r="I73" s="637">
        <v>1</v>
      </c>
      <c r="J73" s="9">
        <v>2</v>
      </c>
      <c r="K73" s="637">
        <v>1</v>
      </c>
      <c r="L73" s="637">
        <v>1</v>
      </c>
      <c r="M73" s="9">
        <v>2</v>
      </c>
      <c r="N73" s="186" t="str">
        <f t="shared" si="4"/>
        <v/>
      </c>
      <c r="O73" s="160">
        <f t="shared" si="5"/>
        <v>0.35859414261160716</v>
      </c>
      <c r="P73" s="63"/>
    </row>
    <row r="74" spans="1:16" hidden="1">
      <c r="A74" s="152" t="str">
        <f>Agriculture!A88</f>
        <v>Agriculture</v>
      </c>
      <c r="B74" s="34" t="str">
        <f>Agriculture!B88</f>
        <v>Agricultural pipes (in use)</v>
      </c>
      <c r="C74" s="40" t="str">
        <f>Agriculture!C88</f>
        <v>EU</v>
      </c>
      <c r="D74" s="34" t="str">
        <f>Agriculture!D88</f>
        <v>PS</v>
      </c>
      <c r="E74" s="866">
        <f>Agriculture!E88</f>
        <v>0</v>
      </c>
      <c r="F74" s="235">
        <f>Agriculture!F88</f>
        <v>2</v>
      </c>
      <c r="G74" s="40" t="str">
        <f>Agriculture!G88</f>
        <v>Assessment of agricultural plastics and their sustainability: A call for action, 2021. . FAO. https://doi.org/10.4060/cb7856en</v>
      </c>
      <c r="H74" s="831"/>
      <c r="I74" s="637">
        <v>1</v>
      </c>
      <c r="J74" s="9">
        <v>2</v>
      </c>
      <c r="K74" s="637">
        <v>1</v>
      </c>
      <c r="L74" s="637">
        <v>1</v>
      </c>
      <c r="M74" s="9">
        <v>2</v>
      </c>
      <c r="N74" s="186" t="str">
        <f t="shared" si="4"/>
        <v/>
      </c>
      <c r="O74" s="160">
        <f t="shared" si="5"/>
        <v>0.35859414261160716</v>
      </c>
      <c r="P74" s="63"/>
    </row>
    <row r="75" spans="1:16" hidden="1">
      <c r="A75" s="152" t="str">
        <f>Agriculture!A89</f>
        <v>Agriculture</v>
      </c>
      <c r="B75" s="34" t="str">
        <f>Agriculture!B89</f>
        <v>Agricultural pipes (in use)</v>
      </c>
      <c r="C75" s="40" t="str">
        <f>Agriculture!C89</f>
        <v>EU</v>
      </c>
      <c r="D75" s="34" t="str">
        <f>Agriculture!D89</f>
        <v>PP</v>
      </c>
      <c r="E75" s="866">
        <f>Agriculture!E89</f>
        <v>0</v>
      </c>
      <c r="F75" s="235">
        <f>Agriculture!F89</f>
        <v>2</v>
      </c>
      <c r="G75" s="40" t="str">
        <f>Agriculture!G89</f>
        <v>Assessment of agricultural plastics and their sustainability: A call for action, 2021. . FAO. https://doi.org/10.4060/cb7856en</v>
      </c>
      <c r="H75" s="831"/>
      <c r="I75" s="637">
        <v>1</v>
      </c>
      <c r="J75" s="9">
        <v>2</v>
      </c>
      <c r="K75" s="637">
        <v>1</v>
      </c>
      <c r="L75" s="637">
        <v>1</v>
      </c>
      <c r="M75" s="9">
        <v>2</v>
      </c>
      <c r="N75" s="186" t="str">
        <f t="shared" si="4"/>
        <v/>
      </c>
      <c r="O75" s="160">
        <f t="shared" si="5"/>
        <v>0.35859414261160716</v>
      </c>
      <c r="P75" s="63"/>
    </row>
    <row r="76" spans="1:16" s="16" customFormat="1" hidden="1">
      <c r="A76" s="152" t="str">
        <f>Agriculture!A90</f>
        <v>Agriculture</v>
      </c>
      <c r="B76" s="34" t="str">
        <f>Agriculture!B90</f>
        <v>Agricultural pipes (in use)</v>
      </c>
      <c r="C76" s="40" t="str">
        <f>Agriculture!C90</f>
        <v>EU</v>
      </c>
      <c r="D76" s="34" t="str">
        <f>Agriculture!D90</f>
        <v>LDPE</v>
      </c>
      <c r="E76" s="866">
        <f>Agriculture!E90</f>
        <v>3.6459765383384255E-3</v>
      </c>
      <c r="F76" s="235">
        <f>Agriculture!F90</f>
        <v>2</v>
      </c>
      <c r="G76" s="40" t="str">
        <f>Agriculture!G90</f>
        <v>Assessment of agricultural plastics and their sustainability: A call for action, 2021. . FAO. https://doi.org/10.4060/cb7856en</v>
      </c>
      <c r="H76" s="831"/>
      <c r="I76" s="637">
        <v>1</v>
      </c>
      <c r="J76" s="9">
        <v>2</v>
      </c>
      <c r="K76" s="637">
        <v>1</v>
      </c>
      <c r="L76" s="637">
        <v>1</v>
      </c>
      <c r="M76" s="9">
        <v>2</v>
      </c>
      <c r="N76" s="186" t="str">
        <f t="shared" si="4"/>
        <v/>
      </c>
      <c r="O76" s="160">
        <f t="shared" si="5"/>
        <v>0.35859414261160716</v>
      </c>
      <c r="P76" s="63"/>
    </row>
    <row r="77" spans="1:16" s="16" customFormat="1" hidden="1">
      <c r="A77" s="152" t="str">
        <f>Agriculture!A91</f>
        <v>Agriculture</v>
      </c>
      <c r="B77" s="34" t="str">
        <f>Agriculture!B91</f>
        <v>Agricultural pipes (in use)</v>
      </c>
      <c r="C77" s="40" t="str">
        <f>Agriculture!C91</f>
        <v>EU</v>
      </c>
      <c r="D77" s="34" t="str">
        <f>Agriculture!D91</f>
        <v>HDPE</v>
      </c>
      <c r="E77" s="866">
        <f>Agriculture!E91</f>
        <v>2.233215610064521E-2</v>
      </c>
      <c r="F77" s="235">
        <f>Agriculture!F91</f>
        <v>2</v>
      </c>
      <c r="G77" s="40" t="str">
        <f>Agriculture!G91</f>
        <v>Assessment of agricultural plastics and their sustainability: A call for action, 2021. . FAO. https://doi.org/10.4060/cb7856en</v>
      </c>
      <c r="H77" s="831"/>
      <c r="I77" s="637">
        <v>1</v>
      </c>
      <c r="J77" s="9">
        <v>2</v>
      </c>
      <c r="K77" s="637">
        <v>1</v>
      </c>
      <c r="L77" s="637">
        <v>1</v>
      </c>
      <c r="M77" s="9">
        <v>2</v>
      </c>
      <c r="N77" s="186" t="str">
        <f t="shared" si="4"/>
        <v/>
      </c>
      <c r="O77" s="160">
        <f t="shared" si="5"/>
        <v>0.35859414261160716</v>
      </c>
      <c r="P77" s="63"/>
    </row>
    <row r="78" spans="1:16" s="16" customFormat="1" hidden="1">
      <c r="A78" s="152" t="str">
        <f>Agriculture!A146</f>
        <v>Agricultural waste collection</v>
      </c>
      <c r="B78" s="34" t="str">
        <f>Agriculture!B146</f>
        <v>Agricultural plastic recycling</v>
      </c>
      <c r="C78" s="40" t="str">
        <f>Agriculture!C146</f>
        <v>any</v>
      </c>
      <c r="D78" s="34" t="str">
        <f>Agriculture!D146</f>
        <v>any</v>
      </c>
      <c r="E78" s="265">
        <f>Agriculture!E146</f>
        <v>0.12</v>
      </c>
      <c r="F78" s="235">
        <f>Agriculture!F146</f>
        <v>1</v>
      </c>
      <c r="G78" s="40" t="str">
        <f>Agriculture!G146</f>
        <v>Schelker, Raymond, and Patrik Geisselhardt, Welche Fraktionen - Hauptkunststoffe, 2011</v>
      </c>
      <c r="H78" s="29">
        <v>2</v>
      </c>
      <c r="I78" s="9">
        <v>2</v>
      </c>
      <c r="J78" s="9">
        <v>2</v>
      </c>
      <c r="K78" s="9">
        <v>3</v>
      </c>
      <c r="L78" s="9">
        <v>1</v>
      </c>
      <c r="M78" s="9">
        <v>2</v>
      </c>
      <c r="N78" s="186">
        <f t="shared" si="4"/>
        <v>0.50042652380814845</v>
      </c>
      <c r="O78" s="160">
        <f t="shared" si="5"/>
        <v>0.50042652380814845</v>
      </c>
      <c r="P78" s="63"/>
    </row>
    <row r="79" spans="1:16" s="16" customFormat="1" hidden="1">
      <c r="A79" s="152" t="str">
        <f>Agriculture!A147</f>
        <v>Agricultural waste collection</v>
      </c>
      <c r="B79" s="34" t="str">
        <f>Agriculture!B147</f>
        <v>Agricultural plastic recycling</v>
      </c>
      <c r="C79" s="40" t="str">
        <f>Agriculture!C147</f>
        <v>any</v>
      </c>
      <c r="D79" s="34" t="str">
        <f>Agriculture!D147</f>
        <v>any</v>
      </c>
      <c r="E79" s="265">
        <f>Agriculture!E147</f>
        <v>0.1333</v>
      </c>
      <c r="F79" s="235">
        <f>Agriculture!F147</f>
        <v>1</v>
      </c>
      <c r="G79" s="40" t="str">
        <f>Agriculture!G147</f>
        <v>Müller Andreas, 2016</v>
      </c>
      <c r="H79" s="29">
        <v>2</v>
      </c>
      <c r="I79" s="9">
        <v>2</v>
      </c>
      <c r="J79" s="9">
        <v>2</v>
      </c>
      <c r="K79" s="9">
        <v>3</v>
      </c>
      <c r="L79" s="9">
        <v>1</v>
      </c>
      <c r="M79" s="9">
        <v>2</v>
      </c>
      <c r="N79" s="186">
        <f t="shared" si="4"/>
        <v>0.50042652380814845</v>
      </c>
      <c r="O79" s="160">
        <f t="shared" si="5"/>
        <v>0.50042652380814845</v>
      </c>
      <c r="P79" s="63"/>
    </row>
    <row r="80" spans="1:16" s="16" customFormat="1" hidden="1">
      <c r="A80" s="152" t="str">
        <f>Agriculture!A148</f>
        <v>Agricultural waste collection</v>
      </c>
      <c r="B80" s="34" t="str">
        <f>Agriculture!B148</f>
        <v>Agricultural plastic recycling</v>
      </c>
      <c r="C80" s="40" t="str">
        <f>Agriculture!C148</f>
        <v>any</v>
      </c>
      <c r="D80" s="34" t="str">
        <f>Agriculture!D148</f>
        <v>any</v>
      </c>
      <c r="E80" s="265">
        <f>Agriculture!E148</f>
        <v>0.26669999999999999</v>
      </c>
      <c r="F80" s="235">
        <f>Agriculture!F148</f>
        <v>1</v>
      </c>
      <c r="G80" s="40" t="str">
        <f>Agriculture!G148</f>
        <v>Müller Andreas, 2016</v>
      </c>
      <c r="H80" s="29">
        <v>2</v>
      </c>
      <c r="I80" s="9">
        <v>2</v>
      </c>
      <c r="J80" s="9">
        <v>2</v>
      </c>
      <c r="K80" s="9">
        <v>3</v>
      </c>
      <c r="L80" s="9">
        <v>1</v>
      </c>
      <c r="M80" s="9">
        <v>2</v>
      </c>
      <c r="N80" s="186">
        <f t="shared" si="4"/>
        <v>0.50042652380814845</v>
      </c>
      <c r="O80" s="160">
        <f t="shared" si="5"/>
        <v>0.50042652380814845</v>
      </c>
      <c r="P80" s="63"/>
    </row>
    <row r="81" spans="1:16" s="16" customFormat="1" hidden="1">
      <c r="A81" s="152" t="str">
        <f>Agriculture!A149</f>
        <v>Agricultural waste collection</v>
      </c>
      <c r="B81" s="34" t="str">
        <f>Agriculture!B149</f>
        <v>Agricultural plastic recycling</v>
      </c>
      <c r="C81" s="40" t="str">
        <f>Agriculture!C149</f>
        <v>any</v>
      </c>
      <c r="D81" s="34" t="str">
        <f>Agriculture!D149</f>
        <v>any</v>
      </c>
      <c r="E81" s="265">
        <f>Agriculture!E149</f>
        <v>0.2</v>
      </c>
      <c r="F81" s="235">
        <f>Agriculture!F149</f>
        <v>1</v>
      </c>
      <c r="G81" s="40" t="str">
        <f>Agriculture!G149</f>
        <v>Schelker, Raymond, and Patrik Geisselhardt, Projekt „ Kunststoff-Verwertung Schweiz “: Bericht Module 1 Und 2, 2011</v>
      </c>
      <c r="H81" s="29">
        <v>2</v>
      </c>
      <c r="I81" s="9">
        <v>2</v>
      </c>
      <c r="J81" s="9">
        <v>2</v>
      </c>
      <c r="K81" s="9">
        <v>3</v>
      </c>
      <c r="L81" s="9">
        <v>1</v>
      </c>
      <c r="M81" s="9">
        <v>2</v>
      </c>
      <c r="N81" s="186">
        <f t="shared" si="4"/>
        <v>0.50042652380814845</v>
      </c>
      <c r="O81" s="160">
        <f t="shared" si="5"/>
        <v>0.50042652380814845</v>
      </c>
      <c r="P81" s="63" t="str">
        <f>Agriculture!P149</f>
        <v>Value for films</v>
      </c>
    </row>
    <row r="82" spans="1:16" s="16" customFormat="1" hidden="1">
      <c r="A82" s="152" t="str">
        <f>Agriculture!A145</f>
        <v>Agricultural waste collection</v>
      </c>
      <c r="B82" s="34" t="str">
        <f>Agriculture!B145</f>
        <v>Incineration</v>
      </c>
      <c r="C82" s="40" t="str">
        <f>Agriculture!C145</f>
        <v>any</v>
      </c>
      <c r="D82" s="34" t="str">
        <f>Agriculture!D145</f>
        <v>any</v>
      </c>
      <c r="E82" s="265" t="str">
        <f>Agriculture!E145</f>
        <v>rest</v>
      </c>
      <c r="F82" s="235">
        <f>Agriculture!F145</f>
        <v>1</v>
      </c>
      <c r="G82" s="40">
        <f>Agriculture!G145</f>
        <v>0</v>
      </c>
      <c r="H82" s="29"/>
      <c r="I82" s="9"/>
      <c r="J82" s="9"/>
      <c r="K82" s="9"/>
      <c r="L82" s="9"/>
      <c r="M82" s="9"/>
      <c r="N82" s="186" t="str">
        <f t="shared" si="4"/>
        <v/>
      </c>
      <c r="O82" s="160" t="str">
        <f t="shared" si="5"/>
        <v/>
      </c>
      <c r="P82" s="63"/>
    </row>
    <row r="83" spans="1:16" hidden="1">
      <c r="A83" s="152" t="str">
        <f>Agriculture!A144</f>
        <v>Agricultural waste collection</v>
      </c>
      <c r="B83" s="34" t="str">
        <f>Agriculture!B144</f>
        <v>Landfill</v>
      </c>
      <c r="C83" s="40" t="str">
        <f>Agriculture!C144</f>
        <v>any</v>
      </c>
      <c r="D83" s="34" t="str">
        <f>Agriculture!D144</f>
        <v>any</v>
      </c>
      <c r="E83" s="265">
        <f>Agriculture!E144</f>
        <v>0</v>
      </c>
      <c r="F83" s="235">
        <f>Agriculture!F144</f>
        <v>1</v>
      </c>
      <c r="G83" s="40">
        <f>Agriculture!G144</f>
        <v>0</v>
      </c>
      <c r="H83" s="29"/>
      <c r="I83" s="9"/>
      <c r="J83" s="9"/>
      <c r="K83" s="9"/>
      <c r="L83" s="9"/>
      <c r="M83" s="9"/>
      <c r="N83" s="186" t="str">
        <f t="shared" si="4"/>
        <v/>
      </c>
      <c r="O83" s="160" t="str">
        <f t="shared" si="5"/>
        <v/>
      </c>
      <c r="P83" s="63"/>
    </row>
    <row r="84" spans="1:16" hidden="1">
      <c r="A84" s="152" t="str">
        <f>Agriculture!A143</f>
        <v>Agricultural waste collection</v>
      </c>
      <c r="B84" s="34" t="str">
        <f>Agriculture!B143</f>
        <v>Residential soil (macro)</v>
      </c>
      <c r="C84" s="40" t="str">
        <f>Agriculture!C143</f>
        <v>any</v>
      </c>
      <c r="D84" s="34" t="str">
        <f>Agriculture!D143</f>
        <v>any</v>
      </c>
      <c r="E84" s="265">
        <f>Agriculture!E143</f>
        <v>1E-4</v>
      </c>
      <c r="F84" s="235">
        <f>Agriculture!F143</f>
        <v>2</v>
      </c>
      <c r="G84" s="40" t="str">
        <f>Agriculture!G143</f>
        <v>Assumption</v>
      </c>
      <c r="H84" s="29">
        <v>1</v>
      </c>
      <c r="I84" s="9">
        <v>2</v>
      </c>
      <c r="J84" s="9">
        <v>1</v>
      </c>
      <c r="K84" s="9">
        <v>1</v>
      </c>
      <c r="L84" s="9">
        <v>1</v>
      </c>
      <c r="M84" s="9">
        <v>3</v>
      </c>
      <c r="N84" s="186">
        <f t="shared" si="4"/>
        <v>1.0141150152164344</v>
      </c>
      <c r="O84" s="160">
        <f t="shared" si="5"/>
        <v>1.0195048044558224</v>
      </c>
      <c r="P84" s="63"/>
    </row>
    <row r="85" spans="1:16" hidden="1">
      <c r="A85" s="152" t="s">
        <v>151</v>
      </c>
      <c r="B85" s="34" t="s">
        <v>152</v>
      </c>
      <c r="C85" s="40" t="s">
        <v>147</v>
      </c>
      <c r="D85" s="34" t="s">
        <v>147</v>
      </c>
      <c r="E85" s="265">
        <v>0.12</v>
      </c>
      <c r="F85" s="235">
        <v>1</v>
      </c>
      <c r="G85" s="40" t="s">
        <v>153</v>
      </c>
      <c r="H85" s="29">
        <v>2</v>
      </c>
      <c r="I85" s="9">
        <v>2</v>
      </c>
      <c r="J85" s="9">
        <v>2</v>
      </c>
      <c r="K85" s="9">
        <v>3</v>
      </c>
      <c r="L85" s="9">
        <v>1</v>
      </c>
      <c r="M85" s="9">
        <v>2</v>
      </c>
      <c r="N85" s="186">
        <v>0.50042652380814845</v>
      </c>
      <c r="O85" s="160">
        <v>0.50042652380814845</v>
      </c>
      <c r="P85" s="63"/>
    </row>
    <row r="86" spans="1:16" hidden="1">
      <c r="A86" s="152" t="s">
        <v>146</v>
      </c>
      <c r="B86" s="34" t="s">
        <v>154</v>
      </c>
      <c r="C86" s="40" t="s">
        <v>147</v>
      </c>
      <c r="D86" s="34" t="s">
        <v>147</v>
      </c>
      <c r="E86" s="260">
        <v>0</v>
      </c>
      <c r="F86" s="235">
        <v>2</v>
      </c>
      <c r="G86" s="40" t="s">
        <v>155</v>
      </c>
      <c r="H86" s="29"/>
      <c r="I86" s="9"/>
      <c r="J86" s="9"/>
      <c r="K86" s="9"/>
      <c r="L86" s="9"/>
      <c r="M86" s="9"/>
      <c r="N86" s="186" t="str">
        <f t="shared" ref="N86:N112" si="6">IF( OR( ISBLANK(H86),ISBLANK(J86), ISBLANK(K86), ISBLANK(L86), ISBLANK(M86) ), "", 1.5*SQRT(   EXP(2.21*(H86-1)) + EXP(2.21*(J86-1)) + EXP(2.21*(K86-1)) + EXP(2.21*(L86-1)) + EXP(2.21*M86)   )/100*2.45 )</f>
        <v/>
      </c>
      <c r="O86" s="160" t="str">
        <f t="shared" ref="O86:O149" si="7">IF( OR( ISBLANK(I86),ISBLANK(J86), ISBLANK(K86), ISBLANK(L86), ISBLANK(M86) ), "", 1.5*SQRT( EXP(2.21*(I86-1)) + EXP(2.21*(J86-1)) + EXP(2.21*(K86-1)) + EXP(2.21*(L86-1)) + EXP(2.21*M86)   )/100*2.45 )</f>
        <v/>
      </c>
      <c r="P86" s="63"/>
    </row>
    <row r="87" spans="1:16" hidden="1">
      <c r="A87" s="152" t="s">
        <v>146</v>
      </c>
      <c r="B87" s="34" t="s">
        <v>154</v>
      </c>
      <c r="C87" s="40" t="s">
        <v>147</v>
      </c>
      <c r="D87" s="34" t="s">
        <v>147</v>
      </c>
      <c r="E87" s="260">
        <v>1.6E-2</v>
      </c>
      <c r="F87" s="235">
        <v>2</v>
      </c>
      <c r="G87" s="40" t="s">
        <v>156</v>
      </c>
      <c r="H87" s="29">
        <v>1</v>
      </c>
      <c r="I87" s="9"/>
      <c r="J87" s="9">
        <v>1</v>
      </c>
      <c r="K87" s="9">
        <v>1</v>
      </c>
      <c r="L87" s="9">
        <v>1</v>
      </c>
      <c r="M87" s="9">
        <v>3</v>
      </c>
      <c r="N87" s="186">
        <f t="shared" si="6"/>
        <v>1.0141150152164344</v>
      </c>
      <c r="O87" s="160" t="str">
        <f t="shared" si="7"/>
        <v/>
      </c>
      <c r="P87" s="63"/>
    </row>
    <row r="88" spans="1:16" hidden="1">
      <c r="A88" s="152" t="s">
        <v>150</v>
      </c>
      <c r="B88" s="34" t="s">
        <v>154</v>
      </c>
      <c r="C88" s="40" t="s">
        <v>147</v>
      </c>
      <c r="D88" s="34" t="s">
        <v>147</v>
      </c>
      <c r="E88" s="260">
        <v>0</v>
      </c>
      <c r="F88" s="235">
        <v>2</v>
      </c>
      <c r="G88" s="40" t="s">
        <v>155</v>
      </c>
      <c r="H88" s="29"/>
      <c r="I88" s="9"/>
      <c r="J88" s="9"/>
      <c r="K88" s="9"/>
      <c r="L88" s="9"/>
      <c r="M88" s="9"/>
      <c r="N88" s="186" t="str">
        <f t="shared" si="6"/>
        <v/>
      </c>
      <c r="O88" s="160" t="str">
        <f t="shared" si="7"/>
        <v/>
      </c>
      <c r="P88" s="63"/>
    </row>
    <row r="89" spans="1:16" hidden="1">
      <c r="A89" s="152" t="s">
        <v>150</v>
      </c>
      <c r="B89" s="34" t="s">
        <v>154</v>
      </c>
      <c r="C89" s="40" t="s">
        <v>147</v>
      </c>
      <c r="D89" s="34" t="s">
        <v>147</v>
      </c>
      <c r="E89" s="260">
        <v>5.8999999999999997E-2</v>
      </c>
      <c r="F89" s="235">
        <v>2</v>
      </c>
      <c r="G89" s="40" t="s">
        <v>156</v>
      </c>
      <c r="H89" s="29">
        <v>1</v>
      </c>
      <c r="I89" s="9"/>
      <c r="J89" s="9">
        <v>1</v>
      </c>
      <c r="K89" s="9">
        <v>1</v>
      </c>
      <c r="L89" s="9">
        <v>1</v>
      </c>
      <c r="M89" s="9">
        <v>3</v>
      </c>
      <c r="N89" s="186">
        <f t="shared" si="6"/>
        <v>1.0141150152164344</v>
      </c>
      <c r="O89" s="160" t="str">
        <f t="shared" si="7"/>
        <v/>
      </c>
      <c r="P89" s="63"/>
    </row>
    <row r="90" spans="1:16" hidden="1">
      <c r="A90" s="152" t="s">
        <v>157</v>
      </c>
      <c r="B90" s="34" t="s">
        <v>154</v>
      </c>
      <c r="C90" s="40" t="s">
        <v>147</v>
      </c>
      <c r="D90" s="34" t="s">
        <v>147</v>
      </c>
      <c r="E90" s="260" t="s">
        <v>158</v>
      </c>
      <c r="F90" s="235">
        <v>1</v>
      </c>
      <c r="G90" s="40"/>
      <c r="H90" s="29"/>
      <c r="I90" s="9"/>
      <c r="J90" s="9"/>
      <c r="K90" s="9"/>
      <c r="L90" s="9"/>
      <c r="M90" s="9"/>
      <c r="N90" s="186" t="str">
        <f t="shared" si="6"/>
        <v/>
      </c>
      <c r="O90" s="160" t="str">
        <f t="shared" si="7"/>
        <v/>
      </c>
      <c r="P90" s="63" t="s">
        <v>159</v>
      </c>
    </row>
    <row r="91" spans="1:16" hidden="1">
      <c r="A91" s="292" t="s">
        <v>160</v>
      </c>
      <c r="B91" s="55" t="s">
        <v>161</v>
      </c>
      <c r="C91" s="265" t="s">
        <v>147</v>
      </c>
      <c r="D91" s="55" t="s">
        <v>147</v>
      </c>
      <c r="E91" s="260" t="s">
        <v>158</v>
      </c>
      <c r="F91" s="235">
        <v>1</v>
      </c>
      <c r="G91" s="265"/>
      <c r="H91" s="29"/>
      <c r="I91" s="9"/>
      <c r="J91" s="9"/>
      <c r="K91" s="9"/>
      <c r="L91" s="9"/>
      <c r="M91" s="9"/>
      <c r="N91" s="186" t="str">
        <f t="shared" si="6"/>
        <v/>
      </c>
      <c r="O91" s="160" t="str">
        <f t="shared" si="7"/>
        <v/>
      </c>
      <c r="P91" s="63"/>
    </row>
    <row r="92" spans="1:16" hidden="1">
      <c r="A92" s="152" t="str">
        <f>Agriculture!A115</f>
        <v>Agricultural mulching films</v>
      </c>
      <c r="B92" s="34" t="str">
        <f>Agriculture!B115</f>
        <v>Agricultural soil (macro)</v>
      </c>
      <c r="C92" s="40" t="str">
        <f>Agriculture!C115</f>
        <v>any</v>
      </c>
      <c r="D92" s="34" t="str">
        <f>Agriculture!D115</f>
        <v>any</v>
      </c>
      <c r="E92" s="243">
        <f>Agriculture!E115</f>
        <v>0</v>
      </c>
      <c r="F92" s="235">
        <f>Agriculture!F115</f>
        <v>2</v>
      </c>
      <c r="G92" s="40" t="str">
        <f>Agriculture!G115</f>
        <v>Best case scenario</v>
      </c>
      <c r="H92" s="29"/>
      <c r="I92" s="9"/>
      <c r="J92" s="9"/>
      <c r="K92" s="9"/>
      <c r="L92" s="9"/>
      <c r="M92" s="9"/>
      <c r="N92" s="186" t="str">
        <f t="shared" si="6"/>
        <v/>
      </c>
      <c r="O92" s="160" t="str">
        <f t="shared" si="7"/>
        <v/>
      </c>
      <c r="P92" s="63"/>
    </row>
    <row r="93" spans="1:16" hidden="1">
      <c r="A93" s="152" t="str">
        <f>Agriculture!A116</f>
        <v>Agricultural mulching films</v>
      </c>
      <c r="B93" s="34" t="str">
        <f>Agriculture!B116</f>
        <v>Agricultural soil (macro)</v>
      </c>
      <c r="C93" s="40" t="str">
        <f>Agriculture!C116</f>
        <v>any</v>
      </c>
      <c r="D93" s="34" t="str">
        <f>Agriculture!D116</f>
        <v>any</v>
      </c>
      <c r="E93" s="243">
        <f>Agriculture!E116</f>
        <v>3.6999999999999998E-2</v>
      </c>
      <c r="F93" s="235">
        <f>Agriculture!F116</f>
        <v>2</v>
      </c>
      <c r="G93" s="40" t="str">
        <f>Agriculture!G116</f>
        <v>Based on Agreste. Chiffres-Clés : 61 Hectares En Moyenne Par Exploitation; 2017</v>
      </c>
      <c r="H93" s="29">
        <v>2</v>
      </c>
      <c r="I93" s="9">
        <v>2</v>
      </c>
      <c r="J93" s="9">
        <v>2</v>
      </c>
      <c r="K93" s="9">
        <v>1</v>
      </c>
      <c r="L93" s="9">
        <v>1</v>
      </c>
      <c r="M93" s="9">
        <v>3</v>
      </c>
      <c r="N93" s="186">
        <f t="shared" si="6"/>
        <v>1.0248662490928169</v>
      </c>
      <c r="O93" s="160">
        <f t="shared" si="7"/>
        <v>1.0248662490928169</v>
      </c>
      <c r="P93" s="63"/>
    </row>
    <row r="94" spans="1:16" hidden="1">
      <c r="A94" s="152" t="str">
        <f>Agriculture!A121</f>
        <v>Agricultural other</v>
      </c>
      <c r="B94" s="34" t="str">
        <f>Agriculture!B121</f>
        <v>Agricultural soil (macro)</v>
      </c>
      <c r="C94" s="40" t="str">
        <f>Agriculture!C121</f>
        <v>any</v>
      </c>
      <c r="D94" s="34" t="str">
        <f>Agriculture!D121</f>
        <v>any</v>
      </c>
      <c r="E94" s="243">
        <f>Agriculture!E121</f>
        <v>0</v>
      </c>
      <c r="F94" s="235">
        <f>Agriculture!F121</f>
        <v>2</v>
      </c>
      <c r="G94" s="40" t="str">
        <f>Agriculture!G121</f>
        <v>Best case scenario</v>
      </c>
      <c r="H94" s="29"/>
      <c r="I94" s="9"/>
      <c r="J94" s="9"/>
      <c r="K94" s="9"/>
      <c r="L94" s="9"/>
      <c r="M94" s="9"/>
      <c r="N94" s="186" t="str">
        <f t="shared" si="6"/>
        <v/>
      </c>
      <c r="O94" s="160" t="str">
        <f t="shared" si="7"/>
        <v/>
      </c>
      <c r="P94" s="63"/>
    </row>
    <row r="95" spans="1:16" hidden="1">
      <c r="A95" s="152" t="str">
        <f>Agriculture!A122</f>
        <v>Agricultural other</v>
      </c>
      <c r="B95" s="34" t="str">
        <f>Agriculture!B122</f>
        <v>Agricultural soil (macro)</v>
      </c>
      <c r="C95" s="40" t="str">
        <f>Agriculture!C122</f>
        <v>any</v>
      </c>
      <c r="D95" s="34" t="str">
        <f>Agriculture!D122</f>
        <v>any</v>
      </c>
      <c r="E95" s="243">
        <f>Agriculture!E122</f>
        <v>3.7999999999999999E-2</v>
      </c>
      <c r="F95" s="235">
        <f>Agriculture!F122</f>
        <v>2</v>
      </c>
      <c r="G95" s="40" t="str">
        <f>Agriculture!G122</f>
        <v>Based on Agreste. Chiffres-Clés : 61 Hectares En Moyenne Par Exploitation; 2017</v>
      </c>
      <c r="H95" s="29">
        <v>2</v>
      </c>
      <c r="I95" s="9">
        <v>2</v>
      </c>
      <c r="J95" s="9">
        <v>2</v>
      </c>
      <c r="K95" s="9">
        <v>1</v>
      </c>
      <c r="L95" s="9">
        <v>1</v>
      </c>
      <c r="M95" s="9">
        <v>3</v>
      </c>
      <c r="N95" s="186">
        <f t="shared" si="6"/>
        <v>1.0248662490928169</v>
      </c>
      <c r="O95" s="160">
        <f t="shared" si="7"/>
        <v>1.0248662490928169</v>
      </c>
      <c r="P95" s="63"/>
    </row>
    <row r="96" spans="1:16" hidden="1">
      <c r="A96" s="152" t="str">
        <f>Agriculture!A125</f>
        <v>Agricultural pipes (in use)</v>
      </c>
      <c r="B96" s="34" t="str">
        <f>Agriculture!B125</f>
        <v>Agricultural soil (macro)</v>
      </c>
      <c r="C96" s="40" t="str">
        <f>Agriculture!C125</f>
        <v>any</v>
      </c>
      <c r="D96" s="34" t="str">
        <f>Agriculture!D125</f>
        <v>any</v>
      </c>
      <c r="E96" s="243">
        <f>Agriculture!E125</f>
        <v>0</v>
      </c>
      <c r="F96" s="235">
        <f>Agriculture!F125</f>
        <v>2</v>
      </c>
      <c r="G96" s="40" t="str">
        <f>Agriculture!G125</f>
        <v>Best case scenario</v>
      </c>
      <c r="H96" s="29"/>
      <c r="I96" s="9"/>
      <c r="J96" s="9"/>
      <c r="K96" s="9"/>
      <c r="L96" s="9"/>
      <c r="M96" s="9"/>
      <c r="N96" s="186" t="str">
        <f t="shared" si="6"/>
        <v/>
      </c>
      <c r="O96" s="160" t="str">
        <f t="shared" si="7"/>
        <v/>
      </c>
      <c r="P96" s="63" t="str">
        <f>Agriculture!P125</f>
        <v>Normalized (See Agriculture sheet)</v>
      </c>
    </row>
    <row r="97" spans="1:16" hidden="1">
      <c r="A97" s="152" t="str">
        <f>Agriculture!A126</f>
        <v>Agricultural pipes (in use)</v>
      </c>
      <c r="B97" s="34" t="str">
        <f>Agriculture!B126</f>
        <v>Agricultural soil (macro)</v>
      </c>
      <c r="C97" s="40" t="str">
        <f>Agriculture!C126</f>
        <v>any</v>
      </c>
      <c r="D97" s="34" t="str">
        <f>Agriculture!D126</f>
        <v>any</v>
      </c>
      <c r="E97" s="243">
        <f>Agriculture!E126</f>
        <v>0.51351351351351338</v>
      </c>
      <c r="F97" s="235">
        <f>Agriculture!F126</f>
        <v>2</v>
      </c>
      <c r="G97" s="40" t="str">
        <f>Agriculture!G126</f>
        <v>Based on Agreste. Chiffres-Clés : 61 Hectares En Moyenne Par Exploitation; 2017</v>
      </c>
      <c r="H97" s="29">
        <v>2</v>
      </c>
      <c r="I97" s="9">
        <v>2</v>
      </c>
      <c r="J97" s="9">
        <v>2</v>
      </c>
      <c r="K97" s="9">
        <v>1</v>
      </c>
      <c r="L97" s="9">
        <v>1</v>
      </c>
      <c r="M97" s="9">
        <v>3</v>
      </c>
      <c r="N97" s="186">
        <f t="shared" si="6"/>
        <v>1.0248662490928169</v>
      </c>
      <c r="O97" s="160">
        <f t="shared" si="7"/>
        <v>1.0248662490928169</v>
      </c>
      <c r="P97" s="63" t="str">
        <f>Agriculture!P126</f>
        <v>Normalized (See Agriculture sheet)</v>
      </c>
    </row>
    <row r="98" spans="1:16" hidden="1">
      <c r="A98" s="152" t="str">
        <f>Agriculture!A129</f>
        <v>Agricultural greenhouse films (in use)</v>
      </c>
      <c r="B98" s="34" t="str">
        <f>Agriculture!B129</f>
        <v>Agricultural soil (macro)</v>
      </c>
      <c r="C98" s="40" t="str">
        <f>Agriculture!C129</f>
        <v>any</v>
      </c>
      <c r="D98" s="34" t="str">
        <f>Agriculture!D129</f>
        <v>any</v>
      </c>
      <c r="E98" s="243">
        <f>Agriculture!E129</f>
        <v>0</v>
      </c>
      <c r="F98" s="235">
        <f>Agriculture!F129</f>
        <v>2</v>
      </c>
      <c r="G98" s="40" t="str">
        <f>Agriculture!G129</f>
        <v>Best case scenario</v>
      </c>
      <c r="H98" s="29"/>
      <c r="I98" s="9"/>
      <c r="J98" s="9"/>
      <c r="K98" s="9"/>
      <c r="L98" s="9"/>
      <c r="M98" s="9"/>
      <c r="N98" s="186" t="str">
        <f t="shared" si="6"/>
        <v/>
      </c>
      <c r="O98" s="160" t="str">
        <f t="shared" si="7"/>
        <v/>
      </c>
      <c r="P98" s="63" t="str">
        <f>Agriculture!P129</f>
        <v>Normalized (See Agriculture sheet)</v>
      </c>
    </row>
    <row r="99" spans="1:16" hidden="1">
      <c r="A99" s="152" t="str">
        <f>Agriculture!A130</f>
        <v>Agricultural greenhouse films (in use)</v>
      </c>
      <c r="B99" s="34" t="str">
        <f>Agriculture!B130</f>
        <v>Agricultural soil (macro)</v>
      </c>
      <c r="C99" s="40" t="str">
        <f>Agriculture!C130</f>
        <v>any</v>
      </c>
      <c r="D99" s="34" t="str">
        <f>Agriculture!D130</f>
        <v>any</v>
      </c>
      <c r="E99" s="243">
        <f>Agriculture!E130</f>
        <v>0.40217391304347827</v>
      </c>
      <c r="F99" s="235">
        <f>Agriculture!F130</f>
        <v>2</v>
      </c>
      <c r="G99" s="40" t="str">
        <f>Agriculture!G130</f>
        <v>Based on Agreste. Chiffres-Clés : 61 Hectares En Moyenne Par Exploitation; 2017</v>
      </c>
      <c r="H99" s="29">
        <v>2</v>
      </c>
      <c r="I99" s="9">
        <v>2</v>
      </c>
      <c r="J99" s="9">
        <v>2</v>
      </c>
      <c r="K99" s="9">
        <v>1</v>
      </c>
      <c r="L99" s="9">
        <v>1</v>
      </c>
      <c r="M99" s="9">
        <v>3</v>
      </c>
      <c r="N99" s="186">
        <f t="shared" si="6"/>
        <v>1.0248662490928169</v>
      </c>
      <c r="O99" s="160">
        <f t="shared" si="7"/>
        <v>1.0248662490928169</v>
      </c>
      <c r="P99" s="63" t="str">
        <f>Agriculture!P130</f>
        <v>Normalized (See Agriculture sheet)</v>
      </c>
    </row>
    <row r="100" spans="1:16" hidden="1">
      <c r="A100" s="152" t="s">
        <v>162</v>
      </c>
      <c r="B100" s="34" t="s">
        <v>163</v>
      </c>
      <c r="C100" s="40" t="s">
        <v>147</v>
      </c>
      <c r="D100" s="34" t="s">
        <v>147</v>
      </c>
      <c r="E100" s="260" t="s">
        <v>158</v>
      </c>
      <c r="F100" s="235">
        <v>1</v>
      </c>
      <c r="G100" s="40"/>
      <c r="H100" s="29"/>
      <c r="I100" s="9"/>
      <c r="J100" s="9"/>
      <c r="K100" s="9"/>
      <c r="L100" s="9"/>
      <c r="M100" s="9"/>
      <c r="N100" s="186" t="str">
        <f t="shared" si="6"/>
        <v/>
      </c>
      <c r="O100" s="160" t="str">
        <f t="shared" si="7"/>
        <v/>
      </c>
      <c r="P100" s="63" t="s">
        <v>159</v>
      </c>
    </row>
    <row r="101" spans="1:16" hidden="1">
      <c r="A101" s="152" t="s">
        <v>164</v>
      </c>
      <c r="B101" s="34" t="s">
        <v>163</v>
      </c>
      <c r="C101" s="40" t="s">
        <v>147</v>
      </c>
      <c r="D101" s="34" t="s">
        <v>147</v>
      </c>
      <c r="E101" s="260" t="s">
        <v>158</v>
      </c>
      <c r="F101" s="235">
        <v>1</v>
      </c>
      <c r="G101" s="867" t="s">
        <v>165</v>
      </c>
      <c r="H101" s="29">
        <v>1</v>
      </c>
      <c r="I101" s="9">
        <v>1</v>
      </c>
      <c r="J101" s="9">
        <v>1</v>
      </c>
      <c r="K101" s="9">
        <v>3</v>
      </c>
      <c r="L101" s="9">
        <v>3</v>
      </c>
      <c r="M101" s="9">
        <v>3</v>
      </c>
      <c r="N101" s="186">
        <f t="shared" si="6"/>
        <v>1.1181151966036349</v>
      </c>
      <c r="O101" s="160">
        <f t="shared" si="7"/>
        <v>1.1181151966036349</v>
      </c>
      <c r="P101" s="63" t="s">
        <v>166</v>
      </c>
    </row>
    <row r="102" spans="1:16" hidden="1">
      <c r="A102" s="152" t="s">
        <v>167</v>
      </c>
      <c r="B102" s="34" t="s">
        <v>163</v>
      </c>
      <c r="C102" s="40" t="s">
        <v>147</v>
      </c>
      <c r="D102" s="34" t="s">
        <v>147</v>
      </c>
      <c r="E102" s="260" t="s">
        <v>158</v>
      </c>
      <c r="F102" s="235">
        <v>1</v>
      </c>
      <c r="G102" s="40" t="s">
        <v>165</v>
      </c>
      <c r="H102" s="29">
        <v>1</v>
      </c>
      <c r="I102" s="9">
        <v>1</v>
      </c>
      <c r="J102" s="9">
        <v>1</v>
      </c>
      <c r="K102" s="9">
        <v>3</v>
      </c>
      <c r="L102" s="9">
        <v>3</v>
      </c>
      <c r="M102" s="9">
        <v>3</v>
      </c>
      <c r="N102" s="186">
        <f t="shared" si="6"/>
        <v>1.1181151966036349</v>
      </c>
      <c r="O102" s="160">
        <f t="shared" si="7"/>
        <v>1.1181151966036349</v>
      </c>
      <c r="P102" s="63" t="s">
        <v>166</v>
      </c>
    </row>
    <row r="103" spans="1:16" hidden="1">
      <c r="A103" s="152" t="str">
        <f>Agriculture!A114</f>
        <v>Agricultural mulching films</v>
      </c>
      <c r="B103" s="34" t="str">
        <f>Agriculture!B114</f>
        <v>Agricultural soil (micro)</v>
      </c>
      <c r="C103" s="40" t="str">
        <f>Agriculture!C114</f>
        <v>any</v>
      </c>
      <c r="D103" s="34" t="str">
        <f>Agriculture!D114</f>
        <v>any</v>
      </c>
      <c r="E103" s="243">
        <f>Agriculture!E114</f>
        <v>0.02</v>
      </c>
      <c r="F103" s="235">
        <f>Agriculture!F114</f>
        <v>2</v>
      </c>
      <c r="G103" s="40" t="str">
        <f>Agriculture!G114</f>
        <v>Assumption by Kawecki and Nowack (explained on page 38 of the SI)</v>
      </c>
      <c r="H103" s="29">
        <v>2</v>
      </c>
      <c r="I103" s="9">
        <v>2</v>
      </c>
      <c r="J103" s="9">
        <v>2</v>
      </c>
      <c r="K103" s="9">
        <v>1</v>
      </c>
      <c r="L103" s="9">
        <v>1</v>
      </c>
      <c r="M103" s="9">
        <v>3</v>
      </c>
      <c r="N103" s="186">
        <f t="shared" si="6"/>
        <v>1.0248662490928169</v>
      </c>
      <c r="O103" s="160">
        <f t="shared" si="7"/>
        <v>1.0248662490928169</v>
      </c>
      <c r="P103" s="63" t="str">
        <f>Agriculture!P114</f>
        <v>Assume that for a film with 1m width, 1cm is lost on both sides when removing. This results in a total loss of 2% of plastic.</v>
      </c>
    </row>
    <row r="104" spans="1:16" hidden="1">
      <c r="A104" s="152" t="str">
        <f>Agriculture!A120</f>
        <v>Agricultural other</v>
      </c>
      <c r="B104" s="34" t="str">
        <f>Agriculture!B120</f>
        <v>Agricultural soil (micro)</v>
      </c>
      <c r="C104" s="40" t="str">
        <f>Agriculture!C120</f>
        <v>any</v>
      </c>
      <c r="D104" s="34" t="str">
        <f>Agriculture!D120</f>
        <v>any</v>
      </c>
      <c r="E104" s="243">
        <f>Agriculture!E120</f>
        <v>1E-3</v>
      </c>
      <c r="F104" s="235">
        <f>Agriculture!F120</f>
        <v>2</v>
      </c>
      <c r="G104" s="40" t="str">
        <f>Agriculture!G120</f>
        <v>Assumption</v>
      </c>
      <c r="H104" s="29">
        <v>1</v>
      </c>
      <c r="I104" s="9">
        <v>1</v>
      </c>
      <c r="J104" s="9">
        <v>1</v>
      </c>
      <c r="K104" s="9">
        <v>1</v>
      </c>
      <c r="L104" s="9">
        <v>1</v>
      </c>
      <c r="M104" s="9">
        <v>3</v>
      </c>
      <c r="N104" s="186">
        <f t="shared" si="6"/>
        <v>1.0141150152164344</v>
      </c>
      <c r="O104" s="160">
        <f t="shared" si="7"/>
        <v>1.0141150152164344</v>
      </c>
      <c r="P104" s="63"/>
    </row>
    <row r="105" spans="1:16" hidden="1">
      <c r="A105" s="152" t="str">
        <f>Agriculture!A124</f>
        <v>Agricultural pipes (in use)</v>
      </c>
      <c r="B105" s="34" t="str">
        <f>Agriculture!B124</f>
        <v>Agricultural soil (micro)</v>
      </c>
      <c r="C105" s="40" t="str">
        <f>Agriculture!C124</f>
        <v>any</v>
      </c>
      <c r="D105" s="34" t="str">
        <f>Agriculture!D124</f>
        <v>any</v>
      </c>
      <c r="E105" s="243" t="str">
        <f>Agriculture!E124</f>
        <v>rest</v>
      </c>
      <c r="F105" s="235">
        <f>Agriculture!F124</f>
        <v>2</v>
      </c>
      <c r="G105" s="40" t="str">
        <f>Agriculture!G124</f>
        <v>Assumption</v>
      </c>
      <c r="H105" s="29">
        <v>1</v>
      </c>
      <c r="I105" s="9">
        <v>1</v>
      </c>
      <c r="J105" s="9">
        <v>1</v>
      </c>
      <c r="K105" s="9">
        <v>1</v>
      </c>
      <c r="L105" s="9">
        <v>1</v>
      </c>
      <c r="M105" s="9">
        <v>3</v>
      </c>
      <c r="N105" s="186">
        <f t="shared" si="6"/>
        <v>1.0141150152164344</v>
      </c>
      <c r="O105" s="160">
        <f t="shared" si="7"/>
        <v>1.0141150152164344</v>
      </c>
      <c r="P105" s="63" t="str">
        <f>Agriculture!P124</f>
        <v>Assume that for a film with 1m width, 1cm is lost on both sides when removing. This results in a total loss of 2% of plastic.</v>
      </c>
    </row>
    <row r="106" spans="1:16" hidden="1">
      <c r="A106" s="152" t="str">
        <f>Agriculture!A128</f>
        <v>Agricultural greenhouse films (in use)</v>
      </c>
      <c r="B106" s="34" t="str">
        <f>Agriculture!B128</f>
        <v>Agricultural soil (micro)</v>
      </c>
      <c r="C106" s="40" t="str">
        <f>Agriculture!C128</f>
        <v>any</v>
      </c>
      <c r="D106" s="34" t="str">
        <f>Agriculture!D128</f>
        <v>any</v>
      </c>
      <c r="E106" s="243" t="str">
        <f>Agriculture!E128</f>
        <v>rest</v>
      </c>
      <c r="F106" s="235">
        <f>Agriculture!F128</f>
        <v>1</v>
      </c>
      <c r="G106" s="40" t="str">
        <f>Agriculture!G128</f>
        <v>Assumption by Kawecki and Nowack (explained on page 38 of the SI)</v>
      </c>
      <c r="H106" s="29">
        <v>2</v>
      </c>
      <c r="I106" s="9">
        <v>2</v>
      </c>
      <c r="J106" s="9">
        <v>1</v>
      </c>
      <c r="K106" s="9">
        <v>1</v>
      </c>
      <c r="L106" s="9">
        <v>1</v>
      </c>
      <c r="M106" s="9">
        <v>3</v>
      </c>
      <c r="N106" s="186">
        <f t="shared" si="6"/>
        <v>1.0195048044558224</v>
      </c>
      <c r="O106" s="160">
        <f t="shared" si="7"/>
        <v>1.0195048044558224</v>
      </c>
      <c r="P106" s="63"/>
    </row>
    <row r="107" spans="1:16" hidden="1">
      <c r="A107" s="152" t="s">
        <v>168</v>
      </c>
      <c r="B107" s="34" t="s">
        <v>163</v>
      </c>
      <c r="C107" s="40" t="s">
        <v>147</v>
      </c>
      <c r="D107" s="34" t="s">
        <v>147</v>
      </c>
      <c r="E107" s="260" t="s">
        <v>158</v>
      </c>
      <c r="F107" s="235">
        <v>1</v>
      </c>
      <c r="G107" s="40" t="s">
        <v>165</v>
      </c>
      <c r="H107" s="29">
        <v>1</v>
      </c>
      <c r="I107" s="9">
        <v>1</v>
      </c>
      <c r="J107" s="9">
        <v>1</v>
      </c>
      <c r="K107" s="9">
        <v>3</v>
      </c>
      <c r="L107" s="9">
        <v>3</v>
      </c>
      <c r="M107" s="9">
        <v>3</v>
      </c>
      <c r="N107" s="186">
        <f t="shared" si="6"/>
        <v>1.1181151966036349</v>
      </c>
      <c r="O107" s="160">
        <f t="shared" si="7"/>
        <v>1.1181151966036349</v>
      </c>
      <c r="P107" s="63" t="s">
        <v>166</v>
      </c>
    </row>
    <row r="108" spans="1:16" hidden="1">
      <c r="A108" s="152" t="s">
        <v>169</v>
      </c>
      <c r="B108" s="34" t="s">
        <v>163</v>
      </c>
      <c r="C108" s="40" t="s">
        <v>147</v>
      </c>
      <c r="D108" s="34" t="s">
        <v>147</v>
      </c>
      <c r="E108" s="260" t="s">
        <v>158</v>
      </c>
      <c r="F108" s="235">
        <v>1</v>
      </c>
      <c r="G108" s="40" t="s">
        <v>165</v>
      </c>
      <c r="H108" s="29">
        <v>1</v>
      </c>
      <c r="I108" s="9">
        <v>1</v>
      </c>
      <c r="J108" s="9">
        <v>1</v>
      </c>
      <c r="K108" s="9">
        <v>3</v>
      </c>
      <c r="L108" s="9">
        <v>3</v>
      </c>
      <c r="M108" s="9">
        <v>3</v>
      </c>
      <c r="N108" s="186">
        <f t="shared" si="6"/>
        <v>1.1181151966036349</v>
      </c>
      <c r="O108" s="160">
        <f t="shared" si="7"/>
        <v>1.1181151966036349</v>
      </c>
      <c r="P108" s="63" t="s">
        <v>166</v>
      </c>
    </row>
    <row r="109" spans="1:16" hidden="1">
      <c r="A109" s="292" t="s">
        <v>160</v>
      </c>
      <c r="B109" s="55" t="s">
        <v>170</v>
      </c>
      <c r="C109" s="265" t="s">
        <v>147</v>
      </c>
      <c r="D109" s="55" t="s">
        <v>147</v>
      </c>
      <c r="E109" s="260">
        <v>9.8000000000000004E-2</v>
      </c>
      <c r="F109" s="235">
        <v>2</v>
      </c>
      <c r="G109" s="265" t="s">
        <v>171</v>
      </c>
      <c r="H109" s="29">
        <v>2</v>
      </c>
      <c r="I109" s="9">
        <v>2</v>
      </c>
      <c r="J109" s="9">
        <v>1</v>
      </c>
      <c r="K109" s="9">
        <v>1</v>
      </c>
      <c r="L109" s="9">
        <v>1</v>
      </c>
      <c r="M109" s="9">
        <v>3</v>
      </c>
      <c r="N109" s="186">
        <f t="shared" si="6"/>
        <v>1.0195048044558224</v>
      </c>
      <c r="O109" s="160">
        <f t="shared" si="7"/>
        <v>1.0195048044558224</v>
      </c>
      <c r="P109" s="63" t="s">
        <v>172</v>
      </c>
    </row>
    <row r="110" spans="1:16" hidden="1">
      <c r="A110" s="152" t="s">
        <v>146</v>
      </c>
      <c r="B110" s="34" t="s">
        <v>173</v>
      </c>
      <c r="C110" s="40" t="s">
        <v>147</v>
      </c>
      <c r="D110" s="34" t="s">
        <v>147</v>
      </c>
      <c r="E110" s="260" t="s">
        <v>158</v>
      </c>
      <c r="F110" s="235">
        <v>1</v>
      </c>
      <c r="G110" s="40"/>
      <c r="H110" s="29"/>
      <c r="I110" s="9"/>
      <c r="J110" s="9"/>
      <c r="K110" s="9"/>
      <c r="L110" s="9"/>
      <c r="M110" s="9"/>
      <c r="N110" s="186" t="str">
        <f t="shared" si="6"/>
        <v/>
      </c>
      <c r="O110" s="160" t="str">
        <f t="shared" si="7"/>
        <v/>
      </c>
      <c r="P110" s="63"/>
    </row>
    <row r="111" spans="1:16" hidden="1">
      <c r="A111" s="152" t="s">
        <v>150</v>
      </c>
      <c r="B111" s="34" t="s">
        <v>173</v>
      </c>
      <c r="C111" s="40" t="s">
        <v>147</v>
      </c>
      <c r="D111" s="34" t="s">
        <v>147</v>
      </c>
      <c r="E111" s="260" t="s">
        <v>158</v>
      </c>
      <c r="F111" s="235">
        <v>1</v>
      </c>
      <c r="G111" s="40"/>
      <c r="H111" s="29"/>
      <c r="I111" s="9"/>
      <c r="J111" s="9"/>
      <c r="K111" s="9"/>
      <c r="L111" s="9"/>
      <c r="M111" s="9"/>
      <c r="N111" s="186" t="str">
        <f t="shared" si="6"/>
        <v/>
      </c>
      <c r="O111" s="160" t="str">
        <f t="shared" si="7"/>
        <v/>
      </c>
      <c r="P111" s="63"/>
    </row>
    <row r="112" spans="1:16" hidden="1">
      <c r="A112" s="152" t="str">
        <f>Agriculture!A113</f>
        <v>Agricultural mulching films</v>
      </c>
      <c r="B112" s="34" t="str">
        <f>Agriculture!B113</f>
        <v>Agricultural waste collection</v>
      </c>
      <c r="C112" s="40" t="str">
        <f>Agriculture!C113</f>
        <v>any</v>
      </c>
      <c r="D112" s="34" t="str">
        <f>Agriculture!D113</f>
        <v>any</v>
      </c>
      <c r="E112" s="243" t="str">
        <f>Agriculture!E113</f>
        <v>rest</v>
      </c>
      <c r="F112" s="235">
        <f>Agriculture!F113</f>
        <v>1</v>
      </c>
      <c r="G112" s="40">
        <f>Agriculture!G113</f>
        <v>0</v>
      </c>
      <c r="H112" s="29"/>
      <c r="I112" s="9"/>
      <c r="J112" s="9"/>
      <c r="K112" s="9"/>
      <c r="L112" s="9"/>
      <c r="M112" s="9"/>
      <c r="N112" s="186" t="str">
        <f t="shared" si="6"/>
        <v/>
      </c>
      <c r="O112" s="160" t="str">
        <f t="shared" si="7"/>
        <v/>
      </c>
      <c r="P112" s="63"/>
    </row>
    <row r="113" spans="1:16" hidden="1">
      <c r="A113" s="152" t="str">
        <f>Agriculture!A119</f>
        <v>Agricultural other</v>
      </c>
      <c r="B113" s="34" t="str">
        <f>Agriculture!B119</f>
        <v>Agricultural waste collection</v>
      </c>
      <c r="C113" s="40" t="str">
        <f>Agriculture!C119</f>
        <v>any</v>
      </c>
      <c r="D113" s="34" t="str">
        <f>Agriculture!D119</f>
        <v>any</v>
      </c>
      <c r="E113" s="243" t="str">
        <f>Agriculture!E119</f>
        <v>rest</v>
      </c>
      <c r="F113" s="235">
        <f>Agriculture!F119</f>
        <v>1</v>
      </c>
      <c r="G113" s="40">
        <f>Agriculture!G119</f>
        <v>0</v>
      </c>
      <c r="H113" s="29"/>
      <c r="I113" s="9"/>
      <c r="J113" s="9"/>
      <c r="K113" s="9"/>
      <c r="L113" s="9"/>
      <c r="M113" s="9"/>
      <c r="N113" s="186"/>
      <c r="O113" s="160" t="str">
        <f t="shared" si="7"/>
        <v/>
      </c>
      <c r="P113" s="63"/>
    </row>
    <row r="114" spans="1:16" hidden="1">
      <c r="A114" s="152" t="str">
        <f>Agriculture!A133</f>
        <v>Agricultural pipes (discarded)</v>
      </c>
      <c r="B114" s="34" t="str">
        <f>Agriculture!B133</f>
        <v>Agricultural waste collection</v>
      </c>
      <c r="C114" s="40" t="str">
        <f>Agriculture!C133</f>
        <v>any</v>
      </c>
      <c r="D114" s="34" t="str">
        <f>Agriculture!D133</f>
        <v>any</v>
      </c>
      <c r="E114" s="243" t="str">
        <f>Agriculture!E133</f>
        <v>rest</v>
      </c>
      <c r="F114" s="235">
        <f>Agriculture!F133</f>
        <v>1</v>
      </c>
      <c r="G114" s="40">
        <f>Agriculture!G133</f>
        <v>0</v>
      </c>
      <c r="H114" s="29"/>
      <c r="I114" s="9"/>
      <c r="J114" s="9"/>
      <c r="K114" s="9"/>
      <c r="L114" s="9"/>
      <c r="M114" s="9"/>
      <c r="N114" s="186" t="str">
        <f t="shared" ref="N114:N145" si="8">IF( OR( ISBLANK(H114),ISBLANK(J114), ISBLANK(K114), ISBLANK(L114), ISBLANK(M114) ), "", 1.5*SQRT(   EXP(2.21*(H114-1)) + EXP(2.21*(J114-1)) + EXP(2.21*(K114-1)) + EXP(2.21*(L114-1)) + EXP(2.21*M114)   )/100*2.45 )</f>
        <v/>
      </c>
      <c r="O114" s="160" t="str">
        <f t="shared" si="7"/>
        <v/>
      </c>
      <c r="P114" s="63"/>
    </row>
    <row r="115" spans="1:16" hidden="1">
      <c r="A115" s="152" t="str">
        <f>Agriculture!A135</f>
        <v>Agricultural greenhouse films (discarded)</v>
      </c>
      <c r="B115" s="34" t="str">
        <f>Agriculture!B135</f>
        <v>Agricultural waste collection</v>
      </c>
      <c r="C115" s="40" t="str">
        <f>Agriculture!C135</f>
        <v>any</v>
      </c>
      <c r="D115" s="34" t="str">
        <f>Agriculture!D135</f>
        <v>any</v>
      </c>
      <c r="E115" s="243" t="str">
        <f>Agriculture!E135</f>
        <v>rest</v>
      </c>
      <c r="F115" s="235">
        <f>Agriculture!F135</f>
        <v>1</v>
      </c>
      <c r="G115" s="40">
        <f>Agriculture!G135</f>
        <v>0</v>
      </c>
      <c r="H115" s="29"/>
      <c r="I115" s="9"/>
      <c r="J115" s="9"/>
      <c r="K115" s="9"/>
      <c r="L115" s="9"/>
      <c r="M115" s="9"/>
      <c r="N115" s="186" t="str">
        <f t="shared" si="8"/>
        <v/>
      </c>
      <c r="O115" s="160" t="str">
        <f t="shared" si="7"/>
        <v/>
      </c>
      <c r="P115" s="63"/>
    </row>
    <row r="116" spans="1:16" hidden="1">
      <c r="A116" s="292" t="s">
        <v>161</v>
      </c>
      <c r="B116" s="55" t="s">
        <v>173</v>
      </c>
      <c r="C116" s="265" t="s">
        <v>147</v>
      </c>
      <c r="D116" s="55" t="s">
        <v>147</v>
      </c>
      <c r="E116" s="260" t="s">
        <v>158</v>
      </c>
      <c r="F116" s="235">
        <v>1</v>
      </c>
      <c r="G116" s="265"/>
      <c r="H116" s="29"/>
      <c r="I116" s="9"/>
      <c r="J116" s="9"/>
      <c r="K116" s="9"/>
      <c r="L116" s="9"/>
      <c r="M116" s="9"/>
      <c r="N116" s="186" t="str">
        <f t="shared" si="8"/>
        <v/>
      </c>
      <c r="O116" s="160" t="str">
        <f t="shared" si="7"/>
        <v/>
      </c>
      <c r="P116" s="63"/>
    </row>
    <row r="117" spans="1:16" hidden="1">
      <c r="A117" s="152" t="s">
        <v>164</v>
      </c>
      <c r="B117" s="34" t="s">
        <v>151</v>
      </c>
      <c r="C117" s="40" t="s">
        <v>147</v>
      </c>
      <c r="D117" s="34" t="s">
        <v>147</v>
      </c>
      <c r="E117" s="260">
        <v>0.05</v>
      </c>
      <c r="F117" s="235">
        <v>2</v>
      </c>
      <c r="G117" s="40" t="s">
        <v>174</v>
      </c>
      <c r="H117" s="29">
        <v>1</v>
      </c>
      <c r="I117" s="9">
        <v>1</v>
      </c>
      <c r="J117" s="9">
        <v>1</v>
      </c>
      <c r="K117" s="9">
        <v>3</v>
      </c>
      <c r="L117" s="9">
        <v>3</v>
      </c>
      <c r="M117" s="9">
        <v>3</v>
      </c>
      <c r="N117" s="186">
        <f t="shared" si="8"/>
        <v>1.1181151966036349</v>
      </c>
      <c r="O117" s="160">
        <f t="shared" si="7"/>
        <v>1.1181151966036349</v>
      </c>
      <c r="P117" s="63" t="s">
        <v>166</v>
      </c>
    </row>
    <row r="118" spans="1:16" hidden="1">
      <c r="A118" s="152" t="s">
        <v>167</v>
      </c>
      <c r="B118" s="34" t="s">
        <v>151</v>
      </c>
      <c r="C118" s="40" t="s">
        <v>147</v>
      </c>
      <c r="D118" s="34" t="s">
        <v>147</v>
      </c>
      <c r="E118" s="260">
        <v>0.05</v>
      </c>
      <c r="F118" s="235">
        <v>2</v>
      </c>
      <c r="G118" s="40" t="s">
        <v>174</v>
      </c>
      <c r="H118" s="29">
        <v>1</v>
      </c>
      <c r="I118" s="9">
        <v>1</v>
      </c>
      <c r="J118" s="9">
        <v>1</v>
      </c>
      <c r="K118" s="9">
        <v>3</v>
      </c>
      <c r="L118" s="9">
        <v>3</v>
      </c>
      <c r="M118" s="9">
        <v>3</v>
      </c>
      <c r="N118" s="839">
        <f t="shared" si="8"/>
        <v>1.1181151966036349</v>
      </c>
      <c r="O118" s="840">
        <f t="shared" si="7"/>
        <v>1.1181151966036349</v>
      </c>
      <c r="P118" s="63" t="s">
        <v>166</v>
      </c>
    </row>
    <row r="119" spans="1:16" hidden="1">
      <c r="A119" s="152" t="s">
        <v>168</v>
      </c>
      <c r="B119" s="34" t="s">
        <v>151</v>
      </c>
      <c r="C119" s="40" t="s">
        <v>147</v>
      </c>
      <c r="D119" s="34" t="s">
        <v>147</v>
      </c>
      <c r="E119" s="260">
        <v>0.05</v>
      </c>
      <c r="F119" s="235">
        <v>2</v>
      </c>
      <c r="G119" s="40" t="s">
        <v>174</v>
      </c>
      <c r="H119" s="29">
        <v>1</v>
      </c>
      <c r="I119" s="9">
        <v>1</v>
      </c>
      <c r="J119" s="9">
        <v>1</v>
      </c>
      <c r="K119" s="9">
        <v>3</v>
      </c>
      <c r="L119" s="9">
        <v>3</v>
      </c>
      <c r="M119" s="9">
        <v>3</v>
      </c>
      <c r="N119" s="186">
        <f t="shared" si="8"/>
        <v>1.1181151966036349</v>
      </c>
      <c r="O119" s="160">
        <f t="shared" si="7"/>
        <v>1.1181151966036349</v>
      </c>
      <c r="P119" s="63" t="s">
        <v>166</v>
      </c>
    </row>
    <row r="120" spans="1:16" hidden="1">
      <c r="A120" s="152" t="s">
        <v>169</v>
      </c>
      <c r="B120" s="34" t="s">
        <v>151</v>
      </c>
      <c r="C120" s="40" t="s">
        <v>147</v>
      </c>
      <c r="D120" s="34" t="s">
        <v>147</v>
      </c>
      <c r="E120" s="260">
        <v>0.05</v>
      </c>
      <c r="F120" s="235">
        <v>2</v>
      </c>
      <c r="G120" s="40" t="s">
        <v>174</v>
      </c>
      <c r="H120" s="29">
        <v>1</v>
      </c>
      <c r="I120" s="9">
        <v>1</v>
      </c>
      <c r="J120" s="9">
        <v>1</v>
      </c>
      <c r="K120" s="9">
        <v>3</v>
      </c>
      <c r="L120" s="9">
        <v>3</v>
      </c>
      <c r="M120" s="9">
        <v>3</v>
      </c>
      <c r="N120" s="186">
        <f t="shared" si="8"/>
        <v>1.1181151966036349</v>
      </c>
      <c r="O120" s="160">
        <f t="shared" si="7"/>
        <v>1.1181151966036349</v>
      </c>
      <c r="P120" s="63" t="s">
        <v>166</v>
      </c>
    </row>
    <row r="121" spans="1:16" hidden="1">
      <c r="A121" s="292" t="s">
        <v>161</v>
      </c>
      <c r="B121" s="55" t="s">
        <v>175</v>
      </c>
      <c r="C121" s="265" t="s">
        <v>147</v>
      </c>
      <c r="D121" s="55" t="s">
        <v>147</v>
      </c>
      <c r="E121" s="260">
        <v>3.7999999999999999E-2</v>
      </c>
      <c r="F121" s="235">
        <v>2</v>
      </c>
      <c r="G121" s="265" t="s">
        <v>176</v>
      </c>
      <c r="H121" s="29">
        <v>1</v>
      </c>
      <c r="I121" s="9">
        <v>2</v>
      </c>
      <c r="J121" s="9">
        <v>2</v>
      </c>
      <c r="K121" s="9">
        <v>3</v>
      </c>
      <c r="L121" s="9">
        <v>2</v>
      </c>
      <c r="M121" s="9">
        <v>2</v>
      </c>
      <c r="N121" s="186">
        <f t="shared" si="8"/>
        <v>0.50042652380814845</v>
      </c>
      <c r="O121" s="160">
        <f t="shared" si="7"/>
        <v>0.51126068492676302</v>
      </c>
      <c r="P121" s="63" t="s">
        <v>177</v>
      </c>
    </row>
    <row r="122" spans="1:16" hidden="1">
      <c r="A122" s="152" t="str">
        <f>Agriculture!A134</f>
        <v>Agricultural greenhouse films (discarded)</v>
      </c>
      <c r="B122" s="34" t="str">
        <f>Agriculture!B134</f>
        <v>Dumping</v>
      </c>
      <c r="C122" s="40" t="str">
        <f>Agriculture!C134</f>
        <v>any</v>
      </c>
      <c r="D122" s="34" t="str">
        <f>Agriculture!D134</f>
        <v>any</v>
      </c>
      <c r="E122" s="243">
        <f>Agriculture!E134</f>
        <v>2.9735682819383261E-4</v>
      </c>
      <c r="F122" s="235">
        <f>Agriculture!F134</f>
        <v>2</v>
      </c>
      <c r="G122" s="40" t="str">
        <f>Agriculture!G134</f>
        <v>SI Kawecki and Nowack, 2019</v>
      </c>
      <c r="H122" s="29">
        <v>2</v>
      </c>
      <c r="I122" s="9">
        <v>2</v>
      </c>
      <c r="J122" s="9">
        <v>1</v>
      </c>
      <c r="K122" s="9">
        <v>3</v>
      </c>
      <c r="L122" s="9">
        <v>3</v>
      </c>
      <c r="M122" s="9">
        <v>3</v>
      </c>
      <c r="N122" s="186">
        <f t="shared" si="8"/>
        <v>1.123005955058592</v>
      </c>
      <c r="O122" s="160">
        <f t="shared" si="7"/>
        <v>1.123005955058592</v>
      </c>
      <c r="P122" s="63" t="str">
        <f>Agriculture!P134</f>
        <v>Normalized (See Agriculture sheet)</v>
      </c>
    </row>
    <row r="123" spans="1:16" hidden="1">
      <c r="A123" s="292" t="s">
        <v>170</v>
      </c>
      <c r="B123" s="55" t="s">
        <v>154</v>
      </c>
      <c r="C123" s="265" t="s">
        <v>147</v>
      </c>
      <c r="D123" s="55" t="s">
        <v>147</v>
      </c>
      <c r="E123" s="260">
        <v>0.86734693877551028</v>
      </c>
      <c r="F123" s="235">
        <v>2</v>
      </c>
      <c r="G123" s="265" t="s">
        <v>171</v>
      </c>
      <c r="H123" s="29">
        <v>2</v>
      </c>
      <c r="I123" s="9">
        <v>2</v>
      </c>
      <c r="J123" s="9">
        <v>1</v>
      </c>
      <c r="K123" s="9">
        <v>1</v>
      </c>
      <c r="L123" s="9">
        <v>1</v>
      </c>
      <c r="M123" s="9">
        <v>3</v>
      </c>
      <c r="N123" s="186">
        <f t="shared" si="8"/>
        <v>1.0195048044558224</v>
      </c>
      <c r="O123" s="160">
        <f t="shared" si="7"/>
        <v>1.0195048044558224</v>
      </c>
      <c r="P123" s="63" t="s">
        <v>156</v>
      </c>
    </row>
    <row r="124" spans="1:16" hidden="1">
      <c r="A124" s="292" t="s">
        <v>170</v>
      </c>
      <c r="B124" s="55" t="s">
        <v>163</v>
      </c>
      <c r="C124" s="265" t="s">
        <v>147</v>
      </c>
      <c r="D124" s="55" t="s">
        <v>147</v>
      </c>
      <c r="E124" s="260" t="s">
        <v>158</v>
      </c>
      <c r="F124" s="235">
        <v>1</v>
      </c>
      <c r="G124" s="265"/>
      <c r="H124" s="29"/>
      <c r="I124" s="9"/>
      <c r="J124" s="9"/>
      <c r="K124" s="9"/>
      <c r="L124" s="9"/>
      <c r="M124" s="9"/>
      <c r="N124" s="186" t="str">
        <f t="shared" si="8"/>
        <v/>
      </c>
      <c r="O124" s="160" t="str">
        <f t="shared" si="7"/>
        <v/>
      </c>
      <c r="P124" s="63"/>
    </row>
    <row r="125" spans="1:16" hidden="1">
      <c r="A125" s="292" t="s">
        <v>178</v>
      </c>
      <c r="B125" s="55" t="s">
        <v>179</v>
      </c>
      <c r="C125" s="265" t="s">
        <v>147</v>
      </c>
      <c r="D125" s="55" t="s">
        <v>147</v>
      </c>
      <c r="E125" s="260" t="s">
        <v>158</v>
      </c>
      <c r="F125" s="235">
        <v>1</v>
      </c>
      <c r="G125" s="265"/>
      <c r="H125" s="29"/>
      <c r="I125" s="9"/>
      <c r="J125" s="9"/>
      <c r="K125" s="9"/>
      <c r="L125" s="9"/>
      <c r="M125" s="9"/>
      <c r="N125" s="186" t="str">
        <f t="shared" si="8"/>
        <v/>
      </c>
      <c r="O125" s="160" t="str">
        <f t="shared" si="7"/>
        <v/>
      </c>
      <c r="P125" s="63"/>
    </row>
    <row r="126" spans="1:16" hidden="1">
      <c r="A126" s="292" t="s">
        <v>178</v>
      </c>
      <c r="B126" s="55" t="s">
        <v>180</v>
      </c>
      <c r="C126" s="265" t="s">
        <v>147</v>
      </c>
      <c r="D126" s="55" t="s">
        <v>147</v>
      </c>
      <c r="E126" s="260">
        <v>1.2999999999999999E-3</v>
      </c>
      <c r="F126" s="235">
        <v>2</v>
      </c>
      <c r="G126" s="265" t="s">
        <v>171</v>
      </c>
      <c r="H126" s="29">
        <v>2</v>
      </c>
      <c r="I126" s="9">
        <v>2</v>
      </c>
      <c r="J126" s="9">
        <v>2</v>
      </c>
      <c r="K126" s="9">
        <v>3</v>
      </c>
      <c r="L126" s="9">
        <v>2</v>
      </c>
      <c r="M126" s="9">
        <v>2</v>
      </c>
      <c r="N126" s="186">
        <f t="shared" si="8"/>
        <v>0.51126068492676302</v>
      </c>
      <c r="O126" s="160">
        <f t="shared" si="7"/>
        <v>0.51126068492676302</v>
      </c>
      <c r="P126" s="63" t="s">
        <v>181</v>
      </c>
    </row>
    <row r="127" spans="1:16" hidden="1">
      <c r="A127" s="292" t="s">
        <v>178</v>
      </c>
      <c r="B127" s="55" t="s">
        <v>180</v>
      </c>
      <c r="C127" s="265" t="s">
        <v>147</v>
      </c>
      <c r="D127" s="55" t="s">
        <v>147</v>
      </c>
      <c r="E127" s="260">
        <v>1.47E-2</v>
      </c>
      <c r="F127" s="235">
        <v>2</v>
      </c>
      <c r="G127" s="265" t="s">
        <v>171</v>
      </c>
      <c r="H127" s="29">
        <v>2</v>
      </c>
      <c r="I127" s="9">
        <v>2</v>
      </c>
      <c r="J127" s="9">
        <v>2</v>
      </c>
      <c r="K127" s="9">
        <v>3</v>
      </c>
      <c r="L127" s="9">
        <v>2</v>
      </c>
      <c r="M127" s="9">
        <v>2</v>
      </c>
      <c r="N127" s="186">
        <f t="shared" si="8"/>
        <v>0.51126068492676302</v>
      </c>
      <c r="O127" s="160">
        <f t="shared" si="7"/>
        <v>0.51126068492676302</v>
      </c>
      <c r="P127" s="63" t="s">
        <v>182</v>
      </c>
    </row>
    <row r="128" spans="1:16" hidden="1">
      <c r="A128" s="292" t="s">
        <v>179</v>
      </c>
      <c r="B128" s="55" t="s">
        <v>183</v>
      </c>
      <c r="C128" s="265" t="s">
        <v>147</v>
      </c>
      <c r="D128" s="55" t="s">
        <v>147</v>
      </c>
      <c r="E128" s="260" t="s">
        <v>158</v>
      </c>
      <c r="F128" s="235">
        <v>1</v>
      </c>
      <c r="G128" s="265" t="s">
        <v>171</v>
      </c>
      <c r="H128" s="29"/>
      <c r="I128" s="9"/>
      <c r="J128" s="9"/>
      <c r="K128" s="9"/>
      <c r="L128" s="9"/>
      <c r="M128" s="9"/>
      <c r="N128" s="186" t="str">
        <f t="shared" si="8"/>
        <v/>
      </c>
      <c r="O128" s="160" t="str">
        <f t="shared" si="7"/>
        <v/>
      </c>
      <c r="P128" s="63"/>
    </row>
    <row r="129" spans="1:16" hidden="1">
      <c r="A129" s="152" t="str">
        <f>Agriculture!A112</f>
        <v>Agricultural mulching films</v>
      </c>
      <c r="B129" s="34" t="str">
        <f>Agriculture!B112</f>
        <v>Dumping</v>
      </c>
      <c r="C129" s="40" t="str">
        <f>Agriculture!C112</f>
        <v>any</v>
      </c>
      <c r="D129" s="34" t="str">
        <f>Agriculture!D112</f>
        <v>any</v>
      </c>
      <c r="E129" s="243">
        <f>Agriculture!E112</f>
        <v>2.7E-4</v>
      </c>
      <c r="F129" s="235">
        <f>Agriculture!F112</f>
        <v>2</v>
      </c>
      <c r="G129" s="40" t="str">
        <f>Agriculture!G112</f>
        <v>SI Kawecki and Nowack, 2019</v>
      </c>
      <c r="H129" s="29">
        <v>2</v>
      </c>
      <c r="I129" s="9">
        <v>2</v>
      </c>
      <c r="J129" s="9">
        <v>2</v>
      </c>
      <c r="K129" s="9">
        <v>3</v>
      </c>
      <c r="L129" s="9">
        <v>3</v>
      </c>
      <c r="M129" s="9">
        <v>3</v>
      </c>
      <c r="N129" s="186">
        <f t="shared" si="8"/>
        <v>1.1278755061256258</v>
      </c>
      <c r="O129" s="160">
        <f t="shared" si="7"/>
        <v>1.1278755061256258</v>
      </c>
      <c r="P129" s="63"/>
    </row>
    <row r="130" spans="1:16" hidden="1">
      <c r="A130" s="292" t="s">
        <v>180</v>
      </c>
      <c r="B130" s="55" t="s">
        <v>184</v>
      </c>
      <c r="C130" s="265" t="s">
        <v>147</v>
      </c>
      <c r="D130" s="55" t="s">
        <v>147</v>
      </c>
      <c r="E130" s="260">
        <v>1</v>
      </c>
      <c r="F130" s="235">
        <v>1</v>
      </c>
      <c r="G130" s="265"/>
      <c r="H130" s="29"/>
      <c r="I130" s="9"/>
      <c r="J130" s="9"/>
      <c r="K130" s="9"/>
      <c r="L130" s="9"/>
      <c r="M130" s="9"/>
      <c r="N130" s="186" t="str">
        <f t="shared" si="8"/>
        <v/>
      </c>
      <c r="O130" s="160" t="str">
        <f t="shared" si="7"/>
        <v/>
      </c>
      <c r="P130" s="63" t="s">
        <v>185</v>
      </c>
    </row>
    <row r="131" spans="1:16" hidden="1">
      <c r="A131" s="292" t="s">
        <v>186</v>
      </c>
      <c r="B131" s="55" t="s">
        <v>187</v>
      </c>
      <c r="C131" s="265" t="s">
        <v>188</v>
      </c>
      <c r="D131" s="55" t="s">
        <v>147</v>
      </c>
      <c r="E131" s="260">
        <v>1</v>
      </c>
      <c r="F131" s="235">
        <v>2</v>
      </c>
      <c r="G131" s="265" t="s">
        <v>189</v>
      </c>
      <c r="H131" s="29"/>
      <c r="I131" s="9"/>
      <c r="J131" s="9"/>
      <c r="K131" s="9"/>
      <c r="L131" s="9"/>
      <c r="M131" s="9"/>
      <c r="N131" s="186" t="str">
        <f t="shared" si="8"/>
        <v/>
      </c>
      <c r="O131" s="160" t="str">
        <f t="shared" si="7"/>
        <v/>
      </c>
      <c r="P131" s="63"/>
    </row>
    <row r="132" spans="1:16" hidden="1">
      <c r="A132" s="292" t="s">
        <v>186</v>
      </c>
      <c r="B132" s="55" t="s">
        <v>187</v>
      </c>
      <c r="C132" s="265" t="s">
        <v>190</v>
      </c>
      <c r="D132" s="55" t="s">
        <v>147</v>
      </c>
      <c r="E132" s="260">
        <v>0.5</v>
      </c>
      <c r="F132" s="235">
        <v>2</v>
      </c>
      <c r="G132" s="265" t="s">
        <v>189</v>
      </c>
      <c r="H132" s="29"/>
      <c r="I132" s="9">
        <v>1</v>
      </c>
      <c r="J132" s="9">
        <v>2</v>
      </c>
      <c r="K132" s="9">
        <v>2</v>
      </c>
      <c r="L132" s="9">
        <v>2</v>
      </c>
      <c r="M132" s="9">
        <v>3</v>
      </c>
      <c r="N132" s="186" t="str">
        <f t="shared" si="8"/>
        <v/>
      </c>
      <c r="O132" s="160">
        <f t="shared" si="7"/>
        <v>1.0301997916669636</v>
      </c>
      <c r="P132" s="63"/>
    </row>
    <row r="133" spans="1:16" hidden="1">
      <c r="A133" s="292" t="s">
        <v>186</v>
      </c>
      <c r="B133" s="55" t="s">
        <v>187</v>
      </c>
      <c r="C133" s="265" t="s">
        <v>190</v>
      </c>
      <c r="D133" s="55" t="s">
        <v>147</v>
      </c>
      <c r="E133" s="260">
        <v>1</v>
      </c>
      <c r="F133" s="235">
        <v>2</v>
      </c>
      <c r="G133" s="265" t="s">
        <v>189</v>
      </c>
      <c r="H133" s="29"/>
      <c r="I133" s="9"/>
      <c r="J133" s="9"/>
      <c r="K133" s="9"/>
      <c r="L133" s="9"/>
      <c r="M133" s="9"/>
      <c r="N133" s="186" t="str">
        <f t="shared" si="8"/>
        <v/>
      </c>
      <c r="O133" s="160" t="str">
        <f t="shared" si="7"/>
        <v/>
      </c>
      <c r="P133" s="63"/>
    </row>
    <row r="134" spans="1:16" hidden="1">
      <c r="A134" s="152" t="s">
        <v>39</v>
      </c>
      <c r="B134" s="34" t="s">
        <v>191</v>
      </c>
      <c r="C134" s="40" t="s">
        <v>147</v>
      </c>
      <c r="D134" s="34" t="s">
        <v>93</v>
      </c>
      <c r="E134" s="260">
        <v>1.41E-2</v>
      </c>
      <c r="F134" s="235">
        <v>1</v>
      </c>
      <c r="G134" s="40" t="s">
        <v>148</v>
      </c>
      <c r="H134" s="29">
        <v>2</v>
      </c>
      <c r="I134" s="9">
        <v>2</v>
      </c>
      <c r="J134" s="9">
        <v>2</v>
      </c>
      <c r="K134" s="9">
        <v>1</v>
      </c>
      <c r="L134" s="9">
        <v>1</v>
      </c>
      <c r="M134" s="9">
        <v>2</v>
      </c>
      <c r="N134" s="186">
        <f t="shared" si="8"/>
        <v>0.37356464144298934</v>
      </c>
      <c r="O134" s="160">
        <f t="shared" si="7"/>
        <v>0.37356464144298934</v>
      </c>
      <c r="P134" s="63"/>
    </row>
    <row r="135" spans="1:16" hidden="1">
      <c r="A135" s="152" t="s">
        <v>39</v>
      </c>
      <c r="B135" s="34" t="s">
        <v>191</v>
      </c>
      <c r="C135" s="40" t="s">
        <v>147</v>
      </c>
      <c r="D135" s="34" t="s">
        <v>94</v>
      </c>
      <c r="E135" s="260">
        <v>0</v>
      </c>
      <c r="F135" s="235">
        <v>1</v>
      </c>
      <c r="G135" s="40" t="s">
        <v>148</v>
      </c>
      <c r="H135" s="29"/>
      <c r="I135" s="9"/>
      <c r="J135" s="9"/>
      <c r="K135" s="9"/>
      <c r="L135" s="9"/>
      <c r="M135" s="9"/>
      <c r="N135" s="186" t="str">
        <f t="shared" si="8"/>
        <v/>
      </c>
      <c r="O135" s="160" t="str">
        <f t="shared" si="7"/>
        <v/>
      </c>
      <c r="P135" s="63"/>
    </row>
    <row r="136" spans="1:16" hidden="1">
      <c r="A136" s="152" t="s">
        <v>39</v>
      </c>
      <c r="B136" s="34" t="s">
        <v>191</v>
      </c>
      <c r="C136" s="40" t="s">
        <v>147</v>
      </c>
      <c r="D136" s="34" t="s">
        <v>95</v>
      </c>
      <c r="E136" s="260">
        <v>0</v>
      </c>
      <c r="F136" s="235">
        <v>1</v>
      </c>
      <c r="G136" s="40" t="s">
        <v>148</v>
      </c>
      <c r="H136" s="29"/>
      <c r="I136" s="9"/>
      <c r="J136" s="9"/>
      <c r="K136" s="9"/>
      <c r="L136" s="9"/>
      <c r="M136" s="9"/>
      <c r="N136" s="186" t="str">
        <f t="shared" si="8"/>
        <v/>
      </c>
      <c r="O136" s="160" t="str">
        <f t="shared" si="7"/>
        <v/>
      </c>
      <c r="P136" s="63"/>
    </row>
    <row r="137" spans="1:16" hidden="1">
      <c r="A137" s="152" t="s">
        <v>39</v>
      </c>
      <c r="B137" s="34" t="s">
        <v>191</v>
      </c>
      <c r="C137" s="40" t="s">
        <v>147</v>
      </c>
      <c r="D137" s="34" t="s">
        <v>96</v>
      </c>
      <c r="E137" s="260">
        <v>0</v>
      </c>
      <c r="F137" s="235">
        <v>1</v>
      </c>
      <c r="G137" s="40" t="s">
        <v>148</v>
      </c>
      <c r="H137" s="29"/>
      <c r="I137" s="9"/>
      <c r="J137" s="9"/>
      <c r="K137" s="9"/>
      <c r="L137" s="9"/>
      <c r="M137" s="9"/>
      <c r="N137" s="186" t="str">
        <f t="shared" si="8"/>
        <v/>
      </c>
      <c r="O137" s="160" t="str">
        <f t="shared" si="7"/>
        <v/>
      </c>
      <c r="P137" s="63"/>
    </row>
    <row r="138" spans="1:16" hidden="1">
      <c r="A138" s="152" t="s">
        <v>39</v>
      </c>
      <c r="B138" s="34" t="s">
        <v>191</v>
      </c>
      <c r="C138" s="40" t="s">
        <v>147</v>
      </c>
      <c r="D138" s="34" t="s">
        <v>97</v>
      </c>
      <c r="E138" s="260">
        <v>0</v>
      </c>
      <c r="F138" s="235">
        <v>1</v>
      </c>
      <c r="G138" s="40" t="s">
        <v>148</v>
      </c>
      <c r="H138" s="29"/>
      <c r="I138" s="9"/>
      <c r="J138" s="9"/>
      <c r="K138" s="9"/>
      <c r="L138" s="9"/>
      <c r="M138" s="9"/>
      <c r="N138" s="186" t="str">
        <f t="shared" si="8"/>
        <v/>
      </c>
      <c r="O138" s="160" t="str">
        <f t="shared" si="7"/>
        <v/>
      </c>
      <c r="P138" s="63"/>
    </row>
    <row r="139" spans="1:16" hidden="1">
      <c r="A139" s="152" t="s">
        <v>39</v>
      </c>
      <c r="B139" s="34" t="s">
        <v>191</v>
      </c>
      <c r="C139" s="40" t="s">
        <v>147</v>
      </c>
      <c r="D139" s="34" t="s">
        <v>98</v>
      </c>
      <c r="E139" s="260">
        <v>0</v>
      </c>
      <c r="F139" s="235">
        <v>1</v>
      </c>
      <c r="G139" s="40" t="s">
        <v>148</v>
      </c>
      <c r="H139" s="29"/>
      <c r="I139" s="9"/>
      <c r="J139" s="9"/>
      <c r="K139" s="9"/>
      <c r="L139" s="9"/>
      <c r="M139" s="9"/>
      <c r="N139" s="186" t="str">
        <f t="shared" si="8"/>
        <v/>
      </c>
      <c r="O139" s="160" t="str">
        <f t="shared" si="7"/>
        <v/>
      </c>
      <c r="P139" s="63"/>
    </row>
    <row r="140" spans="1:16" hidden="1">
      <c r="A140" s="152" t="s">
        <v>39</v>
      </c>
      <c r="B140" s="34" t="s">
        <v>191</v>
      </c>
      <c r="C140" s="40" t="s">
        <v>147</v>
      </c>
      <c r="D140" s="34" t="s">
        <v>99</v>
      </c>
      <c r="E140" s="260">
        <v>0</v>
      </c>
      <c r="F140" s="235">
        <v>1</v>
      </c>
      <c r="G140" s="40" t="s">
        <v>148</v>
      </c>
      <c r="H140" s="29"/>
      <c r="I140" s="9"/>
      <c r="J140" s="9"/>
      <c r="K140" s="9"/>
      <c r="L140" s="9"/>
      <c r="M140" s="9"/>
      <c r="N140" s="186" t="str">
        <f t="shared" si="8"/>
        <v/>
      </c>
      <c r="O140" s="160" t="str">
        <f t="shared" si="7"/>
        <v/>
      </c>
      <c r="P140" s="63"/>
    </row>
    <row r="141" spans="1:16" hidden="1">
      <c r="A141" s="152" t="s">
        <v>39</v>
      </c>
      <c r="B141" s="34" t="s">
        <v>191</v>
      </c>
      <c r="C141" s="40" t="s">
        <v>147</v>
      </c>
      <c r="D141" s="34" t="s">
        <v>106</v>
      </c>
      <c r="E141" s="260">
        <v>0</v>
      </c>
      <c r="F141" s="235">
        <v>1</v>
      </c>
      <c r="G141" s="40" t="s">
        <v>149</v>
      </c>
      <c r="H141" s="29"/>
      <c r="I141" s="9"/>
      <c r="J141" s="9"/>
      <c r="K141" s="9"/>
      <c r="L141" s="9"/>
      <c r="M141" s="9"/>
      <c r="N141" s="186" t="str">
        <f t="shared" si="8"/>
        <v/>
      </c>
      <c r="O141" s="160" t="str">
        <f t="shared" si="7"/>
        <v/>
      </c>
      <c r="P141" s="63"/>
    </row>
    <row r="142" spans="1:16" hidden="1">
      <c r="A142" s="292" t="s">
        <v>186</v>
      </c>
      <c r="B142" s="55" t="s">
        <v>192</v>
      </c>
      <c r="C142" s="265" t="s">
        <v>147</v>
      </c>
      <c r="D142" s="55" t="s">
        <v>147</v>
      </c>
      <c r="E142" s="260" t="s">
        <v>158</v>
      </c>
      <c r="F142" s="235">
        <v>1</v>
      </c>
      <c r="G142" s="265"/>
      <c r="H142" s="29"/>
      <c r="I142" s="9"/>
      <c r="J142" s="9"/>
      <c r="K142" s="9"/>
      <c r="L142" s="9"/>
      <c r="M142" s="9"/>
      <c r="N142" s="186" t="str">
        <f t="shared" si="8"/>
        <v/>
      </c>
      <c r="O142" s="160" t="str">
        <f t="shared" si="7"/>
        <v/>
      </c>
      <c r="P142" s="63"/>
    </row>
    <row r="143" spans="1:16" hidden="1">
      <c r="A143" s="292" t="s">
        <v>193</v>
      </c>
      <c r="B143" s="55" t="s">
        <v>194</v>
      </c>
      <c r="C143" s="265" t="s">
        <v>147</v>
      </c>
      <c r="D143" s="55" t="s">
        <v>147</v>
      </c>
      <c r="E143" s="260" t="s">
        <v>158</v>
      </c>
      <c r="F143" s="235">
        <v>1</v>
      </c>
      <c r="G143" s="265"/>
      <c r="H143" s="29"/>
      <c r="I143" s="9"/>
      <c r="J143" s="9"/>
      <c r="K143" s="9"/>
      <c r="L143" s="9"/>
      <c r="M143" s="9"/>
      <c r="N143" s="186" t="str">
        <f t="shared" si="8"/>
        <v/>
      </c>
      <c r="O143" s="160" t="str">
        <f t="shared" si="7"/>
        <v/>
      </c>
      <c r="P143" s="63"/>
    </row>
    <row r="144" spans="1:16" hidden="1">
      <c r="A144" s="292" t="s">
        <v>193</v>
      </c>
      <c r="B144" s="55" t="s">
        <v>195</v>
      </c>
      <c r="C144" s="265" t="s">
        <v>147</v>
      </c>
      <c r="D144" s="55" t="s">
        <v>147</v>
      </c>
      <c r="E144" s="260">
        <v>1.3299999999999999E-2</v>
      </c>
      <c r="F144" s="235">
        <v>2</v>
      </c>
      <c r="G144" s="265" t="s">
        <v>171</v>
      </c>
      <c r="H144" s="29">
        <v>2</v>
      </c>
      <c r="I144" s="9">
        <v>2</v>
      </c>
      <c r="J144" s="9">
        <v>2</v>
      </c>
      <c r="K144" s="9">
        <v>3</v>
      </c>
      <c r="L144" s="9">
        <v>2</v>
      </c>
      <c r="M144" s="9">
        <v>2</v>
      </c>
      <c r="N144" s="186">
        <f t="shared" si="8"/>
        <v>0.51126068492676302</v>
      </c>
      <c r="O144" s="160">
        <f t="shared" si="7"/>
        <v>0.51126068492676302</v>
      </c>
      <c r="P144" s="63" t="s">
        <v>181</v>
      </c>
    </row>
    <row r="145" spans="1:16" hidden="1">
      <c r="A145" s="292" t="s">
        <v>193</v>
      </c>
      <c r="B145" s="55" t="s">
        <v>195</v>
      </c>
      <c r="C145" s="265" t="s">
        <v>147</v>
      </c>
      <c r="D145" s="55" t="s">
        <v>147</v>
      </c>
      <c r="E145" s="260">
        <v>2.6700000000000002E-2</v>
      </c>
      <c r="F145" s="235">
        <v>2</v>
      </c>
      <c r="G145" s="265" t="s">
        <v>171</v>
      </c>
      <c r="H145" s="29">
        <v>2</v>
      </c>
      <c r="I145" s="9">
        <v>2</v>
      </c>
      <c r="J145" s="9">
        <v>2</v>
      </c>
      <c r="K145" s="9">
        <v>3</v>
      </c>
      <c r="L145" s="9">
        <v>2</v>
      </c>
      <c r="M145" s="9">
        <v>2</v>
      </c>
      <c r="N145" s="186">
        <f t="shared" si="8"/>
        <v>0.51126068492676302</v>
      </c>
      <c r="O145" s="160">
        <f t="shared" si="7"/>
        <v>0.51126068492676302</v>
      </c>
      <c r="P145" s="63" t="s">
        <v>182</v>
      </c>
    </row>
    <row r="146" spans="1:16" hidden="1">
      <c r="A146" s="292" t="s">
        <v>194</v>
      </c>
      <c r="B146" s="55" t="s">
        <v>183</v>
      </c>
      <c r="C146" s="265" t="s">
        <v>147</v>
      </c>
      <c r="D146" s="55" t="s">
        <v>147</v>
      </c>
      <c r="E146" s="260" t="s">
        <v>158</v>
      </c>
      <c r="F146" s="235">
        <v>1</v>
      </c>
      <c r="G146" s="265" t="s">
        <v>171</v>
      </c>
      <c r="H146" s="29"/>
      <c r="I146" s="9"/>
      <c r="J146" s="9"/>
      <c r="K146" s="9"/>
      <c r="L146" s="9"/>
      <c r="M146" s="9"/>
      <c r="N146" s="186" t="str">
        <f t="shared" ref="N146:N177" si="9">IF( OR( ISBLANK(H146),ISBLANK(J146), ISBLANK(K146), ISBLANK(L146), ISBLANK(M146) ), "", 1.5*SQRT(   EXP(2.21*(H146-1)) + EXP(2.21*(J146-1)) + EXP(2.21*(K146-1)) + EXP(2.21*(L146-1)) + EXP(2.21*M146)   )/100*2.45 )</f>
        <v/>
      </c>
      <c r="O146" s="160" t="str">
        <f t="shared" si="7"/>
        <v/>
      </c>
      <c r="P146" s="63"/>
    </row>
    <row r="147" spans="1:16" hidden="1">
      <c r="A147" s="152" t="str">
        <f>Agriculture!A118</f>
        <v>Agricultural other</v>
      </c>
      <c r="B147" s="34" t="str">
        <f>Agriculture!B118</f>
        <v>Dumping</v>
      </c>
      <c r="C147" s="40" t="str">
        <f>Agriculture!C118</f>
        <v>any</v>
      </c>
      <c r="D147" s="34" t="str">
        <f>Agriculture!D118</f>
        <v>any</v>
      </c>
      <c r="E147" s="243">
        <f>Agriculture!E118</f>
        <v>2.7E-4</v>
      </c>
      <c r="F147" s="235">
        <f>Agriculture!F118</f>
        <v>2</v>
      </c>
      <c r="G147" s="40" t="str">
        <f>Agriculture!G118</f>
        <v>SI Kawecki and Nowack, 2019</v>
      </c>
      <c r="H147" s="29">
        <v>2</v>
      </c>
      <c r="I147" s="9">
        <v>2</v>
      </c>
      <c r="J147" s="9">
        <v>2</v>
      </c>
      <c r="K147" s="9">
        <v>3</v>
      </c>
      <c r="L147" s="9">
        <v>3</v>
      </c>
      <c r="M147" s="9">
        <v>3</v>
      </c>
      <c r="N147" s="186">
        <f t="shared" si="9"/>
        <v>1.1278755061256258</v>
      </c>
      <c r="O147" s="160">
        <f t="shared" si="7"/>
        <v>1.1278755061256258</v>
      </c>
      <c r="P147" s="63"/>
    </row>
    <row r="148" spans="1:16" hidden="1">
      <c r="A148" s="292" t="s">
        <v>195</v>
      </c>
      <c r="B148" s="55" t="s">
        <v>184</v>
      </c>
      <c r="C148" s="265" t="s">
        <v>147</v>
      </c>
      <c r="D148" s="55" t="s">
        <v>147</v>
      </c>
      <c r="E148" s="260">
        <v>9.7744360902255634E-2</v>
      </c>
      <c r="F148" s="235">
        <v>2</v>
      </c>
      <c r="G148" s="265" t="s">
        <v>171</v>
      </c>
      <c r="H148" s="29">
        <v>2</v>
      </c>
      <c r="I148" s="9">
        <v>2</v>
      </c>
      <c r="J148" s="9">
        <v>2</v>
      </c>
      <c r="K148" s="9">
        <v>3</v>
      </c>
      <c r="L148" s="9">
        <v>2</v>
      </c>
      <c r="M148" s="9">
        <v>2</v>
      </c>
      <c r="N148" s="186">
        <f t="shared" si="9"/>
        <v>0.51126068492676302</v>
      </c>
      <c r="O148" s="160">
        <f t="shared" si="7"/>
        <v>0.51126068492676302</v>
      </c>
      <c r="P148" s="63" t="s">
        <v>181</v>
      </c>
    </row>
    <row r="149" spans="1:16" hidden="1">
      <c r="A149" s="292" t="s">
        <v>195</v>
      </c>
      <c r="B149" s="55" t="s">
        <v>184</v>
      </c>
      <c r="C149" s="265" t="s">
        <v>147</v>
      </c>
      <c r="D149" s="55" t="s">
        <v>147</v>
      </c>
      <c r="E149" s="260">
        <v>0.55056179775280889</v>
      </c>
      <c r="F149" s="235">
        <v>2</v>
      </c>
      <c r="G149" s="265" t="s">
        <v>171</v>
      </c>
      <c r="H149" s="29">
        <v>2</v>
      </c>
      <c r="I149" s="9">
        <v>2</v>
      </c>
      <c r="J149" s="9">
        <v>2</v>
      </c>
      <c r="K149" s="9">
        <v>3</v>
      </c>
      <c r="L149" s="9">
        <v>2</v>
      </c>
      <c r="M149" s="9">
        <v>2</v>
      </c>
      <c r="N149" s="186">
        <f t="shared" si="9"/>
        <v>0.51126068492676302</v>
      </c>
      <c r="O149" s="160">
        <f t="shared" si="7"/>
        <v>0.51126068492676302</v>
      </c>
      <c r="P149" s="63" t="s">
        <v>182</v>
      </c>
    </row>
    <row r="150" spans="1:16" hidden="1">
      <c r="A150" s="292" t="s">
        <v>195</v>
      </c>
      <c r="B150" s="55" t="s">
        <v>196</v>
      </c>
      <c r="C150" s="265" t="s">
        <v>147</v>
      </c>
      <c r="D150" s="55" t="s">
        <v>147</v>
      </c>
      <c r="E150" s="260" t="s">
        <v>158</v>
      </c>
      <c r="F150" s="235">
        <v>1</v>
      </c>
      <c r="G150" s="265" t="s">
        <v>171</v>
      </c>
      <c r="H150" s="29"/>
      <c r="I150" s="9"/>
      <c r="J150" s="9"/>
      <c r="K150" s="9"/>
      <c r="L150" s="9"/>
      <c r="M150" s="9"/>
      <c r="N150" s="186" t="str">
        <f t="shared" si="9"/>
        <v/>
      </c>
      <c r="O150" s="160" t="str">
        <f t="shared" ref="O150:O213" si="10">IF( OR( ISBLANK(I150),ISBLANK(J150), ISBLANK(K150), ISBLANK(L150), ISBLANK(M150) ), "", 1.5*SQRT( EXP(2.21*(I150-1)) + EXP(2.21*(J150-1)) + EXP(2.21*(K150-1)) + EXP(2.21*(L150-1)) + EXP(2.21*M150)   )/100*2.45 )</f>
        <v/>
      </c>
      <c r="P150" s="63"/>
    </row>
    <row r="151" spans="1:16" hidden="1">
      <c r="A151" s="292" t="s">
        <v>197</v>
      </c>
      <c r="B151" s="55" t="s">
        <v>198</v>
      </c>
      <c r="C151" s="265" t="s">
        <v>147</v>
      </c>
      <c r="D151" s="55" t="s">
        <v>147</v>
      </c>
      <c r="E151" s="260" t="s">
        <v>158</v>
      </c>
      <c r="F151" s="235">
        <v>1</v>
      </c>
      <c r="G151" s="265"/>
      <c r="H151" s="29"/>
      <c r="I151" s="9"/>
      <c r="J151" s="9"/>
      <c r="K151" s="9"/>
      <c r="L151" s="9"/>
      <c r="M151" s="9"/>
      <c r="N151" s="186" t="str">
        <f t="shared" si="9"/>
        <v/>
      </c>
      <c r="O151" s="160" t="str">
        <f t="shared" si="10"/>
        <v/>
      </c>
      <c r="P151" s="63"/>
    </row>
    <row r="152" spans="1:16" hidden="1">
      <c r="A152" s="152" t="s">
        <v>197</v>
      </c>
      <c r="B152" s="34" t="s">
        <v>199</v>
      </c>
      <c r="C152" s="40" t="s">
        <v>147</v>
      </c>
      <c r="D152" s="34" t="s">
        <v>147</v>
      </c>
      <c r="E152" s="260">
        <v>2.6169999999999999E-2</v>
      </c>
      <c r="F152" s="235">
        <v>2</v>
      </c>
      <c r="G152" s="260" t="s">
        <v>171</v>
      </c>
      <c r="H152" s="29">
        <v>2</v>
      </c>
      <c r="I152" s="9">
        <v>2</v>
      </c>
      <c r="J152" s="9">
        <v>3</v>
      </c>
      <c r="K152" s="9">
        <v>1</v>
      </c>
      <c r="L152" s="9">
        <v>1</v>
      </c>
      <c r="M152" s="9">
        <v>1</v>
      </c>
      <c r="N152" s="186">
        <f t="shared" si="9"/>
        <v>0.37356464144298934</v>
      </c>
      <c r="O152" s="160">
        <f t="shared" si="10"/>
        <v>0.37356464144298934</v>
      </c>
      <c r="P152" s="63" t="s">
        <v>200</v>
      </c>
    </row>
    <row r="153" spans="1:16" hidden="1">
      <c r="A153" s="152" t="s">
        <v>197</v>
      </c>
      <c r="B153" s="34" t="s">
        <v>199</v>
      </c>
      <c r="C153" s="40" t="s">
        <v>147</v>
      </c>
      <c r="D153" s="34" t="s">
        <v>147</v>
      </c>
      <c r="E153" s="260">
        <v>3.057E-2</v>
      </c>
      <c r="F153" s="235">
        <v>2</v>
      </c>
      <c r="G153" s="260" t="s">
        <v>171</v>
      </c>
      <c r="H153" s="29">
        <v>2</v>
      </c>
      <c r="I153" s="9">
        <v>2</v>
      </c>
      <c r="J153" s="9">
        <v>3</v>
      </c>
      <c r="K153" s="9">
        <v>1</v>
      </c>
      <c r="L153" s="9">
        <v>1</v>
      </c>
      <c r="M153" s="9">
        <v>1</v>
      </c>
      <c r="N153" s="186">
        <f t="shared" si="9"/>
        <v>0.37356464144298934</v>
      </c>
      <c r="O153" s="160">
        <f t="shared" si="10"/>
        <v>0.37356464144298934</v>
      </c>
      <c r="P153" s="63" t="s">
        <v>201</v>
      </c>
    </row>
    <row r="154" spans="1:16" hidden="1">
      <c r="A154" s="152" t="s">
        <v>116</v>
      </c>
      <c r="B154" s="34" t="s">
        <v>202</v>
      </c>
      <c r="C154" s="40" t="s">
        <v>147</v>
      </c>
      <c r="D154" s="34" t="s">
        <v>93</v>
      </c>
      <c r="E154" s="260">
        <v>0</v>
      </c>
      <c r="F154" s="235">
        <v>2</v>
      </c>
      <c r="G154" s="40" t="s">
        <v>171</v>
      </c>
      <c r="H154" s="29"/>
      <c r="I154" s="9"/>
      <c r="J154" s="9"/>
      <c r="K154" s="9"/>
      <c r="L154" s="9"/>
      <c r="M154" s="9"/>
      <c r="N154" s="186" t="str">
        <f t="shared" si="9"/>
        <v/>
      </c>
      <c r="O154" s="160" t="str">
        <f t="shared" si="10"/>
        <v/>
      </c>
      <c r="P154" s="63"/>
    </row>
    <row r="155" spans="1:16" hidden="1">
      <c r="A155" s="152" t="s">
        <v>116</v>
      </c>
      <c r="B155" s="34" t="s">
        <v>202</v>
      </c>
      <c r="C155" s="40" t="s">
        <v>147</v>
      </c>
      <c r="D155" s="34" t="s">
        <v>94</v>
      </c>
      <c r="E155" s="260" t="s">
        <v>158</v>
      </c>
      <c r="F155" s="235">
        <v>1</v>
      </c>
      <c r="G155" s="40" t="s">
        <v>171</v>
      </c>
      <c r="H155" s="29"/>
      <c r="I155" s="9"/>
      <c r="J155" s="9"/>
      <c r="K155" s="9"/>
      <c r="L155" s="9"/>
      <c r="M155" s="9"/>
      <c r="N155" s="186" t="str">
        <f t="shared" si="9"/>
        <v/>
      </c>
      <c r="O155" s="160" t="str">
        <f t="shared" si="10"/>
        <v/>
      </c>
      <c r="P155" s="63"/>
    </row>
    <row r="156" spans="1:16" hidden="1">
      <c r="A156" s="152" t="s">
        <v>116</v>
      </c>
      <c r="B156" s="34" t="s">
        <v>202</v>
      </c>
      <c r="C156" s="40" t="s">
        <v>147</v>
      </c>
      <c r="D156" s="34" t="s">
        <v>95</v>
      </c>
      <c r="E156" s="260" t="s">
        <v>158</v>
      </c>
      <c r="F156" s="235">
        <v>1</v>
      </c>
      <c r="G156" s="40" t="s">
        <v>171</v>
      </c>
      <c r="H156" s="29"/>
      <c r="I156" s="9"/>
      <c r="J156" s="9"/>
      <c r="K156" s="9"/>
      <c r="L156" s="9"/>
      <c r="M156" s="9"/>
      <c r="N156" s="186" t="str">
        <f t="shared" si="9"/>
        <v/>
      </c>
      <c r="O156" s="160" t="str">
        <f t="shared" si="10"/>
        <v/>
      </c>
      <c r="P156" s="63"/>
    </row>
    <row r="157" spans="1:16" hidden="1">
      <c r="A157" s="152" t="s">
        <v>116</v>
      </c>
      <c r="B157" s="34" t="s">
        <v>202</v>
      </c>
      <c r="C157" s="40" t="s">
        <v>147</v>
      </c>
      <c r="D157" s="34" t="s">
        <v>96</v>
      </c>
      <c r="E157" s="260">
        <v>0</v>
      </c>
      <c r="F157" s="235">
        <v>2</v>
      </c>
      <c r="G157" s="40" t="s">
        <v>203</v>
      </c>
      <c r="H157" s="29">
        <v>1</v>
      </c>
      <c r="I157" s="9">
        <v>2</v>
      </c>
      <c r="J157" s="9">
        <v>2</v>
      </c>
      <c r="K157" s="9">
        <v>3</v>
      </c>
      <c r="L157" s="9">
        <v>1</v>
      </c>
      <c r="M157" s="9">
        <v>2</v>
      </c>
      <c r="N157" s="186">
        <f t="shared" si="9"/>
        <v>0.48935255543384243</v>
      </c>
      <c r="O157" s="160">
        <f t="shared" si="10"/>
        <v>0.50042652380814845</v>
      </c>
      <c r="P157" s="63"/>
    </row>
    <row r="158" spans="1:16" hidden="1">
      <c r="A158" s="152" t="s">
        <v>116</v>
      </c>
      <c r="B158" s="34" t="s">
        <v>202</v>
      </c>
      <c r="C158" s="40" t="s">
        <v>147</v>
      </c>
      <c r="D158" s="34" t="s">
        <v>97</v>
      </c>
      <c r="E158" s="260">
        <v>0</v>
      </c>
      <c r="F158" s="235">
        <v>2</v>
      </c>
      <c r="G158" s="40" t="s">
        <v>203</v>
      </c>
      <c r="H158" s="29">
        <v>1</v>
      </c>
      <c r="I158" s="9">
        <v>2</v>
      </c>
      <c r="J158" s="9">
        <v>2</v>
      </c>
      <c r="K158" s="9">
        <v>3</v>
      </c>
      <c r="L158" s="9">
        <v>1</v>
      </c>
      <c r="M158" s="9">
        <v>2</v>
      </c>
      <c r="N158" s="186">
        <f t="shared" si="9"/>
        <v>0.48935255543384243</v>
      </c>
      <c r="O158" s="160">
        <f t="shared" si="10"/>
        <v>0.50042652380814845</v>
      </c>
      <c r="P158" s="63"/>
    </row>
    <row r="159" spans="1:16" hidden="1">
      <c r="A159" s="152" t="s">
        <v>116</v>
      </c>
      <c r="B159" s="34" t="s">
        <v>202</v>
      </c>
      <c r="C159" s="40" t="s">
        <v>147</v>
      </c>
      <c r="D159" s="34" t="s">
        <v>98</v>
      </c>
      <c r="E159" s="260">
        <v>0</v>
      </c>
      <c r="F159" s="235">
        <v>2</v>
      </c>
      <c r="G159" s="40" t="s">
        <v>203</v>
      </c>
      <c r="H159" s="29">
        <v>1</v>
      </c>
      <c r="I159" s="9">
        <v>2</v>
      </c>
      <c r="J159" s="9">
        <v>2</v>
      </c>
      <c r="K159" s="9">
        <v>3</v>
      </c>
      <c r="L159" s="9">
        <v>1</v>
      </c>
      <c r="M159" s="9">
        <v>2</v>
      </c>
      <c r="N159" s="186">
        <f t="shared" si="9"/>
        <v>0.48935255543384243</v>
      </c>
      <c r="O159" s="160">
        <f t="shared" si="10"/>
        <v>0.50042652380814845</v>
      </c>
      <c r="P159" s="63"/>
    </row>
    <row r="160" spans="1:16" hidden="1">
      <c r="A160" s="152" t="s">
        <v>116</v>
      </c>
      <c r="B160" s="34" t="s">
        <v>202</v>
      </c>
      <c r="C160" s="40" t="s">
        <v>147</v>
      </c>
      <c r="D160" s="34" t="s">
        <v>99</v>
      </c>
      <c r="E160" s="260" t="s">
        <v>158</v>
      </c>
      <c r="F160" s="235">
        <v>1</v>
      </c>
      <c r="G160" s="40" t="s">
        <v>171</v>
      </c>
      <c r="H160" s="29"/>
      <c r="I160" s="9"/>
      <c r="J160" s="9"/>
      <c r="K160" s="9"/>
      <c r="L160" s="9"/>
      <c r="M160" s="9"/>
      <c r="N160" s="186" t="str">
        <f t="shared" si="9"/>
        <v/>
      </c>
      <c r="O160" s="160" t="str">
        <f t="shared" si="10"/>
        <v/>
      </c>
      <c r="P160" s="63" t="s">
        <v>204</v>
      </c>
    </row>
    <row r="161" spans="1:16" hidden="1">
      <c r="A161" s="152" t="s">
        <v>116</v>
      </c>
      <c r="B161" s="34" t="s">
        <v>202</v>
      </c>
      <c r="C161" s="40" t="s">
        <v>147</v>
      </c>
      <c r="D161" s="34" t="s">
        <v>103</v>
      </c>
      <c r="E161" s="260" t="s">
        <v>158</v>
      </c>
      <c r="F161" s="235">
        <v>1</v>
      </c>
      <c r="G161" s="40" t="s">
        <v>171</v>
      </c>
      <c r="H161" s="29"/>
      <c r="I161" s="9"/>
      <c r="J161" s="9"/>
      <c r="K161" s="9"/>
      <c r="L161" s="9"/>
      <c r="M161" s="9"/>
      <c r="N161" s="186" t="str">
        <f t="shared" si="9"/>
        <v/>
      </c>
      <c r="O161" s="160" t="str">
        <f t="shared" si="10"/>
        <v/>
      </c>
      <c r="P161" s="63" t="s">
        <v>204</v>
      </c>
    </row>
    <row r="162" spans="1:16" hidden="1">
      <c r="A162" s="152" t="s">
        <v>116</v>
      </c>
      <c r="B162" s="34" t="s">
        <v>202</v>
      </c>
      <c r="C162" s="40" t="s">
        <v>147</v>
      </c>
      <c r="D162" s="34" t="s">
        <v>107</v>
      </c>
      <c r="E162" s="260" t="s">
        <v>158</v>
      </c>
      <c r="F162" s="235">
        <v>1</v>
      </c>
      <c r="G162" s="40" t="s">
        <v>171</v>
      </c>
      <c r="H162" s="29"/>
      <c r="I162" s="9"/>
      <c r="J162" s="9"/>
      <c r="K162" s="9"/>
      <c r="L162" s="9"/>
      <c r="M162" s="9"/>
      <c r="N162" s="186" t="str">
        <f t="shared" si="9"/>
        <v/>
      </c>
      <c r="O162" s="160" t="str">
        <f t="shared" si="10"/>
        <v/>
      </c>
      <c r="P162" s="63" t="s">
        <v>204</v>
      </c>
    </row>
    <row r="163" spans="1:16" hidden="1">
      <c r="A163" s="152" t="s">
        <v>116</v>
      </c>
      <c r="B163" s="34" t="s">
        <v>205</v>
      </c>
      <c r="C163" s="40" t="s">
        <v>147</v>
      </c>
      <c r="D163" s="34" t="s">
        <v>93</v>
      </c>
      <c r="E163" s="260">
        <v>0</v>
      </c>
      <c r="F163" s="235">
        <v>2</v>
      </c>
      <c r="G163" s="40" t="s">
        <v>171</v>
      </c>
      <c r="H163" s="29"/>
      <c r="I163" s="9"/>
      <c r="J163" s="9"/>
      <c r="K163" s="9"/>
      <c r="L163" s="9"/>
      <c r="M163" s="9"/>
      <c r="N163" s="186" t="str">
        <f t="shared" si="9"/>
        <v/>
      </c>
      <c r="O163" s="160" t="str">
        <f t="shared" si="10"/>
        <v/>
      </c>
      <c r="P163" s="63"/>
    </row>
    <row r="164" spans="1:16" hidden="1">
      <c r="A164" s="152" t="s">
        <v>116</v>
      </c>
      <c r="B164" s="34" t="s">
        <v>205</v>
      </c>
      <c r="C164" s="40" t="s">
        <v>147</v>
      </c>
      <c r="D164" s="34" t="s">
        <v>94</v>
      </c>
      <c r="E164" s="260">
        <v>1.797E-2</v>
      </c>
      <c r="F164" s="235">
        <v>2</v>
      </c>
      <c r="G164" s="40" t="s">
        <v>203</v>
      </c>
      <c r="H164" s="29">
        <v>1</v>
      </c>
      <c r="I164" s="9">
        <v>2</v>
      </c>
      <c r="J164" s="9">
        <v>2</v>
      </c>
      <c r="K164" s="9">
        <v>3</v>
      </c>
      <c r="L164" s="9">
        <v>1</v>
      </c>
      <c r="M164" s="9">
        <v>2</v>
      </c>
      <c r="N164" s="186">
        <f t="shared" si="9"/>
        <v>0.48935255543384243</v>
      </c>
      <c r="O164" s="160">
        <f t="shared" si="10"/>
        <v>0.50042652380814845</v>
      </c>
      <c r="P164" s="63" t="s">
        <v>206</v>
      </c>
    </row>
    <row r="165" spans="1:16" hidden="1">
      <c r="A165" s="152" t="s">
        <v>116</v>
      </c>
      <c r="B165" s="34" t="s">
        <v>205</v>
      </c>
      <c r="C165" s="40" t="s">
        <v>147</v>
      </c>
      <c r="D165" s="34" t="s">
        <v>95</v>
      </c>
      <c r="E165" s="260">
        <v>1.797E-2</v>
      </c>
      <c r="F165" s="235">
        <v>2</v>
      </c>
      <c r="G165" s="40" t="s">
        <v>203</v>
      </c>
      <c r="H165" s="29">
        <v>1</v>
      </c>
      <c r="I165" s="9">
        <v>2</v>
      </c>
      <c r="J165" s="9">
        <v>2</v>
      </c>
      <c r="K165" s="9">
        <v>3</v>
      </c>
      <c r="L165" s="9">
        <v>1</v>
      </c>
      <c r="M165" s="9">
        <v>2</v>
      </c>
      <c r="N165" s="186">
        <f t="shared" si="9"/>
        <v>0.48935255543384243</v>
      </c>
      <c r="O165" s="160">
        <f t="shared" si="10"/>
        <v>0.50042652380814845</v>
      </c>
      <c r="P165" s="63" t="s">
        <v>206</v>
      </c>
    </row>
    <row r="166" spans="1:16" hidden="1">
      <c r="A166" s="152" t="s">
        <v>116</v>
      </c>
      <c r="B166" s="34" t="s">
        <v>205</v>
      </c>
      <c r="C166" s="40" t="s">
        <v>147</v>
      </c>
      <c r="D166" s="34" t="s">
        <v>96</v>
      </c>
      <c r="E166" s="260">
        <v>0</v>
      </c>
      <c r="F166" s="235">
        <v>2</v>
      </c>
      <c r="G166" s="40" t="s">
        <v>171</v>
      </c>
      <c r="H166" s="29"/>
      <c r="I166" s="9"/>
      <c r="J166" s="9"/>
      <c r="K166" s="9"/>
      <c r="L166" s="9"/>
      <c r="M166" s="9"/>
      <c r="N166" s="186" t="str">
        <f t="shared" si="9"/>
        <v/>
      </c>
      <c r="O166" s="160" t="str">
        <f t="shared" si="10"/>
        <v/>
      </c>
      <c r="P166" s="63"/>
    </row>
    <row r="167" spans="1:16" hidden="1">
      <c r="A167" s="152" t="s">
        <v>116</v>
      </c>
      <c r="B167" s="34" t="s">
        <v>205</v>
      </c>
      <c r="C167" s="40" t="s">
        <v>147</v>
      </c>
      <c r="D167" s="34" t="s">
        <v>97</v>
      </c>
      <c r="E167" s="260">
        <v>0</v>
      </c>
      <c r="F167" s="235">
        <v>2</v>
      </c>
      <c r="G167" s="40" t="s">
        <v>171</v>
      </c>
      <c r="H167" s="29"/>
      <c r="I167" s="9"/>
      <c r="J167" s="9"/>
      <c r="K167" s="9"/>
      <c r="L167" s="9"/>
      <c r="M167" s="9"/>
      <c r="N167" s="186" t="str">
        <f t="shared" si="9"/>
        <v/>
      </c>
      <c r="O167" s="160" t="str">
        <f t="shared" si="10"/>
        <v/>
      </c>
      <c r="P167" s="63"/>
    </row>
    <row r="168" spans="1:16" hidden="1">
      <c r="A168" s="152" t="s">
        <v>116</v>
      </c>
      <c r="B168" s="34" t="s">
        <v>205</v>
      </c>
      <c r="C168" s="40" t="s">
        <v>147</v>
      </c>
      <c r="D168" s="34" t="s">
        <v>98</v>
      </c>
      <c r="E168" s="260">
        <v>0</v>
      </c>
      <c r="F168" s="235">
        <v>2</v>
      </c>
      <c r="G168" s="40" t="s">
        <v>171</v>
      </c>
      <c r="H168" s="29"/>
      <c r="I168" s="9"/>
      <c r="J168" s="9"/>
      <c r="K168" s="9"/>
      <c r="L168" s="9"/>
      <c r="M168" s="9"/>
      <c r="N168" s="186" t="str">
        <f t="shared" si="9"/>
        <v/>
      </c>
      <c r="O168" s="160" t="str">
        <f t="shared" si="10"/>
        <v/>
      </c>
      <c r="P168" s="63"/>
    </row>
    <row r="169" spans="1:16" hidden="1">
      <c r="A169" s="152" t="s">
        <v>116</v>
      </c>
      <c r="B169" s="34" t="s">
        <v>205</v>
      </c>
      <c r="C169" s="40" t="s">
        <v>147</v>
      </c>
      <c r="D169" s="34" t="s">
        <v>99</v>
      </c>
      <c r="E169" s="260">
        <v>1.797E-2</v>
      </c>
      <c r="F169" s="235">
        <v>2</v>
      </c>
      <c r="G169" s="40" t="s">
        <v>203</v>
      </c>
      <c r="H169" s="29">
        <v>1</v>
      </c>
      <c r="I169" s="9">
        <v>2</v>
      </c>
      <c r="J169" s="9">
        <v>2</v>
      </c>
      <c r="K169" s="9">
        <v>3</v>
      </c>
      <c r="L169" s="9">
        <v>1</v>
      </c>
      <c r="M169" s="9">
        <v>2</v>
      </c>
      <c r="N169" s="186">
        <f t="shared" si="9"/>
        <v>0.48935255543384243</v>
      </c>
      <c r="O169" s="160">
        <f t="shared" si="10"/>
        <v>0.50042652380814845</v>
      </c>
      <c r="P169" s="63" t="s">
        <v>206</v>
      </c>
    </row>
    <row r="170" spans="1:16" hidden="1">
      <c r="A170" s="152" t="s">
        <v>116</v>
      </c>
      <c r="B170" s="34" t="s">
        <v>205</v>
      </c>
      <c r="C170" s="40" t="s">
        <v>147</v>
      </c>
      <c r="D170" s="34" t="s">
        <v>103</v>
      </c>
      <c r="E170" s="260">
        <v>1.797E-2</v>
      </c>
      <c r="F170" s="235">
        <v>2</v>
      </c>
      <c r="G170" s="40" t="s">
        <v>203</v>
      </c>
      <c r="H170" s="29">
        <v>1</v>
      </c>
      <c r="I170" s="9">
        <v>2</v>
      </c>
      <c r="J170" s="9">
        <v>2</v>
      </c>
      <c r="K170" s="9">
        <v>3</v>
      </c>
      <c r="L170" s="9">
        <v>1</v>
      </c>
      <c r="M170" s="9">
        <v>2</v>
      </c>
      <c r="N170" s="186">
        <f t="shared" si="9"/>
        <v>0.48935255543384243</v>
      </c>
      <c r="O170" s="160">
        <f t="shared" si="10"/>
        <v>0.50042652380814845</v>
      </c>
      <c r="P170" s="63" t="s">
        <v>206</v>
      </c>
    </row>
    <row r="171" spans="1:16" hidden="1">
      <c r="A171" s="152" t="s">
        <v>116</v>
      </c>
      <c r="B171" s="34" t="s">
        <v>205</v>
      </c>
      <c r="C171" s="40" t="s">
        <v>147</v>
      </c>
      <c r="D171" s="34" t="s">
        <v>107</v>
      </c>
      <c r="E171" s="260">
        <v>1.797E-2</v>
      </c>
      <c r="F171" s="235">
        <v>2</v>
      </c>
      <c r="G171" s="40" t="s">
        <v>203</v>
      </c>
      <c r="H171" s="29">
        <v>1</v>
      </c>
      <c r="I171" s="9">
        <v>2</v>
      </c>
      <c r="J171" s="9">
        <v>2</v>
      </c>
      <c r="K171" s="9">
        <v>3</v>
      </c>
      <c r="L171" s="9">
        <v>1</v>
      </c>
      <c r="M171" s="9">
        <v>2</v>
      </c>
      <c r="N171" s="186">
        <f t="shared" si="9"/>
        <v>0.48935255543384243</v>
      </c>
      <c r="O171" s="160">
        <f t="shared" si="10"/>
        <v>0.50042652380814845</v>
      </c>
      <c r="P171" s="63" t="s">
        <v>206</v>
      </c>
    </row>
    <row r="172" spans="1:16" hidden="1">
      <c r="A172" s="152" t="s">
        <v>116</v>
      </c>
      <c r="B172" s="34" t="s">
        <v>205</v>
      </c>
      <c r="C172" s="40" t="s">
        <v>147</v>
      </c>
      <c r="D172" s="34" t="s">
        <v>93</v>
      </c>
      <c r="E172" s="260">
        <v>0</v>
      </c>
      <c r="F172" s="235">
        <v>2</v>
      </c>
      <c r="G172" s="40" t="s">
        <v>171</v>
      </c>
      <c r="H172" s="29"/>
      <c r="I172" s="9"/>
      <c r="J172" s="9"/>
      <c r="K172" s="9"/>
      <c r="L172" s="9"/>
      <c r="M172" s="9"/>
      <c r="N172" s="186" t="str">
        <f t="shared" si="9"/>
        <v/>
      </c>
      <c r="O172" s="160" t="str">
        <f t="shared" si="10"/>
        <v/>
      </c>
      <c r="P172" s="63"/>
    </row>
    <row r="173" spans="1:16" hidden="1">
      <c r="A173" s="152" t="s">
        <v>116</v>
      </c>
      <c r="B173" s="34" t="s">
        <v>205</v>
      </c>
      <c r="C173" s="40" t="s">
        <v>147</v>
      </c>
      <c r="D173" s="34" t="s">
        <v>94</v>
      </c>
      <c r="E173" s="260">
        <v>2.6169999999999999E-2</v>
      </c>
      <c r="F173" s="235">
        <v>2</v>
      </c>
      <c r="G173" s="40" t="s">
        <v>203</v>
      </c>
      <c r="H173" s="29">
        <v>1</v>
      </c>
      <c r="I173" s="9">
        <v>2</v>
      </c>
      <c r="J173" s="9">
        <v>2</v>
      </c>
      <c r="K173" s="9">
        <v>3</v>
      </c>
      <c r="L173" s="9">
        <v>1</v>
      </c>
      <c r="M173" s="9">
        <v>2</v>
      </c>
      <c r="N173" s="186">
        <f t="shared" si="9"/>
        <v>0.48935255543384243</v>
      </c>
      <c r="O173" s="160">
        <f t="shared" si="10"/>
        <v>0.50042652380814845</v>
      </c>
      <c r="P173" s="63" t="s">
        <v>207</v>
      </c>
    </row>
    <row r="174" spans="1:16" hidden="1">
      <c r="A174" s="152" t="s">
        <v>116</v>
      </c>
      <c r="B174" s="34" t="s">
        <v>205</v>
      </c>
      <c r="C174" s="40" t="s">
        <v>147</v>
      </c>
      <c r="D174" s="34" t="s">
        <v>95</v>
      </c>
      <c r="E174" s="260">
        <v>2.6169999999999999E-2</v>
      </c>
      <c r="F174" s="235">
        <v>2</v>
      </c>
      <c r="G174" s="40" t="s">
        <v>203</v>
      </c>
      <c r="H174" s="29">
        <v>1</v>
      </c>
      <c r="I174" s="9">
        <v>2</v>
      </c>
      <c r="J174" s="9">
        <v>2</v>
      </c>
      <c r="K174" s="9">
        <v>3</v>
      </c>
      <c r="L174" s="9">
        <v>1</v>
      </c>
      <c r="M174" s="9">
        <v>2</v>
      </c>
      <c r="N174" s="186">
        <f t="shared" si="9"/>
        <v>0.48935255543384243</v>
      </c>
      <c r="O174" s="160">
        <f t="shared" si="10"/>
        <v>0.50042652380814845</v>
      </c>
      <c r="P174" s="63" t="s">
        <v>207</v>
      </c>
    </row>
    <row r="175" spans="1:16" hidden="1">
      <c r="A175" s="152" t="s">
        <v>116</v>
      </c>
      <c r="B175" s="34" t="s">
        <v>205</v>
      </c>
      <c r="C175" s="40" t="s">
        <v>147</v>
      </c>
      <c r="D175" s="34" t="s">
        <v>96</v>
      </c>
      <c r="E175" s="260">
        <v>0</v>
      </c>
      <c r="F175" s="235">
        <v>2</v>
      </c>
      <c r="G175" s="40" t="s">
        <v>171</v>
      </c>
      <c r="H175" s="29"/>
      <c r="I175" s="9"/>
      <c r="J175" s="9"/>
      <c r="K175" s="9"/>
      <c r="L175" s="9"/>
      <c r="M175" s="9"/>
      <c r="N175" s="186" t="str">
        <f t="shared" si="9"/>
        <v/>
      </c>
      <c r="O175" s="160" t="str">
        <f t="shared" si="10"/>
        <v/>
      </c>
      <c r="P175" s="63"/>
    </row>
    <row r="176" spans="1:16" hidden="1">
      <c r="A176" s="152" t="s">
        <v>116</v>
      </c>
      <c r="B176" s="34" t="s">
        <v>205</v>
      </c>
      <c r="C176" s="40" t="s">
        <v>147</v>
      </c>
      <c r="D176" s="34" t="s">
        <v>97</v>
      </c>
      <c r="E176" s="260">
        <v>0</v>
      </c>
      <c r="F176" s="235">
        <v>2</v>
      </c>
      <c r="G176" s="40" t="s">
        <v>171</v>
      </c>
      <c r="H176" s="29"/>
      <c r="I176" s="9"/>
      <c r="J176" s="9"/>
      <c r="K176" s="9"/>
      <c r="L176" s="9"/>
      <c r="M176" s="9"/>
      <c r="N176" s="186" t="str">
        <f t="shared" si="9"/>
        <v/>
      </c>
      <c r="O176" s="160" t="str">
        <f t="shared" si="10"/>
        <v/>
      </c>
      <c r="P176" s="63"/>
    </row>
    <row r="177" spans="1:16" hidden="1">
      <c r="A177" s="152" t="s">
        <v>116</v>
      </c>
      <c r="B177" s="34" t="s">
        <v>205</v>
      </c>
      <c r="C177" s="40" t="s">
        <v>147</v>
      </c>
      <c r="D177" s="34" t="s">
        <v>98</v>
      </c>
      <c r="E177" s="260">
        <v>0</v>
      </c>
      <c r="F177" s="235">
        <v>2</v>
      </c>
      <c r="G177" s="40" t="s">
        <v>171</v>
      </c>
      <c r="H177" s="29"/>
      <c r="I177" s="9"/>
      <c r="J177" s="9"/>
      <c r="K177" s="9"/>
      <c r="L177" s="9"/>
      <c r="M177" s="9"/>
      <c r="N177" s="186" t="str">
        <f t="shared" si="9"/>
        <v/>
      </c>
      <c r="O177" s="160" t="str">
        <f t="shared" si="10"/>
        <v/>
      </c>
      <c r="P177" s="63"/>
    </row>
    <row r="178" spans="1:16" hidden="1">
      <c r="A178" s="152" t="s">
        <v>116</v>
      </c>
      <c r="B178" s="34" t="s">
        <v>205</v>
      </c>
      <c r="C178" s="40" t="s">
        <v>147</v>
      </c>
      <c r="D178" s="34" t="s">
        <v>99</v>
      </c>
      <c r="E178" s="260">
        <v>2.6169999999999999E-2</v>
      </c>
      <c r="F178" s="235">
        <v>2</v>
      </c>
      <c r="G178" s="40" t="s">
        <v>203</v>
      </c>
      <c r="H178" s="29">
        <v>1</v>
      </c>
      <c r="I178" s="9">
        <v>2</v>
      </c>
      <c r="J178" s="9">
        <v>2</v>
      </c>
      <c r="K178" s="9">
        <v>3</v>
      </c>
      <c r="L178" s="9">
        <v>1</v>
      </c>
      <c r="M178" s="9">
        <v>2</v>
      </c>
      <c r="N178" s="186">
        <f t="shared" ref="N178:N209" si="11">IF( OR( ISBLANK(H178),ISBLANK(J178), ISBLANK(K178), ISBLANK(L178), ISBLANK(M178) ), "", 1.5*SQRT(   EXP(2.21*(H178-1)) + EXP(2.21*(J178-1)) + EXP(2.21*(K178-1)) + EXP(2.21*(L178-1)) + EXP(2.21*M178)   )/100*2.45 )</f>
        <v>0.48935255543384243</v>
      </c>
      <c r="O178" s="160">
        <f t="shared" si="10"/>
        <v>0.50042652380814845</v>
      </c>
      <c r="P178" s="63" t="s">
        <v>207</v>
      </c>
    </row>
    <row r="179" spans="1:16" hidden="1">
      <c r="A179" s="152" t="s">
        <v>116</v>
      </c>
      <c r="B179" s="34" t="s">
        <v>205</v>
      </c>
      <c r="C179" s="40" t="s">
        <v>147</v>
      </c>
      <c r="D179" s="34" t="s">
        <v>103</v>
      </c>
      <c r="E179" s="260">
        <v>2.6169999999999999E-2</v>
      </c>
      <c r="F179" s="235">
        <v>2</v>
      </c>
      <c r="G179" s="40" t="s">
        <v>203</v>
      </c>
      <c r="H179" s="29">
        <v>1</v>
      </c>
      <c r="I179" s="9">
        <v>2</v>
      </c>
      <c r="J179" s="9">
        <v>2</v>
      </c>
      <c r="K179" s="9">
        <v>3</v>
      </c>
      <c r="L179" s="9">
        <v>1</v>
      </c>
      <c r="M179" s="9">
        <v>2</v>
      </c>
      <c r="N179" s="186">
        <f t="shared" si="11"/>
        <v>0.48935255543384243</v>
      </c>
      <c r="O179" s="160">
        <f t="shared" si="10"/>
        <v>0.50042652380814845</v>
      </c>
      <c r="P179" s="63" t="s">
        <v>207</v>
      </c>
    </row>
    <row r="180" spans="1:16" hidden="1">
      <c r="A180" s="152" t="s">
        <v>116</v>
      </c>
      <c r="B180" s="34" t="s">
        <v>205</v>
      </c>
      <c r="C180" s="40" t="s">
        <v>147</v>
      </c>
      <c r="D180" s="34" t="s">
        <v>107</v>
      </c>
      <c r="E180" s="260">
        <v>2.6169999999999999E-2</v>
      </c>
      <c r="F180" s="235">
        <v>2</v>
      </c>
      <c r="G180" s="40" t="s">
        <v>203</v>
      </c>
      <c r="H180" s="29">
        <v>1</v>
      </c>
      <c r="I180" s="9">
        <v>2</v>
      </c>
      <c r="J180" s="9">
        <v>2</v>
      </c>
      <c r="K180" s="9">
        <v>3</v>
      </c>
      <c r="L180" s="9">
        <v>1</v>
      </c>
      <c r="M180" s="9">
        <v>2</v>
      </c>
      <c r="N180" s="186">
        <f t="shared" si="11"/>
        <v>0.48935255543384243</v>
      </c>
      <c r="O180" s="160">
        <f t="shared" si="10"/>
        <v>0.50042652380814845</v>
      </c>
      <c r="P180" s="63" t="s">
        <v>207</v>
      </c>
    </row>
    <row r="181" spans="1:16" hidden="1">
      <c r="A181" s="152" t="s">
        <v>205</v>
      </c>
      <c r="B181" s="34" t="s">
        <v>208</v>
      </c>
      <c r="C181" s="40" t="s">
        <v>147</v>
      </c>
      <c r="D181" s="34" t="s">
        <v>147</v>
      </c>
      <c r="E181" s="260" t="s">
        <v>158</v>
      </c>
      <c r="F181" s="235">
        <v>1</v>
      </c>
      <c r="G181" s="40" t="s">
        <v>171</v>
      </c>
      <c r="H181" s="29"/>
      <c r="I181" s="9"/>
      <c r="J181" s="9"/>
      <c r="K181" s="9"/>
      <c r="L181" s="9"/>
      <c r="M181" s="9"/>
      <c r="N181" s="186" t="str">
        <f t="shared" si="11"/>
        <v/>
      </c>
      <c r="O181" s="160" t="str">
        <f t="shared" si="10"/>
        <v/>
      </c>
      <c r="P181" s="63"/>
    </row>
    <row r="182" spans="1:16" hidden="1">
      <c r="A182" s="152" t="s">
        <v>205</v>
      </c>
      <c r="B182" s="34" t="s">
        <v>209</v>
      </c>
      <c r="C182" s="40" t="s">
        <v>147</v>
      </c>
      <c r="D182" s="34" t="s">
        <v>147</v>
      </c>
      <c r="E182" s="260">
        <v>2.2599999999999999E-2</v>
      </c>
      <c r="F182" s="235">
        <v>2</v>
      </c>
      <c r="G182" s="40" t="s">
        <v>203</v>
      </c>
      <c r="H182" s="29">
        <v>2</v>
      </c>
      <c r="I182" s="9">
        <v>2</v>
      </c>
      <c r="J182" s="9">
        <v>2</v>
      </c>
      <c r="K182" s="9">
        <v>2</v>
      </c>
      <c r="L182" s="9">
        <v>2</v>
      </c>
      <c r="M182" s="9">
        <v>2</v>
      </c>
      <c r="N182" s="186">
        <f t="shared" si="11"/>
        <v>0.40183591897512122</v>
      </c>
      <c r="O182" s="160">
        <f t="shared" si="10"/>
        <v>0.40183591897512122</v>
      </c>
      <c r="P182" s="63" t="s">
        <v>210</v>
      </c>
    </row>
    <row r="183" spans="1:16" hidden="1">
      <c r="A183" s="152" t="s">
        <v>205</v>
      </c>
      <c r="B183" s="34" t="s">
        <v>209</v>
      </c>
      <c r="C183" s="40" t="s">
        <v>147</v>
      </c>
      <c r="D183" s="34" t="s">
        <v>147</v>
      </c>
      <c r="E183" s="260">
        <v>0.3286</v>
      </c>
      <c r="F183" s="235">
        <v>2</v>
      </c>
      <c r="G183" s="40" t="s">
        <v>203</v>
      </c>
      <c r="H183" s="29">
        <v>2</v>
      </c>
      <c r="I183" s="9">
        <v>2</v>
      </c>
      <c r="J183" s="9">
        <v>2</v>
      </c>
      <c r="K183" s="9">
        <v>2</v>
      </c>
      <c r="L183" s="9">
        <v>2</v>
      </c>
      <c r="M183" s="9">
        <v>2</v>
      </c>
      <c r="N183" s="186">
        <f t="shared" si="11"/>
        <v>0.40183591897512122</v>
      </c>
      <c r="O183" s="160">
        <f t="shared" si="10"/>
        <v>0.40183591897512122</v>
      </c>
      <c r="P183" s="63" t="s">
        <v>211</v>
      </c>
    </row>
    <row r="184" spans="1:16" hidden="1">
      <c r="A184" s="152" t="s">
        <v>146</v>
      </c>
      <c r="B184" s="34" t="s">
        <v>175</v>
      </c>
      <c r="C184" s="40" t="s">
        <v>147</v>
      </c>
      <c r="D184" s="34" t="s">
        <v>147</v>
      </c>
      <c r="E184" s="260">
        <v>3.5000000000000003E-2</v>
      </c>
      <c r="F184" s="235">
        <v>2</v>
      </c>
      <c r="G184" s="40" t="s">
        <v>212</v>
      </c>
      <c r="H184" s="29">
        <v>1</v>
      </c>
      <c r="I184" s="9"/>
      <c r="J184" s="9">
        <v>3</v>
      </c>
      <c r="K184" s="9">
        <v>3</v>
      </c>
      <c r="L184" s="9">
        <v>3</v>
      </c>
      <c r="M184" s="9">
        <v>2</v>
      </c>
      <c r="N184" s="186">
        <f t="shared" si="11"/>
        <v>0.67101227267249941</v>
      </c>
      <c r="O184" s="160" t="str">
        <f t="shared" si="10"/>
        <v/>
      </c>
      <c r="P184" s="63"/>
    </row>
    <row r="185" spans="1:16" hidden="1">
      <c r="A185" s="152" t="s">
        <v>150</v>
      </c>
      <c r="B185" s="34" t="s">
        <v>175</v>
      </c>
      <c r="C185" s="40" t="s">
        <v>147</v>
      </c>
      <c r="D185" s="34" t="s">
        <v>147</v>
      </c>
      <c r="E185" s="260">
        <v>3.5000000000000003E-2</v>
      </c>
      <c r="F185" s="235">
        <v>2</v>
      </c>
      <c r="G185" s="40" t="s">
        <v>212</v>
      </c>
      <c r="H185" s="29">
        <v>1</v>
      </c>
      <c r="I185" s="9"/>
      <c r="J185" s="9">
        <v>3</v>
      </c>
      <c r="K185" s="9">
        <v>3</v>
      </c>
      <c r="L185" s="9">
        <v>3</v>
      </c>
      <c r="M185" s="9">
        <v>2</v>
      </c>
      <c r="N185" s="186">
        <f t="shared" si="11"/>
        <v>0.67101227267249941</v>
      </c>
      <c r="O185" s="160" t="str">
        <f t="shared" si="10"/>
        <v/>
      </c>
      <c r="P185" s="63"/>
    </row>
    <row r="186" spans="1:16" hidden="1">
      <c r="A186" s="152" t="s">
        <v>213</v>
      </c>
      <c r="B186" s="34" t="s">
        <v>175</v>
      </c>
      <c r="C186" s="40" t="s">
        <v>147</v>
      </c>
      <c r="D186" s="34" t="s">
        <v>147</v>
      </c>
      <c r="E186" s="260">
        <v>3.5000000000000003E-2</v>
      </c>
      <c r="F186" s="235">
        <v>2</v>
      </c>
      <c r="G186" s="40" t="s">
        <v>212</v>
      </c>
      <c r="H186" s="29">
        <v>1</v>
      </c>
      <c r="I186" s="9"/>
      <c r="J186" s="9">
        <v>3</v>
      </c>
      <c r="K186" s="9">
        <v>3</v>
      </c>
      <c r="L186" s="9">
        <v>3</v>
      </c>
      <c r="M186" s="9">
        <v>2</v>
      </c>
      <c r="N186" s="186">
        <f t="shared" si="11"/>
        <v>0.67101227267249941</v>
      </c>
      <c r="O186" s="160" t="str">
        <f t="shared" si="10"/>
        <v/>
      </c>
      <c r="P186" s="63"/>
    </row>
    <row r="187" spans="1:16" hidden="1">
      <c r="A187" s="152" t="s">
        <v>214</v>
      </c>
      <c r="B187" s="34" t="s">
        <v>175</v>
      </c>
      <c r="C187" s="40" t="s">
        <v>147</v>
      </c>
      <c r="D187" s="34" t="s">
        <v>147</v>
      </c>
      <c r="E187" s="260">
        <v>3.5000000000000003E-2</v>
      </c>
      <c r="F187" s="235">
        <v>2</v>
      </c>
      <c r="G187" s="40" t="s">
        <v>212</v>
      </c>
      <c r="H187" s="29">
        <v>1</v>
      </c>
      <c r="I187" s="9"/>
      <c r="J187" s="9">
        <v>3</v>
      </c>
      <c r="K187" s="9">
        <v>3</v>
      </c>
      <c r="L187" s="9">
        <v>3</v>
      </c>
      <c r="M187" s="9">
        <v>2</v>
      </c>
      <c r="N187" s="186">
        <f t="shared" si="11"/>
        <v>0.67101227267249941</v>
      </c>
      <c r="O187" s="160" t="str">
        <f t="shared" si="10"/>
        <v/>
      </c>
      <c r="P187" s="63"/>
    </row>
    <row r="188" spans="1:16" hidden="1">
      <c r="A188" s="152" t="s">
        <v>215</v>
      </c>
      <c r="B188" s="34" t="s">
        <v>175</v>
      </c>
      <c r="C188" s="40" t="s">
        <v>147</v>
      </c>
      <c r="D188" s="34" t="s">
        <v>147</v>
      </c>
      <c r="E188" s="260">
        <v>3.5000000000000003E-2</v>
      </c>
      <c r="F188" s="235">
        <v>2</v>
      </c>
      <c r="G188" s="40" t="s">
        <v>212</v>
      </c>
      <c r="H188" s="29">
        <v>1</v>
      </c>
      <c r="I188" s="9"/>
      <c r="J188" s="9">
        <v>3</v>
      </c>
      <c r="K188" s="9">
        <v>3</v>
      </c>
      <c r="L188" s="9">
        <v>3</v>
      </c>
      <c r="M188" s="9">
        <v>2</v>
      </c>
      <c r="N188" s="186">
        <f t="shared" si="11"/>
        <v>0.67101227267249941</v>
      </c>
      <c r="O188" s="160" t="str">
        <f t="shared" si="10"/>
        <v/>
      </c>
      <c r="P188" s="63"/>
    </row>
    <row r="189" spans="1:16" hidden="1">
      <c r="A189" s="152" t="s">
        <v>216</v>
      </c>
      <c r="B189" s="34" t="s">
        <v>175</v>
      </c>
      <c r="C189" s="40" t="s">
        <v>147</v>
      </c>
      <c r="D189" s="34" t="s">
        <v>147</v>
      </c>
      <c r="E189" s="260">
        <v>3.5000000000000003E-2</v>
      </c>
      <c r="F189" s="235">
        <v>2</v>
      </c>
      <c r="G189" s="40" t="s">
        <v>212</v>
      </c>
      <c r="H189" s="29">
        <v>1</v>
      </c>
      <c r="I189" s="9"/>
      <c r="J189" s="9">
        <v>3</v>
      </c>
      <c r="K189" s="9">
        <v>3</v>
      </c>
      <c r="L189" s="9">
        <v>3</v>
      </c>
      <c r="M189" s="9">
        <v>2</v>
      </c>
      <c r="N189" s="186">
        <f t="shared" si="11"/>
        <v>0.67101227267249941</v>
      </c>
      <c r="O189" s="160" t="str">
        <f t="shared" si="10"/>
        <v/>
      </c>
      <c r="P189" s="63"/>
    </row>
    <row r="190" spans="1:16" hidden="1">
      <c r="A190" s="152" t="str">
        <f>Agriculture!A117</f>
        <v>Agricultural mulching films</v>
      </c>
      <c r="B190" s="34" t="str">
        <f>Agriculture!B117</f>
        <v>Collected organic waste</v>
      </c>
      <c r="C190" s="40" t="str">
        <f>Agriculture!C117</f>
        <v>any</v>
      </c>
      <c r="D190" s="34" t="str">
        <f>Agriculture!D117</f>
        <v>any</v>
      </c>
      <c r="E190" s="243">
        <f>Agriculture!E117</f>
        <v>3.5000000000000003E-2</v>
      </c>
      <c r="F190" s="235">
        <f>Agriculture!F117</f>
        <v>2</v>
      </c>
      <c r="G190" s="40" t="str">
        <f>Agriculture!G117</f>
        <v>See calculation in Compost sheet</v>
      </c>
      <c r="H190" s="29">
        <v>1</v>
      </c>
      <c r="I190" s="9">
        <v>2</v>
      </c>
      <c r="J190" s="9">
        <v>3</v>
      </c>
      <c r="K190" s="9">
        <v>3</v>
      </c>
      <c r="L190" s="9">
        <v>3</v>
      </c>
      <c r="M190" s="9">
        <v>2</v>
      </c>
      <c r="N190" s="186">
        <f t="shared" si="11"/>
        <v>0.67101227267249941</v>
      </c>
      <c r="O190" s="160">
        <f t="shared" si="10"/>
        <v>0.67913051197703389</v>
      </c>
      <c r="P190" s="63"/>
    </row>
    <row r="191" spans="1:16" hidden="1">
      <c r="A191" s="152" t="str">
        <f>Agriculture!A123</f>
        <v>Agricultural other</v>
      </c>
      <c r="B191" s="34" t="str">
        <f>Agriculture!B123</f>
        <v>Collected organic waste</v>
      </c>
      <c r="C191" s="40" t="str">
        <f>Agriculture!C123</f>
        <v>any</v>
      </c>
      <c r="D191" s="34" t="str">
        <f>Agriculture!D123</f>
        <v>any</v>
      </c>
      <c r="E191" s="243">
        <f>Agriculture!E123</f>
        <v>3.5000000000000003E-2</v>
      </c>
      <c r="F191" s="235">
        <f>Agriculture!F123</f>
        <v>2</v>
      </c>
      <c r="G191" s="40" t="str">
        <f>Agriculture!G123</f>
        <v>See calculation in Compost sheet</v>
      </c>
      <c r="H191" s="29">
        <v>1</v>
      </c>
      <c r="I191" s="9">
        <v>2</v>
      </c>
      <c r="J191" s="9">
        <v>3</v>
      </c>
      <c r="K191" s="9">
        <v>3</v>
      </c>
      <c r="L191" s="9">
        <v>3</v>
      </c>
      <c r="M191" s="9">
        <v>2</v>
      </c>
      <c r="N191" s="186">
        <f t="shared" si="11"/>
        <v>0.67101227267249941</v>
      </c>
      <c r="O191" s="160">
        <f t="shared" si="10"/>
        <v>0.67913051197703389</v>
      </c>
      <c r="P191" s="63"/>
    </row>
    <row r="192" spans="1:16" hidden="1">
      <c r="A192" s="152" t="str">
        <f>Agriculture!A127</f>
        <v>Agricultural pipes (in use)</v>
      </c>
      <c r="B192" s="34" t="str">
        <f>Agriculture!B127</f>
        <v>Collected organic waste</v>
      </c>
      <c r="C192" s="40" t="str">
        <f>Agriculture!C127</f>
        <v>any</v>
      </c>
      <c r="D192" s="34" t="str">
        <f>Agriculture!D127</f>
        <v>any</v>
      </c>
      <c r="E192" s="243">
        <f>Agriculture!E127</f>
        <v>0.47297297297297297</v>
      </c>
      <c r="F192" s="235">
        <f>Agriculture!F127</f>
        <v>2</v>
      </c>
      <c r="G192" s="40" t="str">
        <f>Agriculture!G127</f>
        <v>See calculation in Compost sheet</v>
      </c>
      <c r="H192" s="29">
        <v>1</v>
      </c>
      <c r="I192" s="9">
        <v>2</v>
      </c>
      <c r="J192" s="9">
        <v>3</v>
      </c>
      <c r="K192" s="9">
        <v>3</v>
      </c>
      <c r="L192" s="9">
        <v>3</v>
      </c>
      <c r="M192" s="9">
        <v>2</v>
      </c>
      <c r="N192" s="186">
        <f t="shared" si="11"/>
        <v>0.67101227267249941</v>
      </c>
      <c r="O192" s="160">
        <f t="shared" si="10"/>
        <v>0.67913051197703389</v>
      </c>
      <c r="P192" s="63" t="str">
        <f>Agriculture!P127</f>
        <v>Normalized (See Agriculture sheet)</v>
      </c>
    </row>
    <row r="193" spans="1:16" hidden="1">
      <c r="A193" s="152" t="str">
        <f>Agriculture!A131</f>
        <v>Agricultural greenhouse films (in use)</v>
      </c>
      <c r="B193" s="34" t="str">
        <f>Agriculture!B131</f>
        <v>Collected organic waste</v>
      </c>
      <c r="C193" s="40" t="str">
        <f>Agriculture!C131</f>
        <v>any</v>
      </c>
      <c r="D193" s="34" t="str">
        <f>Agriculture!D131</f>
        <v>any</v>
      </c>
      <c r="E193" s="243">
        <f>Agriculture!E131</f>
        <v>0.38043478260869568</v>
      </c>
      <c r="F193" s="235">
        <f>Agriculture!F131</f>
        <v>2</v>
      </c>
      <c r="G193" s="40" t="str">
        <f>Agriculture!G131</f>
        <v>See calculation in Compost sheet</v>
      </c>
      <c r="H193" s="29">
        <v>1</v>
      </c>
      <c r="I193" s="9">
        <v>2</v>
      </c>
      <c r="J193" s="9">
        <v>3</v>
      </c>
      <c r="K193" s="9">
        <v>3</v>
      </c>
      <c r="L193" s="9">
        <v>3</v>
      </c>
      <c r="M193" s="9">
        <v>2</v>
      </c>
      <c r="N193" s="186">
        <f t="shared" si="11"/>
        <v>0.67101227267249941</v>
      </c>
      <c r="O193" s="160">
        <f t="shared" si="10"/>
        <v>0.67913051197703389</v>
      </c>
      <c r="P193" s="63" t="str">
        <f>Agriculture!P131</f>
        <v>Normalized (See Agriculture sheet)</v>
      </c>
    </row>
    <row r="194" spans="1:16" hidden="1">
      <c r="A194" s="152" t="s">
        <v>146</v>
      </c>
      <c r="B194" s="34" t="s">
        <v>217</v>
      </c>
      <c r="C194" s="40" t="s">
        <v>147</v>
      </c>
      <c r="D194" s="34" t="s">
        <v>147</v>
      </c>
      <c r="E194" s="260">
        <v>2.7E-4</v>
      </c>
      <c r="F194" s="235">
        <v>2</v>
      </c>
      <c r="G194" s="40" t="s">
        <v>218</v>
      </c>
      <c r="H194" s="29">
        <v>1</v>
      </c>
      <c r="I194" s="9"/>
      <c r="J194" s="9">
        <v>1</v>
      </c>
      <c r="K194" s="9">
        <v>3</v>
      </c>
      <c r="L194" s="9">
        <v>3</v>
      </c>
      <c r="M194" s="9">
        <v>3</v>
      </c>
      <c r="N194" s="186">
        <f t="shared" si="11"/>
        <v>1.1181151966036349</v>
      </c>
      <c r="O194" s="160" t="str">
        <f t="shared" si="10"/>
        <v/>
      </c>
      <c r="P194" s="63"/>
    </row>
    <row r="195" spans="1:16" hidden="1">
      <c r="A195" s="152" t="s">
        <v>175</v>
      </c>
      <c r="B195" s="34" t="s">
        <v>219</v>
      </c>
      <c r="C195" s="40" t="s">
        <v>147</v>
      </c>
      <c r="D195" s="34" t="s">
        <v>147</v>
      </c>
      <c r="E195" s="260" t="s">
        <v>158</v>
      </c>
      <c r="F195" s="235">
        <v>1</v>
      </c>
      <c r="G195" s="40"/>
      <c r="H195" s="29"/>
      <c r="I195" s="9"/>
      <c r="J195" s="9"/>
      <c r="K195" s="9"/>
      <c r="L195" s="9"/>
      <c r="M195" s="9"/>
      <c r="N195" s="186" t="str">
        <f t="shared" si="11"/>
        <v/>
      </c>
      <c r="O195" s="160" t="str">
        <f t="shared" si="10"/>
        <v/>
      </c>
      <c r="P195" s="63"/>
    </row>
    <row r="196" spans="1:16" hidden="1">
      <c r="A196" s="152" t="s">
        <v>175</v>
      </c>
      <c r="B196" s="34" t="s">
        <v>220</v>
      </c>
      <c r="C196" s="40" t="s">
        <v>147</v>
      </c>
      <c r="D196" s="34" t="s">
        <v>147</v>
      </c>
      <c r="E196" s="260">
        <v>0.15</v>
      </c>
      <c r="F196" s="235">
        <v>2</v>
      </c>
      <c r="G196" s="40" t="s">
        <v>221</v>
      </c>
      <c r="H196" s="29">
        <v>2</v>
      </c>
      <c r="I196" s="9"/>
      <c r="J196" s="9">
        <v>2</v>
      </c>
      <c r="K196" s="9">
        <v>1</v>
      </c>
      <c r="L196" s="9">
        <v>1</v>
      </c>
      <c r="M196" s="9">
        <v>1</v>
      </c>
      <c r="N196" s="186">
        <f t="shared" si="11"/>
        <v>0.19908580854301616</v>
      </c>
      <c r="O196" s="160" t="str">
        <f t="shared" si="10"/>
        <v/>
      </c>
      <c r="P196" s="63"/>
    </row>
    <row r="197" spans="1:16" hidden="1">
      <c r="A197" s="152" t="s">
        <v>222</v>
      </c>
      <c r="B197" s="34" t="s">
        <v>223</v>
      </c>
      <c r="C197" s="40" t="s">
        <v>147</v>
      </c>
      <c r="D197" s="34" t="s">
        <v>147</v>
      </c>
      <c r="E197" s="260">
        <v>0.08</v>
      </c>
      <c r="F197" s="235">
        <v>2</v>
      </c>
      <c r="G197" s="40" t="s">
        <v>224</v>
      </c>
      <c r="H197" s="29">
        <v>1</v>
      </c>
      <c r="I197" s="9">
        <v>2</v>
      </c>
      <c r="J197" s="9">
        <v>3</v>
      </c>
      <c r="K197" s="9">
        <v>2</v>
      </c>
      <c r="L197" s="9">
        <v>3</v>
      </c>
      <c r="M197" s="9">
        <v>1</v>
      </c>
      <c r="N197" s="186">
        <f t="shared" si="11"/>
        <v>0.50042652380814845</v>
      </c>
      <c r="O197" s="160">
        <f t="shared" si="10"/>
        <v>0.51126068492676302</v>
      </c>
      <c r="P197" s="63" t="s">
        <v>225</v>
      </c>
    </row>
    <row r="198" spans="1:16" hidden="1">
      <c r="A198" s="152" t="s">
        <v>222</v>
      </c>
      <c r="B198" s="34" t="s">
        <v>223</v>
      </c>
      <c r="C198" s="40" t="s">
        <v>147</v>
      </c>
      <c r="D198" s="34" t="s">
        <v>147</v>
      </c>
      <c r="E198" s="260">
        <v>3.2000000000000001E-2</v>
      </c>
      <c r="F198" s="235">
        <v>2</v>
      </c>
      <c r="G198" s="40" t="s">
        <v>226</v>
      </c>
      <c r="H198" s="29">
        <v>2</v>
      </c>
      <c r="I198" s="9">
        <v>2</v>
      </c>
      <c r="J198" s="9">
        <v>3</v>
      </c>
      <c r="K198" s="9">
        <v>3</v>
      </c>
      <c r="L198" s="9">
        <v>3</v>
      </c>
      <c r="M198" s="9">
        <v>3</v>
      </c>
      <c r="N198" s="186">
        <f t="shared" si="11"/>
        <v>1.1713319510247036</v>
      </c>
      <c r="O198" s="160">
        <f t="shared" si="10"/>
        <v>1.1713319510247036</v>
      </c>
      <c r="P198" s="63" t="s">
        <v>225</v>
      </c>
    </row>
    <row r="199" spans="1:16" hidden="1">
      <c r="A199" s="152" t="s">
        <v>222</v>
      </c>
      <c r="B199" s="34" t="s">
        <v>223</v>
      </c>
      <c r="C199" s="40" t="s">
        <v>147</v>
      </c>
      <c r="D199" s="34" t="s">
        <v>147</v>
      </c>
      <c r="E199" s="260">
        <v>2.9826370000000001E-2</v>
      </c>
      <c r="F199" s="235">
        <v>2</v>
      </c>
      <c r="G199" s="40" t="s">
        <v>227</v>
      </c>
      <c r="H199" s="29">
        <v>2</v>
      </c>
      <c r="I199" s="9">
        <v>2</v>
      </c>
      <c r="J199" s="9">
        <v>4</v>
      </c>
      <c r="K199" s="9">
        <v>3</v>
      </c>
      <c r="L199" s="9">
        <v>3</v>
      </c>
      <c r="M199" s="9">
        <v>1</v>
      </c>
      <c r="N199" s="186">
        <f t="shared" si="11"/>
        <v>1.1278755061256256</v>
      </c>
      <c r="O199" s="160">
        <f t="shared" si="10"/>
        <v>1.1278755061256256</v>
      </c>
      <c r="P199" s="63"/>
    </row>
    <row r="200" spans="1:16" hidden="1">
      <c r="A200" s="152" t="s">
        <v>228</v>
      </c>
      <c r="B200" s="34" t="s">
        <v>229</v>
      </c>
      <c r="C200" s="40" t="s">
        <v>147</v>
      </c>
      <c r="D200" s="34" t="s">
        <v>147</v>
      </c>
      <c r="E200" s="260">
        <v>0.08</v>
      </c>
      <c r="F200" s="235">
        <v>2</v>
      </c>
      <c r="G200" s="40" t="s">
        <v>224</v>
      </c>
      <c r="H200" s="29">
        <v>1</v>
      </c>
      <c r="I200" s="9">
        <v>2</v>
      </c>
      <c r="J200" s="9">
        <v>3</v>
      </c>
      <c r="K200" s="9">
        <v>2</v>
      </c>
      <c r="L200" s="9">
        <v>3</v>
      </c>
      <c r="M200" s="9">
        <v>1</v>
      </c>
      <c r="N200" s="186">
        <f t="shared" si="11"/>
        <v>0.50042652380814845</v>
      </c>
      <c r="O200" s="160">
        <f t="shared" si="10"/>
        <v>0.51126068492676302</v>
      </c>
      <c r="P200" s="63"/>
    </row>
    <row r="201" spans="1:16" hidden="1">
      <c r="A201" s="152" t="s">
        <v>228</v>
      </c>
      <c r="B201" s="34" t="s">
        <v>229</v>
      </c>
      <c r="C201" s="40" t="s">
        <v>147</v>
      </c>
      <c r="D201" s="34" t="s">
        <v>147</v>
      </c>
      <c r="E201" s="260">
        <v>3.2000000000000001E-2</v>
      </c>
      <c r="F201" s="235">
        <v>2</v>
      </c>
      <c r="G201" s="40" t="s">
        <v>226</v>
      </c>
      <c r="H201" s="29">
        <v>2</v>
      </c>
      <c r="I201" s="9">
        <v>2</v>
      </c>
      <c r="J201" s="9">
        <v>3</v>
      </c>
      <c r="K201" s="9">
        <v>3</v>
      </c>
      <c r="L201" s="9">
        <v>3</v>
      </c>
      <c r="M201" s="9">
        <v>3</v>
      </c>
      <c r="N201" s="186">
        <f t="shared" si="11"/>
        <v>1.1713319510247036</v>
      </c>
      <c r="O201" s="160">
        <f t="shared" si="10"/>
        <v>1.1713319510247036</v>
      </c>
      <c r="P201" s="63" t="s">
        <v>225</v>
      </c>
    </row>
    <row r="202" spans="1:16" hidden="1">
      <c r="A202" s="152" t="s">
        <v>228</v>
      </c>
      <c r="B202" s="34" t="s">
        <v>229</v>
      </c>
      <c r="C202" s="40" t="s">
        <v>147</v>
      </c>
      <c r="D202" s="34" t="s">
        <v>147</v>
      </c>
      <c r="E202" s="260">
        <v>2.9826370000000001E-2</v>
      </c>
      <c r="F202" s="235">
        <v>2</v>
      </c>
      <c r="G202" s="40" t="s">
        <v>227</v>
      </c>
      <c r="H202" s="29">
        <v>2</v>
      </c>
      <c r="I202" s="9">
        <v>2</v>
      </c>
      <c r="J202" s="9">
        <v>4</v>
      </c>
      <c r="K202" s="9">
        <v>3</v>
      </c>
      <c r="L202" s="9">
        <v>3</v>
      </c>
      <c r="M202" s="9">
        <v>1</v>
      </c>
      <c r="N202" s="186">
        <f t="shared" si="11"/>
        <v>1.1278755061256256</v>
      </c>
      <c r="O202" s="160">
        <f t="shared" si="10"/>
        <v>1.1278755061256256</v>
      </c>
      <c r="P202" s="63" t="s">
        <v>230</v>
      </c>
    </row>
    <row r="203" spans="1:16" hidden="1">
      <c r="A203" s="152" t="s">
        <v>231</v>
      </c>
      <c r="B203" s="34" t="s">
        <v>157</v>
      </c>
      <c r="C203" s="40" t="s">
        <v>147</v>
      </c>
      <c r="D203" s="34" t="s">
        <v>147</v>
      </c>
      <c r="E203" s="260">
        <v>0</v>
      </c>
      <c r="F203" s="235">
        <v>2</v>
      </c>
      <c r="G203" s="40" t="s">
        <v>221</v>
      </c>
      <c r="H203" s="29">
        <v>2</v>
      </c>
      <c r="I203" s="9"/>
      <c r="J203" s="9">
        <v>2</v>
      </c>
      <c r="K203" s="9">
        <v>3</v>
      </c>
      <c r="L203" s="9">
        <v>3</v>
      </c>
      <c r="M203" s="9">
        <v>2</v>
      </c>
      <c r="N203" s="186">
        <f t="shared" si="11"/>
        <v>0.60108474454521421</v>
      </c>
      <c r="O203" s="160" t="str">
        <f t="shared" si="10"/>
        <v/>
      </c>
      <c r="P203" s="63" t="s">
        <v>232</v>
      </c>
    </row>
    <row r="204" spans="1:16" hidden="1">
      <c r="A204" s="152" t="s">
        <v>231</v>
      </c>
      <c r="B204" s="34" t="s">
        <v>157</v>
      </c>
      <c r="C204" s="40" t="s">
        <v>147</v>
      </c>
      <c r="D204" s="34" t="s">
        <v>147</v>
      </c>
      <c r="E204" s="260">
        <v>0.79999999999999993</v>
      </c>
      <c r="F204" s="235">
        <v>2</v>
      </c>
      <c r="G204" s="40" t="s">
        <v>221</v>
      </c>
      <c r="H204" s="29">
        <v>2</v>
      </c>
      <c r="I204" s="9"/>
      <c r="J204" s="9">
        <v>2</v>
      </c>
      <c r="K204" s="9">
        <v>3</v>
      </c>
      <c r="L204" s="9">
        <v>3</v>
      </c>
      <c r="M204" s="9">
        <v>2</v>
      </c>
      <c r="N204" s="186">
        <f t="shared" si="11"/>
        <v>0.60108474454521421</v>
      </c>
      <c r="O204" s="160" t="str">
        <f t="shared" si="10"/>
        <v/>
      </c>
      <c r="P204" s="63" t="s">
        <v>232</v>
      </c>
    </row>
    <row r="205" spans="1:16" hidden="1">
      <c r="A205" s="152" t="s">
        <v>220</v>
      </c>
      <c r="B205" s="34" t="s">
        <v>162</v>
      </c>
      <c r="C205" s="40" t="s">
        <v>147</v>
      </c>
      <c r="D205" s="34" t="s">
        <v>147</v>
      </c>
      <c r="E205" s="260">
        <v>1</v>
      </c>
      <c r="F205" s="235">
        <v>2</v>
      </c>
      <c r="G205" s="40"/>
      <c r="H205" s="29"/>
      <c r="I205" s="9"/>
      <c r="J205" s="9"/>
      <c r="K205" s="9"/>
      <c r="L205" s="9"/>
      <c r="M205" s="9"/>
      <c r="N205" s="186" t="str">
        <f t="shared" si="11"/>
        <v/>
      </c>
      <c r="O205" s="160" t="str">
        <f t="shared" si="10"/>
        <v/>
      </c>
      <c r="P205" s="63" t="s">
        <v>233</v>
      </c>
    </row>
    <row r="206" spans="1:16" hidden="1">
      <c r="A206" s="152" t="s">
        <v>231</v>
      </c>
      <c r="B206" s="34" t="s">
        <v>162</v>
      </c>
      <c r="C206" s="40" t="s">
        <v>147</v>
      </c>
      <c r="D206" s="34" t="s">
        <v>147</v>
      </c>
      <c r="E206" s="260" t="s">
        <v>158</v>
      </c>
      <c r="F206" s="235">
        <v>1</v>
      </c>
      <c r="G206" s="40"/>
      <c r="H206" s="29"/>
      <c r="I206" s="9"/>
      <c r="J206" s="9"/>
      <c r="K206" s="9"/>
      <c r="L206" s="9"/>
      <c r="M206" s="9"/>
      <c r="N206" s="186" t="str">
        <f t="shared" si="11"/>
        <v/>
      </c>
      <c r="O206" s="160" t="str">
        <f t="shared" si="10"/>
        <v/>
      </c>
      <c r="P206" s="63"/>
    </row>
    <row r="207" spans="1:16" hidden="1">
      <c r="A207" s="152" t="s">
        <v>219</v>
      </c>
      <c r="B207" s="34" t="s">
        <v>231</v>
      </c>
      <c r="C207" s="40" t="s">
        <v>147</v>
      </c>
      <c r="D207" s="34" t="s">
        <v>147</v>
      </c>
      <c r="E207" s="260">
        <v>0.01</v>
      </c>
      <c r="F207" s="235">
        <v>2</v>
      </c>
      <c r="G207" s="40" t="s">
        <v>234</v>
      </c>
      <c r="H207" s="29">
        <v>2</v>
      </c>
      <c r="I207" s="9"/>
      <c r="J207" s="9">
        <v>2</v>
      </c>
      <c r="K207" s="9">
        <v>3</v>
      </c>
      <c r="L207" s="9">
        <v>3</v>
      </c>
      <c r="M207" s="9">
        <v>2</v>
      </c>
      <c r="N207" s="186">
        <f t="shared" si="11"/>
        <v>0.60108474454521421</v>
      </c>
      <c r="O207" s="160" t="str">
        <f t="shared" si="10"/>
        <v/>
      </c>
      <c r="P207" s="63" t="s">
        <v>235</v>
      </c>
    </row>
    <row r="208" spans="1:16" hidden="1">
      <c r="A208" s="292" t="s">
        <v>198</v>
      </c>
      <c r="B208" s="55" t="s">
        <v>236</v>
      </c>
      <c r="C208" s="265" t="s">
        <v>147</v>
      </c>
      <c r="D208" s="55" t="s">
        <v>147</v>
      </c>
      <c r="E208" s="260" t="s">
        <v>158</v>
      </c>
      <c r="F208" s="235">
        <v>1</v>
      </c>
      <c r="G208" s="265" t="s">
        <v>237</v>
      </c>
      <c r="H208" s="29">
        <v>1</v>
      </c>
      <c r="I208" s="9">
        <v>2</v>
      </c>
      <c r="J208" s="9">
        <v>2</v>
      </c>
      <c r="K208" s="9">
        <v>1</v>
      </c>
      <c r="L208" s="9">
        <v>1</v>
      </c>
      <c r="M208" s="9">
        <v>2</v>
      </c>
      <c r="N208" s="186">
        <f t="shared" si="11"/>
        <v>0.35859414261160716</v>
      </c>
      <c r="O208" s="160">
        <f t="shared" si="10"/>
        <v>0.37356464144298934</v>
      </c>
      <c r="P208" s="63"/>
    </row>
    <row r="209" spans="1:16" hidden="1">
      <c r="A209" s="292" t="s">
        <v>198</v>
      </c>
      <c r="B209" s="55" t="s">
        <v>238</v>
      </c>
      <c r="C209" s="265" t="s">
        <v>147</v>
      </c>
      <c r="D209" s="55" t="s">
        <v>147</v>
      </c>
      <c r="E209" s="260">
        <v>0.44587958</v>
      </c>
      <c r="F209" s="235">
        <v>2</v>
      </c>
      <c r="G209" s="265" t="s">
        <v>237</v>
      </c>
      <c r="H209" s="29">
        <v>1</v>
      </c>
      <c r="I209" s="9">
        <v>2</v>
      </c>
      <c r="J209" s="9">
        <v>2</v>
      </c>
      <c r="K209" s="9">
        <v>1</v>
      </c>
      <c r="L209" s="9">
        <v>1</v>
      </c>
      <c r="M209" s="9">
        <v>2</v>
      </c>
      <c r="N209" s="186">
        <f t="shared" si="11"/>
        <v>0.35859414261160716</v>
      </c>
      <c r="O209" s="160">
        <f t="shared" si="10"/>
        <v>0.37356464144298934</v>
      </c>
      <c r="P209" s="63"/>
    </row>
    <row r="210" spans="1:16" hidden="1">
      <c r="A210" s="152" t="s">
        <v>191</v>
      </c>
      <c r="B210" s="34" t="s">
        <v>183</v>
      </c>
      <c r="C210" s="40" t="s">
        <v>147</v>
      </c>
      <c r="D210" s="34" t="s">
        <v>147</v>
      </c>
      <c r="E210" s="40">
        <v>1</v>
      </c>
      <c r="F210" s="235">
        <v>1</v>
      </c>
      <c r="G210" s="40"/>
      <c r="H210" s="29"/>
      <c r="I210" s="9"/>
      <c r="J210" s="9"/>
      <c r="K210" s="9"/>
      <c r="L210" s="9"/>
      <c r="M210" s="9"/>
      <c r="N210" s="186" t="str">
        <f t="shared" ref="N210:N241" si="12">IF( OR( ISBLANK(H210),ISBLANK(J210), ISBLANK(K210), ISBLANK(L210), ISBLANK(M210) ), "", 1.5*SQRT(   EXP(2.21*(H210-1)) + EXP(2.21*(J210-1)) + EXP(2.21*(K210-1)) + EXP(2.21*(L210-1)) + EXP(2.21*M210)   )/100*2.45 )</f>
        <v/>
      </c>
      <c r="O210" s="160" t="str">
        <f t="shared" si="10"/>
        <v/>
      </c>
      <c r="P210" s="858"/>
    </row>
    <row r="211" spans="1:16" hidden="1">
      <c r="A211" s="152" t="s">
        <v>39</v>
      </c>
      <c r="B211" s="34" t="s">
        <v>213</v>
      </c>
      <c r="C211" s="40" t="s">
        <v>147</v>
      </c>
      <c r="D211" s="34" t="s">
        <v>93</v>
      </c>
      <c r="E211" s="260">
        <v>0.1348</v>
      </c>
      <c r="F211" s="235">
        <v>1</v>
      </c>
      <c r="G211" s="40" t="s">
        <v>148</v>
      </c>
      <c r="H211" s="29">
        <v>2</v>
      </c>
      <c r="I211" s="9">
        <v>2</v>
      </c>
      <c r="J211" s="9">
        <v>2</v>
      </c>
      <c r="K211" s="9">
        <v>1</v>
      </c>
      <c r="L211" s="9">
        <v>1</v>
      </c>
      <c r="M211" s="9">
        <v>2</v>
      </c>
      <c r="N211" s="186">
        <f t="shared" si="12"/>
        <v>0.37356464144298934</v>
      </c>
      <c r="O211" s="160">
        <f t="shared" si="10"/>
        <v>0.37356464144298934</v>
      </c>
      <c r="P211" s="63"/>
    </row>
    <row r="212" spans="1:16" hidden="1">
      <c r="A212" s="152" t="s">
        <v>39</v>
      </c>
      <c r="B212" s="34" t="s">
        <v>213</v>
      </c>
      <c r="C212" s="40" t="s">
        <v>147</v>
      </c>
      <c r="D212" s="34" t="s">
        <v>94</v>
      </c>
      <c r="E212" s="260">
        <v>0.27379999999999999</v>
      </c>
      <c r="F212" s="235">
        <v>1</v>
      </c>
      <c r="G212" s="40" t="s">
        <v>148</v>
      </c>
      <c r="H212" s="29">
        <v>2</v>
      </c>
      <c r="I212" s="9">
        <v>2</v>
      </c>
      <c r="J212" s="9">
        <v>2</v>
      </c>
      <c r="K212" s="9">
        <v>1</v>
      </c>
      <c r="L212" s="9">
        <v>1</v>
      </c>
      <c r="M212" s="9">
        <v>2</v>
      </c>
      <c r="N212" s="186">
        <f t="shared" si="12"/>
        <v>0.37356464144298934</v>
      </c>
      <c r="O212" s="160">
        <f t="shared" si="10"/>
        <v>0.37356464144298934</v>
      </c>
      <c r="P212" s="63"/>
    </row>
    <row r="213" spans="1:16" hidden="1">
      <c r="A213" s="152" t="s">
        <v>39</v>
      </c>
      <c r="B213" s="34" t="s">
        <v>213</v>
      </c>
      <c r="C213" s="40" t="s">
        <v>147</v>
      </c>
      <c r="D213" s="34" t="s">
        <v>95</v>
      </c>
      <c r="E213" s="260">
        <v>0.1031</v>
      </c>
      <c r="F213" s="235">
        <v>1</v>
      </c>
      <c r="G213" s="40" t="s">
        <v>148</v>
      </c>
      <c r="H213" s="29">
        <v>2</v>
      </c>
      <c r="I213" s="9">
        <v>2</v>
      </c>
      <c r="J213" s="9">
        <v>2</v>
      </c>
      <c r="K213" s="9">
        <v>1</v>
      </c>
      <c r="L213" s="9">
        <v>1</v>
      </c>
      <c r="M213" s="9">
        <v>2</v>
      </c>
      <c r="N213" s="186">
        <f t="shared" si="12"/>
        <v>0.37356464144298934</v>
      </c>
      <c r="O213" s="160">
        <f t="shared" si="10"/>
        <v>0.37356464144298934</v>
      </c>
      <c r="P213" s="63"/>
    </row>
    <row r="214" spans="1:16" hidden="1">
      <c r="A214" s="152" t="s">
        <v>39</v>
      </c>
      <c r="B214" s="34" t="s">
        <v>213</v>
      </c>
      <c r="C214" s="40" t="s">
        <v>147</v>
      </c>
      <c r="D214" s="34" t="s">
        <v>96</v>
      </c>
      <c r="E214" s="260">
        <v>1.1900000000000001E-2</v>
      </c>
      <c r="F214" s="235">
        <v>1</v>
      </c>
      <c r="G214" s="40" t="s">
        <v>148</v>
      </c>
      <c r="H214" s="29">
        <v>2</v>
      </c>
      <c r="I214" s="9">
        <v>2</v>
      </c>
      <c r="J214" s="9">
        <v>2</v>
      </c>
      <c r="K214" s="9">
        <v>1</v>
      </c>
      <c r="L214" s="9">
        <v>1</v>
      </c>
      <c r="M214" s="9">
        <v>2</v>
      </c>
      <c r="N214" s="186">
        <f t="shared" si="12"/>
        <v>0.37356464144298934</v>
      </c>
      <c r="O214" s="160">
        <f t="shared" ref="O214:O277" si="13">IF( OR( ISBLANK(I214),ISBLANK(J214), ISBLANK(K214), ISBLANK(L214), ISBLANK(M214) ), "", 1.5*SQRT( EXP(2.21*(I214-1)) + EXP(2.21*(J214-1)) + EXP(2.21*(K214-1)) + EXP(2.21*(L214-1)) + EXP(2.21*M214)   )/100*2.45 )</f>
        <v>0.37356464144298934</v>
      </c>
      <c r="P214" s="63"/>
    </row>
    <row r="215" spans="1:16" hidden="1">
      <c r="A215" s="152" t="s">
        <v>39</v>
      </c>
      <c r="B215" s="34" t="s">
        <v>213</v>
      </c>
      <c r="C215" s="40" t="s">
        <v>147</v>
      </c>
      <c r="D215" s="34" t="s">
        <v>97</v>
      </c>
      <c r="E215" s="260">
        <v>0</v>
      </c>
      <c r="F215" s="235">
        <v>1</v>
      </c>
      <c r="G215" s="40" t="s">
        <v>148</v>
      </c>
      <c r="H215" s="29"/>
      <c r="I215" s="9"/>
      <c r="J215" s="9"/>
      <c r="K215" s="9"/>
      <c r="L215" s="9"/>
      <c r="M215" s="9"/>
      <c r="N215" s="186" t="str">
        <f t="shared" si="12"/>
        <v/>
      </c>
      <c r="O215" s="160" t="str">
        <f t="shared" si="13"/>
        <v/>
      </c>
      <c r="P215" s="63"/>
    </row>
    <row r="216" spans="1:16" hidden="1">
      <c r="A216" s="152" t="s">
        <v>39</v>
      </c>
      <c r="B216" s="34" t="s">
        <v>213</v>
      </c>
      <c r="C216" s="40" t="s">
        <v>147</v>
      </c>
      <c r="D216" s="34" t="s">
        <v>98</v>
      </c>
      <c r="E216" s="260">
        <v>1.14E-2</v>
      </c>
      <c r="F216" s="235">
        <v>1</v>
      </c>
      <c r="G216" s="40" t="s">
        <v>148</v>
      </c>
      <c r="H216" s="29">
        <v>2</v>
      </c>
      <c r="I216" s="9">
        <v>2</v>
      </c>
      <c r="J216" s="9">
        <v>2</v>
      </c>
      <c r="K216" s="9">
        <v>1</v>
      </c>
      <c r="L216" s="9">
        <v>1</v>
      </c>
      <c r="M216" s="9">
        <v>2</v>
      </c>
      <c r="N216" s="186">
        <f t="shared" si="12"/>
        <v>0.37356464144298934</v>
      </c>
      <c r="O216" s="160">
        <f t="shared" si="13"/>
        <v>0.37356464144298934</v>
      </c>
      <c r="P216" s="63"/>
    </row>
    <row r="217" spans="1:16" hidden="1">
      <c r="A217" s="152" t="s">
        <v>39</v>
      </c>
      <c r="B217" s="34" t="s">
        <v>213</v>
      </c>
      <c r="C217" s="40" t="s">
        <v>147</v>
      </c>
      <c r="D217" s="34" t="s">
        <v>99</v>
      </c>
      <c r="E217" s="260">
        <v>1.12E-2</v>
      </c>
      <c r="F217" s="235">
        <v>1</v>
      </c>
      <c r="G217" s="40" t="s">
        <v>148</v>
      </c>
      <c r="H217" s="29">
        <v>2</v>
      </c>
      <c r="I217" s="9">
        <v>2</v>
      </c>
      <c r="J217" s="9">
        <v>2</v>
      </c>
      <c r="K217" s="9">
        <v>1</v>
      </c>
      <c r="L217" s="9">
        <v>1</v>
      </c>
      <c r="M217" s="9">
        <v>2</v>
      </c>
      <c r="N217" s="186">
        <f t="shared" si="12"/>
        <v>0.37356464144298934</v>
      </c>
      <c r="O217" s="160">
        <f t="shared" si="13"/>
        <v>0.37356464144298934</v>
      </c>
      <c r="P217" s="63"/>
    </row>
    <row r="218" spans="1:16" hidden="1">
      <c r="A218" s="152" t="s">
        <v>39</v>
      </c>
      <c r="B218" s="34" t="s">
        <v>213</v>
      </c>
      <c r="C218" s="40" t="s">
        <v>147</v>
      </c>
      <c r="D218" s="34" t="s">
        <v>106</v>
      </c>
      <c r="E218" s="260">
        <v>0.12556313993174059</v>
      </c>
      <c r="F218" s="235">
        <v>1</v>
      </c>
      <c r="G218" s="40" t="s">
        <v>149</v>
      </c>
      <c r="H218" s="29">
        <v>2</v>
      </c>
      <c r="I218" s="9">
        <v>1</v>
      </c>
      <c r="J218" s="9">
        <v>2</v>
      </c>
      <c r="K218" s="9">
        <v>2</v>
      </c>
      <c r="L218" s="9">
        <v>1</v>
      </c>
      <c r="M218" s="9">
        <v>2</v>
      </c>
      <c r="N218" s="186">
        <f t="shared" si="12"/>
        <v>0.38795788889711302</v>
      </c>
      <c r="O218" s="160">
        <f t="shared" si="13"/>
        <v>0.37356464144298934</v>
      </c>
      <c r="P218" s="63"/>
    </row>
    <row r="219" spans="1:16" hidden="1">
      <c r="A219" s="152" t="s">
        <v>39</v>
      </c>
      <c r="B219" s="34" t="s">
        <v>214</v>
      </c>
      <c r="C219" s="40" t="s">
        <v>147</v>
      </c>
      <c r="D219" s="34" t="s">
        <v>93</v>
      </c>
      <c r="E219" s="260">
        <v>1.6000000000000001E-3</v>
      </c>
      <c r="F219" s="235">
        <v>1</v>
      </c>
      <c r="G219" s="40" t="s">
        <v>148</v>
      </c>
      <c r="H219" s="29">
        <v>2</v>
      </c>
      <c r="I219" s="9">
        <v>2</v>
      </c>
      <c r="J219" s="9">
        <v>2</v>
      </c>
      <c r="K219" s="9">
        <v>1</v>
      </c>
      <c r="L219" s="9">
        <v>1</v>
      </c>
      <c r="M219" s="9">
        <v>2</v>
      </c>
      <c r="N219" s="186">
        <f t="shared" si="12"/>
        <v>0.37356464144298934</v>
      </c>
      <c r="O219" s="160">
        <f t="shared" si="13"/>
        <v>0.37356464144298934</v>
      </c>
      <c r="P219" s="63"/>
    </row>
    <row r="220" spans="1:16" hidden="1">
      <c r="A220" s="152" t="s">
        <v>39</v>
      </c>
      <c r="B220" s="34" t="s">
        <v>214</v>
      </c>
      <c r="C220" s="40" t="s">
        <v>147</v>
      </c>
      <c r="D220" s="34" t="s">
        <v>94</v>
      </c>
      <c r="E220" s="260">
        <v>0.38629999999999998</v>
      </c>
      <c r="F220" s="235">
        <v>1</v>
      </c>
      <c r="G220" s="40" t="s">
        <v>148</v>
      </c>
      <c r="H220" s="29">
        <v>2</v>
      </c>
      <c r="I220" s="9">
        <v>2</v>
      </c>
      <c r="J220" s="9">
        <v>2</v>
      </c>
      <c r="K220" s="9">
        <v>1</v>
      </c>
      <c r="L220" s="9">
        <v>1</v>
      </c>
      <c r="M220" s="9">
        <v>2</v>
      </c>
      <c r="N220" s="186">
        <f t="shared" si="12"/>
        <v>0.37356464144298934</v>
      </c>
      <c r="O220" s="160">
        <f t="shared" si="13"/>
        <v>0.37356464144298934</v>
      </c>
      <c r="P220" s="63"/>
    </row>
    <row r="221" spans="1:16" hidden="1">
      <c r="A221" s="152" t="s">
        <v>39</v>
      </c>
      <c r="B221" s="34" t="s">
        <v>214</v>
      </c>
      <c r="C221" s="40" t="s">
        <v>147</v>
      </c>
      <c r="D221" s="34" t="s">
        <v>95</v>
      </c>
      <c r="E221" s="260">
        <v>1.03E-2</v>
      </c>
      <c r="F221" s="235">
        <v>1</v>
      </c>
      <c r="G221" s="40" t="s">
        <v>148</v>
      </c>
      <c r="H221" s="29">
        <v>2</v>
      </c>
      <c r="I221" s="9">
        <v>2</v>
      </c>
      <c r="J221" s="9">
        <v>2</v>
      </c>
      <c r="K221" s="9">
        <v>1</v>
      </c>
      <c r="L221" s="9">
        <v>1</v>
      </c>
      <c r="M221" s="9">
        <v>2</v>
      </c>
      <c r="N221" s="186">
        <f t="shared" si="12"/>
        <v>0.37356464144298934</v>
      </c>
      <c r="O221" s="160">
        <f t="shared" si="13"/>
        <v>0.37356464144298934</v>
      </c>
      <c r="P221" s="63"/>
    </row>
    <row r="222" spans="1:16" hidden="1">
      <c r="A222" s="152" t="s">
        <v>39</v>
      </c>
      <c r="B222" s="34" t="s">
        <v>214</v>
      </c>
      <c r="C222" s="40" t="s">
        <v>147</v>
      </c>
      <c r="D222" s="34" t="s">
        <v>96</v>
      </c>
      <c r="E222" s="260">
        <v>0</v>
      </c>
      <c r="F222" s="235">
        <v>1</v>
      </c>
      <c r="G222" s="40" t="s">
        <v>148</v>
      </c>
      <c r="H222" s="29"/>
      <c r="I222" s="9"/>
      <c r="J222" s="9"/>
      <c r="K222" s="9"/>
      <c r="L222" s="9"/>
      <c r="M222" s="9"/>
      <c r="N222" s="186" t="str">
        <f t="shared" si="12"/>
        <v/>
      </c>
      <c r="O222" s="160" t="str">
        <f t="shared" si="13"/>
        <v/>
      </c>
      <c r="P222" s="63"/>
    </row>
    <row r="223" spans="1:16" hidden="1">
      <c r="A223" s="152" t="s">
        <v>39</v>
      </c>
      <c r="B223" s="34" t="s">
        <v>214</v>
      </c>
      <c r="C223" s="40" t="s">
        <v>147</v>
      </c>
      <c r="D223" s="34" t="s">
        <v>97</v>
      </c>
      <c r="E223" s="260">
        <v>0</v>
      </c>
      <c r="F223" s="235">
        <v>1</v>
      </c>
      <c r="G223" s="40" t="s">
        <v>148</v>
      </c>
      <c r="H223" s="29"/>
      <c r="I223" s="9"/>
      <c r="J223" s="9"/>
      <c r="K223" s="9"/>
      <c r="L223" s="9"/>
      <c r="M223" s="9"/>
      <c r="N223" s="186" t="str">
        <f t="shared" si="12"/>
        <v/>
      </c>
      <c r="O223" s="160" t="str">
        <f t="shared" si="13"/>
        <v/>
      </c>
      <c r="P223" s="63"/>
    </row>
    <row r="224" spans="1:16" hidden="1">
      <c r="A224" s="152" t="s">
        <v>39</v>
      </c>
      <c r="B224" s="34" t="s">
        <v>214</v>
      </c>
      <c r="C224" s="40" t="s">
        <v>147</v>
      </c>
      <c r="D224" s="34" t="s">
        <v>98</v>
      </c>
      <c r="E224" s="260">
        <v>2.2700000000000001E-2</v>
      </c>
      <c r="F224" s="235">
        <v>1</v>
      </c>
      <c r="G224" s="40" t="s">
        <v>148</v>
      </c>
      <c r="H224" s="29">
        <v>2</v>
      </c>
      <c r="I224" s="9">
        <v>2</v>
      </c>
      <c r="J224" s="9">
        <v>2</v>
      </c>
      <c r="K224" s="9">
        <v>1</v>
      </c>
      <c r="L224" s="9">
        <v>1</v>
      </c>
      <c r="M224" s="9">
        <v>2</v>
      </c>
      <c r="N224" s="186">
        <f t="shared" si="12"/>
        <v>0.37356464144298934</v>
      </c>
      <c r="O224" s="160">
        <f t="shared" si="13"/>
        <v>0.37356464144298934</v>
      </c>
      <c r="P224" s="63"/>
    </row>
    <row r="225" spans="1:16" hidden="1">
      <c r="A225" s="152" t="s">
        <v>39</v>
      </c>
      <c r="B225" s="34" t="s">
        <v>214</v>
      </c>
      <c r="C225" s="40" t="s">
        <v>147</v>
      </c>
      <c r="D225" s="34" t="s">
        <v>99</v>
      </c>
      <c r="E225" s="260">
        <v>0.41420000000000001</v>
      </c>
      <c r="F225" s="235">
        <v>2</v>
      </c>
      <c r="G225" s="40" t="s">
        <v>148</v>
      </c>
      <c r="H225" s="29">
        <v>2</v>
      </c>
      <c r="I225" s="9">
        <v>2</v>
      </c>
      <c r="J225" s="9">
        <v>2</v>
      </c>
      <c r="K225" s="9">
        <v>1</v>
      </c>
      <c r="L225" s="9">
        <v>1</v>
      </c>
      <c r="M225" s="9">
        <v>2</v>
      </c>
      <c r="N225" s="186">
        <f t="shared" si="12"/>
        <v>0.37356464144298934</v>
      </c>
      <c r="O225" s="160">
        <f t="shared" si="13"/>
        <v>0.37356464144298934</v>
      </c>
      <c r="P225" s="63" t="s">
        <v>239</v>
      </c>
    </row>
    <row r="226" spans="1:16" hidden="1">
      <c r="A226" s="152" t="s">
        <v>39</v>
      </c>
      <c r="B226" s="34" t="s">
        <v>214</v>
      </c>
      <c r="C226" s="40" t="s">
        <v>147</v>
      </c>
      <c r="D226" s="34" t="s">
        <v>106</v>
      </c>
      <c r="E226" s="260">
        <v>0</v>
      </c>
      <c r="F226" s="235">
        <v>1</v>
      </c>
      <c r="G226" s="40" t="s">
        <v>149</v>
      </c>
      <c r="H226" s="29"/>
      <c r="I226" s="9"/>
      <c r="J226" s="9"/>
      <c r="K226" s="9"/>
      <c r="L226" s="9"/>
      <c r="M226" s="9"/>
      <c r="N226" s="186" t="str">
        <f t="shared" si="12"/>
        <v/>
      </c>
      <c r="O226" s="160" t="str">
        <f t="shared" si="13"/>
        <v/>
      </c>
      <c r="P226" s="63"/>
    </row>
    <row r="227" spans="1:16" hidden="1">
      <c r="A227" s="152" t="s">
        <v>39</v>
      </c>
      <c r="B227" s="34" t="s">
        <v>215</v>
      </c>
      <c r="C227" s="40" t="s">
        <v>147</v>
      </c>
      <c r="D227" s="34" t="s">
        <v>93</v>
      </c>
      <c r="E227" s="260">
        <v>9.2499999999999999E-2</v>
      </c>
      <c r="F227" s="235">
        <v>1</v>
      </c>
      <c r="G227" s="40" t="s">
        <v>148</v>
      </c>
      <c r="H227" s="29">
        <v>2</v>
      </c>
      <c r="I227" s="9">
        <v>2</v>
      </c>
      <c r="J227" s="9">
        <v>2</v>
      </c>
      <c r="K227" s="9">
        <v>1</v>
      </c>
      <c r="L227" s="9">
        <v>1</v>
      </c>
      <c r="M227" s="9">
        <v>2</v>
      </c>
      <c r="N227" s="186">
        <f t="shared" si="12"/>
        <v>0.37356464144298934</v>
      </c>
      <c r="O227" s="160">
        <f t="shared" si="13"/>
        <v>0.37356464144298934</v>
      </c>
      <c r="P227" s="63"/>
    </row>
    <row r="228" spans="1:16" hidden="1">
      <c r="A228" s="152" t="s">
        <v>39</v>
      </c>
      <c r="B228" s="34" t="s">
        <v>215</v>
      </c>
      <c r="C228" s="40" t="s">
        <v>147</v>
      </c>
      <c r="D228" s="34" t="s">
        <v>94</v>
      </c>
      <c r="E228" s="260">
        <v>6.8500000000000005E-2</v>
      </c>
      <c r="F228" s="235">
        <v>1</v>
      </c>
      <c r="G228" s="40" t="s">
        <v>148</v>
      </c>
      <c r="H228" s="29">
        <v>2</v>
      </c>
      <c r="I228" s="9">
        <v>2</v>
      </c>
      <c r="J228" s="9">
        <v>2</v>
      </c>
      <c r="K228" s="9">
        <v>1</v>
      </c>
      <c r="L228" s="9">
        <v>1</v>
      </c>
      <c r="M228" s="9">
        <v>2</v>
      </c>
      <c r="N228" s="186">
        <f t="shared" si="12"/>
        <v>0.37356464144298934</v>
      </c>
      <c r="O228" s="160">
        <f t="shared" si="13"/>
        <v>0.37356464144298934</v>
      </c>
      <c r="P228" s="63"/>
    </row>
    <row r="229" spans="1:16" hidden="1">
      <c r="A229" s="152" t="s">
        <v>39</v>
      </c>
      <c r="B229" s="34" t="s">
        <v>215</v>
      </c>
      <c r="C229" s="40" t="s">
        <v>147</v>
      </c>
      <c r="D229" s="34" t="s">
        <v>95</v>
      </c>
      <c r="E229" s="260">
        <v>0.17780000000000001</v>
      </c>
      <c r="F229" s="235">
        <v>1</v>
      </c>
      <c r="G229" s="40" t="s">
        <v>148</v>
      </c>
      <c r="H229" s="29">
        <v>2</v>
      </c>
      <c r="I229" s="9">
        <v>2</v>
      </c>
      <c r="J229" s="9">
        <v>2</v>
      </c>
      <c r="K229" s="9">
        <v>1</v>
      </c>
      <c r="L229" s="9">
        <v>1</v>
      </c>
      <c r="M229" s="9">
        <v>2</v>
      </c>
      <c r="N229" s="186">
        <f t="shared" si="12"/>
        <v>0.37356464144298934</v>
      </c>
      <c r="O229" s="160">
        <f t="shared" si="13"/>
        <v>0.37356464144298934</v>
      </c>
      <c r="P229" s="63"/>
    </row>
    <row r="230" spans="1:16" hidden="1">
      <c r="A230" s="152" t="s">
        <v>39</v>
      </c>
      <c r="B230" s="34" t="s">
        <v>215</v>
      </c>
      <c r="C230" s="40" t="s">
        <v>147</v>
      </c>
      <c r="D230" s="34" t="s">
        <v>96</v>
      </c>
      <c r="E230" s="260">
        <v>0</v>
      </c>
      <c r="F230" s="235">
        <v>1</v>
      </c>
      <c r="G230" s="40" t="s">
        <v>148</v>
      </c>
      <c r="H230" s="29"/>
      <c r="I230" s="9"/>
      <c r="J230" s="9"/>
      <c r="K230" s="9"/>
      <c r="L230" s="9"/>
      <c r="M230" s="9"/>
      <c r="N230" s="186" t="str">
        <f t="shared" si="12"/>
        <v/>
      </c>
      <c r="O230" s="160" t="str">
        <f t="shared" si="13"/>
        <v/>
      </c>
      <c r="P230" s="63"/>
    </row>
    <row r="231" spans="1:16" hidden="1">
      <c r="A231" s="152" t="s">
        <v>39</v>
      </c>
      <c r="B231" s="34" t="s">
        <v>215</v>
      </c>
      <c r="C231" s="40" t="s">
        <v>147</v>
      </c>
      <c r="D231" s="34" t="s">
        <v>97</v>
      </c>
      <c r="E231" s="260">
        <v>0</v>
      </c>
      <c r="F231" s="235">
        <v>1</v>
      </c>
      <c r="G231" s="40" t="s">
        <v>148</v>
      </c>
      <c r="H231" s="29"/>
      <c r="I231" s="9"/>
      <c r="J231" s="9"/>
      <c r="K231" s="9"/>
      <c r="L231" s="9"/>
      <c r="M231" s="9"/>
      <c r="N231" s="186" t="str">
        <f t="shared" si="12"/>
        <v/>
      </c>
      <c r="O231" s="160" t="str">
        <f t="shared" si="13"/>
        <v/>
      </c>
      <c r="P231" s="63"/>
    </row>
    <row r="232" spans="1:16" hidden="1">
      <c r="A232" s="152" t="s">
        <v>39</v>
      </c>
      <c r="B232" s="34" t="s">
        <v>215</v>
      </c>
      <c r="C232" s="40" t="s">
        <v>147</v>
      </c>
      <c r="D232" s="34" t="s">
        <v>98</v>
      </c>
      <c r="E232" s="260">
        <v>5.6800000000000003E-2</v>
      </c>
      <c r="F232" s="235">
        <v>1</v>
      </c>
      <c r="G232" s="40" t="s">
        <v>148</v>
      </c>
      <c r="H232" s="29">
        <v>2</v>
      </c>
      <c r="I232" s="9">
        <v>2</v>
      </c>
      <c r="J232" s="9">
        <v>2</v>
      </c>
      <c r="K232" s="9">
        <v>1</v>
      </c>
      <c r="L232" s="9">
        <v>1</v>
      </c>
      <c r="M232" s="9">
        <v>2</v>
      </c>
      <c r="N232" s="186">
        <f t="shared" si="12"/>
        <v>0.37356464144298934</v>
      </c>
      <c r="O232" s="160">
        <f t="shared" si="13"/>
        <v>0.37356464144298934</v>
      </c>
      <c r="P232" s="63"/>
    </row>
    <row r="233" spans="1:16" hidden="1">
      <c r="A233" s="152" t="s">
        <v>39</v>
      </c>
      <c r="B233" s="34" t="s">
        <v>215</v>
      </c>
      <c r="C233" s="40" t="s">
        <v>147</v>
      </c>
      <c r="D233" s="34" t="s">
        <v>99</v>
      </c>
      <c r="E233" s="260">
        <v>6.2199999999999998E-2</v>
      </c>
      <c r="F233" s="235">
        <v>1</v>
      </c>
      <c r="G233" s="40" t="s">
        <v>148</v>
      </c>
      <c r="H233" s="29">
        <v>2</v>
      </c>
      <c r="I233" s="9">
        <v>2</v>
      </c>
      <c r="J233" s="9">
        <v>2</v>
      </c>
      <c r="K233" s="9">
        <v>1</v>
      </c>
      <c r="L233" s="9">
        <v>1</v>
      </c>
      <c r="M233" s="9">
        <v>2</v>
      </c>
      <c r="N233" s="186">
        <f t="shared" si="12"/>
        <v>0.37356464144298934</v>
      </c>
      <c r="O233" s="160">
        <f t="shared" si="13"/>
        <v>0.37356464144298934</v>
      </c>
      <c r="P233" s="63"/>
    </row>
    <row r="234" spans="1:16" hidden="1">
      <c r="A234" s="152" t="s">
        <v>39</v>
      </c>
      <c r="B234" s="34" t="s">
        <v>215</v>
      </c>
      <c r="C234" s="40" t="s">
        <v>147</v>
      </c>
      <c r="D234" s="34" t="s">
        <v>106</v>
      </c>
      <c r="E234" s="260">
        <v>0.28529010238907848</v>
      </c>
      <c r="F234" s="235">
        <v>1</v>
      </c>
      <c r="G234" s="40" t="s">
        <v>149</v>
      </c>
      <c r="H234" s="29">
        <v>2</v>
      </c>
      <c r="I234" s="9">
        <v>1</v>
      </c>
      <c r="J234" s="9">
        <v>2</v>
      </c>
      <c r="K234" s="9">
        <v>2</v>
      </c>
      <c r="L234" s="9">
        <v>1</v>
      </c>
      <c r="M234" s="9">
        <v>2</v>
      </c>
      <c r="N234" s="186">
        <f t="shared" si="12"/>
        <v>0.38795788889711302</v>
      </c>
      <c r="O234" s="160">
        <f t="shared" si="13"/>
        <v>0.37356464144298934</v>
      </c>
      <c r="P234" s="63"/>
    </row>
    <row r="235" spans="1:16" hidden="1">
      <c r="A235" s="152" t="s">
        <v>37</v>
      </c>
      <c r="B235" s="34" t="s">
        <v>164</v>
      </c>
      <c r="C235" s="40" t="s">
        <v>147</v>
      </c>
      <c r="D235" s="34" t="s">
        <v>93</v>
      </c>
      <c r="E235" s="260">
        <f>Intentionally_produced_MPs!F127</f>
        <v>0.88888888888888895</v>
      </c>
      <c r="F235" s="235">
        <v>1</v>
      </c>
      <c r="G235" s="40"/>
      <c r="H235" s="29">
        <v>3</v>
      </c>
      <c r="I235" s="9">
        <v>2</v>
      </c>
      <c r="J235" s="9">
        <v>3</v>
      </c>
      <c r="K235" s="9">
        <v>3</v>
      </c>
      <c r="L235" s="9">
        <v>3</v>
      </c>
      <c r="M235" s="9">
        <v>3</v>
      </c>
      <c r="N235" s="186">
        <f t="shared" si="12"/>
        <v>1.2132328390150593</v>
      </c>
      <c r="O235" s="160">
        <f t="shared" si="13"/>
        <v>1.1713319510247036</v>
      </c>
      <c r="P235" s="63"/>
    </row>
    <row r="236" spans="1:16" hidden="1">
      <c r="A236" s="152" t="s">
        <v>37</v>
      </c>
      <c r="B236" s="34" t="s">
        <v>164</v>
      </c>
      <c r="C236" s="40" t="s">
        <v>147</v>
      </c>
      <c r="D236" s="34" t="s">
        <v>94</v>
      </c>
      <c r="E236" s="260">
        <f>Intentionally_produced_MPs!F128</f>
        <v>0.14218906731735478</v>
      </c>
      <c r="F236" s="235">
        <v>1</v>
      </c>
      <c r="G236" s="40"/>
      <c r="H236" s="29">
        <v>3</v>
      </c>
      <c r="I236" s="9">
        <v>2</v>
      </c>
      <c r="J236" s="9">
        <v>3</v>
      </c>
      <c r="K236" s="9">
        <v>3</v>
      </c>
      <c r="L236" s="9">
        <v>3</v>
      </c>
      <c r="M236" s="9">
        <v>3</v>
      </c>
      <c r="N236" s="186">
        <f t="shared" si="12"/>
        <v>1.2132328390150593</v>
      </c>
      <c r="O236" s="160">
        <f t="shared" si="13"/>
        <v>1.1713319510247036</v>
      </c>
      <c r="P236" s="63"/>
    </row>
    <row r="237" spans="1:16" hidden="1">
      <c r="A237" s="152" t="s">
        <v>37</v>
      </c>
      <c r="B237" s="34" t="s">
        <v>164</v>
      </c>
      <c r="C237" s="40" t="s">
        <v>147</v>
      </c>
      <c r="D237" s="34" t="s">
        <v>95</v>
      </c>
      <c r="E237" s="260">
        <f>Intentionally_produced_MPs!F129</f>
        <v>1</v>
      </c>
      <c r="F237" s="235">
        <v>1</v>
      </c>
      <c r="G237" s="40"/>
      <c r="H237" s="29">
        <v>3</v>
      </c>
      <c r="I237" s="9">
        <v>2</v>
      </c>
      <c r="J237" s="9">
        <v>3</v>
      </c>
      <c r="K237" s="9">
        <v>3</v>
      </c>
      <c r="L237" s="9">
        <v>3</v>
      </c>
      <c r="M237" s="9">
        <v>3</v>
      </c>
      <c r="N237" s="186">
        <f t="shared" si="12"/>
        <v>1.2132328390150593</v>
      </c>
      <c r="O237" s="160">
        <f t="shared" si="13"/>
        <v>1.1713319510247036</v>
      </c>
      <c r="P237" s="63"/>
    </row>
    <row r="238" spans="1:16" hidden="1">
      <c r="A238" s="152" t="s">
        <v>37</v>
      </c>
      <c r="B238" s="34" t="s">
        <v>164</v>
      </c>
      <c r="C238" s="40" t="s">
        <v>147</v>
      </c>
      <c r="D238" s="34" t="s">
        <v>96</v>
      </c>
      <c r="E238" s="260">
        <f>Intentionally_produced_MPs!F130</f>
        <v>0</v>
      </c>
      <c r="F238" s="235">
        <v>1</v>
      </c>
      <c r="G238" s="40"/>
      <c r="H238" s="29"/>
      <c r="I238" s="9"/>
      <c r="J238" s="9"/>
      <c r="K238" s="9"/>
      <c r="L238" s="9"/>
      <c r="M238" s="9"/>
      <c r="N238" s="186" t="str">
        <f t="shared" si="12"/>
        <v/>
      </c>
      <c r="O238" s="160" t="str">
        <f t="shared" si="13"/>
        <v/>
      </c>
      <c r="P238" s="63"/>
    </row>
    <row r="239" spans="1:16" hidden="1">
      <c r="A239" s="152" t="s">
        <v>37</v>
      </c>
      <c r="B239" s="34" t="s">
        <v>164</v>
      </c>
      <c r="C239" s="40" t="s">
        <v>147</v>
      </c>
      <c r="D239" s="34" t="s">
        <v>97</v>
      </c>
      <c r="E239" s="260">
        <f>Intentionally_produced_MPs!F131</f>
        <v>0</v>
      </c>
      <c r="F239" s="235">
        <v>1</v>
      </c>
      <c r="G239" s="40"/>
      <c r="H239" s="29"/>
      <c r="I239" s="9"/>
      <c r="J239" s="9"/>
      <c r="K239" s="9"/>
      <c r="L239" s="9"/>
      <c r="M239" s="9"/>
      <c r="N239" s="186" t="str">
        <f t="shared" si="12"/>
        <v/>
      </c>
      <c r="O239" s="160" t="str">
        <f t="shared" si="13"/>
        <v/>
      </c>
      <c r="P239" s="63"/>
    </row>
    <row r="240" spans="1:16" hidden="1">
      <c r="A240" s="152" t="s">
        <v>37</v>
      </c>
      <c r="B240" s="34" t="s">
        <v>164</v>
      </c>
      <c r="C240" s="40" t="s">
        <v>147</v>
      </c>
      <c r="D240" s="34" t="s">
        <v>98</v>
      </c>
      <c r="E240" s="260">
        <f>Intentionally_produced_MPs!F132</f>
        <v>0.88888888888888895</v>
      </c>
      <c r="F240" s="235">
        <v>1</v>
      </c>
      <c r="G240" s="40"/>
      <c r="H240" s="29">
        <v>3</v>
      </c>
      <c r="I240" s="9">
        <v>2</v>
      </c>
      <c r="J240" s="9">
        <v>3</v>
      </c>
      <c r="K240" s="9">
        <v>3</v>
      </c>
      <c r="L240" s="9">
        <v>3</v>
      </c>
      <c r="M240" s="9">
        <v>3</v>
      </c>
      <c r="N240" s="186">
        <f t="shared" si="12"/>
        <v>1.2132328390150593</v>
      </c>
      <c r="O240" s="160">
        <f t="shared" si="13"/>
        <v>1.1713319510247036</v>
      </c>
      <c r="P240" s="63"/>
    </row>
    <row r="241" spans="1:16" hidden="1">
      <c r="A241" s="152" t="s">
        <v>37</v>
      </c>
      <c r="B241" s="34" t="s">
        <v>164</v>
      </c>
      <c r="C241" s="40" t="s">
        <v>147</v>
      </c>
      <c r="D241" s="34" t="s">
        <v>99</v>
      </c>
      <c r="E241" s="260">
        <f>Intentionally_produced_MPs!F133</f>
        <v>0</v>
      </c>
      <c r="F241" s="235">
        <v>1</v>
      </c>
      <c r="G241" s="40"/>
      <c r="H241" s="29"/>
      <c r="I241" s="9"/>
      <c r="J241" s="9"/>
      <c r="K241" s="9"/>
      <c r="L241" s="9"/>
      <c r="M241" s="9"/>
      <c r="N241" s="186" t="str">
        <f t="shared" si="12"/>
        <v/>
      </c>
      <c r="O241" s="160" t="str">
        <f t="shared" si="13"/>
        <v/>
      </c>
      <c r="P241" s="63"/>
    </row>
    <row r="242" spans="1:16" hidden="1">
      <c r="A242" s="152" t="s">
        <v>37</v>
      </c>
      <c r="B242" s="34" t="s">
        <v>164</v>
      </c>
      <c r="C242" s="40" t="s">
        <v>147</v>
      </c>
      <c r="D242" s="34" t="s">
        <v>100</v>
      </c>
      <c r="E242" s="260">
        <f>Intentionally_produced_MPs!F134</f>
        <v>0</v>
      </c>
      <c r="F242" s="235">
        <v>1</v>
      </c>
      <c r="G242" s="40"/>
      <c r="H242" s="29"/>
      <c r="I242" s="9"/>
      <c r="J242" s="9"/>
      <c r="K242" s="9"/>
      <c r="L242" s="9"/>
      <c r="M242" s="9"/>
      <c r="N242" s="186" t="str">
        <f t="shared" ref="N242:N273" si="14">IF( OR( ISBLANK(H242),ISBLANK(J242), ISBLANK(K242), ISBLANK(L242), ISBLANK(M242) ), "", 1.5*SQRT(   EXP(2.21*(H242-1)) + EXP(2.21*(J242-1)) + EXP(2.21*(K242-1)) + EXP(2.21*(L242-1)) + EXP(2.21*M242)   )/100*2.45 )</f>
        <v/>
      </c>
      <c r="O242" s="160" t="str">
        <f t="shared" si="13"/>
        <v/>
      </c>
      <c r="P242" s="63"/>
    </row>
    <row r="243" spans="1:16" hidden="1">
      <c r="A243" s="152" t="s">
        <v>37</v>
      </c>
      <c r="B243" s="34" t="s">
        <v>164</v>
      </c>
      <c r="C243" s="40" t="s">
        <v>147</v>
      </c>
      <c r="D243" s="34" t="s">
        <v>101</v>
      </c>
      <c r="E243" s="260">
        <f>Intentionally_produced_MPs!F135</f>
        <v>7.5795900719019996E-2</v>
      </c>
      <c r="F243" s="235">
        <v>1</v>
      </c>
      <c r="G243" s="40"/>
      <c r="H243" s="29">
        <v>3</v>
      </c>
      <c r="I243" s="9">
        <v>2</v>
      </c>
      <c r="J243" s="9">
        <v>3</v>
      </c>
      <c r="K243" s="9">
        <v>3</v>
      </c>
      <c r="L243" s="9">
        <v>3</v>
      </c>
      <c r="M243" s="9">
        <v>3</v>
      </c>
      <c r="N243" s="186">
        <f t="shared" si="14"/>
        <v>1.2132328390150593</v>
      </c>
      <c r="O243" s="160">
        <f t="shared" si="13"/>
        <v>1.1713319510247036</v>
      </c>
      <c r="P243" s="63"/>
    </row>
    <row r="244" spans="1:16" hidden="1">
      <c r="A244" s="152" t="s">
        <v>37</v>
      </c>
      <c r="B244" s="34" t="s">
        <v>164</v>
      </c>
      <c r="C244" s="40" t="s">
        <v>147</v>
      </c>
      <c r="D244" s="34" t="s">
        <v>102</v>
      </c>
      <c r="E244" s="260">
        <f>Intentionally_produced_MPs!F136</f>
        <v>0</v>
      </c>
      <c r="F244" s="235">
        <v>1</v>
      </c>
      <c r="G244" s="40"/>
      <c r="H244" s="29"/>
      <c r="I244" s="9"/>
      <c r="J244" s="9"/>
      <c r="K244" s="9"/>
      <c r="L244" s="9"/>
      <c r="M244" s="9"/>
      <c r="N244" s="186" t="str">
        <f t="shared" si="14"/>
        <v/>
      </c>
      <c r="O244" s="160" t="str">
        <f t="shared" si="13"/>
        <v/>
      </c>
      <c r="P244" s="63"/>
    </row>
    <row r="245" spans="1:16" hidden="1">
      <c r="A245" s="152" t="s">
        <v>37</v>
      </c>
      <c r="B245" s="34" t="s">
        <v>164</v>
      </c>
      <c r="C245" s="40" t="s">
        <v>147</v>
      </c>
      <c r="D245" s="34" t="s">
        <v>103</v>
      </c>
      <c r="E245" s="260">
        <f>Intentionally_produced_MPs!F137</f>
        <v>0.70934316508109096</v>
      </c>
      <c r="F245" s="235">
        <v>1</v>
      </c>
      <c r="G245" s="40"/>
      <c r="H245" s="29">
        <v>3</v>
      </c>
      <c r="I245" s="9">
        <v>2</v>
      </c>
      <c r="J245" s="9">
        <v>3</v>
      </c>
      <c r="K245" s="9">
        <v>3</v>
      </c>
      <c r="L245" s="9">
        <v>3</v>
      </c>
      <c r="M245" s="9">
        <v>3</v>
      </c>
      <c r="N245" s="186">
        <f t="shared" si="14"/>
        <v>1.2132328390150593</v>
      </c>
      <c r="O245" s="160">
        <f t="shared" si="13"/>
        <v>1.1713319510247036</v>
      </c>
      <c r="P245" s="63"/>
    </row>
    <row r="246" spans="1:16" hidden="1">
      <c r="A246" s="152" t="s">
        <v>37</v>
      </c>
      <c r="B246" s="34" t="s">
        <v>164</v>
      </c>
      <c r="C246" s="40" t="s">
        <v>147</v>
      </c>
      <c r="D246" s="34" t="s">
        <v>104</v>
      </c>
      <c r="E246" s="260">
        <f>Intentionally_produced_MPs!F138</f>
        <v>0</v>
      </c>
      <c r="F246" s="235">
        <v>1</v>
      </c>
      <c r="G246" s="40"/>
      <c r="H246" s="29"/>
      <c r="I246" s="9"/>
      <c r="J246" s="9"/>
      <c r="K246" s="9"/>
      <c r="L246" s="9"/>
      <c r="M246" s="9"/>
      <c r="N246" s="186" t="str">
        <f t="shared" si="14"/>
        <v/>
      </c>
      <c r="O246" s="160" t="str">
        <f t="shared" si="13"/>
        <v/>
      </c>
      <c r="P246" s="63"/>
    </row>
    <row r="247" spans="1:16" hidden="1">
      <c r="A247" s="152" t="s">
        <v>37</v>
      </c>
      <c r="B247" s="34" t="s">
        <v>164</v>
      </c>
      <c r="C247" s="40" t="s">
        <v>147</v>
      </c>
      <c r="D247" s="34" t="s">
        <v>105</v>
      </c>
      <c r="E247" s="260">
        <f>Intentionally_produced_MPs!F139</f>
        <v>0.71338128368314402</v>
      </c>
      <c r="F247" s="235">
        <v>1</v>
      </c>
      <c r="G247" s="40"/>
      <c r="H247" s="29">
        <v>3</v>
      </c>
      <c r="I247" s="9">
        <v>2</v>
      </c>
      <c r="J247" s="9">
        <v>3</v>
      </c>
      <c r="K247" s="9">
        <v>3</v>
      </c>
      <c r="L247" s="9">
        <v>3</v>
      </c>
      <c r="M247" s="9">
        <v>3</v>
      </c>
      <c r="N247" s="186">
        <f t="shared" si="14"/>
        <v>1.2132328390150593</v>
      </c>
      <c r="O247" s="160">
        <f t="shared" si="13"/>
        <v>1.1713319510247036</v>
      </c>
      <c r="P247" s="63"/>
    </row>
    <row r="248" spans="1:16" hidden="1">
      <c r="A248" s="152" t="s">
        <v>37</v>
      </c>
      <c r="B248" s="34" t="s">
        <v>164</v>
      </c>
      <c r="C248" s="40" t="s">
        <v>147</v>
      </c>
      <c r="D248" s="34" t="s">
        <v>106</v>
      </c>
      <c r="E248" s="260">
        <f>Intentionally_produced_MPs!F140</f>
        <v>0.3279842619534431</v>
      </c>
      <c r="F248" s="235">
        <v>1</v>
      </c>
      <c r="G248" s="40"/>
      <c r="H248" s="29">
        <v>3</v>
      </c>
      <c r="I248" s="9">
        <v>2</v>
      </c>
      <c r="J248" s="9">
        <v>3</v>
      </c>
      <c r="K248" s="9">
        <v>3</v>
      </c>
      <c r="L248" s="9">
        <v>3</v>
      </c>
      <c r="M248" s="9">
        <v>3</v>
      </c>
      <c r="N248" s="186">
        <f t="shared" si="14"/>
        <v>1.2132328390150593</v>
      </c>
      <c r="O248" s="160">
        <f t="shared" si="13"/>
        <v>1.1713319510247036</v>
      </c>
      <c r="P248" s="63"/>
    </row>
    <row r="249" spans="1:16" hidden="1">
      <c r="A249" s="152" t="s">
        <v>37</v>
      </c>
      <c r="B249" s="34" t="s">
        <v>240</v>
      </c>
      <c r="C249" s="40" t="s">
        <v>147</v>
      </c>
      <c r="D249" s="34" t="s">
        <v>93</v>
      </c>
      <c r="E249" s="260">
        <f>Intentionally_produced_MPs!D127</f>
        <v>0</v>
      </c>
      <c r="F249" s="235">
        <v>1</v>
      </c>
      <c r="G249" s="40"/>
      <c r="H249" s="29"/>
      <c r="I249" s="9"/>
      <c r="J249" s="9"/>
      <c r="K249" s="9"/>
      <c r="L249" s="9"/>
      <c r="M249" s="9"/>
      <c r="N249" s="186" t="str">
        <f t="shared" si="14"/>
        <v/>
      </c>
      <c r="O249" s="160" t="str">
        <f t="shared" si="13"/>
        <v/>
      </c>
      <c r="P249" s="63"/>
    </row>
    <row r="250" spans="1:16" hidden="1">
      <c r="A250" s="152" t="s">
        <v>37</v>
      </c>
      <c r="B250" s="34" t="s">
        <v>240</v>
      </c>
      <c r="C250" s="40" t="s">
        <v>147</v>
      </c>
      <c r="D250" s="34" t="s">
        <v>94</v>
      </c>
      <c r="E250" s="260">
        <f>Intentionally_produced_MPs!D128</f>
        <v>0</v>
      </c>
      <c r="F250" s="235">
        <v>1</v>
      </c>
      <c r="G250" s="40"/>
      <c r="H250" s="29"/>
      <c r="I250" s="9"/>
      <c r="J250" s="9"/>
      <c r="K250" s="9"/>
      <c r="L250" s="9"/>
      <c r="M250" s="9"/>
      <c r="N250" s="186" t="str">
        <f t="shared" si="14"/>
        <v/>
      </c>
      <c r="O250" s="160" t="str">
        <f t="shared" si="13"/>
        <v/>
      </c>
      <c r="P250" s="63"/>
    </row>
    <row r="251" spans="1:16" hidden="1">
      <c r="A251" s="152" t="s">
        <v>37</v>
      </c>
      <c r="B251" s="34" t="s">
        <v>240</v>
      </c>
      <c r="C251" s="40" t="s">
        <v>147</v>
      </c>
      <c r="D251" s="34" t="s">
        <v>95</v>
      </c>
      <c r="E251" s="260">
        <f>Intentionally_produced_MPs!D129</f>
        <v>0</v>
      </c>
      <c r="F251" s="235">
        <v>1</v>
      </c>
      <c r="G251" s="40"/>
      <c r="H251" s="29"/>
      <c r="I251" s="9"/>
      <c r="J251" s="9"/>
      <c r="K251" s="9"/>
      <c r="L251" s="9"/>
      <c r="M251" s="9"/>
      <c r="N251" s="186" t="str">
        <f t="shared" si="14"/>
        <v/>
      </c>
      <c r="O251" s="160" t="str">
        <f t="shared" si="13"/>
        <v/>
      </c>
      <c r="P251" s="63"/>
    </row>
    <row r="252" spans="1:16" hidden="1">
      <c r="A252" s="152" t="s">
        <v>37</v>
      </c>
      <c r="B252" s="34" t="s">
        <v>240</v>
      </c>
      <c r="C252" s="40" t="s">
        <v>147</v>
      </c>
      <c r="D252" s="34" t="s">
        <v>96</v>
      </c>
      <c r="E252" s="260">
        <f>Intentionally_produced_MPs!D130</f>
        <v>0</v>
      </c>
      <c r="F252" s="235">
        <v>1</v>
      </c>
      <c r="G252" s="40"/>
      <c r="H252" s="29"/>
      <c r="I252" s="9"/>
      <c r="J252" s="9"/>
      <c r="K252" s="9"/>
      <c r="L252" s="9"/>
      <c r="M252" s="9"/>
      <c r="N252" s="186" t="str">
        <f t="shared" si="14"/>
        <v/>
      </c>
      <c r="O252" s="160" t="str">
        <f t="shared" si="13"/>
        <v/>
      </c>
      <c r="P252" s="63"/>
    </row>
    <row r="253" spans="1:16" hidden="1">
      <c r="A253" s="152" t="s">
        <v>37</v>
      </c>
      <c r="B253" s="34" t="s">
        <v>240</v>
      </c>
      <c r="C253" s="40" t="s">
        <v>147</v>
      </c>
      <c r="D253" s="34" t="s">
        <v>97</v>
      </c>
      <c r="E253" s="260">
        <f>Intentionally_produced_MPs!D131</f>
        <v>0</v>
      </c>
      <c r="F253" s="235">
        <v>1</v>
      </c>
      <c r="G253" s="40"/>
      <c r="H253" s="29"/>
      <c r="I253" s="9"/>
      <c r="J253" s="9"/>
      <c r="K253" s="9"/>
      <c r="L253" s="9"/>
      <c r="M253" s="9"/>
      <c r="N253" s="186" t="str">
        <f t="shared" si="14"/>
        <v/>
      </c>
      <c r="O253" s="160" t="str">
        <f t="shared" si="13"/>
        <v/>
      </c>
      <c r="P253" s="63"/>
    </row>
    <row r="254" spans="1:16" hidden="1">
      <c r="A254" s="152" t="s">
        <v>37</v>
      </c>
      <c r="B254" s="34" t="s">
        <v>240</v>
      </c>
      <c r="C254" s="40" t="s">
        <v>147</v>
      </c>
      <c r="D254" s="34" t="s">
        <v>98</v>
      </c>
      <c r="E254" s="260">
        <f>Intentionally_produced_MPs!D132</f>
        <v>0</v>
      </c>
      <c r="F254" s="235">
        <v>1</v>
      </c>
      <c r="G254" s="40"/>
      <c r="H254" s="29"/>
      <c r="I254" s="9"/>
      <c r="J254" s="9"/>
      <c r="K254" s="9"/>
      <c r="L254" s="9"/>
      <c r="M254" s="9"/>
      <c r="N254" s="186" t="str">
        <f t="shared" si="14"/>
        <v/>
      </c>
      <c r="O254" s="160" t="str">
        <f t="shared" si="13"/>
        <v/>
      </c>
      <c r="P254" s="63"/>
    </row>
    <row r="255" spans="1:16" hidden="1">
      <c r="A255" s="152" t="s">
        <v>37</v>
      </c>
      <c r="B255" s="34" t="s">
        <v>240</v>
      </c>
      <c r="C255" s="40" t="s">
        <v>147</v>
      </c>
      <c r="D255" s="34" t="s">
        <v>99</v>
      </c>
      <c r="E255" s="260">
        <f>Intentionally_produced_MPs!D133</f>
        <v>0.68888053925336512</v>
      </c>
      <c r="F255" s="235">
        <v>1</v>
      </c>
      <c r="G255" s="40"/>
      <c r="H255" s="29">
        <v>3</v>
      </c>
      <c r="I255" s="9">
        <v>2</v>
      </c>
      <c r="J255" s="9">
        <v>3</v>
      </c>
      <c r="K255" s="9">
        <v>3</v>
      </c>
      <c r="L255" s="9">
        <v>3</v>
      </c>
      <c r="M255" s="9">
        <v>3</v>
      </c>
      <c r="N255" s="186">
        <f t="shared" si="14"/>
        <v>1.2132328390150593</v>
      </c>
      <c r="O255" s="160">
        <f t="shared" si="13"/>
        <v>1.1713319510247036</v>
      </c>
      <c r="P255" s="63"/>
    </row>
    <row r="256" spans="1:16" hidden="1">
      <c r="A256" s="152" t="s">
        <v>37</v>
      </c>
      <c r="B256" s="34" t="s">
        <v>240</v>
      </c>
      <c r="C256" s="40" t="s">
        <v>147</v>
      </c>
      <c r="D256" s="34" t="s">
        <v>100</v>
      </c>
      <c r="E256" s="260">
        <f>Intentionally_produced_MPs!D134</f>
        <v>0</v>
      </c>
      <c r="F256" s="235">
        <v>1</v>
      </c>
      <c r="G256" s="40"/>
      <c r="H256" s="29"/>
      <c r="I256" s="9"/>
      <c r="J256" s="9"/>
      <c r="K256" s="9"/>
      <c r="L256" s="9"/>
      <c r="M256" s="9"/>
      <c r="N256" s="186" t="str">
        <f t="shared" si="14"/>
        <v/>
      </c>
      <c r="O256" s="160" t="str">
        <f t="shared" si="13"/>
        <v/>
      </c>
      <c r="P256" s="63"/>
    </row>
    <row r="257" spans="1:868" hidden="1">
      <c r="A257" s="152" t="s">
        <v>37</v>
      </c>
      <c r="B257" s="34" t="s">
        <v>240</v>
      </c>
      <c r="C257" s="40" t="s">
        <v>147</v>
      </c>
      <c r="D257" s="34" t="s">
        <v>101</v>
      </c>
      <c r="E257" s="260">
        <f>Intentionally_produced_MPs!D135</f>
        <v>0.67917586906964822</v>
      </c>
      <c r="F257" s="235">
        <v>1</v>
      </c>
      <c r="G257" s="40"/>
      <c r="H257" s="29">
        <v>3</v>
      </c>
      <c r="I257" s="9">
        <v>2</v>
      </c>
      <c r="J257" s="9">
        <v>3</v>
      </c>
      <c r="K257" s="9">
        <v>3</v>
      </c>
      <c r="L257" s="9">
        <v>3</v>
      </c>
      <c r="M257" s="9">
        <v>3</v>
      </c>
      <c r="N257" s="186">
        <f t="shared" si="14"/>
        <v>1.2132328390150593</v>
      </c>
      <c r="O257" s="160">
        <f t="shared" si="13"/>
        <v>1.1713319510247036</v>
      </c>
      <c r="P257" s="63"/>
    </row>
    <row r="258" spans="1:868" hidden="1">
      <c r="A258" s="152" t="s">
        <v>37</v>
      </c>
      <c r="B258" s="34" t="s">
        <v>240</v>
      </c>
      <c r="C258" s="40" t="s">
        <v>147</v>
      </c>
      <c r="D258" s="34" t="s">
        <v>102</v>
      </c>
      <c r="E258" s="260">
        <f>Intentionally_produced_MPs!D136</f>
        <v>0</v>
      </c>
      <c r="F258" s="235">
        <v>1</v>
      </c>
      <c r="G258" s="40"/>
      <c r="H258" s="29"/>
      <c r="I258" s="9"/>
      <c r="J258" s="9"/>
      <c r="K258" s="9"/>
      <c r="L258" s="9"/>
      <c r="M258" s="9"/>
      <c r="N258" s="186" t="str">
        <f t="shared" si="14"/>
        <v/>
      </c>
      <c r="O258" s="160" t="str">
        <f t="shared" si="13"/>
        <v/>
      </c>
      <c r="P258" s="63"/>
    </row>
    <row r="259" spans="1:868" hidden="1">
      <c r="A259" s="152" t="s">
        <v>37</v>
      </c>
      <c r="B259" s="34" t="s">
        <v>240</v>
      </c>
      <c r="C259" s="40" t="s">
        <v>147</v>
      </c>
      <c r="D259" s="34" t="s">
        <v>103</v>
      </c>
      <c r="E259" s="260">
        <f>Intentionally_produced_MPs!D137</f>
        <v>0.19632840585737768</v>
      </c>
      <c r="F259" s="235">
        <v>1</v>
      </c>
      <c r="G259" s="40"/>
      <c r="H259" s="29">
        <v>3</v>
      </c>
      <c r="I259" s="9">
        <v>2</v>
      </c>
      <c r="J259" s="9">
        <v>3</v>
      </c>
      <c r="K259" s="9">
        <v>3</v>
      </c>
      <c r="L259" s="9">
        <v>3</v>
      </c>
      <c r="M259" s="9">
        <v>3</v>
      </c>
      <c r="N259" s="186">
        <f t="shared" si="14"/>
        <v>1.2132328390150593</v>
      </c>
      <c r="O259" s="160">
        <f t="shared" si="13"/>
        <v>1.1713319510247036</v>
      </c>
      <c r="P259" s="63"/>
    </row>
    <row r="260" spans="1:868" hidden="1">
      <c r="A260" s="152" t="s">
        <v>37</v>
      </c>
      <c r="B260" s="34" t="s">
        <v>240</v>
      </c>
      <c r="C260" s="40" t="s">
        <v>147</v>
      </c>
      <c r="D260" s="34" t="s">
        <v>104</v>
      </c>
      <c r="E260" s="260">
        <f>Intentionally_produced_MPs!D138</f>
        <v>0</v>
      </c>
      <c r="F260" s="235">
        <v>1</v>
      </c>
      <c r="G260" s="40"/>
      <c r="H260" s="29"/>
      <c r="I260" s="9"/>
      <c r="J260" s="9"/>
      <c r="K260" s="9"/>
      <c r="L260" s="9"/>
      <c r="M260" s="9"/>
      <c r="N260" s="186" t="str">
        <f t="shared" si="14"/>
        <v/>
      </c>
      <c r="O260" s="160" t="str">
        <f t="shared" si="13"/>
        <v/>
      </c>
      <c r="P260" s="63"/>
    </row>
    <row r="261" spans="1:868" hidden="1">
      <c r="A261" s="152" t="s">
        <v>37</v>
      </c>
      <c r="B261" s="34" t="s">
        <v>240</v>
      </c>
      <c r="C261" s="40" t="s">
        <v>147</v>
      </c>
      <c r="D261" s="34" t="s">
        <v>105</v>
      </c>
      <c r="E261" s="260">
        <f>Intentionally_produced_MPs!D139</f>
        <v>0.19744605585646305</v>
      </c>
      <c r="F261" s="235">
        <v>1</v>
      </c>
      <c r="G261" s="40"/>
      <c r="H261" s="29">
        <v>3</v>
      </c>
      <c r="I261" s="9">
        <v>2</v>
      </c>
      <c r="J261" s="9">
        <v>3</v>
      </c>
      <c r="K261" s="9">
        <v>3</v>
      </c>
      <c r="L261" s="9">
        <v>3</v>
      </c>
      <c r="M261" s="9">
        <v>3</v>
      </c>
      <c r="N261" s="186">
        <f t="shared" si="14"/>
        <v>1.2132328390150593</v>
      </c>
      <c r="O261" s="160">
        <f t="shared" si="13"/>
        <v>1.1713319510247036</v>
      </c>
      <c r="P261" s="63"/>
    </row>
    <row r="262" spans="1:868" hidden="1">
      <c r="A262" s="152" t="s">
        <v>37</v>
      </c>
      <c r="B262" s="34" t="s">
        <v>240</v>
      </c>
      <c r="C262" s="40" t="s">
        <v>147</v>
      </c>
      <c r="D262" s="34" t="s">
        <v>106</v>
      </c>
      <c r="E262" s="260">
        <f>Intentionally_produced_MPs!D140</f>
        <v>3.7824092334929553E-4</v>
      </c>
      <c r="F262" s="235">
        <v>1</v>
      </c>
      <c r="G262" s="40"/>
      <c r="H262" s="29">
        <v>3</v>
      </c>
      <c r="I262" s="9">
        <v>2</v>
      </c>
      <c r="J262" s="9">
        <v>3</v>
      </c>
      <c r="K262" s="9">
        <v>3</v>
      </c>
      <c r="L262" s="9">
        <v>3</v>
      </c>
      <c r="M262" s="9">
        <v>3</v>
      </c>
      <c r="N262" s="186">
        <f t="shared" si="14"/>
        <v>1.2132328390150593</v>
      </c>
      <c r="O262" s="160">
        <f t="shared" si="13"/>
        <v>1.1713319510247036</v>
      </c>
      <c r="P262" s="63"/>
    </row>
    <row r="263" spans="1:868" hidden="1">
      <c r="A263" s="292" t="s">
        <v>199</v>
      </c>
      <c r="B263" s="55" t="s">
        <v>241</v>
      </c>
      <c r="C263" s="265" t="s">
        <v>147</v>
      </c>
      <c r="D263" s="55" t="s">
        <v>147</v>
      </c>
      <c r="E263" s="260">
        <v>0.32862055789071459</v>
      </c>
      <c r="F263" s="235">
        <v>2</v>
      </c>
      <c r="G263" s="265" t="s">
        <v>171</v>
      </c>
      <c r="H263" s="29">
        <v>2</v>
      </c>
      <c r="I263" s="9">
        <v>2</v>
      </c>
      <c r="J263" s="9">
        <v>3</v>
      </c>
      <c r="K263" s="9">
        <v>1</v>
      </c>
      <c r="L263" s="9">
        <v>1</v>
      </c>
      <c r="M263" s="9">
        <v>1</v>
      </c>
      <c r="N263" s="186">
        <f t="shared" si="14"/>
        <v>0.37356464144298934</v>
      </c>
      <c r="O263" s="160">
        <f t="shared" si="13"/>
        <v>0.37356464144298934</v>
      </c>
      <c r="P263" s="63" t="s">
        <v>242</v>
      </c>
    </row>
    <row r="264" spans="1:868" hidden="1">
      <c r="A264" s="292" t="s">
        <v>199</v>
      </c>
      <c r="B264" s="55" t="s">
        <v>241</v>
      </c>
      <c r="C264" s="265" t="s">
        <v>147</v>
      </c>
      <c r="D264" s="55" t="s">
        <v>147</v>
      </c>
      <c r="E264" s="260">
        <v>0.42525351651946353</v>
      </c>
      <c r="F264" s="235">
        <v>2</v>
      </c>
      <c r="G264" s="265" t="s">
        <v>171</v>
      </c>
      <c r="H264" s="29">
        <v>2</v>
      </c>
      <c r="I264" s="9">
        <v>2</v>
      </c>
      <c r="J264" s="9">
        <v>3</v>
      </c>
      <c r="K264" s="9">
        <v>1</v>
      </c>
      <c r="L264" s="9">
        <v>1</v>
      </c>
      <c r="M264" s="9">
        <v>1</v>
      </c>
      <c r="N264" s="186">
        <f t="shared" si="14"/>
        <v>0.37356464144298934</v>
      </c>
      <c r="O264" s="160">
        <f t="shared" si="13"/>
        <v>0.37356464144298934</v>
      </c>
      <c r="P264" s="63" t="s">
        <v>243</v>
      </c>
    </row>
    <row r="265" spans="1:868" hidden="1">
      <c r="A265" s="292" t="s">
        <v>199</v>
      </c>
      <c r="B265" s="55" t="s">
        <v>244</v>
      </c>
      <c r="C265" s="265" t="s">
        <v>147</v>
      </c>
      <c r="D265" s="55" t="s">
        <v>147</v>
      </c>
      <c r="E265" s="260">
        <v>0</v>
      </c>
      <c r="F265" s="235">
        <v>2</v>
      </c>
      <c r="G265" s="265" t="s">
        <v>171</v>
      </c>
      <c r="H265" s="29"/>
      <c r="I265" s="9"/>
      <c r="J265" s="9"/>
      <c r="K265" s="9"/>
      <c r="L265" s="9"/>
      <c r="M265" s="9"/>
      <c r="N265" s="186" t="str">
        <f t="shared" si="14"/>
        <v/>
      </c>
      <c r="O265" s="160" t="str">
        <f t="shared" si="13"/>
        <v/>
      </c>
      <c r="P265" s="63"/>
    </row>
    <row r="266" spans="1:868" hidden="1">
      <c r="A266" s="292" t="s">
        <v>199</v>
      </c>
      <c r="B266" s="55" t="s">
        <v>245</v>
      </c>
      <c r="C266" s="265" t="s">
        <v>147</v>
      </c>
      <c r="D266" s="55" t="s">
        <v>147</v>
      </c>
      <c r="E266" s="260" t="s">
        <v>158</v>
      </c>
      <c r="F266" s="235">
        <v>1</v>
      </c>
      <c r="G266" s="265" t="s">
        <v>176</v>
      </c>
      <c r="H266" s="29"/>
      <c r="I266" s="9"/>
      <c r="J266" s="9"/>
      <c r="K266" s="9"/>
      <c r="L266" s="9"/>
      <c r="M266" s="9"/>
      <c r="N266" s="186" t="str">
        <f t="shared" si="14"/>
        <v/>
      </c>
      <c r="O266" s="160" t="str">
        <f t="shared" si="13"/>
        <v/>
      </c>
      <c r="P266" s="63" t="s">
        <v>246</v>
      </c>
    </row>
    <row r="267" spans="1:868" hidden="1">
      <c r="A267" s="152" t="s">
        <v>121</v>
      </c>
      <c r="B267" s="34" t="s">
        <v>247</v>
      </c>
      <c r="C267" s="40" t="s">
        <v>147</v>
      </c>
      <c r="D267" s="34" t="s">
        <v>93</v>
      </c>
      <c r="E267" s="260">
        <v>0</v>
      </c>
      <c r="F267" s="235">
        <v>1</v>
      </c>
      <c r="G267" s="40"/>
      <c r="H267" s="29"/>
      <c r="I267" s="9"/>
      <c r="J267" s="9"/>
      <c r="K267" s="9"/>
      <c r="L267" s="9"/>
      <c r="M267" s="9"/>
      <c r="N267" s="186" t="str">
        <f t="shared" si="14"/>
        <v/>
      </c>
      <c r="O267" s="160" t="str">
        <f t="shared" si="13"/>
        <v/>
      </c>
      <c r="P267" s="63"/>
    </row>
    <row r="268" spans="1:868" hidden="1">
      <c r="A268" s="152" t="s">
        <v>121</v>
      </c>
      <c r="B268" s="34" t="s">
        <v>247</v>
      </c>
      <c r="C268" s="40" t="s">
        <v>147</v>
      </c>
      <c r="D268" s="34" t="s">
        <v>94</v>
      </c>
      <c r="E268" s="260">
        <v>0</v>
      </c>
      <c r="F268" s="235">
        <v>1</v>
      </c>
      <c r="G268" s="40"/>
      <c r="H268" s="29"/>
      <c r="I268" s="9"/>
      <c r="J268" s="9"/>
      <c r="K268" s="9"/>
      <c r="L268" s="9"/>
      <c r="M268" s="9"/>
      <c r="N268" s="186" t="str">
        <f t="shared" si="14"/>
        <v/>
      </c>
      <c r="O268" s="160" t="str">
        <f t="shared" si="13"/>
        <v/>
      </c>
      <c r="P268" s="63"/>
    </row>
    <row r="269" spans="1:868" s="845" customFormat="1" hidden="1">
      <c r="A269" s="152" t="s">
        <v>121</v>
      </c>
      <c r="B269" s="34" t="s">
        <v>247</v>
      </c>
      <c r="C269" s="40" t="s">
        <v>147</v>
      </c>
      <c r="D269" s="34" t="s">
        <v>95</v>
      </c>
      <c r="E269" s="260">
        <v>0</v>
      </c>
      <c r="F269" s="235">
        <v>1</v>
      </c>
      <c r="G269" s="40"/>
      <c r="H269" s="29"/>
      <c r="I269" s="9"/>
      <c r="J269" s="9"/>
      <c r="K269" s="9"/>
      <c r="L269" s="9"/>
      <c r="M269" s="9"/>
      <c r="N269" s="186" t="str">
        <f t="shared" si="14"/>
        <v/>
      </c>
      <c r="O269" s="160" t="str">
        <f t="shared" si="13"/>
        <v/>
      </c>
      <c r="P269" s="63"/>
      <c r="Q269" s="844"/>
      <c r="R269" s="844"/>
      <c r="S269" s="844"/>
      <c r="T269" s="844"/>
      <c r="U269" s="844"/>
      <c r="V269" s="844"/>
      <c r="W269" s="844"/>
      <c r="X269" s="844"/>
      <c r="Y269" s="844"/>
      <c r="Z269" s="844"/>
      <c r="AA269" s="844"/>
      <c r="AB269" s="844"/>
      <c r="AC269" s="844"/>
      <c r="AD269" s="844"/>
      <c r="AE269" s="844"/>
      <c r="AF269" s="844"/>
      <c r="AG269" s="844"/>
      <c r="AH269" s="844"/>
      <c r="AI269" s="844"/>
      <c r="AJ269" s="844"/>
      <c r="AK269" s="844"/>
      <c r="AL269" s="844"/>
      <c r="AM269" s="844"/>
      <c r="AN269" s="844"/>
      <c r="AO269" s="844"/>
      <c r="AP269" s="844"/>
      <c r="AQ269" s="844"/>
      <c r="AR269" s="844"/>
      <c r="AS269" s="844"/>
      <c r="AT269" s="844"/>
      <c r="AU269" s="844"/>
      <c r="AV269" s="844"/>
      <c r="AW269" s="844"/>
      <c r="AX269" s="844"/>
      <c r="AY269" s="844"/>
      <c r="AZ269" s="844"/>
      <c r="BA269" s="844"/>
      <c r="BB269" s="844"/>
      <c r="BC269" s="844"/>
      <c r="BD269" s="844"/>
      <c r="BE269" s="844"/>
      <c r="BF269" s="844"/>
      <c r="BG269" s="844"/>
      <c r="BH269" s="844"/>
      <c r="BI269" s="844"/>
      <c r="BJ269" s="844"/>
      <c r="BK269" s="844"/>
      <c r="BL269" s="844"/>
      <c r="BM269" s="844"/>
      <c r="BN269" s="844"/>
      <c r="BO269" s="844"/>
      <c r="BP269" s="844"/>
      <c r="BQ269" s="844"/>
      <c r="BR269" s="844"/>
      <c r="BS269" s="844"/>
      <c r="BT269" s="844"/>
      <c r="BU269" s="844"/>
      <c r="BV269" s="844"/>
      <c r="BW269" s="844"/>
      <c r="BX269" s="844"/>
      <c r="BY269" s="844"/>
      <c r="BZ269" s="844"/>
      <c r="CA269" s="844"/>
      <c r="CB269" s="844"/>
      <c r="CC269" s="844"/>
      <c r="CD269" s="844"/>
      <c r="CE269" s="844"/>
      <c r="CF269" s="844"/>
      <c r="CG269" s="844"/>
      <c r="CH269" s="844"/>
      <c r="CI269" s="844"/>
      <c r="CJ269" s="844"/>
      <c r="CK269" s="844"/>
      <c r="CL269" s="844"/>
      <c r="CM269" s="844"/>
      <c r="CN269" s="844"/>
      <c r="CO269" s="844"/>
      <c r="CP269" s="844"/>
      <c r="CQ269" s="844"/>
      <c r="CR269" s="844"/>
      <c r="CS269" s="844"/>
      <c r="CT269" s="844"/>
      <c r="CU269" s="844"/>
      <c r="CV269" s="844"/>
      <c r="CW269" s="844"/>
      <c r="CX269" s="844"/>
      <c r="CY269" s="844"/>
      <c r="CZ269" s="844"/>
      <c r="DA269" s="844"/>
      <c r="DB269" s="844"/>
      <c r="DC269" s="844"/>
      <c r="DD269" s="844"/>
      <c r="DE269" s="844"/>
      <c r="DF269" s="844"/>
      <c r="DG269" s="844"/>
      <c r="DH269" s="844"/>
      <c r="DI269" s="844"/>
      <c r="DJ269" s="844"/>
      <c r="DK269" s="844"/>
      <c r="DL269" s="844"/>
      <c r="DM269" s="844"/>
      <c r="DN269" s="844"/>
      <c r="DO269" s="844"/>
      <c r="DP269" s="844"/>
      <c r="DQ269" s="844"/>
      <c r="DR269" s="844"/>
      <c r="DS269" s="844"/>
      <c r="DT269" s="844"/>
      <c r="DU269" s="844"/>
      <c r="DV269" s="844"/>
      <c r="DW269" s="844"/>
      <c r="DX269" s="844"/>
      <c r="DY269" s="844"/>
      <c r="DZ269" s="844"/>
      <c r="EA269" s="844"/>
      <c r="EB269" s="844"/>
      <c r="EC269" s="844"/>
      <c r="ED269" s="844"/>
      <c r="EE269" s="844"/>
      <c r="EF269" s="844"/>
      <c r="EG269" s="844"/>
      <c r="EH269" s="844"/>
      <c r="EI269" s="844"/>
      <c r="EJ269" s="844"/>
      <c r="EK269" s="844"/>
      <c r="EL269" s="844"/>
      <c r="EM269" s="844"/>
      <c r="EN269" s="844"/>
      <c r="EO269" s="844"/>
      <c r="EP269" s="844"/>
      <c r="EQ269" s="844"/>
      <c r="ER269" s="844"/>
      <c r="ES269" s="844"/>
      <c r="ET269" s="844"/>
      <c r="EU269" s="844"/>
      <c r="EV269" s="844"/>
      <c r="EW269" s="844"/>
      <c r="EX269" s="844"/>
      <c r="EY269" s="844"/>
      <c r="EZ269" s="844"/>
      <c r="FA269" s="844"/>
      <c r="FB269" s="844"/>
      <c r="FC269" s="844"/>
      <c r="FD269" s="844"/>
      <c r="FE269" s="844"/>
      <c r="FF269" s="844"/>
      <c r="FG269" s="844"/>
      <c r="FH269" s="844"/>
      <c r="FI269" s="844"/>
      <c r="FJ269" s="844"/>
      <c r="FK269" s="844"/>
      <c r="FL269" s="844"/>
      <c r="FM269" s="844"/>
      <c r="FN269" s="844"/>
      <c r="FO269" s="844"/>
      <c r="FP269" s="844"/>
      <c r="FQ269" s="844"/>
      <c r="FR269" s="844"/>
      <c r="FS269" s="844"/>
      <c r="FT269" s="844"/>
      <c r="FU269" s="844"/>
      <c r="FV269" s="844"/>
      <c r="FW269" s="844"/>
      <c r="FX269" s="844"/>
      <c r="FY269" s="844"/>
      <c r="FZ269" s="844"/>
      <c r="GA269" s="844"/>
      <c r="GB269" s="844"/>
      <c r="GC269" s="844"/>
      <c r="GD269" s="844"/>
      <c r="GE269" s="844"/>
      <c r="GF269" s="844"/>
      <c r="GG269" s="844"/>
      <c r="GH269" s="844"/>
      <c r="GI269" s="844"/>
      <c r="GJ269" s="844"/>
      <c r="GK269" s="844"/>
      <c r="GL269" s="844"/>
      <c r="GM269" s="844"/>
      <c r="GN269" s="844"/>
      <c r="GO269" s="844"/>
      <c r="GP269" s="844"/>
      <c r="GQ269" s="844"/>
      <c r="GR269" s="844"/>
      <c r="GS269" s="844"/>
      <c r="GT269" s="844"/>
      <c r="GU269" s="844"/>
      <c r="GV269" s="844"/>
      <c r="GW269" s="844"/>
      <c r="GX269" s="844"/>
      <c r="GY269" s="844"/>
      <c r="GZ269" s="844"/>
      <c r="HA269" s="844"/>
      <c r="HB269" s="844"/>
      <c r="HC269" s="844"/>
      <c r="HD269" s="844"/>
      <c r="HE269" s="844"/>
      <c r="HF269" s="844"/>
      <c r="HG269" s="844"/>
      <c r="HH269" s="844"/>
      <c r="HI269" s="844"/>
      <c r="HJ269" s="844"/>
      <c r="HK269" s="844"/>
      <c r="HL269" s="844"/>
      <c r="HM269" s="844"/>
      <c r="HN269" s="844"/>
      <c r="HO269" s="844"/>
      <c r="HP269" s="844"/>
      <c r="HQ269" s="844"/>
      <c r="HR269" s="844"/>
      <c r="HS269" s="844"/>
      <c r="HT269" s="844"/>
      <c r="HU269" s="844"/>
      <c r="HV269" s="844"/>
      <c r="HW269" s="844"/>
      <c r="HX269" s="844"/>
      <c r="HY269" s="844"/>
      <c r="HZ269" s="844"/>
      <c r="IA269" s="844"/>
      <c r="IB269" s="844"/>
      <c r="IC269" s="844"/>
      <c r="ID269" s="844"/>
      <c r="IE269" s="844"/>
      <c r="IF269" s="844"/>
      <c r="IG269" s="844"/>
      <c r="IH269" s="844"/>
      <c r="II269" s="844"/>
      <c r="IJ269" s="844"/>
      <c r="IK269" s="844"/>
      <c r="IL269" s="844"/>
      <c r="IM269" s="844"/>
      <c r="IN269" s="844"/>
      <c r="IO269" s="844"/>
      <c r="IP269" s="844"/>
      <c r="IQ269" s="844"/>
      <c r="IR269" s="844"/>
      <c r="IS269" s="844"/>
      <c r="IT269" s="844"/>
      <c r="IU269" s="844"/>
      <c r="IV269" s="844"/>
      <c r="IW269" s="844"/>
      <c r="IX269" s="844"/>
      <c r="IY269" s="844"/>
      <c r="IZ269" s="844"/>
      <c r="JA269" s="844"/>
      <c r="JB269" s="844"/>
      <c r="JC269" s="844"/>
      <c r="JD269" s="844"/>
      <c r="JE269" s="844"/>
      <c r="JF269" s="844"/>
      <c r="JG269" s="844"/>
      <c r="JH269" s="844"/>
      <c r="JI269" s="844"/>
      <c r="JJ269" s="844"/>
      <c r="JK269" s="844"/>
      <c r="JL269" s="844"/>
      <c r="JM269" s="844"/>
      <c r="JN269" s="844"/>
      <c r="JO269" s="844"/>
      <c r="JP269" s="844"/>
      <c r="JQ269" s="844"/>
      <c r="JR269" s="844"/>
      <c r="JS269" s="844"/>
      <c r="JT269" s="844"/>
      <c r="JU269" s="844"/>
      <c r="JV269" s="844"/>
      <c r="JW269" s="844"/>
      <c r="JX269" s="844"/>
      <c r="JY269" s="844"/>
      <c r="JZ269" s="844"/>
      <c r="KA269" s="844"/>
      <c r="KB269" s="844"/>
      <c r="KC269" s="844"/>
      <c r="KD269" s="844"/>
      <c r="KE269" s="844"/>
      <c r="KF269" s="844"/>
      <c r="KG269" s="844"/>
      <c r="KH269" s="844"/>
      <c r="KI269" s="844"/>
      <c r="KJ269" s="844"/>
      <c r="KK269" s="844"/>
      <c r="KL269" s="844"/>
      <c r="KM269" s="844"/>
      <c r="KN269" s="844"/>
      <c r="KO269" s="844"/>
      <c r="KP269" s="844"/>
      <c r="KQ269" s="844"/>
      <c r="KR269" s="844"/>
      <c r="KS269" s="844"/>
      <c r="KT269" s="844"/>
      <c r="KU269" s="844"/>
      <c r="KV269" s="844"/>
      <c r="KW269" s="844"/>
      <c r="KX269" s="844"/>
      <c r="KY269" s="844"/>
      <c r="KZ269" s="844"/>
      <c r="LA269" s="844"/>
      <c r="LB269" s="844"/>
      <c r="LC269" s="844"/>
      <c r="LD269" s="844"/>
      <c r="LE269" s="844"/>
      <c r="LF269" s="844"/>
      <c r="LG269" s="844"/>
      <c r="LH269" s="844"/>
      <c r="LI269" s="844"/>
      <c r="LJ269" s="844"/>
      <c r="LK269" s="844"/>
      <c r="LL269" s="844"/>
      <c r="LM269" s="844"/>
      <c r="LN269" s="844"/>
      <c r="LO269" s="844"/>
      <c r="LP269" s="844"/>
      <c r="LQ269" s="844"/>
      <c r="LR269" s="844"/>
      <c r="LS269" s="844"/>
      <c r="LT269" s="844"/>
      <c r="LU269" s="844"/>
      <c r="LV269" s="844"/>
      <c r="LW269" s="844"/>
      <c r="LX269" s="844"/>
      <c r="LY269" s="844"/>
      <c r="LZ269" s="844"/>
      <c r="MA269" s="844"/>
      <c r="MB269" s="844"/>
      <c r="MC269" s="844"/>
      <c r="MD269" s="844"/>
      <c r="ME269" s="844"/>
      <c r="MF269" s="844"/>
      <c r="MG269" s="844"/>
      <c r="MH269" s="844"/>
      <c r="MI269" s="844"/>
      <c r="MJ269" s="844"/>
      <c r="MK269" s="844"/>
      <c r="ML269" s="844"/>
      <c r="MM269" s="844"/>
      <c r="MN269" s="844"/>
      <c r="MO269" s="844"/>
      <c r="MP269" s="844"/>
      <c r="MQ269" s="844"/>
      <c r="MR269" s="844"/>
      <c r="MS269" s="844"/>
      <c r="MT269" s="844"/>
      <c r="MU269" s="844"/>
      <c r="MV269" s="844"/>
      <c r="MW269" s="844"/>
      <c r="MX269" s="844"/>
      <c r="MY269" s="844"/>
      <c r="MZ269" s="844"/>
      <c r="NA269" s="844"/>
      <c r="NB269" s="844"/>
      <c r="NC269" s="844"/>
      <c r="ND269" s="844"/>
      <c r="NE269" s="844"/>
      <c r="NF269" s="844"/>
      <c r="NG269" s="844"/>
      <c r="NH269" s="844"/>
      <c r="NI269" s="844"/>
      <c r="NJ269" s="844"/>
      <c r="NK269" s="844"/>
      <c r="NL269" s="844"/>
      <c r="NM269" s="844"/>
      <c r="NN269" s="844"/>
      <c r="NO269" s="844"/>
      <c r="NP269" s="844"/>
      <c r="NQ269" s="844"/>
      <c r="NR269" s="844"/>
      <c r="NS269" s="844"/>
      <c r="NT269" s="844"/>
      <c r="NU269" s="844"/>
      <c r="NV269" s="844"/>
      <c r="NW269" s="844"/>
      <c r="NX269" s="844"/>
      <c r="NY269" s="844"/>
      <c r="NZ269" s="844"/>
      <c r="OA269" s="844"/>
      <c r="OB269" s="844"/>
      <c r="OC269" s="844"/>
      <c r="OD269" s="844"/>
      <c r="OE269" s="844"/>
      <c r="OF269" s="844"/>
      <c r="OG269" s="844"/>
      <c r="OH269" s="844"/>
      <c r="OI269" s="844"/>
      <c r="OJ269" s="844"/>
      <c r="OK269" s="844"/>
      <c r="OL269" s="844"/>
      <c r="OM269" s="844"/>
      <c r="ON269" s="844"/>
      <c r="OO269" s="844"/>
      <c r="OP269" s="844"/>
      <c r="OQ269" s="844"/>
      <c r="OR269" s="844"/>
      <c r="OS269" s="844"/>
      <c r="OT269" s="844"/>
      <c r="OU269" s="844"/>
      <c r="OV269" s="844"/>
      <c r="OW269" s="844"/>
      <c r="OX269" s="844"/>
      <c r="OY269" s="844"/>
      <c r="OZ269" s="844"/>
      <c r="PA269" s="844"/>
      <c r="PB269" s="844"/>
      <c r="PC269" s="844"/>
      <c r="PD269" s="844"/>
      <c r="PE269" s="844"/>
      <c r="PF269" s="844"/>
      <c r="PG269" s="844"/>
      <c r="PH269" s="844"/>
      <c r="PI269" s="844"/>
      <c r="PJ269" s="844"/>
      <c r="PK269" s="844"/>
      <c r="PL269" s="844"/>
      <c r="PM269" s="844"/>
      <c r="PN269" s="844"/>
      <c r="PO269" s="844"/>
      <c r="PP269" s="844"/>
      <c r="PQ269" s="844"/>
      <c r="PR269" s="844"/>
      <c r="PS269" s="844"/>
      <c r="PT269" s="844"/>
      <c r="PU269" s="844"/>
      <c r="PV269" s="844"/>
      <c r="PW269" s="844"/>
      <c r="PX269" s="844"/>
      <c r="PY269" s="844"/>
      <c r="PZ269" s="844"/>
      <c r="QA269" s="844"/>
      <c r="QB269" s="844"/>
      <c r="QC269" s="844"/>
      <c r="QD269" s="844"/>
      <c r="QE269" s="844"/>
      <c r="QF269" s="844"/>
      <c r="QG269" s="844"/>
      <c r="QH269" s="844"/>
      <c r="QI269" s="844"/>
      <c r="QJ269" s="844"/>
      <c r="QK269" s="844"/>
      <c r="QL269" s="844"/>
      <c r="QM269" s="844"/>
      <c r="QN269" s="844"/>
      <c r="QO269" s="844"/>
      <c r="QP269" s="844"/>
      <c r="QQ269" s="844"/>
      <c r="QR269" s="844"/>
      <c r="QS269" s="844"/>
      <c r="QT269" s="844"/>
      <c r="QU269" s="844"/>
      <c r="QV269" s="844"/>
      <c r="QW269" s="844"/>
      <c r="QX269" s="844"/>
      <c r="QY269" s="844"/>
      <c r="QZ269" s="844"/>
      <c r="RA269" s="844"/>
      <c r="RB269" s="844"/>
      <c r="RC269" s="844"/>
      <c r="RD269" s="844"/>
      <c r="RE269" s="844"/>
      <c r="RF269" s="844"/>
      <c r="RG269" s="844"/>
      <c r="RH269" s="844"/>
      <c r="RI269" s="844"/>
      <c r="RJ269" s="844"/>
      <c r="RK269" s="844"/>
      <c r="RL269" s="844"/>
      <c r="RM269" s="844"/>
      <c r="RN269" s="844"/>
      <c r="RO269" s="844"/>
      <c r="RP269" s="844"/>
      <c r="RQ269" s="844"/>
      <c r="RR269" s="844"/>
      <c r="RS269" s="844"/>
      <c r="RT269" s="844"/>
      <c r="RU269" s="844"/>
      <c r="RV269" s="844"/>
      <c r="RW269" s="844"/>
      <c r="RX269" s="844"/>
      <c r="RY269" s="844"/>
      <c r="RZ269" s="844"/>
      <c r="SA269" s="844"/>
      <c r="SB269" s="844"/>
      <c r="SC269" s="844"/>
      <c r="SD269" s="844"/>
      <c r="SE269" s="844"/>
      <c r="SF269" s="844"/>
      <c r="SG269" s="844"/>
      <c r="SH269" s="844"/>
      <c r="SI269" s="844"/>
      <c r="SJ269" s="844"/>
      <c r="SK269" s="844"/>
      <c r="SL269" s="844"/>
      <c r="SM269" s="844"/>
      <c r="SN269" s="844"/>
      <c r="SO269" s="844"/>
      <c r="SP269" s="844"/>
      <c r="SQ269" s="844"/>
      <c r="SR269" s="844"/>
      <c r="SS269" s="844"/>
      <c r="ST269" s="844"/>
      <c r="SU269" s="844"/>
      <c r="SV269" s="844"/>
      <c r="SW269" s="844"/>
      <c r="SX269" s="844"/>
      <c r="SY269" s="844"/>
      <c r="SZ269" s="844"/>
      <c r="TA269" s="844"/>
      <c r="TB269" s="844"/>
      <c r="TC269" s="844"/>
      <c r="TD269" s="844"/>
      <c r="TE269" s="844"/>
      <c r="TF269" s="844"/>
      <c r="TG269" s="844"/>
      <c r="TH269" s="844"/>
      <c r="TI269" s="844"/>
      <c r="TJ269" s="844"/>
      <c r="TK269" s="844"/>
      <c r="TL269" s="844"/>
      <c r="TM269" s="844"/>
      <c r="TN269" s="844"/>
      <c r="TO269" s="844"/>
      <c r="TP269" s="844"/>
      <c r="TQ269" s="844"/>
      <c r="TR269" s="844"/>
      <c r="TS269" s="844"/>
      <c r="TT269" s="844"/>
      <c r="TU269" s="844"/>
      <c r="TV269" s="844"/>
      <c r="TW269" s="844"/>
      <c r="TX269" s="844"/>
      <c r="TY269" s="844"/>
      <c r="TZ269" s="844"/>
      <c r="UA269" s="844"/>
      <c r="UB269" s="844"/>
      <c r="UC269" s="844"/>
      <c r="UD269" s="844"/>
      <c r="UE269" s="844"/>
      <c r="UF269" s="844"/>
      <c r="UG269" s="844"/>
      <c r="UH269" s="844"/>
      <c r="UI269" s="844"/>
      <c r="UJ269" s="844"/>
      <c r="UK269" s="844"/>
      <c r="UL269" s="844"/>
      <c r="UM269" s="844"/>
      <c r="UN269" s="844"/>
      <c r="UO269" s="844"/>
      <c r="UP269" s="844"/>
      <c r="UQ269" s="844"/>
      <c r="UR269" s="844"/>
      <c r="US269" s="844"/>
      <c r="UT269" s="844"/>
      <c r="UU269" s="844"/>
      <c r="UV269" s="844"/>
      <c r="UW269" s="844"/>
      <c r="UX269" s="844"/>
      <c r="UY269" s="844"/>
      <c r="UZ269" s="844"/>
      <c r="VA269" s="844"/>
      <c r="VB269" s="844"/>
      <c r="VC269" s="844"/>
      <c r="VD269" s="844"/>
      <c r="VE269" s="844"/>
      <c r="VF269" s="844"/>
      <c r="VG269" s="844"/>
      <c r="VH269" s="844"/>
      <c r="VI269" s="844"/>
      <c r="VJ269" s="844"/>
      <c r="VK269" s="844"/>
      <c r="VL269" s="844"/>
      <c r="VM269" s="844"/>
      <c r="VN269" s="844"/>
      <c r="VO269" s="844"/>
      <c r="VP269" s="844"/>
      <c r="VQ269" s="844"/>
      <c r="VR269" s="844"/>
      <c r="VS269" s="844"/>
      <c r="VT269" s="844"/>
      <c r="VU269" s="844"/>
      <c r="VV269" s="844"/>
      <c r="VW269" s="844"/>
      <c r="VX269" s="844"/>
      <c r="VY269" s="844"/>
      <c r="VZ269" s="844"/>
      <c r="WA269" s="844"/>
      <c r="WB269" s="844"/>
      <c r="WC269" s="844"/>
      <c r="WD269" s="844"/>
      <c r="WE269" s="844"/>
      <c r="WF269" s="844"/>
      <c r="WG269" s="844"/>
      <c r="WH269" s="844"/>
      <c r="WI269" s="844"/>
      <c r="WJ269" s="844"/>
      <c r="WK269" s="844"/>
      <c r="WL269" s="844"/>
      <c r="WM269" s="844"/>
      <c r="WN269" s="844"/>
      <c r="WO269" s="844"/>
      <c r="WP269" s="844"/>
      <c r="WQ269" s="844"/>
      <c r="WR269" s="844"/>
      <c r="WS269" s="844"/>
      <c r="WT269" s="844"/>
      <c r="WU269" s="844"/>
      <c r="WV269" s="844"/>
      <c r="WW269" s="844"/>
      <c r="WX269" s="844"/>
      <c r="WY269" s="844"/>
      <c r="WZ269" s="844"/>
      <c r="XA269" s="844"/>
      <c r="XB269" s="844"/>
      <c r="XC269" s="844"/>
      <c r="XD269" s="844"/>
      <c r="XE269" s="844"/>
      <c r="XF269" s="844"/>
      <c r="XG269" s="844"/>
      <c r="XH269" s="844"/>
      <c r="XI269" s="844"/>
      <c r="XJ269" s="844"/>
      <c r="XK269" s="844"/>
      <c r="XL269" s="844"/>
      <c r="XM269" s="844"/>
      <c r="XN269" s="844"/>
      <c r="XO269" s="844"/>
      <c r="XP269" s="844"/>
      <c r="XQ269" s="844"/>
      <c r="XR269" s="844"/>
      <c r="XS269" s="844"/>
      <c r="XT269" s="844"/>
      <c r="XU269" s="844"/>
      <c r="XV269" s="844"/>
      <c r="XW269" s="844"/>
      <c r="XX269" s="844"/>
      <c r="XY269" s="844"/>
      <c r="XZ269" s="844"/>
      <c r="YA269" s="844"/>
      <c r="YB269" s="844"/>
      <c r="YC269" s="844"/>
      <c r="YD269" s="844"/>
      <c r="YE269" s="844"/>
      <c r="YF269" s="844"/>
      <c r="YG269" s="844"/>
      <c r="YH269" s="844"/>
      <c r="YI269" s="844"/>
      <c r="YJ269" s="844"/>
      <c r="YK269" s="844"/>
      <c r="YL269" s="844"/>
      <c r="YM269" s="844"/>
      <c r="YN269" s="844"/>
      <c r="YO269" s="844"/>
      <c r="YP269" s="844"/>
      <c r="YQ269" s="844"/>
      <c r="YR269" s="844"/>
      <c r="YS269" s="844"/>
      <c r="YT269" s="844"/>
      <c r="YU269" s="844"/>
      <c r="YV269" s="844"/>
      <c r="YW269" s="844"/>
      <c r="YX269" s="844"/>
      <c r="YY269" s="844"/>
      <c r="YZ269" s="844"/>
      <c r="ZA269" s="844"/>
      <c r="ZB269" s="844"/>
      <c r="ZC269" s="844"/>
      <c r="ZD269" s="844"/>
      <c r="ZE269" s="844"/>
      <c r="ZF269" s="844"/>
      <c r="ZG269" s="844"/>
      <c r="ZH269" s="844"/>
      <c r="ZI269" s="844"/>
      <c r="ZJ269" s="844"/>
      <c r="ZK269" s="844"/>
      <c r="ZL269" s="844"/>
      <c r="ZM269" s="844"/>
      <c r="ZN269" s="844"/>
      <c r="ZO269" s="844"/>
      <c r="ZP269" s="844"/>
      <c r="ZQ269" s="844"/>
      <c r="ZR269" s="844"/>
      <c r="ZS269" s="844"/>
      <c r="ZT269" s="844"/>
      <c r="ZU269" s="844"/>
      <c r="ZV269" s="844"/>
      <c r="ZW269" s="844"/>
      <c r="ZX269" s="844"/>
      <c r="ZY269" s="844"/>
      <c r="ZZ269" s="844"/>
      <c r="AAA269" s="844"/>
      <c r="AAB269" s="844"/>
      <c r="AAC269" s="844"/>
      <c r="AAD269" s="844"/>
      <c r="AAE269" s="844"/>
      <c r="AAF269" s="844"/>
      <c r="AAG269" s="844"/>
      <c r="AAH269" s="844"/>
      <c r="AAI269" s="844"/>
      <c r="AAJ269" s="844"/>
      <c r="AAK269" s="844"/>
      <c r="AAL269" s="844"/>
      <c r="AAM269" s="844"/>
      <c r="AAN269" s="844"/>
      <c r="AAO269" s="844"/>
      <c r="AAP269" s="844"/>
      <c r="AAQ269" s="844"/>
      <c r="AAR269" s="844"/>
      <c r="AAS269" s="844"/>
      <c r="AAT269" s="844"/>
      <c r="AAU269" s="844"/>
      <c r="AAV269" s="844"/>
      <c r="AAW269" s="844"/>
      <c r="AAX269" s="844"/>
      <c r="AAY269" s="844"/>
      <c r="AAZ269" s="844"/>
      <c r="ABA269" s="844"/>
      <c r="ABB269" s="844"/>
      <c r="ABC269" s="844"/>
      <c r="ABD269" s="844"/>
      <c r="ABE269" s="844"/>
      <c r="ABF269" s="844"/>
      <c r="ABG269" s="844"/>
      <c r="ABH269" s="844"/>
      <c r="ABI269" s="844"/>
      <c r="ABJ269" s="844"/>
      <c r="ABK269" s="844"/>
      <c r="ABL269" s="844"/>
      <c r="ABM269" s="844"/>
      <c r="ABN269" s="844"/>
      <c r="ABO269" s="844"/>
      <c r="ABP269" s="844"/>
      <c r="ABQ269" s="844"/>
      <c r="ABR269" s="844"/>
      <c r="ABS269" s="844"/>
      <c r="ABT269" s="844"/>
      <c r="ABU269" s="844"/>
      <c r="ABV269" s="844"/>
      <c r="ABW269" s="844"/>
      <c r="ABX269" s="844"/>
      <c r="ABY269" s="844"/>
      <c r="ABZ269" s="844"/>
      <c r="ACA269" s="844"/>
      <c r="ACB269" s="844"/>
      <c r="ACC269" s="844"/>
      <c r="ACD269" s="844"/>
      <c r="ACE269" s="844"/>
      <c r="ACF269" s="844"/>
      <c r="ACG269" s="844"/>
      <c r="ACH269" s="844"/>
      <c r="ACI269" s="844"/>
      <c r="ACJ269" s="844"/>
      <c r="ACK269" s="844"/>
      <c r="ACL269" s="844"/>
      <c r="ACM269" s="844"/>
      <c r="ACN269" s="844"/>
      <c r="ACO269" s="844"/>
      <c r="ACP269" s="844"/>
      <c r="ACQ269" s="844"/>
      <c r="ACR269" s="844"/>
      <c r="ACS269" s="844"/>
      <c r="ACT269" s="844"/>
      <c r="ACU269" s="844"/>
      <c r="ACV269" s="844"/>
      <c r="ACW269" s="844"/>
      <c r="ACX269" s="844"/>
      <c r="ACY269" s="844"/>
      <c r="ACZ269" s="844"/>
      <c r="ADA269" s="844"/>
      <c r="ADB269" s="844"/>
      <c r="ADC269" s="844"/>
      <c r="ADD269" s="844"/>
      <c r="ADE269" s="844"/>
      <c r="ADF269" s="844"/>
      <c r="ADG269" s="844"/>
      <c r="ADH269" s="844"/>
      <c r="ADI269" s="844"/>
      <c r="ADJ269" s="844"/>
      <c r="ADK269" s="844"/>
      <c r="ADL269" s="844"/>
      <c r="ADM269" s="844"/>
      <c r="ADN269" s="844"/>
      <c r="ADO269" s="844"/>
      <c r="ADP269" s="844"/>
      <c r="ADQ269" s="844"/>
      <c r="ADR269" s="844"/>
      <c r="ADS269" s="844"/>
      <c r="ADT269" s="844"/>
      <c r="ADU269" s="844"/>
      <c r="ADV269" s="844"/>
      <c r="ADW269" s="844"/>
      <c r="ADX269" s="844"/>
      <c r="ADY269" s="844"/>
      <c r="ADZ269" s="844"/>
      <c r="AEA269" s="844"/>
      <c r="AEB269" s="844"/>
      <c r="AEC269" s="844"/>
      <c r="AED269" s="844"/>
      <c r="AEE269" s="844"/>
      <c r="AEF269" s="844"/>
      <c r="AEG269" s="844"/>
      <c r="AEH269" s="844"/>
      <c r="AEI269" s="844"/>
      <c r="AEJ269" s="844"/>
      <c r="AEK269" s="844"/>
      <c r="AEL269" s="844"/>
      <c r="AEM269" s="844"/>
      <c r="AEN269" s="844"/>
      <c r="AEO269" s="844"/>
      <c r="AEP269" s="844"/>
      <c r="AEQ269" s="844"/>
      <c r="AER269" s="844"/>
      <c r="AES269" s="844"/>
      <c r="AET269" s="844"/>
      <c r="AEU269" s="844"/>
      <c r="AEV269" s="844"/>
      <c r="AEW269" s="844"/>
      <c r="AEX269" s="844"/>
      <c r="AEY269" s="844"/>
      <c r="AEZ269" s="844"/>
      <c r="AFA269" s="844"/>
      <c r="AFB269" s="844"/>
      <c r="AFC269" s="844"/>
      <c r="AFD269" s="844"/>
      <c r="AFE269" s="844"/>
      <c r="AFF269" s="844"/>
      <c r="AFG269" s="844"/>
      <c r="AFH269" s="844"/>
      <c r="AFI269" s="844"/>
      <c r="AFJ269" s="844"/>
      <c r="AFK269" s="844"/>
      <c r="AFL269" s="844"/>
      <c r="AFM269" s="844"/>
      <c r="AFN269" s="844"/>
      <c r="AFO269" s="844"/>
      <c r="AFP269" s="844"/>
      <c r="AFQ269" s="844"/>
      <c r="AFR269" s="844"/>
      <c r="AFS269" s="844"/>
      <c r="AFT269" s="844"/>
      <c r="AFU269" s="844"/>
      <c r="AFV269" s="844"/>
      <c r="AFW269" s="844"/>
      <c r="AFX269" s="844"/>
      <c r="AFY269" s="844"/>
      <c r="AFZ269" s="844"/>
      <c r="AGA269" s="844"/>
      <c r="AGB269" s="844"/>
      <c r="AGC269" s="844"/>
      <c r="AGD269" s="844"/>
      <c r="AGE269" s="844"/>
      <c r="AGF269" s="844"/>
      <c r="AGG269" s="844"/>
      <c r="AGH269" s="844"/>
      <c r="AGI269" s="844"/>
      <c r="AGJ269" s="844"/>
    </row>
    <row r="270" spans="1:868" s="845" customFormat="1" hidden="1">
      <c r="A270" s="152" t="s">
        <v>121</v>
      </c>
      <c r="B270" s="34" t="s">
        <v>247</v>
      </c>
      <c r="C270" s="40" t="s">
        <v>147</v>
      </c>
      <c r="D270" s="34" t="s">
        <v>96</v>
      </c>
      <c r="E270" s="260">
        <v>0</v>
      </c>
      <c r="F270" s="235">
        <v>1</v>
      </c>
      <c r="G270" s="40"/>
      <c r="H270" s="29"/>
      <c r="I270" s="9"/>
      <c r="J270" s="9"/>
      <c r="K270" s="9"/>
      <c r="L270" s="9"/>
      <c r="M270" s="9"/>
      <c r="N270" s="186" t="str">
        <f t="shared" si="14"/>
        <v/>
      </c>
      <c r="O270" s="160" t="str">
        <f t="shared" si="13"/>
        <v/>
      </c>
      <c r="P270" s="63"/>
      <c r="Q270" s="844"/>
      <c r="R270" s="844"/>
      <c r="S270" s="844"/>
      <c r="T270" s="844"/>
      <c r="U270" s="844"/>
      <c r="V270" s="844"/>
      <c r="W270" s="844"/>
      <c r="X270" s="844"/>
      <c r="Y270" s="844"/>
      <c r="Z270" s="844"/>
      <c r="AA270" s="844"/>
      <c r="AB270" s="844"/>
      <c r="AC270" s="844"/>
      <c r="AD270" s="844"/>
      <c r="AE270" s="844"/>
      <c r="AF270" s="844"/>
      <c r="AG270" s="844"/>
      <c r="AH270" s="844"/>
      <c r="AI270" s="844"/>
      <c r="AJ270" s="844"/>
      <c r="AK270" s="844"/>
      <c r="AL270" s="844"/>
      <c r="AM270" s="844"/>
      <c r="AN270" s="844"/>
      <c r="AO270" s="844"/>
      <c r="AP270" s="844"/>
      <c r="AQ270" s="844"/>
      <c r="AR270" s="844"/>
      <c r="AS270" s="844"/>
      <c r="AT270" s="844"/>
      <c r="AU270" s="844"/>
      <c r="AV270" s="844"/>
      <c r="AW270" s="844"/>
      <c r="AX270" s="844"/>
      <c r="AY270" s="844"/>
      <c r="AZ270" s="844"/>
      <c r="BA270" s="844"/>
      <c r="BB270" s="844"/>
      <c r="BC270" s="844"/>
      <c r="BD270" s="844"/>
      <c r="BE270" s="844"/>
      <c r="BF270" s="844"/>
      <c r="BG270" s="844"/>
      <c r="BH270" s="844"/>
      <c r="BI270" s="844"/>
      <c r="BJ270" s="844"/>
      <c r="BK270" s="844"/>
      <c r="BL270" s="844"/>
      <c r="BM270" s="844"/>
      <c r="BN270" s="844"/>
      <c r="BO270" s="844"/>
      <c r="BP270" s="844"/>
      <c r="BQ270" s="844"/>
      <c r="BR270" s="844"/>
      <c r="BS270" s="844"/>
      <c r="BT270" s="844"/>
      <c r="BU270" s="844"/>
      <c r="BV270" s="844"/>
      <c r="BW270" s="844"/>
      <c r="BX270" s="844"/>
      <c r="BY270" s="844"/>
      <c r="BZ270" s="844"/>
      <c r="CA270" s="844"/>
      <c r="CB270" s="844"/>
      <c r="CC270" s="844"/>
      <c r="CD270" s="844"/>
      <c r="CE270" s="844"/>
      <c r="CF270" s="844"/>
      <c r="CG270" s="844"/>
      <c r="CH270" s="844"/>
      <c r="CI270" s="844"/>
      <c r="CJ270" s="844"/>
      <c r="CK270" s="844"/>
      <c r="CL270" s="844"/>
      <c r="CM270" s="844"/>
      <c r="CN270" s="844"/>
      <c r="CO270" s="844"/>
      <c r="CP270" s="844"/>
      <c r="CQ270" s="844"/>
      <c r="CR270" s="844"/>
      <c r="CS270" s="844"/>
      <c r="CT270" s="844"/>
      <c r="CU270" s="844"/>
      <c r="CV270" s="844"/>
      <c r="CW270" s="844"/>
      <c r="CX270" s="844"/>
      <c r="CY270" s="844"/>
      <c r="CZ270" s="844"/>
      <c r="DA270" s="844"/>
      <c r="DB270" s="844"/>
      <c r="DC270" s="844"/>
      <c r="DD270" s="844"/>
      <c r="DE270" s="844"/>
      <c r="DF270" s="844"/>
      <c r="DG270" s="844"/>
      <c r="DH270" s="844"/>
      <c r="DI270" s="844"/>
      <c r="DJ270" s="844"/>
      <c r="DK270" s="844"/>
      <c r="DL270" s="844"/>
      <c r="DM270" s="844"/>
      <c r="DN270" s="844"/>
      <c r="DO270" s="844"/>
      <c r="DP270" s="844"/>
      <c r="DQ270" s="844"/>
      <c r="DR270" s="844"/>
      <c r="DS270" s="844"/>
      <c r="DT270" s="844"/>
      <c r="DU270" s="844"/>
      <c r="DV270" s="844"/>
      <c r="DW270" s="844"/>
      <c r="DX270" s="844"/>
      <c r="DY270" s="844"/>
      <c r="DZ270" s="844"/>
      <c r="EA270" s="844"/>
      <c r="EB270" s="844"/>
      <c r="EC270" s="844"/>
      <c r="ED270" s="844"/>
      <c r="EE270" s="844"/>
      <c r="EF270" s="844"/>
      <c r="EG270" s="844"/>
      <c r="EH270" s="844"/>
      <c r="EI270" s="844"/>
      <c r="EJ270" s="844"/>
      <c r="EK270" s="844"/>
      <c r="EL270" s="844"/>
      <c r="EM270" s="844"/>
      <c r="EN270" s="844"/>
      <c r="EO270" s="844"/>
      <c r="EP270" s="844"/>
      <c r="EQ270" s="844"/>
      <c r="ER270" s="844"/>
      <c r="ES270" s="844"/>
      <c r="ET270" s="844"/>
      <c r="EU270" s="844"/>
      <c r="EV270" s="844"/>
      <c r="EW270" s="844"/>
      <c r="EX270" s="844"/>
      <c r="EY270" s="844"/>
      <c r="EZ270" s="844"/>
      <c r="FA270" s="844"/>
      <c r="FB270" s="844"/>
      <c r="FC270" s="844"/>
      <c r="FD270" s="844"/>
      <c r="FE270" s="844"/>
      <c r="FF270" s="844"/>
      <c r="FG270" s="844"/>
      <c r="FH270" s="844"/>
      <c r="FI270" s="844"/>
      <c r="FJ270" s="844"/>
      <c r="FK270" s="844"/>
      <c r="FL270" s="844"/>
      <c r="FM270" s="844"/>
      <c r="FN270" s="844"/>
      <c r="FO270" s="844"/>
      <c r="FP270" s="844"/>
      <c r="FQ270" s="844"/>
      <c r="FR270" s="844"/>
      <c r="FS270" s="844"/>
      <c r="FT270" s="844"/>
      <c r="FU270" s="844"/>
      <c r="FV270" s="844"/>
      <c r="FW270" s="844"/>
      <c r="FX270" s="844"/>
      <c r="FY270" s="844"/>
      <c r="FZ270" s="844"/>
      <c r="GA270" s="844"/>
      <c r="GB270" s="844"/>
      <c r="GC270" s="844"/>
      <c r="GD270" s="844"/>
      <c r="GE270" s="844"/>
      <c r="GF270" s="844"/>
      <c r="GG270" s="844"/>
      <c r="GH270" s="844"/>
      <c r="GI270" s="844"/>
      <c r="GJ270" s="844"/>
      <c r="GK270" s="844"/>
      <c r="GL270" s="844"/>
      <c r="GM270" s="844"/>
      <c r="GN270" s="844"/>
      <c r="GO270" s="844"/>
      <c r="GP270" s="844"/>
      <c r="GQ270" s="844"/>
      <c r="GR270" s="844"/>
      <c r="GS270" s="844"/>
      <c r="GT270" s="844"/>
      <c r="GU270" s="844"/>
      <c r="GV270" s="844"/>
      <c r="GW270" s="844"/>
      <c r="GX270" s="844"/>
      <c r="GY270" s="844"/>
      <c r="GZ270" s="844"/>
      <c r="HA270" s="844"/>
      <c r="HB270" s="844"/>
      <c r="HC270" s="844"/>
      <c r="HD270" s="844"/>
      <c r="HE270" s="844"/>
      <c r="HF270" s="844"/>
      <c r="HG270" s="844"/>
      <c r="HH270" s="844"/>
      <c r="HI270" s="844"/>
      <c r="HJ270" s="844"/>
      <c r="HK270" s="844"/>
      <c r="HL270" s="844"/>
      <c r="HM270" s="844"/>
      <c r="HN270" s="844"/>
      <c r="HO270" s="844"/>
      <c r="HP270" s="844"/>
      <c r="HQ270" s="844"/>
      <c r="HR270" s="844"/>
      <c r="HS270" s="844"/>
      <c r="HT270" s="844"/>
      <c r="HU270" s="844"/>
      <c r="HV270" s="844"/>
      <c r="HW270" s="844"/>
      <c r="HX270" s="844"/>
      <c r="HY270" s="844"/>
      <c r="HZ270" s="844"/>
      <c r="IA270" s="844"/>
      <c r="IB270" s="844"/>
      <c r="IC270" s="844"/>
      <c r="ID270" s="844"/>
      <c r="IE270" s="844"/>
      <c r="IF270" s="844"/>
      <c r="IG270" s="844"/>
      <c r="IH270" s="844"/>
      <c r="II270" s="844"/>
      <c r="IJ270" s="844"/>
      <c r="IK270" s="844"/>
      <c r="IL270" s="844"/>
      <c r="IM270" s="844"/>
      <c r="IN270" s="844"/>
      <c r="IO270" s="844"/>
      <c r="IP270" s="844"/>
      <c r="IQ270" s="844"/>
      <c r="IR270" s="844"/>
      <c r="IS270" s="844"/>
      <c r="IT270" s="844"/>
      <c r="IU270" s="844"/>
      <c r="IV270" s="844"/>
      <c r="IW270" s="844"/>
      <c r="IX270" s="844"/>
      <c r="IY270" s="844"/>
      <c r="IZ270" s="844"/>
      <c r="JA270" s="844"/>
      <c r="JB270" s="844"/>
      <c r="JC270" s="844"/>
      <c r="JD270" s="844"/>
      <c r="JE270" s="844"/>
      <c r="JF270" s="844"/>
      <c r="JG270" s="844"/>
      <c r="JH270" s="844"/>
      <c r="JI270" s="844"/>
      <c r="JJ270" s="844"/>
      <c r="JK270" s="844"/>
      <c r="JL270" s="844"/>
      <c r="JM270" s="844"/>
      <c r="JN270" s="844"/>
      <c r="JO270" s="844"/>
      <c r="JP270" s="844"/>
      <c r="JQ270" s="844"/>
      <c r="JR270" s="844"/>
      <c r="JS270" s="844"/>
      <c r="JT270" s="844"/>
      <c r="JU270" s="844"/>
      <c r="JV270" s="844"/>
      <c r="JW270" s="844"/>
      <c r="JX270" s="844"/>
      <c r="JY270" s="844"/>
      <c r="JZ270" s="844"/>
      <c r="KA270" s="844"/>
      <c r="KB270" s="844"/>
      <c r="KC270" s="844"/>
      <c r="KD270" s="844"/>
      <c r="KE270" s="844"/>
      <c r="KF270" s="844"/>
      <c r="KG270" s="844"/>
      <c r="KH270" s="844"/>
      <c r="KI270" s="844"/>
      <c r="KJ270" s="844"/>
      <c r="KK270" s="844"/>
      <c r="KL270" s="844"/>
      <c r="KM270" s="844"/>
      <c r="KN270" s="844"/>
      <c r="KO270" s="844"/>
      <c r="KP270" s="844"/>
      <c r="KQ270" s="844"/>
      <c r="KR270" s="844"/>
      <c r="KS270" s="844"/>
      <c r="KT270" s="844"/>
      <c r="KU270" s="844"/>
      <c r="KV270" s="844"/>
      <c r="KW270" s="844"/>
      <c r="KX270" s="844"/>
      <c r="KY270" s="844"/>
      <c r="KZ270" s="844"/>
      <c r="LA270" s="844"/>
      <c r="LB270" s="844"/>
      <c r="LC270" s="844"/>
      <c r="LD270" s="844"/>
      <c r="LE270" s="844"/>
      <c r="LF270" s="844"/>
      <c r="LG270" s="844"/>
      <c r="LH270" s="844"/>
      <c r="LI270" s="844"/>
      <c r="LJ270" s="844"/>
      <c r="LK270" s="844"/>
      <c r="LL270" s="844"/>
      <c r="LM270" s="844"/>
      <c r="LN270" s="844"/>
      <c r="LO270" s="844"/>
      <c r="LP270" s="844"/>
      <c r="LQ270" s="844"/>
      <c r="LR270" s="844"/>
      <c r="LS270" s="844"/>
      <c r="LT270" s="844"/>
      <c r="LU270" s="844"/>
      <c r="LV270" s="844"/>
      <c r="LW270" s="844"/>
      <c r="LX270" s="844"/>
      <c r="LY270" s="844"/>
      <c r="LZ270" s="844"/>
      <c r="MA270" s="844"/>
      <c r="MB270" s="844"/>
      <c r="MC270" s="844"/>
      <c r="MD270" s="844"/>
      <c r="ME270" s="844"/>
      <c r="MF270" s="844"/>
      <c r="MG270" s="844"/>
      <c r="MH270" s="844"/>
      <c r="MI270" s="844"/>
      <c r="MJ270" s="844"/>
      <c r="MK270" s="844"/>
      <c r="ML270" s="844"/>
      <c r="MM270" s="844"/>
      <c r="MN270" s="844"/>
      <c r="MO270" s="844"/>
      <c r="MP270" s="844"/>
      <c r="MQ270" s="844"/>
      <c r="MR270" s="844"/>
      <c r="MS270" s="844"/>
      <c r="MT270" s="844"/>
      <c r="MU270" s="844"/>
      <c r="MV270" s="844"/>
      <c r="MW270" s="844"/>
      <c r="MX270" s="844"/>
      <c r="MY270" s="844"/>
      <c r="MZ270" s="844"/>
      <c r="NA270" s="844"/>
      <c r="NB270" s="844"/>
      <c r="NC270" s="844"/>
      <c r="ND270" s="844"/>
      <c r="NE270" s="844"/>
      <c r="NF270" s="844"/>
      <c r="NG270" s="844"/>
      <c r="NH270" s="844"/>
      <c r="NI270" s="844"/>
      <c r="NJ270" s="844"/>
      <c r="NK270" s="844"/>
      <c r="NL270" s="844"/>
      <c r="NM270" s="844"/>
      <c r="NN270" s="844"/>
      <c r="NO270" s="844"/>
      <c r="NP270" s="844"/>
      <c r="NQ270" s="844"/>
      <c r="NR270" s="844"/>
      <c r="NS270" s="844"/>
      <c r="NT270" s="844"/>
      <c r="NU270" s="844"/>
      <c r="NV270" s="844"/>
      <c r="NW270" s="844"/>
      <c r="NX270" s="844"/>
      <c r="NY270" s="844"/>
      <c r="NZ270" s="844"/>
      <c r="OA270" s="844"/>
      <c r="OB270" s="844"/>
      <c r="OC270" s="844"/>
      <c r="OD270" s="844"/>
      <c r="OE270" s="844"/>
      <c r="OF270" s="844"/>
      <c r="OG270" s="844"/>
      <c r="OH270" s="844"/>
      <c r="OI270" s="844"/>
      <c r="OJ270" s="844"/>
      <c r="OK270" s="844"/>
      <c r="OL270" s="844"/>
      <c r="OM270" s="844"/>
      <c r="ON270" s="844"/>
      <c r="OO270" s="844"/>
      <c r="OP270" s="844"/>
      <c r="OQ270" s="844"/>
      <c r="OR270" s="844"/>
      <c r="OS270" s="844"/>
      <c r="OT270" s="844"/>
      <c r="OU270" s="844"/>
      <c r="OV270" s="844"/>
      <c r="OW270" s="844"/>
      <c r="OX270" s="844"/>
      <c r="OY270" s="844"/>
      <c r="OZ270" s="844"/>
      <c r="PA270" s="844"/>
      <c r="PB270" s="844"/>
      <c r="PC270" s="844"/>
      <c r="PD270" s="844"/>
      <c r="PE270" s="844"/>
      <c r="PF270" s="844"/>
      <c r="PG270" s="844"/>
      <c r="PH270" s="844"/>
      <c r="PI270" s="844"/>
      <c r="PJ270" s="844"/>
      <c r="PK270" s="844"/>
      <c r="PL270" s="844"/>
      <c r="PM270" s="844"/>
      <c r="PN270" s="844"/>
      <c r="PO270" s="844"/>
      <c r="PP270" s="844"/>
      <c r="PQ270" s="844"/>
      <c r="PR270" s="844"/>
      <c r="PS270" s="844"/>
      <c r="PT270" s="844"/>
      <c r="PU270" s="844"/>
      <c r="PV270" s="844"/>
      <c r="PW270" s="844"/>
      <c r="PX270" s="844"/>
      <c r="PY270" s="844"/>
      <c r="PZ270" s="844"/>
      <c r="QA270" s="844"/>
      <c r="QB270" s="844"/>
      <c r="QC270" s="844"/>
      <c r="QD270" s="844"/>
      <c r="QE270" s="844"/>
      <c r="QF270" s="844"/>
      <c r="QG270" s="844"/>
      <c r="QH270" s="844"/>
      <c r="QI270" s="844"/>
      <c r="QJ270" s="844"/>
      <c r="QK270" s="844"/>
      <c r="QL270" s="844"/>
      <c r="QM270" s="844"/>
      <c r="QN270" s="844"/>
      <c r="QO270" s="844"/>
      <c r="QP270" s="844"/>
      <c r="QQ270" s="844"/>
      <c r="QR270" s="844"/>
      <c r="QS270" s="844"/>
      <c r="QT270" s="844"/>
      <c r="QU270" s="844"/>
      <c r="QV270" s="844"/>
      <c r="QW270" s="844"/>
      <c r="QX270" s="844"/>
      <c r="QY270" s="844"/>
      <c r="QZ270" s="844"/>
      <c r="RA270" s="844"/>
      <c r="RB270" s="844"/>
      <c r="RC270" s="844"/>
      <c r="RD270" s="844"/>
      <c r="RE270" s="844"/>
      <c r="RF270" s="844"/>
      <c r="RG270" s="844"/>
      <c r="RH270" s="844"/>
      <c r="RI270" s="844"/>
      <c r="RJ270" s="844"/>
      <c r="RK270" s="844"/>
      <c r="RL270" s="844"/>
      <c r="RM270" s="844"/>
      <c r="RN270" s="844"/>
      <c r="RO270" s="844"/>
      <c r="RP270" s="844"/>
      <c r="RQ270" s="844"/>
      <c r="RR270" s="844"/>
      <c r="RS270" s="844"/>
      <c r="RT270" s="844"/>
      <c r="RU270" s="844"/>
      <c r="RV270" s="844"/>
      <c r="RW270" s="844"/>
      <c r="RX270" s="844"/>
      <c r="RY270" s="844"/>
      <c r="RZ270" s="844"/>
      <c r="SA270" s="844"/>
      <c r="SB270" s="844"/>
      <c r="SC270" s="844"/>
      <c r="SD270" s="844"/>
      <c r="SE270" s="844"/>
      <c r="SF270" s="844"/>
      <c r="SG270" s="844"/>
      <c r="SH270" s="844"/>
      <c r="SI270" s="844"/>
      <c r="SJ270" s="844"/>
      <c r="SK270" s="844"/>
      <c r="SL270" s="844"/>
      <c r="SM270" s="844"/>
      <c r="SN270" s="844"/>
      <c r="SO270" s="844"/>
      <c r="SP270" s="844"/>
      <c r="SQ270" s="844"/>
      <c r="SR270" s="844"/>
      <c r="SS270" s="844"/>
      <c r="ST270" s="844"/>
      <c r="SU270" s="844"/>
      <c r="SV270" s="844"/>
      <c r="SW270" s="844"/>
      <c r="SX270" s="844"/>
      <c r="SY270" s="844"/>
      <c r="SZ270" s="844"/>
      <c r="TA270" s="844"/>
      <c r="TB270" s="844"/>
      <c r="TC270" s="844"/>
      <c r="TD270" s="844"/>
      <c r="TE270" s="844"/>
      <c r="TF270" s="844"/>
      <c r="TG270" s="844"/>
      <c r="TH270" s="844"/>
      <c r="TI270" s="844"/>
      <c r="TJ270" s="844"/>
      <c r="TK270" s="844"/>
      <c r="TL270" s="844"/>
      <c r="TM270" s="844"/>
      <c r="TN270" s="844"/>
      <c r="TO270" s="844"/>
      <c r="TP270" s="844"/>
      <c r="TQ270" s="844"/>
      <c r="TR270" s="844"/>
      <c r="TS270" s="844"/>
      <c r="TT270" s="844"/>
      <c r="TU270" s="844"/>
      <c r="TV270" s="844"/>
      <c r="TW270" s="844"/>
      <c r="TX270" s="844"/>
      <c r="TY270" s="844"/>
      <c r="TZ270" s="844"/>
      <c r="UA270" s="844"/>
      <c r="UB270" s="844"/>
      <c r="UC270" s="844"/>
      <c r="UD270" s="844"/>
      <c r="UE270" s="844"/>
      <c r="UF270" s="844"/>
      <c r="UG270" s="844"/>
      <c r="UH270" s="844"/>
      <c r="UI270" s="844"/>
      <c r="UJ270" s="844"/>
      <c r="UK270" s="844"/>
      <c r="UL270" s="844"/>
      <c r="UM270" s="844"/>
      <c r="UN270" s="844"/>
      <c r="UO270" s="844"/>
      <c r="UP270" s="844"/>
      <c r="UQ270" s="844"/>
      <c r="UR270" s="844"/>
      <c r="US270" s="844"/>
      <c r="UT270" s="844"/>
      <c r="UU270" s="844"/>
      <c r="UV270" s="844"/>
      <c r="UW270" s="844"/>
      <c r="UX270" s="844"/>
      <c r="UY270" s="844"/>
      <c r="UZ270" s="844"/>
      <c r="VA270" s="844"/>
      <c r="VB270" s="844"/>
      <c r="VC270" s="844"/>
      <c r="VD270" s="844"/>
      <c r="VE270" s="844"/>
      <c r="VF270" s="844"/>
      <c r="VG270" s="844"/>
      <c r="VH270" s="844"/>
      <c r="VI270" s="844"/>
      <c r="VJ270" s="844"/>
      <c r="VK270" s="844"/>
      <c r="VL270" s="844"/>
      <c r="VM270" s="844"/>
      <c r="VN270" s="844"/>
      <c r="VO270" s="844"/>
      <c r="VP270" s="844"/>
      <c r="VQ270" s="844"/>
      <c r="VR270" s="844"/>
      <c r="VS270" s="844"/>
      <c r="VT270" s="844"/>
      <c r="VU270" s="844"/>
      <c r="VV270" s="844"/>
      <c r="VW270" s="844"/>
      <c r="VX270" s="844"/>
      <c r="VY270" s="844"/>
      <c r="VZ270" s="844"/>
      <c r="WA270" s="844"/>
      <c r="WB270" s="844"/>
      <c r="WC270" s="844"/>
      <c r="WD270" s="844"/>
      <c r="WE270" s="844"/>
      <c r="WF270" s="844"/>
      <c r="WG270" s="844"/>
      <c r="WH270" s="844"/>
      <c r="WI270" s="844"/>
      <c r="WJ270" s="844"/>
      <c r="WK270" s="844"/>
      <c r="WL270" s="844"/>
      <c r="WM270" s="844"/>
      <c r="WN270" s="844"/>
      <c r="WO270" s="844"/>
      <c r="WP270" s="844"/>
      <c r="WQ270" s="844"/>
      <c r="WR270" s="844"/>
      <c r="WS270" s="844"/>
      <c r="WT270" s="844"/>
      <c r="WU270" s="844"/>
      <c r="WV270" s="844"/>
      <c r="WW270" s="844"/>
      <c r="WX270" s="844"/>
      <c r="WY270" s="844"/>
      <c r="WZ270" s="844"/>
      <c r="XA270" s="844"/>
      <c r="XB270" s="844"/>
      <c r="XC270" s="844"/>
      <c r="XD270" s="844"/>
      <c r="XE270" s="844"/>
      <c r="XF270" s="844"/>
      <c r="XG270" s="844"/>
      <c r="XH270" s="844"/>
      <c r="XI270" s="844"/>
      <c r="XJ270" s="844"/>
      <c r="XK270" s="844"/>
      <c r="XL270" s="844"/>
      <c r="XM270" s="844"/>
      <c r="XN270" s="844"/>
      <c r="XO270" s="844"/>
      <c r="XP270" s="844"/>
      <c r="XQ270" s="844"/>
      <c r="XR270" s="844"/>
      <c r="XS270" s="844"/>
      <c r="XT270" s="844"/>
      <c r="XU270" s="844"/>
      <c r="XV270" s="844"/>
      <c r="XW270" s="844"/>
      <c r="XX270" s="844"/>
      <c r="XY270" s="844"/>
      <c r="XZ270" s="844"/>
      <c r="YA270" s="844"/>
      <c r="YB270" s="844"/>
      <c r="YC270" s="844"/>
      <c r="YD270" s="844"/>
      <c r="YE270" s="844"/>
      <c r="YF270" s="844"/>
      <c r="YG270" s="844"/>
      <c r="YH270" s="844"/>
      <c r="YI270" s="844"/>
      <c r="YJ270" s="844"/>
      <c r="YK270" s="844"/>
      <c r="YL270" s="844"/>
      <c r="YM270" s="844"/>
      <c r="YN270" s="844"/>
      <c r="YO270" s="844"/>
      <c r="YP270" s="844"/>
      <c r="YQ270" s="844"/>
      <c r="YR270" s="844"/>
      <c r="YS270" s="844"/>
      <c r="YT270" s="844"/>
      <c r="YU270" s="844"/>
      <c r="YV270" s="844"/>
      <c r="YW270" s="844"/>
      <c r="YX270" s="844"/>
      <c r="YY270" s="844"/>
      <c r="YZ270" s="844"/>
      <c r="ZA270" s="844"/>
      <c r="ZB270" s="844"/>
      <c r="ZC270" s="844"/>
      <c r="ZD270" s="844"/>
      <c r="ZE270" s="844"/>
      <c r="ZF270" s="844"/>
      <c r="ZG270" s="844"/>
      <c r="ZH270" s="844"/>
      <c r="ZI270" s="844"/>
      <c r="ZJ270" s="844"/>
      <c r="ZK270" s="844"/>
      <c r="ZL270" s="844"/>
      <c r="ZM270" s="844"/>
      <c r="ZN270" s="844"/>
      <c r="ZO270" s="844"/>
      <c r="ZP270" s="844"/>
      <c r="ZQ270" s="844"/>
      <c r="ZR270" s="844"/>
      <c r="ZS270" s="844"/>
      <c r="ZT270" s="844"/>
      <c r="ZU270" s="844"/>
      <c r="ZV270" s="844"/>
      <c r="ZW270" s="844"/>
      <c r="ZX270" s="844"/>
      <c r="ZY270" s="844"/>
      <c r="ZZ270" s="844"/>
      <c r="AAA270" s="844"/>
      <c r="AAB270" s="844"/>
      <c r="AAC270" s="844"/>
      <c r="AAD270" s="844"/>
      <c r="AAE270" s="844"/>
      <c r="AAF270" s="844"/>
      <c r="AAG270" s="844"/>
      <c r="AAH270" s="844"/>
      <c r="AAI270" s="844"/>
      <c r="AAJ270" s="844"/>
      <c r="AAK270" s="844"/>
      <c r="AAL270" s="844"/>
      <c r="AAM270" s="844"/>
      <c r="AAN270" s="844"/>
      <c r="AAO270" s="844"/>
      <c r="AAP270" s="844"/>
      <c r="AAQ270" s="844"/>
      <c r="AAR270" s="844"/>
      <c r="AAS270" s="844"/>
      <c r="AAT270" s="844"/>
      <c r="AAU270" s="844"/>
      <c r="AAV270" s="844"/>
      <c r="AAW270" s="844"/>
      <c r="AAX270" s="844"/>
      <c r="AAY270" s="844"/>
      <c r="AAZ270" s="844"/>
      <c r="ABA270" s="844"/>
      <c r="ABB270" s="844"/>
      <c r="ABC270" s="844"/>
      <c r="ABD270" s="844"/>
      <c r="ABE270" s="844"/>
      <c r="ABF270" s="844"/>
      <c r="ABG270" s="844"/>
      <c r="ABH270" s="844"/>
      <c r="ABI270" s="844"/>
      <c r="ABJ270" s="844"/>
      <c r="ABK270" s="844"/>
      <c r="ABL270" s="844"/>
      <c r="ABM270" s="844"/>
      <c r="ABN270" s="844"/>
      <c r="ABO270" s="844"/>
      <c r="ABP270" s="844"/>
      <c r="ABQ270" s="844"/>
      <c r="ABR270" s="844"/>
      <c r="ABS270" s="844"/>
      <c r="ABT270" s="844"/>
      <c r="ABU270" s="844"/>
      <c r="ABV270" s="844"/>
      <c r="ABW270" s="844"/>
      <c r="ABX270" s="844"/>
      <c r="ABY270" s="844"/>
      <c r="ABZ270" s="844"/>
      <c r="ACA270" s="844"/>
      <c r="ACB270" s="844"/>
      <c r="ACC270" s="844"/>
      <c r="ACD270" s="844"/>
      <c r="ACE270" s="844"/>
      <c r="ACF270" s="844"/>
      <c r="ACG270" s="844"/>
      <c r="ACH270" s="844"/>
      <c r="ACI270" s="844"/>
      <c r="ACJ270" s="844"/>
      <c r="ACK270" s="844"/>
      <c r="ACL270" s="844"/>
      <c r="ACM270" s="844"/>
      <c r="ACN270" s="844"/>
      <c r="ACO270" s="844"/>
      <c r="ACP270" s="844"/>
      <c r="ACQ270" s="844"/>
      <c r="ACR270" s="844"/>
      <c r="ACS270" s="844"/>
      <c r="ACT270" s="844"/>
      <c r="ACU270" s="844"/>
      <c r="ACV270" s="844"/>
      <c r="ACW270" s="844"/>
      <c r="ACX270" s="844"/>
      <c r="ACY270" s="844"/>
      <c r="ACZ270" s="844"/>
      <c r="ADA270" s="844"/>
      <c r="ADB270" s="844"/>
      <c r="ADC270" s="844"/>
      <c r="ADD270" s="844"/>
      <c r="ADE270" s="844"/>
      <c r="ADF270" s="844"/>
      <c r="ADG270" s="844"/>
      <c r="ADH270" s="844"/>
      <c r="ADI270" s="844"/>
      <c r="ADJ270" s="844"/>
      <c r="ADK270" s="844"/>
      <c r="ADL270" s="844"/>
      <c r="ADM270" s="844"/>
      <c r="ADN270" s="844"/>
      <c r="ADO270" s="844"/>
      <c r="ADP270" s="844"/>
      <c r="ADQ270" s="844"/>
      <c r="ADR270" s="844"/>
      <c r="ADS270" s="844"/>
      <c r="ADT270" s="844"/>
      <c r="ADU270" s="844"/>
      <c r="ADV270" s="844"/>
      <c r="ADW270" s="844"/>
      <c r="ADX270" s="844"/>
      <c r="ADY270" s="844"/>
      <c r="ADZ270" s="844"/>
      <c r="AEA270" s="844"/>
      <c r="AEB270" s="844"/>
      <c r="AEC270" s="844"/>
      <c r="AED270" s="844"/>
      <c r="AEE270" s="844"/>
      <c r="AEF270" s="844"/>
      <c r="AEG270" s="844"/>
      <c r="AEH270" s="844"/>
      <c r="AEI270" s="844"/>
      <c r="AEJ270" s="844"/>
      <c r="AEK270" s="844"/>
      <c r="AEL270" s="844"/>
      <c r="AEM270" s="844"/>
      <c r="AEN270" s="844"/>
      <c r="AEO270" s="844"/>
      <c r="AEP270" s="844"/>
      <c r="AEQ270" s="844"/>
      <c r="AER270" s="844"/>
      <c r="AES270" s="844"/>
      <c r="AET270" s="844"/>
      <c r="AEU270" s="844"/>
      <c r="AEV270" s="844"/>
      <c r="AEW270" s="844"/>
      <c r="AEX270" s="844"/>
      <c r="AEY270" s="844"/>
      <c r="AEZ270" s="844"/>
      <c r="AFA270" s="844"/>
      <c r="AFB270" s="844"/>
      <c r="AFC270" s="844"/>
      <c r="AFD270" s="844"/>
      <c r="AFE270" s="844"/>
      <c r="AFF270" s="844"/>
      <c r="AFG270" s="844"/>
      <c r="AFH270" s="844"/>
      <c r="AFI270" s="844"/>
      <c r="AFJ270" s="844"/>
      <c r="AFK270" s="844"/>
      <c r="AFL270" s="844"/>
      <c r="AFM270" s="844"/>
      <c r="AFN270" s="844"/>
      <c r="AFO270" s="844"/>
      <c r="AFP270" s="844"/>
      <c r="AFQ270" s="844"/>
      <c r="AFR270" s="844"/>
      <c r="AFS270" s="844"/>
      <c r="AFT270" s="844"/>
      <c r="AFU270" s="844"/>
      <c r="AFV270" s="844"/>
      <c r="AFW270" s="844"/>
      <c r="AFX270" s="844"/>
      <c r="AFY270" s="844"/>
      <c r="AFZ270" s="844"/>
      <c r="AGA270" s="844"/>
      <c r="AGB270" s="844"/>
      <c r="AGC270" s="844"/>
      <c r="AGD270" s="844"/>
      <c r="AGE270" s="844"/>
      <c r="AGF270" s="844"/>
      <c r="AGG270" s="844"/>
      <c r="AGH270" s="844"/>
      <c r="AGI270" s="844"/>
      <c r="AGJ270" s="844"/>
    </row>
    <row r="271" spans="1:868" s="845" customFormat="1" hidden="1">
      <c r="A271" s="152" t="s">
        <v>121</v>
      </c>
      <c r="B271" s="34" t="s">
        <v>247</v>
      </c>
      <c r="C271" s="40" t="s">
        <v>147</v>
      </c>
      <c r="D271" s="34" t="s">
        <v>97</v>
      </c>
      <c r="E271" s="260">
        <v>0</v>
      </c>
      <c r="F271" s="235">
        <v>1</v>
      </c>
      <c r="G271" s="40"/>
      <c r="H271" s="29"/>
      <c r="I271" s="9"/>
      <c r="J271" s="9"/>
      <c r="K271" s="9"/>
      <c r="L271" s="9"/>
      <c r="M271" s="9"/>
      <c r="N271" s="186" t="str">
        <f t="shared" si="14"/>
        <v/>
      </c>
      <c r="O271" s="160" t="str">
        <f t="shared" si="13"/>
        <v/>
      </c>
      <c r="P271" s="63"/>
      <c r="Q271" s="844"/>
      <c r="R271" s="844"/>
      <c r="S271" s="844"/>
      <c r="T271" s="844"/>
      <c r="U271" s="844"/>
      <c r="V271" s="844"/>
      <c r="W271" s="844"/>
      <c r="X271" s="844"/>
      <c r="Y271" s="844"/>
      <c r="Z271" s="844"/>
      <c r="AA271" s="844"/>
      <c r="AB271" s="844"/>
      <c r="AC271" s="844"/>
      <c r="AD271" s="844"/>
      <c r="AE271" s="844"/>
      <c r="AF271" s="844"/>
      <c r="AG271" s="844"/>
      <c r="AH271" s="844"/>
      <c r="AI271" s="844"/>
      <c r="AJ271" s="844"/>
      <c r="AK271" s="844"/>
      <c r="AL271" s="844"/>
      <c r="AM271" s="844"/>
      <c r="AN271" s="844"/>
      <c r="AO271" s="844"/>
      <c r="AP271" s="844"/>
      <c r="AQ271" s="844"/>
      <c r="AR271" s="844"/>
      <c r="AS271" s="844"/>
      <c r="AT271" s="844"/>
      <c r="AU271" s="844"/>
      <c r="AV271" s="844"/>
      <c r="AW271" s="844"/>
      <c r="AX271" s="844"/>
      <c r="AY271" s="844"/>
      <c r="AZ271" s="844"/>
      <c r="BA271" s="844"/>
      <c r="BB271" s="844"/>
      <c r="BC271" s="844"/>
      <c r="BD271" s="844"/>
      <c r="BE271" s="844"/>
      <c r="BF271" s="844"/>
      <c r="BG271" s="844"/>
      <c r="BH271" s="844"/>
      <c r="BI271" s="844"/>
      <c r="BJ271" s="844"/>
      <c r="BK271" s="844"/>
      <c r="BL271" s="844"/>
      <c r="BM271" s="844"/>
      <c r="BN271" s="844"/>
      <c r="BO271" s="844"/>
      <c r="BP271" s="844"/>
      <c r="BQ271" s="844"/>
      <c r="BR271" s="844"/>
      <c r="BS271" s="844"/>
      <c r="BT271" s="844"/>
      <c r="BU271" s="844"/>
      <c r="BV271" s="844"/>
      <c r="BW271" s="844"/>
      <c r="BX271" s="844"/>
      <c r="BY271" s="844"/>
      <c r="BZ271" s="844"/>
      <c r="CA271" s="844"/>
      <c r="CB271" s="844"/>
      <c r="CC271" s="844"/>
      <c r="CD271" s="844"/>
      <c r="CE271" s="844"/>
      <c r="CF271" s="844"/>
      <c r="CG271" s="844"/>
      <c r="CH271" s="844"/>
      <c r="CI271" s="844"/>
      <c r="CJ271" s="844"/>
      <c r="CK271" s="844"/>
      <c r="CL271" s="844"/>
      <c r="CM271" s="844"/>
      <c r="CN271" s="844"/>
      <c r="CO271" s="844"/>
      <c r="CP271" s="844"/>
      <c r="CQ271" s="844"/>
      <c r="CR271" s="844"/>
      <c r="CS271" s="844"/>
      <c r="CT271" s="844"/>
      <c r="CU271" s="844"/>
      <c r="CV271" s="844"/>
      <c r="CW271" s="844"/>
      <c r="CX271" s="844"/>
      <c r="CY271" s="844"/>
      <c r="CZ271" s="844"/>
      <c r="DA271" s="844"/>
      <c r="DB271" s="844"/>
      <c r="DC271" s="844"/>
      <c r="DD271" s="844"/>
      <c r="DE271" s="844"/>
      <c r="DF271" s="844"/>
      <c r="DG271" s="844"/>
      <c r="DH271" s="844"/>
      <c r="DI271" s="844"/>
      <c r="DJ271" s="844"/>
      <c r="DK271" s="844"/>
      <c r="DL271" s="844"/>
      <c r="DM271" s="844"/>
      <c r="DN271" s="844"/>
      <c r="DO271" s="844"/>
      <c r="DP271" s="844"/>
      <c r="DQ271" s="844"/>
      <c r="DR271" s="844"/>
      <c r="DS271" s="844"/>
      <c r="DT271" s="844"/>
      <c r="DU271" s="844"/>
      <c r="DV271" s="844"/>
      <c r="DW271" s="844"/>
      <c r="DX271" s="844"/>
      <c r="DY271" s="844"/>
      <c r="DZ271" s="844"/>
      <c r="EA271" s="844"/>
      <c r="EB271" s="844"/>
      <c r="EC271" s="844"/>
      <c r="ED271" s="844"/>
      <c r="EE271" s="844"/>
      <c r="EF271" s="844"/>
      <c r="EG271" s="844"/>
      <c r="EH271" s="844"/>
      <c r="EI271" s="844"/>
      <c r="EJ271" s="844"/>
      <c r="EK271" s="844"/>
      <c r="EL271" s="844"/>
      <c r="EM271" s="844"/>
      <c r="EN271" s="844"/>
      <c r="EO271" s="844"/>
      <c r="EP271" s="844"/>
      <c r="EQ271" s="844"/>
      <c r="ER271" s="844"/>
      <c r="ES271" s="844"/>
      <c r="ET271" s="844"/>
      <c r="EU271" s="844"/>
      <c r="EV271" s="844"/>
      <c r="EW271" s="844"/>
      <c r="EX271" s="844"/>
      <c r="EY271" s="844"/>
      <c r="EZ271" s="844"/>
      <c r="FA271" s="844"/>
      <c r="FB271" s="844"/>
      <c r="FC271" s="844"/>
      <c r="FD271" s="844"/>
      <c r="FE271" s="844"/>
      <c r="FF271" s="844"/>
      <c r="FG271" s="844"/>
      <c r="FH271" s="844"/>
      <c r="FI271" s="844"/>
      <c r="FJ271" s="844"/>
      <c r="FK271" s="844"/>
      <c r="FL271" s="844"/>
      <c r="FM271" s="844"/>
      <c r="FN271" s="844"/>
      <c r="FO271" s="844"/>
      <c r="FP271" s="844"/>
      <c r="FQ271" s="844"/>
      <c r="FR271" s="844"/>
      <c r="FS271" s="844"/>
      <c r="FT271" s="844"/>
      <c r="FU271" s="844"/>
      <c r="FV271" s="844"/>
      <c r="FW271" s="844"/>
      <c r="FX271" s="844"/>
      <c r="FY271" s="844"/>
      <c r="FZ271" s="844"/>
      <c r="GA271" s="844"/>
      <c r="GB271" s="844"/>
      <c r="GC271" s="844"/>
      <c r="GD271" s="844"/>
      <c r="GE271" s="844"/>
      <c r="GF271" s="844"/>
      <c r="GG271" s="844"/>
      <c r="GH271" s="844"/>
      <c r="GI271" s="844"/>
      <c r="GJ271" s="844"/>
      <c r="GK271" s="844"/>
      <c r="GL271" s="844"/>
      <c r="GM271" s="844"/>
      <c r="GN271" s="844"/>
      <c r="GO271" s="844"/>
      <c r="GP271" s="844"/>
      <c r="GQ271" s="844"/>
      <c r="GR271" s="844"/>
      <c r="GS271" s="844"/>
      <c r="GT271" s="844"/>
      <c r="GU271" s="844"/>
      <c r="GV271" s="844"/>
      <c r="GW271" s="844"/>
      <c r="GX271" s="844"/>
      <c r="GY271" s="844"/>
      <c r="GZ271" s="844"/>
      <c r="HA271" s="844"/>
      <c r="HB271" s="844"/>
      <c r="HC271" s="844"/>
      <c r="HD271" s="844"/>
      <c r="HE271" s="844"/>
      <c r="HF271" s="844"/>
      <c r="HG271" s="844"/>
      <c r="HH271" s="844"/>
      <c r="HI271" s="844"/>
      <c r="HJ271" s="844"/>
      <c r="HK271" s="844"/>
      <c r="HL271" s="844"/>
      <c r="HM271" s="844"/>
      <c r="HN271" s="844"/>
      <c r="HO271" s="844"/>
      <c r="HP271" s="844"/>
      <c r="HQ271" s="844"/>
      <c r="HR271" s="844"/>
      <c r="HS271" s="844"/>
      <c r="HT271" s="844"/>
      <c r="HU271" s="844"/>
      <c r="HV271" s="844"/>
      <c r="HW271" s="844"/>
      <c r="HX271" s="844"/>
      <c r="HY271" s="844"/>
      <c r="HZ271" s="844"/>
      <c r="IA271" s="844"/>
      <c r="IB271" s="844"/>
      <c r="IC271" s="844"/>
      <c r="ID271" s="844"/>
      <c r="IE271" s="844"/>
      <c r="IF271" s="844"/>
      <c r="IG271" s="844"/>
      <c r="IH271" s="844"/>
      <c r="II271" s="844"/>
      <c r="IJ271" s="844"/>
      <c r="IK271" s="844"/>
      <c r="IL271" s="844"/>
      <c r="IM271" s="844"/>
      <c r="IN271" s="844"/>
      <c r="IO271" s="844"/>
      <c r="IP271" s="844"/>
      <c r="IQ271" s="844"/>
      <c r="IR271" s="844"/>
      <c r="IS271" s="844"/>
      <c r="IT271" s="844"/>
      <c r="IU271" s="844"/>
      <c r="IV271" s="844"/>
      <c r="IW271" s="844"/>
      <c r="IX271" s="844"/>
      <c r="IY271" s="844"/>
      <c r="IZ271" s="844"/>
      <c r="JA271" s="844"/>
      <c r="JB271" s="844"/>
      <c r="JC271" s="844"/>
      <c r="JD271" s="844"/>
      <c r="JE271" s="844"/>
      <c r="JF271" s="844"/>
      <c r="JG271" s="844"/>
      <c r="JH271" s="844"/>
      <c r="JI271" s="844"/>
      <c r="JJ271" s="844"/>
      <c r="JK271" s="844"/>
      <c r="JL271" s="844"/>
      <c r="JM271" s="844"/>
      <c r="JN271" s="844"/>
      <c r="JO271" s="844"/>
      <c r="JP271" s="844"/>
      <c r="JQ271" s="844"/>
      <c r="JR271" s="844"/>
      <c r="JS271" s="844"/>
      <c r="JT271" s="844"/>
      <c r="JU271" s="844"/>
      <c r="JV271" s="844"/>
      <c r="JW271" s="844"/>
      <c r="JX271" s="844"/>
      <c r="JY271" s="844"/>
      <c r="JZ271" s="844"/>
      <c r="KA271" s="844"/>
      <c r="KB271" s="844"/>
      <c r="KC271" s="844"/>
      <c r="KD271" s="844"/>
      <c r="KE271" s="844"/>
      <c r="KF271" s="844"/>
      <c r="KG271" s="844"/>
      <c r="KH271" s="844"/>
      <c r="KI271" s="844"/>
      <c r="KJ271" s="844"/>
      <c r="KK271" s="844"/>
      <c r="KL271" s="844"/>
      <c r="KM271" s="844"/>
      <c r="KN271" s="844"/>
      <c r="KO271" s="844"/>
      <c r="KP271" s="844"/>
      <c r="KQ271" s="844"/>
      <c r="KR271" s="844"/>
      <c r="KS271" s="844"/>
      <c r="KT271" s="844"/>
      <c r="KU271" s="844"/>
      <c r="KV271" s="844"/>
      <c r="KW271" s="844"/>
      <c r="KX271" s="844"/>
      <c r="KY271" s="844"/>
      <c r="KZ271" s="844"/>
      <c r="LA271" s="844"/>
      <c r="LB271" s="844"/>
      <c r="LC271" s="844"/>
      <c r="LD271" s="844"/>
      <c r="LE271" s="844"/>
      <c r="LF271" s="844"/>
      <c r="LG271" s="844"/>
      <c r="LH271" s="844"/>
      <c r="LI271" s="844"/>
      <c r="LJ271" s="844"/>
      <c r="LK271" s="844"/>
      <c r="LL271" s="844"/>
      <c r="LM271" s="844"/>
      <c r="LN271" s="844"/>
      <c r="LO271" s="844"/>
      <c r="LP271" s="844"/>
      <c r="LQ271" s="844"/>
      <c r="LR271" s="844"/>
      <c r="LS271" s="844"/>
      <c r="LT271" s="844"/>
      <c r="LU271" s="844"/>
      <c r="LV271" s="844"/>
      <c r="LW271" s="844"/>
      <c r="LX271" s="844"/>
      <c r="LY271" s="844"/>
      <c r="LZ271" s="844"/>
      <c r="MA271" s="844"/>
      <c r="MB271" s="844"/>
      <c r="MC271" s="844"/>
      <c r="MD271" s="844"/>
      <c r="ME271" s="844"/>
      <c r="MF271" s="844"/>
      <c r="MG271" s="844"/>
      <c r="MH271" s="844"/>
      <c r="MI271" s="844"/>
      <c r="MJ271" s="844"/>
      <c r="MK271" s="844"/>
      <c r="ML271" s="844"/>
      <c r="MM271" s="844"/>
      <c r="MN271" s="844"/>
      <c r="MO271" s="844"/>
      <c r="MP271" s="844"/>
      <c r="MQ271" s="844"/>
      <c r="MR271" s="844"/>
      <c r="MS271" s="844"/>
      <c r="MT271" s="844"/>
      <c r="MU271" s="844"/>
      <c r="MV271" s="844"/>
      <c r="MW271" s="844"/>
      <c r="MX271" s="844"/>
      <c r="MY271" s="844"/>
      <c r="MZ271" s="844"/>
      <c r="NA271" s="844"/>
      <c r="NB271" s="844"/>
      <c r="NC271" s="844"/>
      <c r="ND271" s="844"/>
      <c r="NE271" s="844"/>
      <c r="NF271" s="844"/>
      <c r="NG271" s="844"/>
      <c r="NH271" s="844"/>
      <c r="NI271" s="844"/>
      <c r="NJ271" s="844"/>
      <c r="NK271" s="844"/>
      <c r="NL271" s="844"/>
      <c r="NM271" s="844"/>
      <c r="NN271" s="844"/>
      <c r="NO271" s="844"/>
      <c r="NP271" s="844"/>
      <c r="NQ271" s="844"/>
      <c r="NR271" s="844"/>
      <c r="NS271" s="844"/>
      <c r="NT271" s="844"/>
      <c r="NU271" s="844"/>
      <c r="NV271" s="844"/>
      <c r="NW271" s="844"/>
      <c r="NX271" s="844"/>
      <c r="NY271" s="844"/>
      <c r="NZ271" s="844"/>
      <c r="OA271" s="844"/>
      <c r="OB271" s="844"/>
      <c r="OC271" s="844"/>
      <c r="OD271" s="844"/>
      <c r="OE271" s="844"/>
      <c r="OF271" s="844"/>
      <c r="OG271" s="844"/>
      <c r="OH271" s="844"/>
      <c r="OI271" s="844"/>
      <c r="OJ271" s="844"/>
      <c r="OK271" s="844"/>
      <c r="OL271" s="844"/>
      <c r="OM271" s="844"/>
      <c r="ON271" s="844"/>
      <c r="OO271" s="844"/>
      <c r="OP271" s="844"/>
      <c r="OQ271" s="844"/>
      <c r="OR271" s="844"/>
      <c r="OS271" s="844"/>
      <c r="OT271" s="844"/>
      <c r="OU271" s="844"/>
      <c r="OV271" s="844"/>
      <c r="OW271" s="844"/>
      <c r="OX271" s="844"/>
      <c r="OY271" s="844"/>
      <c r="OZ271" s="844"/>
      <c r="PA271" s="844"/>
      <c r="PB271" s="844"/>
      <c r="PC271" s="844"/>
      <c r="PD271" s="844"/>
      <c r="PE271" s="844"/>
      <c r="PF271" s="844"/>
      <c r="PG271" s="844"/>
      <c r="PH271" s="844"/>
      <c r="PI271" s="844"/>
      <c r="PJ271" s="844"/>
      <c r="PK271" s="844"/>
      <c r="PL271" s="844"/>
      <c r="PM271" s="844"/>
      <c r="PN271" s="844"/>
      <c r="PO271" s="844"/>
      <c r="PP271" s="844"/>
      <c r="PQ271" s="844"/>
      <c r="PR271" s="844"/>
      <c r="PS271" s="844"/>
      <c r="PT271" s="844"/>
      <c r="PU271" s="844"/>
      <c r="PV271" s="844"/>
      <c r="PW271" s="844"/>
      <c r="PX271" s="844"/>
      <c r="PY271" s="844"/>
      <c r="PZ271" s="844"/>
      <c r="QA271" s="844"/>
      <c r="QB271" s="844"/>
      <c r="QC271" s="844"/>
      <c r="QD271" s="844"/>
      <c r="QE271" s="844"/>
      <c r="QF271" s="844"/>
      <c r="QG271" s="844"/>
      <c r="QH271" s="844"/>
      <c r="QI271" s="844"/>
      <c r="QJ271" s="844"/>
      <c r="QK271" s="844"/>
      <c r="QL271" s="844"/>
      <c r="QM271" s="844"/>
      <c r="QN271" s="844"/>
      <c r="QO271" s="844"/>
      <c r="QP271" s="844"/>
      <c r="QQ271" s="844"/>
      <c r="QR271" s="844"/>
      <c r="QS271" s="844"/>
      <c r="QT271" s="844"/>
      <c r="QU271" s="844"/>
      <c r="QV271" s="844"/>
      <c r="QW271" s="844"/>
      <c r="QX271" s="844"/>
      <c r="QY271" s="844"/>
      <c r="QZ271" s="844"/>
      <c r="RA271" s="844"/>
      <c r="RB271" s="844"/>
      <c r="RC271" s="844"/>
      <c r="RD271" s="844"/>
      <c r="RE271" s="844"/>
      <c r="RF271" s="844"/>
      <c r="RG271" s="844"/>
      <c r="RH271" s="844"/>
      <c r="RI271" s="844"/>
      <c r="RJ271" s="844"/>
      <c r="RK271" s="844"/>
      <c r="RL271" s="844"/>
      <c r="RM271" s="844"/>
      <c r="RN271" s="844"/>
      <c r="RO271" s="844"/>
      <c r="RP271" s="844"/>
      <c r="RQ271" s="844"/>
      <c r="RR271" s="844"/>
      <c r="RS271" s="844"/>
      <c r="RT271" s="844"/>
      <c r="RU271" s="844"/>
      <c r="RV271" s="844"/>
      <c r="RW271" s="844"/>
      <c r="RX271" s="844"/>
      <c r="RY271" s="844"/>
      <c r="RZ271" s="844"/>
      <c r="SA271" s="844"/>
      <c r="SB271" s="844"/>
      <c r="SC271" s="844"/>
      <c r="SD271" s="844"/>
      <c r="SE271" s="844"/>
      <c r="SF271" s="844"/>
      <c r="SG271" s="844"/>
      <c r="SH271" s="844"/>
      <c r="SI271" s="844"/>
      <c r="SJ271" s="844"/>
      <c r="SK271" s="844"/>
      <c r="SL271" s="844"/>
      <c r="SM271" s="844"/>
      <c r="SN271" s="844"/>
      <c r="SO271" s="844"/>
      <c r="SP271" s="844"/>
      <c r="SQ271" s="844"/>
      <c r="SR271" s="844"/>
      <c r="SS271" s="844"/>
      <c r="ST271" s="844"/>
      <c r="SU271" s="844"/>
      <c r="SV271" s="844"/>
      <c r="SW271" s="844"/>
      <c r="SX271" s="844"/>
      <c r="SY271" s="844"/>
      <c r="SZ271" s="844"/>
      <c r="TA271" s="844"/>
      <c r="TB271" s="844"/>
      <c r="TC271" s="844"/>
      <c r="TD271" s="844"/>
      <c r="TE271" s="844"/>
      <c r="TF271" s="844"/>
      <c r="TG271" s="844"/>
      <c r="TH271" s="844"/>
      <c r="TI271" s="844"/>
      <c r="TJ271" s="844"/>
      <c r="TK271" s="844"/>
      <c r="TL271" s="844"/>
      <c r="TM271" s="844"/>
      <c r="TN271" s="844"/>
      <c r="TO271" s="844"/>
      <c r="TP271" s="844"/>
      <c r="TQ271" s="844"/>
      <c r="TR271" s="844"/>
      <c r="TS271" s="844"/>
      <c r="TT271" s="844"/>
      <c r="TU271" s="844"/>
      <c r="TV271" s="844"/>
      <c r="TW271" s="844"/>
      <c r="TX271" s="844"/>
      <c r="TY271" s="844"/>
      <c r="TZ271" s="844"/>
      <c r="UA271" s="844"/>
      <c r="UB271" s="844"/>
      <c r="UC271" s="844"/>
      <c r="UD271" s="844"/>
      <c r="UE271" s="844"/>
      <c r="UF271" s="844"/>
      <c r="UG271" s="844"/>
      <c r="UH271" s="844"/>
      <c r="UI271" s="844"/>
      <c r="UJ271" s="844"/>
      <c r="UK271" s="844"/>
      <c r="UL271" s="844"/>
      <c r="UM271" s="844"/>
      <c r="UN271" s="844"/>
      <c r="UO271" s="844"/>
      <c r="UP271" s="844"/>
      <c r="UQ271" s="844"/>
      <c r="UR271" s="844"/>
      <c r="US271" s="844"/>
      <c r="UT271" s="844"/>
      <c r="UU271" s="844"/>
      <c r="UV271" s="844"/>
      <c r="UW271" s="844"/>
      <c r="UX271" s="844"/>
      <c r="UY271" s="844"/>
      <c r="UZ271" s="844"/>
      <c r="VA271" s="844"/>
      <c r="VB271" s="844"/>
      <c r="VC271" s="844"/>
      <c r="VD271" s="844"/>
      <c r="VE271" s="844"/>
      <c r="VF271" s="844"/>
      <c r="VG271" s="844"/>
      <c r="VH271" s="844"/>
      <c r="VI271" s="844"/>
      <c r="VJ271" s="844"/>
      <c r="VK271" s="844"/>
      <c r="VL271" s="844"/>
      <c r="VM271" s="844"/>
      <c r="VN271" s="844"/>
      <c r="VO271" s="844"/>
      <c r="VP271" s="844"/>
      <c r="VQ271" s="844"/>
      <c r="VR271" s="844"/>
      <c r="VS271" s="844"/>
      <c r="VT271" s="844"/>
      <c r="VU271" s="844"/>
      <c r="VV271" s="844"/>
      <c r="VW271" s="844"/>
      <c r="VX271" s="844"/>
      <c r="VY271" s="844"/>
      <c r="VZ271" s="844"/>
      <c r="WA271" s="844"/>
      <c r="WB271" s="844"/>
      <c r="WC271" s="844"/>
      <c r="WD271" s="844"/>
      <c r="WE271" s="844"/>
      <c r="WF271" s="844"/>
      <c r="WG271" s="844"/>
      <c r="WH271" s="844"/>
      <c r="WI271" s="844"/>
      <c r="WJ271" s="844"/>
      <c r="WK271" s="844"/>
      <c r="WL271" s="844"/>
      <c r="WM271" s="844"/>
      <c r="WN271" s="844"/>
      <c r="WO271" s="844"/>
      <c r="WP271" s="844"/>
      <c r="WQ271" s="844"/>
      <c r="WR271" s="844"/>
      <c r="WS271" s="844"/>
      <c r="WT271" s="844"/>
      <c r="WU271" s="844"/>
      <c r="WV271" s="844"/>
      <c r="WW271" s="844"/>
      <c r="WX271" s="844"/>
      <c r="WY271" s="844"/>
      <c r="WZ271" s="844"/>
      <c r="XA271" s="844"/>
      <c r="XB271" s="844"/>
      <c r="XC271" s="844"/>
      <c r="XD271" s="844"/>
      <c r="XE271" s="844"/>
      <c r="XF271" s="844"/>
      <c r="XG271" s="844"/>
      <c r="XH271" s="844"/>
      <c r="XI271" s="844"/>
      <c r="XJ271" s="844"/>
      <c r="XK271" s="844"/>
      <c r="XL271" s="844"/>
      <c r="XM271" s="844"/>
      <c r="XN271" s="844"/>
      <c r="XO271" s="844"/>
      <c r="XP271" s="844"/>
      <c r="XQ271" s="844"/>
      <c r="XR271" s="844"/>
      <c r="XS271" s="844"/>
      <c r="XT271" s="844"/>
      <c r="XU271" s="844"/>
      <c r="XV271" s="844"/>
      <c r="XW271" s="844"/>
      <c r="XX271" s="844"/>
      <c r="XY271" s="844"/>
      <c r="XZ271" s="844"/>
      <c r="YA271" s="844"/>
      <c r="YB271" s="844"/>
      <c r="YC271" s="844"/>
      <c r="YD271" s="844"/>
      <c r="YE271" s="844"/>
      <c r="YF271" s="844"/>
      <c r="YG271" s="844"/>
      <c r="YH271" s="844"/>
      <c r="YI271" s="844"/>
      <c r="YJ271" s="844"/>
      <c r="YK271" s="844"/>
      <c r="YL271" s="844"/>
      <c r="YM271" s="844"/>
      <c r="YN271" s="844"/>
      <c r="YO271" s="844"/>
      <c r="YP271" s="844"/>
      <c r="YQ271" s="844"/>
      <c r="YR271" s="844"/>
      <c r="YS271" s="844"/>
      <c r="YT271" s="844"/>
      <c r="YU271" s="844"/>
      <c r="YV271" s="844"/>
      <c r="YW271" s="844"/>
      <c r="YX271" s="844"/>
      <c r="YY271" s="844"/>
      <c r="YZ271" s="844"/>
      <c r="ZA271" s="844"/>
      <c r="ZB271" s="844"/>
      <c r="ZC271" s="844"/>
      <c r="ZD271" s="844"/>
      <c r="ZE271" s="844"/>
      <c r="ZF271" s="844"/>
      <c r="ZG271" s="844"/>
      <c r="ZH271" s="844"/>
      <c r="ZI271" s="844"/>
      <c r="ZJ271" s="844"/>
      <c r="ZK271" s="844"/>
      <c r="ZL271" s="844"/>
      <c r="ZM271" s="844"/>
      <c r="ZN271" s="844"/>
      <c r="ZO271" s="844"/>
      <c r="ZP271" s="844"/>
      <c r="ZQ271" s="844"/>
      <c r="ZR271" s="844"/>
      <c r="ZS271" s="844"/>
      <c r="ZT271" s="844"/>
      <c r="ZU271" s="844"/>
      <c r="ZV271" s="844"/>
      <c r="ZW271" s="844"/>
      <c r="ZX271" s="844"/>
      <c r="ZY271" s="844"/>
      <c r="ZZ271" s="844"/>
      <c r="AAA271" s="844"/>
      <c r="AAB271" s="844"/>
      <c r="AAC271" s="844"/>
      <c r="AAD271" s="844"/>
      <c r="AAE271" s="844"/>
      <c r="AAF271" s="844"/>
      <c r="AAG271" s="844"/>
      <c r="AAH271" s="844"/>
      <c r="AAI271" s="844"/>
      <c r="AAJ271" s="844"/>
      <c r="AAK271" s="844"/>
      <c r="AAL271" s="844"/>
      <c r="AAM271" s="844"/>
      <c r="AAN271" s="844"/>
      <c r="AAO271" s="844"/>
      <c r="AAP271" s="844"/>
      <c r="AAQ271" s="844"/>
      <c r="AAR271" s="844"/>
      <c r="AAS271" s="844"/>
      <c r="AAT271" s="844"/>
      <c r="AAU271" s="844"/>
      <c r="AAV271" s="844"/>
      <c r="AAW271" s="844"/>
      <c r="AAX271" s="844"/>
      <c r="AAY271" s="844"/>
      <c r="AAZ271" s="844"/>
      <c r="ABA271" s="844"/>
      <c r="ABB271" s="844"/>
      <c r="ABC271" s="844"/>
      <c r="ABD271" s="844"/>
      <c r="ABE271" s="844"/>
      <c r="ABF271" s="844"/>
      <c r="ABG271" s="844"/>
      <c r="ABH271" s="844"/>
      <c r="ABI271" s="844"/>
      <c r="ABJ271" s="844"/>
      <c r="ABK271" s="844"/>
      <c r="ABL271" s="844"/>
      <c r="ABM271" s="844"/>
      <c r="ABN271" s="844"/>
      <c r="ABO271" s="844"/>
      <c r="ABP271" s="844"/>
      <c r="ABQ271" s="844"/>
      <c r="ABR271" s="844"/>
      <c r="ABS271" s="844"/>
      <c r="ABT271" s="844"/>
      <c r="ABU271" s="844"/>
      <c r="ABV271" s="844"/>
      <c r="ABW271" s="844"/>
      <c r="ABX271" s="844"/>
      <c r="ABY271" s="844"/>
      <c r="ABZ271" s="844"/>
      <c r="ACA271" s="844"/>
      <c r="ACB271" s="844"/>
      <c r="ACC271" s="844"/>
      <c r="ACD271" s="844"/>
      <c r="ACE271" s="844"/>
      <c r="ACF271" s="844"/>
      <c r="ACG271" s="844"/>
      <c r="ACH271" s="844"/>
      <c r="ACI271" s="844"/>
      <c r="ACJ271" s="844"/>
      <c r="ACK271" s="844"/>
      <c r="ACL271" s="844"/>
      <c r="ACM271" s="844"/>
      <c r="ACN271" s="844"/>
      <c r="ACO271" s="844"/>
      <c r="ACP271" s="844"/>
      <c r="ACQ271" s="844"/>
      <c r="ACR271" s="844"/>
      <c r="ACS271" s="844"/>
      <c r="ACT271" s="844"/>
      <c r="ACU271" s="844"/>
      <c r="ACV271" s="844"/>
      <c r="ACW271" s="844"/>
      <c r="ACX271" s="844"/>
      <c r="ACY271" s="844"/>
      <c r="ACZ271" s="844"/>
      <c r="ADA271" s="844"/>
      <c r="ADB271" s="844"/>
      <c r="ADC271" s="844"/>
      <c r="ADD271" s="844"/>
      <c r="ADE271" s="844"/>
      <c r="ADF271" s="844"/>
      <c r="ADG271" s="844"/>
      <c r="ADH271" s="844"/>
      <c r="ADI271" s="844"/>
      <c r="ADJ271" s="844"/>
      <c r="ADK271" s="844"/>
      <c r="ADL271" s="844"/>
      <c r="ADM271" s="844"/>
      <c r="ADN271" s="844"/>
      <c r="ADO271" s="844"/>
      <c r="ADP271" s="844"/>
      <c r="ADQ271" s="844"/>
      <c r="ADR271" s="844"/>
      <c r="ADS271" s="844"/>
      <c r="ADT271" s="844"/>
      <c r="ADU271" s="844"/>
      <c r="ADV271" s="844"/>
      <c r="ADW271" s="844"/>
      <c r="ADX271" s="844"/>
      <c r="ADY271" s="844"/>
      <c r="ADZ271" s="844"/>
      <c r="AEA271" s="844"/>
      <c r="AEB271" s="844"/>
      <c r="AEC271" s="844"/>
      <c r="AED271" s="844"/>
      <c r="AEE271" s="844"/>
      <c r="AEF271" s="844"/>
      <c r="AEG271" s="844"/>
      <c r="AEH271" s="844"/>
      <c r="AEI271" s="844"/>
      <c r="AEJ271" s="844"/>
      <c r="AEK271" s="844"/>
      <c r="AEL271" s="844"/>
      <c r="AEM271" s="844"/>
      <c r="AEN271" s="844"/>
      <c r="AEO271" s="844"/>
      <c r="AEP271" s="844"/>
      <c r="AEQ271" s="844"/>
      <c r="AER271" s="844"/>
      <c r="AES271" s="844"/>
      <c r="AET271" s="844"/>
      <c r="AEU271" s="844"/>
      <c r="AEV271" s="844"/>
      <c r="AEW271" s="844"/>
      <c r="AEX271" s="844"/>
      <c r="AEY271" s="844"/>
      <c r="AEZ271" s="844"/>
      <c r="AFA271" s="844"/>
      <c r="AFB271" s="844"/>
      <c r="AFC271" s="844"/>
      <c r="AFD271" s="844"/>
      <c r="AFE271" s="844"/>
      <c r="AFF271" s="844"/>
      <c r="AFG271" s="844"/>
      <c r="AFH271" s="844"/>
      <c r="AFI271" s="844"/>
      <c r="AFJ271" s="844"/>
      <c r="AFK271" s="844"/>
      <c r="AFL271" s="844"/>
      <c r="AFM271" s="844"/>
      <c r="AFN271" s="844"/>
      <c r="AFO271" s="844"/>
      <c r="AFP271" s="844"/>
      <c r="AFQ271" s="844"/>
      <c r="AFR271" s="844"/>
      <c r="AFS271" s="844"/>
      <c r="AFT271" s="844"/>
      <c r="AFU271" s="844"/>
      <c r="AFV271" s="844"/>
      <c r="AFW271" s="844"/>
      <c r="AFX271" s="844"/>
      <c r="AFY271" s="844"/>
      <c r="AFZ271" s="844"/>
      <c r="AGA271" s="844"/>
      <c r="AGB271" s="844"/>
      <c r="AGC271" s="844"/>
      <c r="AGD271" s="844"/>
      <c r="AGE271" s="844"/>
      <c r="AGF271" s="844"/>
      <c r="AGG271" s="844"/>
      <c r="AGH271" s="844"/>
      <c r="AGI271" s="844"/>
      <c r="AGJ271" s="844"/>
    </row>
    <row r="272" spans="1:868" s="845" customFormat="1" hidden="1">
      <c r="A272" s="152" t="s">
        <v>150</v>
      </c>
      <c r="B272" s="34" t="s">
        <v>217</v>
      </c>
      <c r="C272" s="40" t="s">
        <v>147</v>
      </c>
      <c r="D272" s="34" t="s">
        <v>147</v>
      </c>
      <c r="E272" s="260">
        <v>2.7E-4</v>
      </c>
      <c r="F272" s="235">
        <v>2</v>
      </c>
      <c r="G272" s="40" t="s">
        <v>218</v>
      </c>
      <c r="H272" s="29">
        <v>1</v>
      </c>
      <c r="I272" s="9"/>
      <c r="J272" s="9">
        <v>1</v>
      </c>
      <c r="K272" s="9">
        <v>3</v>
      </c>
      <c r="L272" s="9">
        <v>3</v>
      </c>
      <c r="M272" s="9">
        <v>3</v>
      </c>
      <c r="N272" s="186">
        <f t="shared" si="14"/>
        <v>1.1181151966036349</v>
      </c>
      <c r="O272" s="160" t="str">
        <f t="shared" si="13"/>
        <v/>
      </c>
      <c r="P272" s="63"/>
      <c r="Q272" s="844"/>
      <c r="R272" s="844"/>
      <c r="S272" s="844"/>
      <c r="T272" s="844"/>
      <c r="U272" s="844"/>
      <c r="V272" s="844"/>
      <c r="W272" s="844"/>
      <c r="X272" s="844"/>
      <c r="Y272" s="844"/>
      <c r="Z272" s="844"/>
      <c r="AA272" s="844"/>
      <c r="AB272" s="844"/>
      <c r="AC272" s="844"/>
      <c r="AD272" s="844"/>
      <c r="AE272" s="844"/>
      <c r="AF272" s="844"/>
      <c r="AG272" s="844"/>
      <c r="AH272" s="844"/>
      <c r="AI272" s="844"/>
      <c r="AJ272" s="844"/>
      <c r="AK272" s="844"/>
      <c r="AL272" s="844"/>
      <c r="AM272" s="844"/>
      <c r="AN272" s="844"/>
      <c r="AO272" s="844"/>
      <c r="AP272" s="844"/>
      <c r="AQ272" s="844"/>
      <c r="AR272" s="844"/>
      <c r="AS272" s="844"/>
      <c r="AT272" s="844"/>
      <c r="AU272" s="844"/>
      <c r="AV272" s="844"/>
      <c r="AW272" s="844"/>
      <c r="AX272" s="844"/>
      <c r="AY272" s="844"/>
      <c r="AZ272" s="844"/>
      <c r="BA272" s="844"/>
      <c r="BB272" s="844"/>
      <c r="BC272" s="844"/>
      <c r="BD272" s="844"/>
      <c r="BE272" s="844"/>
      <c r="BF272" s="844"/>
      <c r="BG272" s="844"/>
      <c r="BH272" s="844"/>
      <c r="BI272" s="844"/>
      <c r="BJ272" s="844"/>
      <c r="BK272" s="844"/>
      <c r="BL272" s="844"/>
      <c r="BM272" s="844"/>
      <c r="BN272" s="844"/>
      <c r="BO272" s="844"/>
      <c r="BP272" s="844"/>
      <c r="BQ272" s="844"/>
      <c r="BR272" s="844"/>
      <c r="BS272" s="844"/>
      <c r="BT272" s="844"/>
      <c r="BU272" s="844"/>
      <c r="BV272" s="844"/>
      <c r="BW272" s="844"/>
      <c r="BX272" s="844"/>
      <c r="BY272" s="844"/>
      <c r="BZ272" s="844"/>
      <c r="CA272" s="844"/>
      <c r="CB272" s="844"/>
      <c r="CC272" s="844"/>
      <c r="CD272" s="844"/>
      <c r="CE272" s="844"/>
      <c r="CF272" s="844"/>
      <c r="CG272" s="844"/>
      <c r="CH272" s="844"/>
      <c r="CI272" s="844"/>
      <c r="CJ272" s="844"/>
      <c r="CK272" s="844"/>
      <c r="CL272" s="844"/>
      <c r="CM272" s="844"/>
      <c r="CN272" s="844"/>
      <c r="CO272" s="844"/>
      <c r="CP272" s="844"/>
      <c r="CQ272" s="844"/>
      <c r="CR272" s="844"/>
      <c r="CS272" s="844"/>
      <c r="CT272" s="844"/>
      <c r="CU272" s="844"/>
      <c r="CV272" s="844"/>
      <c r="CW272" s="844"/>
      <c r="CX272" s="844"/>
      <c r="CY272" s="844"/>
      <c r="CZ272" s="844"/>
      <c r="DA272" s="844"/>
      <c r="DB272" s="844"/>
      <c r="DC272" s="844"/>
      <c r="DD272" s="844"/>
      <c r="DE272" s="844"/>
      <c r="DF272" s="844"/>
      <c r="DG272" s="844"/>
      <c r="DH272" s="844"/>
      <c r="DI272" s="844"/>
      <c r="DJ272" s="844"/>
      <c r="DK272" s="844"/>
      <c r="DL272" s="844"/>
      <c r="DM272" s="844"/>
      <c r="DN272" s="844"/>
      <c r="DO272" s="844"/>
      <c r="DP272" s="844"/>
      <c r="DQ272" s="844"/>
      <c r="DR272" s="844"/>
      <c r="DS272" s="844"/>
      <c r="DT272" s="844"/>
      <c r="DU272" s="844"/>
      <c r="DV272" s="844"/>
      <c r="DW272" s="844"/>
      <c r="DX272" s="844"/>
      <c r="DY272" s="844"/>
      <c r="DZ272" s="844"/>
      <c r="EA272" s="844"/>
      <c r="EB272" s="844"/>
      <c r="EC272" s="844"/>
      <c r="ED272" s="844"/>
      <c r="EE272" s="844"/>
      <c r="EF272" s="844"/>
      <c r="EG272" s="844"/>
      <c r="EH272" s="844"/>
      <c r="EI272" s="844"/>
      <c r="EJ272" s="844"/>
      <c r="EK272" s="844"/>
      <c r="EL272" s="844"/>
      <c r="EM272" s="844"/>
      <c r="EN272" s="844"/>
      <c r="EO272" s="844"/>
      <c r="EP272" s="844"/>
      <c r="EQ272" s="844"/>
      <c r="ER272" s="844"/>
      <c r="ES272" s="844"/>
      <c r="ET272" s="844"/>
      <c r="EU272" s="844"/>
      <c r="EV272" s="844"/>
      <c r="EW272" s="844"/>
      <c r="EX272" s="844"/>
      <c r="EY272" s="844"/>
      <c r="EZ272" s="844"/>
      <c r="FA272" s="844"/>
      <c r="FB272" s="844"/>
      <c r="FC272" s="844"/>
      <c r="FD272" s="844"/>
      <c r="FE272" s="844"/>
      <c r="FF272" s="844"/>
      <c r="FG272" s="844"/>
      <c r="FH272" s="844"/>
      <c r="FI272" s="844"/>
      <c r="FJ272" s="844"/>
      <c r="FK272" s="844"/>
      <c r="FL272" s="844"/>
      <c r="FM272" s="844"/>
      <c r="FN272" s="844"/>
      <c r="FO272" s="844"/>
      <c r="FP272" s="844"/>
      <c r="FQ272" s="844"/>
      <c r="FR272" s="844"/>
      <c r="FS272" s="844"/>
      <c r="FT272" s="844"/>
      <c r="FU272" s="844"/>
      <c r="FV272" s="844"/>
      <c r="FW272" s="844"/>
      <c r="FX272" s="844"/>
      <c r="FY272" s="844"/>
      <c r="FZ272" s="844"/>
      <c r="GA272" s="844"/>
      <c r="GB272" s="844"/>
      <c r="GC272" s="844"/>
      <c r="GD272" s="844"/>
      <c r="GE272" s="844"/>
      <c r="GF272" s="844"/>
      <c r="GG272" s="844"/>
      <c r="GH272" s="844"/>
      <c r="GI272" s="844"/>
      <c r="GJ272" s="844"/>
      <c r="GK272" s="844"/>
      <c r="GL272" s="844"/>
      <c r="GM272" s="844"/>
      <c r="GN272" s="844"/>
      <c r="GO272" s="844"/>
      <c r="GP272" s="844"/>
      <c r="GQ272" s="844"/>
      <c r="GR272" s="844"/>
      <c r="GS272" s="844"/>
      <c r="GT272" s="844"/>
      <c r="GU272" s="844"/>
      <c r="GV272" s="844"/>
      <c r="GW272" s="844"/>
      <c r="GX272" s="844"/>
      <c r="GY272" s="844"/>
      <c r="GZ272" s="844"/>
      <c r="HA272" s="844"/>
      <c r="HB272" s="844"/>
      <c r="HC272" s="844"/>
      <c r="HD272" s="844"/>
      <c r="HE272" s="844"/>
      <c r="HF272" s="844"/>
      <c r="HG272" s="844"/>
      <c r="HH272" s="844"/>
      <c r="HI272" s="844"/>
      <c r="HJ272" s="844"/>
      <c r="HK272" s="844"/>
      <c r="HL272" s="844"/>
      <c r="HM272" s="844"/>
      <c r="HN272" s="844"/>
      <c r="HO272" s="844"/>
      <c r="HP272" s="844"/>
      <c r="HQ272" s="844"/>
      <c r="HR272" s="844"/>
      <c r="HS272" s="844"/>
      <c r="HT272" s="844"/>
      <c r="HU272" s="844"/>
      <c r="HV272" s="844"/>
      <c r="HW272" s="844"/>
      <c r="HX272" s="844"/>
      <c r="HY272" s="844"/>
      <c r="HZ272" s="844"/>
      <c r="IA272" s="844"/>
      <c r="IB272" s="844"/>
      <c r="IC272" s="844"/>
      <c r="ID272" s="844"/>
      <c r="IE272" s="844"/>
      <c r="IF272" s="844"/>
      <c r="IG272" s="844"/>
      <c r="IH272" s="844"/>
      <c r="II272" s="844"/>
      <c r="IJ272" s="844"/>
      <c r="IK272" s="844"/>
      <c r="IL272" s="844"/>
      <c r="IM272" s="844"/>
      <c r="IN272" s="844"/>
      <c r="IO272" s="844"/>
      <c r="IP272" s="844"/>
      <c r="IQ272" s="844"/>
      <c r="IR272" s="844"/>
      <c r="IS272" s="844"/>
      <c r="IT272" s="844"/>
      <c r="IU272" s="844"/>
      <c r="IV272" s="844"/>
      <c r="IW272" s="844"/>
      <c r="IX272" s="844"/>
      <c r="IY272" s="844"/>
      <c r="IZ272" s="844"/>
      <c r="JA272" s="844"/>
      <c r="JB272" s="844"/>
      <c r="JC272" s="844"/>
      <c r="JD272" s="844"/>
      <c r="JE272" s="844"/>
      <c r="JF272" s="844"/>
      <c r="JG272" s="844"/>
      <c r="JH272" s="844"/>
      <c r="JI272" s="844"/>
      <c r="JJ272" s="844"/>
      <c r="JK272" s="844"/>
      <c r="JL272" s="844"/>
      <c r="JM272" s="844"/>
      <c r="JN272" s="844"/>
      <c r="JO272" s="844"/>
      <c r="JP272" s="844"/>
      <c r="JQ272" s="844"/>
      <c r="JR272" s="844"/>
      <c r="JS272" s="844"/>
      <c r="JT272" s="844"/>
      <c r="JU272" s="844"/>
      <c r="JV272" s="844"/>
      <c r="JW272" s="844"/>
      <c r="JX272" s="844"/>
      <c r="JY272" s="844"/>
      <c r="JZ272" s="844"/>
      <c r="KA272" s="844"/>
      <c r="KB272" s="844"/>
      <c r="KC272" s="844"/>
      <c r="KD272" s="844"/>
      <c r="KE272" s="844"/>
      <c r="KF272" s="844"/>
      <c r="KG272" s="844"/>
      <c r="KH272" s="844"/>
      <c r="KI272" s="844"/>
      <c r="KJ272" s="844"/>
      <c r="KK272" s="844"/>
      <c r="KL272" s="844"/>
      <c r="KM272" s="844"/>
      <c r="KN272" s="844"/>
      <c r="KO272" s="844"/>
      <c r="KP272" s="844"/>
      <c r="KQ272" s="844"/>
      <c r="KR272" s="844"/>
      <c r="KS272" s="844"/>
      <c r="KT272" s="844"/>
      <c r="KU272" s="844"/>
      <c r="KV272" s="844"/>
      <c r="KW272" s="844"/>
      <c r="KX272" s="844"/>
      <c r="KY272" s="844"/>
      <c r="KZ272" s="844"/>
      <c r="LA272" s="844"/>
      <c r="LB272" s="844"/>
      <c r="LC272" s="844"/>
      <c r="LD272" s="844"/>
      <c r="LE272" s="844"/>
      <c r="LF272" s="844"/>
      <c r="LG272" s="844"/>
      <c r="LH272" s="844"/>
      <c r="LI272" s="844"/>
      <c r="LJ272" s="844"/>
      <c r="LK272" s="844"/>
      <c r="LL272" s="844"/>
      <c r="LM272" s="844"/>
      <c r="LN272" s="844"/>
      <c r="LO272" s="844"/>
      <c r="LP272" s="844"/>
      <c r="LQ272" s="844"/>
      <c r="LR272" s="844"/>
      <c r="LS272" s="844"/>
      <c r="LT272" s="844"/>
      <c r="LU272" s="844"/>
      <c r="LV272" s="844"/>
      <c r="LW272" s="844"/>
      <c r="LX272" s="844"/>
      <c r="LY272" s="844"/>
      <c r="LZ272" s="844"/>
      <c r="MA272" s="844"/>
      <c r="MB272" s="844"/>
      <c r="MC272" s="844"/>
      <c r="MD272" s="844"/>
      <c r="ME272" s="844"/>
      <c r="MF272" s="844"/>
      <c r="MG272" s="844"/>
      <c r="MH272" s="844"/>
      <c r="MI272" s="844"/>
      <c r="MJ272" s="844"/>
      <c r="MK272" s="844"/>
      <c r="ML272" s="844"/>
      <c r="MM272" s="844"/>
      <c r="MN272" s="844"/>
      <c r="MO272" s="844"/>
      <c r="MP272" s="844"/>
      <c r="MQ272" s="844"/>
      <c r="MR272" s="844"/>
      <c r="MS272" s="844"/>
      <c r="MT272" s="844"/>
      <c r="MU272" s="844"/>
      <c r="MV272" s="844"/>
      <c r="MW272" s="844"/>
      <c r="MX272" s="844"/>
      <c r="MY272" s="844"/>
      <c r="MZ272" s="844"/>
      <c r="NA272" s="844"/>
      <c r="NB272" s="844"/>
      <c r="NC272" s="844"/>
      <c r="ND272" s="844"/>
      <c r="NE272" s="844"/>
      <c r="NF272" s="844"/>
      <c r="NG272" s="844"/>
      <c r="NH272" s="844"/>
      <c r="NI272" s="844"/>
      <c r="NJ272" s="844"/>
      <c r="NK272" s="844"/>
      <c r="NL272" s="844"/>
      <c r="NM272" s="844"/>
      <c r="NN272" s="844"/>
      <c r="NO272" s="844"/>
      <c r="NP272" s="844"/>
      <c r="NQ272" s="844"/>
      <c r="NR272" s="844"/>
      <c r="NS272" s="844"/>
      <c r="NT272" s="844"/>
      <c r="NU272" s="844"/>
      <c r="NV272" s="844"/>
      <c r="NW272" s="844"/>
      <c r="NX272" s="844"/>
      <c r="NY272" s="844"/>
      <c r="NZ272" s="844"/>
      <c r="OA272" s="844"/>
      <c r="OB272" s="844"/>
      <c r="OC272" s="844"/>
      <c r="OD272" s="844"/>
      <c r="OE272" s="844"/>
      <c r="OF272" s="844"/>
      <c r="OG272" s="844"/>
      <c r="OH272" s="844"/>
      <c r="OI272" s="844"/>
      <c r="OJ272" s="844"/>
      <c r="OK272" s="844"/>
      <c r="OL272" s="844"/>
      <c r="OM272" s="844"/>
      <c r="ON272" s="844"/>
      <c r="OO272" s="844"/>
      <c r="OP272" s="844"/>
      <c r="OQ272" s="844"/>
      <c r="OR272" s="844"/>
      <c r="OS272" s="844"/>
      <c r="OT272" s="844"/>
      <c r="OU272" s="844"/>
      <c r="OV272" s="844"/>
      <c r="OW272" s="844"/>
      <c r="OX272" s="844"/>
      <c r="OY272" s="844"/>
      <c r="OZ272" s="844"/>
      <c r="PA272" s="844"/>
      <c r="PB272" s="844"/>
      <c r="PC272" s="844"/>
      <c r="PD272" s="844"/>
      <c r="PE272" s="844"/>
      <c r="PF272" s="844"/>
      <c r="PG272" s="844"/>
      <c r="PH272" s="844"/>
      <c r="PI272" s="844"/>
      <c r="PJ272" s="844"/>
      <c r="PK272" s="844"/>
      <c r="PL272" s="844"/>
      <c r="PM272" s="844"/>
      <c r="PN272" s="844"/>
      <c r="PO272" s="844"/>
      <c r="PP272" s="844"/>
      <c r="PQ272" s="844"/>
      <c r="PR272" s="844"/>
      <c r="PS272" s="844"/>
      <c r="PT272" s="844"/>
      <c r="PU272" s="844"/>
      <c r="PV272" s="844"/>
      <c r="PW272" s="844"/>
      <c r="PX272" s="844"/>
      <c r="PY272" s="844"/>
      <c r="PZ272" s="844"/>
      <c r="QA272" s="844"/>
      <c r="QB272" s="844"/>
      <c r="QC272" s="844"/>
      <c r="QD272" s="844"/>
      <c r="QE272" s="844"/>
      <c r="QF272" s="844"/>
      <c r="QG272" s="844"/>
      <c r="QH272" s="844"/>
      <c r="QI272" s="844"/>
      <c r="QJ272" s="844"/>
      <c r="QK272" s="844"/>
      <c r="QL272" s="844"/>
      <c r="QM272" s="844"/>
      <c r="QN272" s="844"/>
      <c r="QO272" s="844"/>
      <c r="QP272" s="844"/>
      <c r="QQ272" s="844"/>
      <c r="QR272" s="844"/>
      <c r="QS272" s="844"/>
      <c r="QT272" s="844"/>
      <c r="QU272" s="844"/>
      <c r="QV272" s="844"/>
      <c r="QW272" s="844"/>
      <c r="QX272" s="844"/>
      <c r="QY272" s="844"/>
      <c r="QZ272" s="844"/>
      <c r="RA272" s="844"/>
      <c r="RB272" s="844"/>
      <c r="RC272" s="844"/>
      <c r="RD272" s="844"/>
      <c r="RE272" s="844"/>
      <c r="RF272" s="844"/>
      <c r="RG272" s="844"/>
      <c r="RH272" s="844"/>
      <c r="RI272" s="844"/>
      <c r="RJ272" s="844"/>
      <c r="RK272" s="844"/>
      <c r="RL272" s="844"/>
      <c r="RM272" s="844"/>
      <c r="RN272" s="844"/>
      <c r="RO272" s="844"/>
      <c r="RP272" s="844"/>
      <c r="RQ272" s="844"/>
      <c r="RR272" s="844"/>
      <c r="RS272" s="844"/>
      <c r="RT272" s="844"/>
      <c r="RU272" s="844"/>
      <c r="RV272" s="844"/>
      <c r="RW272" s="844"/>
      <c r="RX272" s="844"/>
      <c r="RY272" s="844"/>
      <c r="RZ272" s="844"/>
      <c r="SA272" s="844"/>
      <c r="SB272" s="844"/>
      <c r="SC272" s="844"/>
      <c r="SD272" s="844"/>
      <c r="SE272" s="844"/>
      <c r="SF272" s="844"/>
      <c r="SG272" s="844"/>
      <c r="SH272" s="844"/>
      <c r="SI272" s="844"/>
      <c r="SJ272" s="844"/>
      <c r="SK272" s="844"/>
      <c r="SL272" s="844"/>
      <c r="SM272" s="844"/>
      <c r="SN272" s="844"/>
      <c r="SO272" s="844"/>
      <c r="SP272" s="844"/>
      <c r="SQ272" s="844"/>
      <c r="SR272" s="844"/>
      <c r="SS272" s="844"/>
      <c r="ST272" s="844"/>
      <c r="SU272" s="844"/>
      <c r="SV272" s="844"/>
      <c r="SW272" s="844"/>
      <c r="SX272" s="844"/>
      <c r="SY272" s="844"/>
      <c r="SZ272" s="844"/>
      <c r="TA272" s="844"/>
      <c r="TB272" s="844"/>
      <c r="TC272" s="844"/>
      <c r="TD272" s="844"/>
      <c r="TE272" s="844"/>
      <c r="TF272" s="844"/>
      <c r="TG272" s="844"/>
      <c r="TH272" s="844"/>
      <c r="TI272" s="844"/>
      <c r="TJ272" s="844"/>
      <c r="TK272" s="844"/>
      <c r="TL272" s="844"/>
      <c r="TM272" s="844"/>
      <c r="TN272" s="844"/>
      <c r="TO272" s="844"/>
      <c r="TP272" s="844"/>
      <c r="TQ272" s="844"/>
      <c r="TR272" s="844"/>
      <c r="TS272" s="844"/>
      <c r="TT272" s="844"/>
      <c r="TU272" s="844"/>
      <c r="TV272" s="844"/>
      <c r="TW272" s="844"/>
      <c r="TX272" s="844"/>
      <c r="TY272" s="844"/>
      <c r="TZ272" s="844"/>
      <c r="UA272" s="844"/>
      <c r="UB272" s="844"/>
      <c r="UC272" s="844"/>
      <c r="UD272" s="844"/>
      <c r="UE272" s="844"/>
      <c r="UF272" s="844"/>
      <c r="UG272" s="844"/>
      <c r="UH272" s="844"/>
      <c r="UI272" s="844"/>
      <c r="UJ272" s="844"/>
      <c r="UK272" s="844"/>
      <c r="UL272" s="844"/>
      <c r="UM272" s="844"/>
      <c r="UN272" s="844"/>
      <c r="UO272" s="844"/>
      <c r="UP272" s="844"/>
      <c r="UQ272" s="844"/>
      <c r="UR272" s="844"/>
      <c r="US272" s="844"/>
      <c r="UT272" s="844"/>
      <c r="UU272" s="844"/>
      <c r="UV272" s="844"/>
      <c r="UW272" s="844"/>
      <c r="UX272" s="844"/>
      <c r="UY272" s="844"/>
      <c r="UZ272" s="844"/>
      <c r="VA272" s="844"/>
      <c r="VB272" s="844"/>
      <c r="VC272" s="844"/>
      <c r="VD272" s="844"/>
      <c r="VE272" s="844"/>
      <c r="VF272" s="844"/>
      <c r="VG272" s="844"/>
      <c r="VH272" s="844"/>
      <c r="VI272" s="844"/>
      <c r="VJ272" s="844"/>
      <c r="VK272" s="844"/>
      <c r="VL272" s="844"/>
      <c r="VM272" s="844"/>
      <c r="VN272" s="844"/>
      <c r="VO272" s="844"/>
      <c r="VP272" s="844"/>
      <c r="VQ272" s="844"/>
      <c r="VR272" s="844"/>
      <c r="VS272" s="844"/>
      <c r="VT272" s="844"/>
      <c r="VU272" s="844"/>
      <c r="VV272" s="844"/>
      <c r="VW272" s="844"/>
      <c r="VX272" s="844"/>
      <c r="VY272" s="844"/>
      <c r="VZ272" s="844"/>
      <c r="WA272" s="844"/>
      <c r="WB272" s="844"/>
      <c r="WC272" s="844"/>
      <c r="WD272" s="844"/>
      <c r="WE272" s="844"/>
      <c r="WF272" s="844"/>
      <c r="WG272" s="844"/>
      <c r="WH272" s="844"/>
      <c r="WI272" s="844"/>
      <c r="WJ272" s="844"/>
      <c r="WK272" s="844"/>
      <c r="WL272" s="844"/>
      <c r="WM272" s="844"/>
      <c r="WN272" s="844"/>
      <c r="WO272" s="844"/>
      <c r="WP272" s="844"/>
      <c r="WQ272" s="844"/>
      <c r="WR272" s="844"/>
      <c r="WS272" s="844"/>
      <c r="WT272" s="844"/>
      <c r="WU272" s="844"/>
      <c r="WV272" s="844"/>
      <c r="WW272" s="844"/>
      <c r="WX272" s="844"/>
      <c r="WY272" s="844"/>
      <c r="WZ272" s="844"/>
      <c r="XA272" s="844"/>
      <c r="XB272" s="844"/>
      <c r="XC272" s="844"/>
      <c r="XD272" s="844"/>
      <c r="XE272" s="844"/>
      <c r="XF272" s="844"/>
      <c r="XG272" s="844"/>
      <c r="XH272" s="844"/>
      <c r="XI272" s="844"/>
      <c r="XJ272" s="844"/>
      <c r="XK272" s="844"/>
      <c r="XL272" s="844"/>
      <c r="XM272" s="844"/>
      <c r="XN272" s="844"/>
      <c r="XO272" s="844"/>
      <c r="XP272" s="844"/>
      <c r="XQ272" s="844"/>
      <c r="XR272" s="844"/>
      <c r="XS272" s="844"/>
      <c r="XT272" s="844"/>
      <c r="XU272" s="844"/>
      <c r="XV272" s="844"/>
      <c r="XW272" s="844"/>
      <c r="XX272" s="844"/>
      <c r="XY272" s="844"/>
      <c r="XZ272" s="844"/>
      <c r="YA272" s="844"/>
      <c r="YB272" s="844"/>
      <c r="YC272" s="844"/>
      <c r="YD272" s="844"/>
      <c r="YE272" s="844"/>
      <c r="YF272" s="844"/>
      <c r="YG272" s="844"/>
      <c r="YH272" s="844"/>
      <c r="YI272" s="844"/>
      <c r="YJ272" s="844"/>
      <c r="YK272" s="844"/>
      <c r="YL272" s="844"/>
      <c r="YM272" s="844"/>
      <c r="YN272" s="844"/>
      <c r="YO272" s="844"/>
      <c r="YP272" s="844"/>
      <c r="YQ272" s="844"/>
      <c r="YR272" s="844"/>
      <c r="YS272" s="844"/>
      <c r="YT272" s="844"/>
      <c r="YU272" s="844"/>
      <c r="YV272" s="844"/>
      <c r="YW272" s="844"/>
      <c r="YX272" s="844"/>
      <c r="YY272" s="844"/>
      <c r="YZ272" s="844"/>
      <c r="ZA272" s="844"/>
      <c r="ZB272" s="844"/>
      <c r="ZC272" s="844"/>
      <c r="ZD272" s="844"/>
      <c r="ZE272" s="844"/>
      <c r="ZF272" s="844"/>
      <c r="ZG272" s="844"/>
      <c r="ZH272" s="844"/>
      <c r="ZI272" s="844"/>
      <c r="ZJ272" s="844"/>
      <c r="ZK272" s="844"/>
      <c r="ZL272" s="844"/>
      <c r="ZM272" s="844"/>
      <c r="ZN272" s="844"/>
      <c r="ZO272" s="844"/>
      <c r="ZP272" s="844"/>
      <c r="ZQ272" s="844"/>
      <c r="ZR272" s="844"/>
      <c r="ZS272" s="844"/>
      <c r="ZT272" s="844"/>
      <c r="ZU272" s="844"/>
      <c r="ZV272" s="844"/>
      <c r="ZW272" s="844"/>
      <c r="ZX272" s="844"/>
      <c r="ZY272" s="844"/>
      <c r="ZZ272" s="844"/>
      <c r="AAA272" s="844"/>
      <c r="AAB272" s="844"/>
      <c r="AAC272" s="844"/>
      <c r="AAD272" s="844"/>
      <c r="AAE272" s="844"/>
      <c r="AAF272" s="844"/>
      <c r="AAG272" s="844"/>
      <c r="AAH272" s="844"/>
      <c r="AAI272" s="844"/>
      <c r="AAJ272" s="844"/>
      <c r="AAK272" s="844"/>
      <c r="AAL272" s="844"/>
      <c r="AAM272" s="844"/>
      <c r="AAN272" s="844"/>
      <c r="AAO272" s="844"/>
      <c r="AAP272" s="844"/>
      <c r="AAQ272" s="844"/>
      <c r="AAR272" s="844"/>
      <c r="AAS272" s="844"/>
      <c r="AAT272" s="844"/>
      <c r="AAU272" s="844"/>
      <c r="AAV272" s="844"/>
      <c r="AAW272" s="844"/>
      <c r="AAX272" s="844"/>
      <c r="AAY272" s="844"/>
      <c r="AAZ272" s="844"/>
      <c r="ABA272" s="844"/>
      <c r="ABB272" s="844"/>
      <c r="ABC272" s="844"/>
      <c r="ABD272" s="844"/>
      <c r="ABE272" s="844"/>
      <c r="ABF272" s="844"/>
      <c r="ABG272" s="844"/>
      <c r="ABH272" s="844"/>
      <c r="ABI272" s="844"/>
      <c r="ABJ272" s="844"/>
      <c r="ABK272" s="844"/>
      <c r="ABL272" s="844"/>
      <c r="ABM272" s="844"/>
      <c r="ABN272" s="844"/>
      <c r="ABO272" s="844"/>
      <c r="ABP272" s="844"/>
      <c r="ABQ272" s="844"/>
      <c r="ABR272" s="844"/>
      <c r="ABS272" s="844"/>
      <c r="ABT272" s="844"/>
      <c r="ABU272" s="844"/>
      <c r="ABV272" s="844"/>
      <c r="ABW272" s="844"/>
      <c r="ABX272" s="844"/>
      <c r="ABY272" s="844"/>
      <c r="ABZ272" s="844"/>
      <c r="ACA272" s="844"/>
      <c r="ACB272" s="844"/>
      <c r="ACC272" s="844"/>
      <c r="ACD272" s="844"/>
      <c r="ACE272" s="844"/>
      <c r="ACF272" s="844"/>
      <c r="ACG272" s="844"/>
      <c r="ACH272" s="844"/>
      <c r="ACI272" s="844"/>
      <c r="ACJ272" s="844"/>
      <c r="ACK272" s="844"/>
      <c r="ACL272" s="844"/>
      <c r="ACM272" s="844"/>
      <c r="ACN272" s="844"/>
      <c r="ACO272" s="844"/>
      <c r="ACP272" s="844"/>
      <c r="ACQ272" s="844"/>
      <c r="ACR272" s="844"/>
      <c r="ACS272" s="844"/>
      <c r="ACT272" s="844"/>
      <c r="ACU272" s="844"/>
      <c r="ACV272" s="844"/>
      <c r="ACW272" s="844"/>
      <c r="ACX272" s="844"/>
      <c r="ACY272" s="844"/>
      <c r="ACZ272" s="844"/>
      <c r="ADA272" s="844"/>
      <c r="ADB272" s="844"/>
      <c r="ADC272" s="844"/>
      <c r="ADD272" s="844"/>
      <c r="ADE272" s="844"/>
      <c r="ADF272" s="844"/>
      <c r="ADG272" s="844"/>
      <c r="ADH272" s="844"/>
      <c r="ADI272" s="844"/>
      <c r="ADJ272" s="844"/>
      <c r="ADK272" s="844"/>
      <c r="ADL272" s="844"/>
      <c r="ADM272" s="844"/>
      <c r="ADN272" s="844"/>
      <c r="ADO272" s="844"/>
      <c r="ADP272" s="844"/>
      <c r="ADQ272" s="844"/>
      <c r="ADR272" s="844"/>
      <c r="ADS272" s="844"/>
      <c r="ADT272" s="844"/>
      <c r="ADU272" s="844"/>
      <c r="ADV272" s="844"/>
      <c r="ADW272" s="844"/>
      <c r="ADX272" s="844"/>
      <c r="ADY272" s="844"/>
      <c r="ADZ272" s="844"/>
      <c r="AEA272" s="844"/>
      <c r="AEB272" s="844"/>
      <c r="AEC272" s="844"/>
      <c r="AED272" s="844"/>
      <c r="AEE272" s="844"/>
      <c r="AEF272" s="844"/>
      <c r="AEG272" s="844"/>
      <c r="AEH272" s="844"/>
      <c r="AEI272" s="844"/>
      <c r="AEJ272" s="844"/>
      <c r="AEK272" s="844"/>
      <c r="AEL272" s="844"/>
      <c r="AEM272" s="844"/>
      <c r="AEN272" s="844"/>
      <c r="AEO272" s="844"/>
      <c r="AEP272" s="844"/>
      <c r="AEQ272" s="844"/>
      <c r="AER272" s="844"/>
      <c r="AES272" s="844"/>
      <c r="AET272" s="844"/>
      <c r="AEU272" s="844"/>
      <c r="AEV272" s="844"/>
      <c r="AEW272" s="844"/>
      <c r="AEX272" s="844"/>
      <c r="AEY272" s="844"/>
      <c r="AEZ272" s="844"/>
      <c r="AFA272" s="844"/>
      <c r="AFB272" s="844"/>
      <c r="AFC272" s="844"/>
      <c r="AFD272" s="844"/>
      <c r="AFE272" s="844"/>
      <c r="AFF272" s="844"/>
      <c r="AFG272" s="844"/>
      <c r="AFH272" s="844"/>
      <c r="AFI272" s="844"/>
      <c r="AFJ272" s="844"/>
      <c r="AFK272" s="844"/>
      <c r="AFL272" s="844"/>
      <c r="AFM272" s="844"/>
      <c r="AFN272" s="844"/>
      <c r="AFO272" s="844"/>
      <c r="AFP272" s="844"/>
      <c r="AFQ272" s="844"/>
      <c r="AFR272" s="844"/>
      <c r="AFS272" s="844"/>
      <c r="AFT272" s="844"/>
      <c r="AFU272" s="844"/>
      <c r="AFV272" s="844"/>
      <c r="AFW272" s="844"/>
      <c r="AFX272" s="844"/>
      <c r="AFY272" s="844"/>
      <c r="AFZ272" s="844"/>
      <c r="AGA272" s="844"/>
      <c r="AGB272" s="844"/>
      <c r="AGC272" s="844"/>
      <c r="AGD272" s="844"/>
      <c r="AGE272" s="844"/>
      <c r="AGF272" s="844"/>
      <c r="AGG272" s="844"/>
      <c r="AGH272" s="844"/>
      <c r="AGI272" s="844"/>
      <c r="AGJ272" s="844"/>
    </row>
    <row r="273" spans="1:868" s="845" customFormat="1" hidden="1">
      <c r="A273" s="152" t="str">
        <f>Agriculture!A132</f>
        <v>Agricultural pipes (discarded)</v>
      </c>
      <c r="B273" s="34" t="str">
        <f>Agriculture!B132</f>
        <v>Dumping</v>
      </c>
      <c r="C273" s="40" t="str">
        <f>Agriculture!C132</f>
        <v>any</v>
      </c>
      <c r="D273" s="34" t="str">
        <f>Agriculture!D132</f>
        <v>any</v>
      </c>
      <c r="E273" s="243">
        <f>Agriculture!E132</f>
        <v>2.9157667386609074E-4</v>
      </c>
      <c r="F273" s="235">
        <f>Agriculture!F132</f>
        <v>2</v>
      </c>
      <c r="G273" s="40" t="str">
        <f>Agriculture!G132</f>
        <v>SI Kawecki and Nowack, 2019</v>
      </c>
      <c r="H273" s="29">
        <v>2</v>
      </c>
      <c r="I273" s="9">
        <v>2</v>
      </c>
      <c r="J273" s="9">
        <v>1</v>
      </c>
      <c r="K273" s="9">
        <v>3</v>
      </c>
      <c r="L273" s="9">
        <v>3</v>
      </c>
      <c r="M273" s="9">
        <v>3</v>
      </c>
      <c r="N273" s="186">
        <f t="shared" si="14"/>
        <v>1.123005955058592</v>
      </c>
      <c r="O273" s="160">
        <f t="shared" si="13"/>
        <v>1.123005955058592</v>
      </c>
      <c r="P273" s="63" t="str">
        <f>Agriculture!P132</f>
        <v>Normalized (See Agriculture sheet)</v>
      </c>
      <c r="Q273" s="844"/>
      <c r="R273" s="844"/>
      <c r="S273" s="844"/>
      <c r="T273" s="844"/>
      <c r="U273" s="844"/>
      <c r="V273" s="844"/>
      <c r="W273" s="844"/>
      <c r="X273" s="844"/>
      <c r="Y273" s="844"/>
      <c r="Z273" s="844"/>
      <c r="AA273" s="844"/>
      <c r="AB273" s="844"/>
      <c r="AC273" s="844"/>
      <c r="AD273" s="844"/>
      <c r="AE273" s="844"/>
      <c r="AF273" s="844"/>
      <c r="AG273" s="844"/>
      <c r="AH273" s="844"/>
      <c r="AI273" s="844"/>
      <c r="AJ273" s="844"/>
      <c r="AK273" s="844"/>
      <c r="AL273" s="844"/>
      <c r="AM273" s="844"/>
      <c r="AN273" s="844"/>
      <c r="AO273" s="844"/>
      <c r="AP273" s="844"/>
      <c r="AQ273" s="844"/>
      <c r="AR273" s="844"/>
      <c r="AS273" s="844"/>
      <c r="AT273" s="844"/>
      <c r="AU273" s="844"/>
      <c r="AV273" s="844"/>
      <c r="AW273" s="844"/>
      <c r="AX273" s="844"/>
      <c r="AY273" s="844"/>
      <c r="AZ273" s="844"/>
      <c r="BA273" s="844"/>
      <c r="BB273" s="844"/>
      <c r="BC273" s="844"/>
      <c r="BD273" s="844"/>
      <c r="BE273" s="844"/>
      <c r="BF273" s="844"/>
      <c r="BG273" s="844"/>
      <c r="BH273" s="844"/>
      <c r="BI273" s="844"/>
      <c r="BJ273" s="844"/>
      <c r="BK273" s="844"/>
      <c r="BL273" s="844"/>
      <c r="BM273" s="844"/>
      <c r="BN273" s="844"/>
      <c r="BO273" s="844"/>
      <c r="BP273" s="844"/>
      <c r="BQ273" s="844"/>
      <c r="BR273" s="844"/>
      <c r="BS273" s="844"/>
      <c r="BT273" s="844"/>
      <c r="BU273" s="844"/>
      <c r="BV273" s="844"/>
      <c r="BW273" s="844"/>
      <c r="BX273" s="844"/>
      <c r="BY273" s="844"/>
      <c r="BZ273" s="844"/>
      <c r="CA273" s="844"/>
      <c r="CB273" s="844"/>
      <c r="CC273" s="844"/>
      <c r="CD273" s="844"/>
      <c r="CE273" s="844"/>
      <c r="CF273" s="844"/>
      <c r="CG273" s="844"/>
      <c r="CH273" s="844"/>
      <c r="CI273" s="844"/>
      <c r="CJ273" s="844"/>
      <c r="CK273" s="844"/>
      <c r="CL273" s="844"/>
      <c r="CM273" s="844"/>
      <c r="CN273" s="844"/>
      <c r="CO273" s="844"/>
      <c r="CP273" s="844"/>
      <c r="CQ273" s="844"/>
      <c r="CR273" s="844"/>
      <c r="CS273" s="844"/>
      <c r="CT273" s="844"/>
      <c r="CU273" s="844"/>
      <c r="CV273" s="844"/>
      <c r="CW273" s="844"/>
      <c r="CX273" s="844"/>
      <c r="CY273" s="844"/>
      <c r="CZ273" s="844"/>
      <c r="DA273" s="844"/>
      <c r="DB273" s="844"/>
      <c r="DC273" s="844"/>
      <c r="DD273" s="844"/>
      <c r="DE273" s="844"/>
      <c r="DF273" s="844"/>
      <c r="DG273" s="844"/>
      <c r="DH273" s="844"/>
      <c r="DI273" s="844"/>
      <c r="DJ273" s="844"/>
      <c r="DK273" s="844"/>
      <c r="DL273" s="844"/>
      <c r="DM273" s="844"/>
      <c r="DN273" s="844"/>
      <c r="DO273" s="844"/>
      <c r="DP273" s="844"/>
      <c r="DQ273" s="844"/>
      <c r="DR273" s="844"/>
      <c r="DS273" s="844"/>
      <c r="DT273" s="844"/>
      <c r="DU273" s="844"/>
      <c r="DV273" s="844"/>
      <c r="DW273" s="844"/>
      <c r="DX273" s="844"/>
      <c r="DY273" s="844"/>
      <c r="DZ273" s="844"/>
      <c r="EA273" s="844"/>
      <c r="EB273" s="844"/>
      <c r="EC273" s="844"/>
      <c r="ED273" s="844"/>
      <c r="EE273" s="844"/>
      <c r="EF273" s="844"/>
      <c r="EG273" s="844"/>
      <c r="EH273" s="844"/>
      <c r="EI273" s="844"/>
      <c r="EJ273" s="844"/>
      <c r="EK273" s="844"/>
      <c r="EL273" s="844"/>
      <c r="EM273" s="844"/>
      <c r="EN273" s="844"/>
      <c r="EO273" s="844"/>
      <c r="EP273" s="844"/>
      <c r="EQ273" s="844"/>
      <c r="ER273" s="844"/>
      <c r="ES273" s="844"/>
      <c r="ET273" s="844"/>
      <c r="EU273" s="844"/>
      <c r="EV273" s="844"/>
      <c r="EW273" s="844"/>
      <c r="EX273" s="844"/>
      <c r="EY273" s="844"/>
      <c r="EZ273" s="844"/>
      <c r="FA273" s="844"/>
      <c r="FB273" s="844"/>
      <c r="FC273" s="844"/>
      <c r="FD273" s="844"/>
      <c r="FE273" s="844"/>
      <c r="FF273" s="844"/>
      <c r="FG273" s="844"/>
      <c r="FH273" s="844"/>
      <c r="FI273" s="844"/>
      <c r="FJ273" s="844"/>
      <c r="FK273" s="844"/>
      <c r="FL273" s="844"/>
      <c r="FM273" s="844"/>
      <c r="FN273" s="844"/>
      <c r="FO273" s="844"/>
      <c r="FP273" s="844"/>
      <c r="FQ273" s="844"/>
      <c r="FR273" s="844"/>
      <c r="FS273" s="844"/>
      <c r="FT273" s="844"/>
      <c r="FU273" s="844"/>
      <c r="FV273" s="844"/>
      <c r="FW273" s="844"/>
      <c r="FX273" s="844"/>
      <c r="FY273" s="844"/>
      <c r="FZ273" s="844"/>
      <c r="GA273" s="844"/>
      <c r="GB273" s="844"/>
      <c r="GC273" s="844"/>
      <c r="GD273" s="844"/>
      <c r="GE273" s="844"/>
      <c r="GF273" s="844"/>
      <c r="GG273" s="844"/>
      <c r="GH273" s="844"/>
      <c r="GI273" s="844"/>
      <c r="GJ273" s="844"/>
      <c r="GK273" s="844"/>
      <c r="GL273" s="844"/>
      <c r="GM273" s="844"/>
      <c r="GN273" s="844"/>
      <c r="GO273" s="844"/>
      <c r="GP273" s="844"/>
      <c r="GQ273" s="844"/>
      <c r="GR273" s="844"/>
      <c r="GS273" s="844"/>
      <c r="GT273" s="844"/>
      <c r="GU273" s="844"/>
      <c r="GV273" s="844"/>
      <c r="GW273" s="844"/>
      <c r="GX273" s="844"/>
      <c r="GY273" s="844"/>
      <c r="GZ273" s="844"/>
      <c r="HA273" s="844"/>
      <c r="HB273" s="844"/>
      <c r="HC273" s="844"/>
      <c r="HD273" s="844"/>
      <c r="HE273" s="844"/>
      <c r="HF273" s="844"/>
      <c r="HG273" s="844"/>
      <c r="HH273" s="844"/>
      <c r="HI273" s="844"/>
      <c r="HJ273" s="844"/>
      <c r="HK273" s="844"/>
      <c r="HL273" s="844"/>
      <c r="HM273" s="844"/>
      <c r="HN273" s="844"/>
      <c r="HO273" s="844"/>
      <c r="HP273" s="844"/>
      <c r="HQ273" s="844"/>
      <c r="HR273" s="844"/>
      <c r="HS273" s="844"/>
      <c r="HT273" s="844"/>
      <c r="HU273" s="844"/>
      <c r="HV273" s="844"/>
      <c r="HW273" s="844"/>
      <c r="HX273" s="844"/>
      <c r="HY273" s="844"/>
      <c r="HZ273" s="844"/>
      <c r="IA273" s="844"/>
      <c r="IB273" s="844"/>
      <c r="IC273" s="844"/>
      <c r="ID273" s="844"/>
      <c r="IE273" s="844"/>
      <c r="IF273" s="844"/>
      <c r="IG273" s="844"/>
      <c r="IH273" s="844"/>
      <c r="II273" s="844"/>
      <c r="IJ273" s="844"/>
      <c r="IK273" s="844"/>
      <c r="IL273" s="844"/>
      <c r="IM273" s="844"/>
      <c r="IN273" s="844"/>
      <c r="IO273" s="844"/>
      <c r="IP273" s="844"/>
      <c r="IQ273" s="844"/>
      <c r="IR273" s="844"/>
      <c r="IS273" s="844"/>
      <c r="IT273" s="844"/>
      <c r="IU273" s="844"/>
      <c r="IV273" s="844"/>
      <c r="IW273" s="844"/>
      <c r="IX273" s="844"/>
      <c r="IY273" s="844"/>
      <c r="IZ273" s="844"/>
      <c r="JA273" s="844"/>
      <c r="JB273" s="844"/>
      <c r="JC273" s="844"/>
      <c r="JD273" s="844"/>
      <c r="JE273" s="844"/>
      <c r="JF273" s="844"/>
      <c r="JG273" s="844"/>
      <c r="JH273" s="844"/>
      <c r="JI273" s="844"/>
      <c r="JJ273" s="844"/>
      <c r="JK273" s="844"/>
      <c r="JL273" s="844"/>
      <c r="JM273" s="844"/>
      <c r="JN273" s="844"/>
      <c r="JO273" s="844"/>
      <c r="JP273" s="844"/>
      <c r="JQ273" s="844"/>
      <c r="JR273" s="844"/>
      <c r="JS273" s="844"/>
      <c r="JT273" s="844"/>
      <c r="JU273" s="844"/>
      <c r="JV273" s="844"/>
      <c r="JW273" s="844"/>
      <c r="JX273" s="844"/>
      <c r="JY273" s="844"/>
      <c r="JZ273" s="844"/>
      <c r="KA273" s="844"/>
      <c r="KB273" s="844"/>
      <c r="KC273" s="844"/>
      <c r="KD273" s="844"/>
      <c r="KE273" s="844"/>
      <c r="KF273" s="844"/>
      <c r="KG273" s="844"/>
      <c r="KH273" s="844"/>
      <c r="KI273" s="844"/>
      <c r="KJ273" s="844"/>
      <c r="KK273" s="844"/>
      <c r="KL273" s="844"/>
      <c r="KM273" s="844"/>
      <c r="KN273" s="844"/>
      <c r="KO273" s="844"/>
      <c r="KP273" s="844"/>
      <c r="KQ273" s="844"/>
      <c r="KR273" s="844"/>
      <c r="KS273" s="844"/>
      <c r="KT273" s="844"/>
      <c r="KU273" s="844"/>
      <c r="KV273" s="844"/>
      <c r="KW273" s="844"/>
      <c r="KX273" s="844"/>
      <c r="KY273" s="844"/>
      <c r="KZ273" s="844"/>
      <c r="LA273" s="844"/>
      <c r="LB273" s="844"/>
      <c r="LC273" s="844"/>
      <c r="LD273" s="844"/>
      <c r="LE273" s="844"/>
      <c r="LF273" s="844"/>
      <c r="LG273" s="844"/>
      <c r="LH273" s="844"/>
      <c r="LI273" s="844"/>
      <c r="LJ273" s="844"/>
      <c r="LK273" s="844"/>
      <c r="LL273" s="844"/>
      <c r="LM273" s="844"/>
      <c r="LN273" s="844"/>
      <c r="LO273" s="844"/>
      <c r="LP273" s="844"/>
      <c r="LQ273" s="844"/>
      <c r="LR273" s="844"/>
      <c r="LS273" s="844"/>
      <c r="LT273" s="844"/>
      <c r="LU273" s="844"/>
      <c r="LV273" s="844"/>
      <c r="LW273" s="844"/>
      <c r="LX273" s="844"/>
      <c r="LY273" s="844"/>
      <c r="LZ273" s="844"/>
      <c r="MA273" s="844"/>
      <c r="MB273" s="844"/>
      <c r="MC273" s="844"/>
      <c r="MD273" s="844"/>
      <c r="ME273" s="844"/>
      <c r="MF273" s="844"/>
      <c r="MG273" s="844"/>
      <c r="MH273" s="844"/>
      <c r="MI273" s="844"/>
      <c r="MJ273" s="844"/>
      <c r="MK273" s="844"/>
      <c r="ML273" s="844"/>
      <c r="MM273" s="844"/>
      <c r="MN273" s="844"/>
      <c r="MO273" s="844"/>
      <c r="MP273" s="844"/>
      <c r="MQ273" s="844"/>
      <c r="MR273" s="844"/>
      <c r="MS273" s="844"/>
      <c r="MT273" s="844"/>
      <c r="MU273" s="844"/>
      <c r="MV273" s="844"/>
      <c r="MW273" s="844"/>
      <c r="MX273" s="844"/>
      <c r="MY273" s="844"/>
      <c r="MZ273" s="844"/>
      <c r="NA273" s="844"/>
      <c r="NB273" s="844"/>
      <c r="NC273" s="844"/>
      <c r="ND273" s="844"/>
      <c r="NE273" s="844"/>
      <c r="NF273" s="844"/>
      <c r="NG273" s="844"/>
      <c r="NH273" s="844"/>
      <c r="NI273" s="844"/>
      <c r="NJ273" s="844"/>
      <c r="NK273" s="844"/>
      <c r="NL273" s="844"/>
      <c r="NM273" s="844"/>
      <c r="NN273" s="844"/>
      <c r="NO273" s="844"/>
      <c r="NP273" s="844"/>
      <c r="NQ273" s="844"/>
      <c r="NR273" s="844"/>
      <c r="NS273" s="844"/>
      <c r="NT273" s="844"/>
      <c r="NU273" s="844"/>
      <c r="NV273" s="844"/>
      <c r="NW273" s="844"/>
      <c r="NX273" s="844"/>
      <c r="NY273" s="844"/>
      <c r="NZ273" s="844"/>
      <c r="OA273" s="844"/>
      <c r="OB273" s="844"/>
      <c r="OC273" s="844"/>
      <c r="OD273" s="844"/>
      <c r="OE273" s="844"/>
      <c r="OF273" s="844"/>
      <c r="OG273" s="844"/>
      <c r="OH273" s="844"/>
      <c r="OI273" s="844"/>
      <c r="OJ273" s="844"/>
      <c r="OK273" s="844"/>
      <c r="OL273" s="844"/>
      <c r="OM273" s="844"/>
      <c r="ON273" s="844"/>
      <c r="OO273" s="844"/>
      <c r="OP273" s="844"/>
      <c r="OQ273" s="844"/>
      <c r="OR273" s="844"/>
      <c r="OS273" s="844"/>
      <c r="OT273" s="844"/>
      <c r="OU273" s="844"/>
      <c r="OV273" s="844"/>
      <c r="OW273" s="844"/>
      <c r="OX273" s="844"/>
      <c r="OY273" s="844"/>
      <c r="OZ273" s="844"/>
      <c r="PA273" s="844"/>
      <c r="PB273" s="844"/>
      <c r="PC273" s="844"/>
      <c r="PD273" s="844"/>
      <c r="PE273" s="844"/>
      <c r="PF273" s="844"/>
      <c r="PG273" s="844"/>
      <c r="PH273" s="844"/>
      <c r="PI273" s="844"/>
      <c r="PJ273" s="844"/>
      <c r="PK273" s="844"/>
      <c r="PL273" s="844"/>
      <c r="PM273" s="844"/>
      <c r="PN273" s="844"/>
      <c r="PO273" s="844"/>
      <c r="PP273" s="844"/>
      <c r="PQ273" s="844"/>
      <c r="PR273" s="844"/>
      <c r="PS273" s="844"/>
      <c r="PT273" s="844"/>
      <c r="PU273" s="844"/>
      <c r="PV273" s="844"/>
      <c r="PW273" s="844"/>
      <c r="PX273" s="844"/>
      <c r="PY273" s="844"/>
      <c r="PZ273" s="844"/>
      <c r="QA273" s="844"/>
      <c r="QB273" s="844"/>
      <c r="QC273" s="844"/>
      <c r="QD273" s="844"/>
      <c r="QE273" s="844"/>
      <c r="QF273" s="844"/>
      <c r="QG273" s="844"/>
      <c r="QH273" s="844"/>
      <c r="QI273" s="844"/>
      <c r="QJ273" s="844"/>
      <c r="QK273" s="844"/>
      <c r="QL273" s="844"/>
      <c r="QM273" s="844"/>
      <c r="QN273" s="844"/>
      <c r="QO273" s="844"/>
      <c r="QP273" s="844"/>
      <c r="QQ273" s="844"/>
      <c r="QR273" s="844"/>
      <c r="QS273" s="844"/>
      <c r="QT273" s="844"/>
      <c r="QU273" s="844"/>
      <c r="QV273" s="844"/>
      <c r="QW273" s="844"/>
      <c r="QX273" s="844"/>
      <c r="QY273" s="844"/>
      <c r="QZ273" s="844"/>
      <c r="RA273" s="844"/>
      <c r="RB273" s="844"/>
      <c r="RC273" s="844"/>
      <c r="RD273" s="844"/>
      <c r="RE273" s="844"/>
      <c r="RF273" s="844"/>
      <c r="RG273" s="844"/>
      <c r="RH273" s="844"/>
      <c r="RI273" s="844"/>
      <c r="RJ273" s="844"/>
      <c r="RK273" s="844"/>
      <c r="RL273" s="844"/>
      <c r="RM273" s="844"/>
      <c r="RN273" s="844"/>
      <c r="RO273" s="844"/>
      <c r="RP273" s="844"/>
      <c r="RQ273" s="844"/>
      <c r="RR273" s="844"/>
      <c r="RS273" s="844"/>
      <c r="RT273" s="844"/>
      <c r="RU273" s="844"/>
      <c r="RV273" s="844"/>
      <c r="RW273" s="844"/>
      <c r="RX273" s="844"/>
      <c r="RY273" s="844"/>
      <c r="RZ273" s="844"/>
      <c r="SA273" s="844"/>
      <c r="SB273" s="844"/>
      <c r="SC273" s="844"/>
      <c r="SD273" s="844"/>
      <c r="SE273" s="844"/>
      <c r="SF273" s="844"/>
      <c r="SG273" s="844"/>
      <c r="SH273" s="844"/>
      <c r="SI273" s="844"/>
      <c r="SJ273" s="844"/>
      <c r="SK273" s="844"/>
      <c r="SL273" s="844"/>
      <c r="SM273" s="844"/>
      <c r="SN273" s="844"/>
      <c r="SO273" s="844"/>
      <c r="SP273" s="844"/>
      <c r="SQ273" s="844"/>
      <c r="SR273" s="844"/>
      <c r="SS273" s="844"/>
      <c r="ST273" s="844"/>
      <c r="SU273" s="844"/>
      <c r="SV273" s="844"/>
      <c r="SW273" s="844"/>
      <c r="SX273" s="844"/>
      <c r="SY273" s="844"/>
      <c r="SZ273" s="844"/>
      <c r="TA273" s="844"/>
      <c r="TB273" s="844"/>
      <c r="TC273" s="844"/>
      <c r="TD273" s="844"/>
      <c r="TE273" s="844"/>
      <c r="TF273" s="844"/>
      <c r="TG273" s="844"/>
      <c r="TH273" s="844"/>
      <c r="TI273" s="844"/>
      <c r="TJ273" s="844"/>
      <c r="TK273" s="844"/>
      <c r="TL273" s="844"/>
      <c r="TM273" s="844"/>
      <c r="TN273" s="844"/>
      <c r="TO273" s="844"/>
      <c r="TP273" s="844"/>
      <c r="TQ273" s="844"/>
      <c r="TR273" s="844"/>
      <c r="TS273" s="844"/>
      <c r="TT273" s="844"/>
      <c r="TU273" s="844"/>
      <c r="TV273" s="844"/>
      <c r="TW273" s="844"/>
      <c r="TX273" s="844"/>
      <c r="TY273" s="844"/>
      <c r="TZ273" s="844"/>
      <c r="UA273" s="844"/>
      <c r="UB273" s="844"/>
      <c r="UC273" s="844"/>
      <c r="UD273" s="844"/>
      <c r="UE273" s="844"/>
      <c r="UF273" s="844"/>
      <c r="UG273" s="844"/>
      <c r="UH273" s="844"/>
      <c r="UI273" s="844"/>
      <c r="UJ273" s="844"/>
      <c r="UK273" s="844"/>
      <c r="UL273" s="844"/>
      <c r="UM273" s="844"/>
      <c r="UN273" s="844"/>
      <c r="UO273" s="844"/>
      <c r="UP273" s="844"/>
      <c r="UQ273" s="844"/>
      <c r="UR273" s="844"/>
      <c r="US273" s="844"/>
      <c r="UT273" s="844"/>
      <c r="UU273" s="844"/>
      <c r="UV273" s="844"/>
      <c r="UW273" s="844"/>
      <c r="UX273" s="844"/>
      <c r="UY273" s="844"/>
      <c r="UZ273" s="844"/>
      <c r="VA273" s="844"/>
      <c r="VB273" s="844"/>
      <c r="VC273" s="844"/>
      <c r="VD273" s="844"/>
      <c r="VE273" s="844"/>
      <c r="VF273" s="844"/>
      <c r="VG273" s="844"/>
      <c r="VH273" s="844"/>
      <c r="VI273" s="844"/>
      <c r="VJ273" s="844"/>
      <c r="VK273" s="844"/>
      <c r="VL273" s="844"/>
      <c r="VM273" s="844"/>
      <c r="VN273" s="844"/>
      <c r="VO273" s="844"/>
      <c r="VP273" s="844"/>
      <c r="VQ273" s="844"/>
      <c r="VR273" s="844"/>
      <c r="VS273" s="844"/>
      <c r="VT273" s="844"/>
      <c r="VU273" s="844"/>
      <c r="VV273" s="844"/>
      <c r="VW273" s="844"/>
      <c r="VX273" s="844"/>
      <c r="VY273" s="844"/>
      <c r="VZ273" s="844"/>
      <c r="WA273" s="844"/>
      <c r="WB273" s="844"/>
      <c r="WC273" s="844"/>
      <c r="WD273" s="844"/>
      <c r="WE273" s="844"/>
      <c r="WF273" s="844"/>
      <c r="WG273" s="844"/>
      <c r="WH273" s="844"/>
      <c r="WI273" s="844"/>
      <c r="WJ273" s="844"/>
      <c r="WK273" s="844"/>
      <c r="WL273" s="844"/>
      <c r="WM273" s="844"/>
      <c r="WN273" s="844"/>
      <c r="WO273" s="844"/>
      <c r="WP273" s="844"/>
      <c r="WQ273" s="844"/>
      <c r="WR273" s="844"/>
      <c r="WS273" s="844"/>
      <c r="WT273" s="844"/>
      <c r="WU273" s="844"/>
      <c r="WV273" s="844"/>
      <c r="WW273" s="844"/>
      <c r="WX273" s="844"/>
      <c r="WY273" s="844"/>
      <c r="WZ273" s="844"/>
      <c r="XA273" s="844"/>
      <c r="XB273" s="844"/>
      <c r="XC273" s="844"/>
      <c r="XD273" s="844"/>
      <c r="XE273" s="844"/>
      <c r="XF273" s="844"/>
      <c r="XG273" s="844"/>
      <c r="XH273" s="844"/>
      <c r="XI273" s="844"/>
      <c r="XJ273" s="844"/>
      <c r="XK273" s="844"/>
      <c r="XL273" s="844"/>
      <c r="XM273" s="844"/>
      <c r="XN273" s="844"/>
      <c r="XO273" s="844"/>
      <c r="XP273" s="844"/>
      <c r="XQ273" s="844"/>
      <c r="XR273" s="844"/>
      <c r="XS273" s="844"/>
      <c r="XT273" s="844"/>
      <c r="XU273" s="844"/>
      <c r="XV273" s="844"/>
      <c r="XW273" s="844"/>
      <c r="XX273" s="844"/>
      <c r="XY273" s="844"/>
      <c r="XZ273" s="844"/>
      <c r="YA273" s="844"/>
      <c r="YB273" s="844"/>
      <c r="YC273" s="844"/>
      <c r="YD273" s="844"/>
      <c r="YE273" s="844"/>
      <c r="YF273" s="844"/>
      <c r="YG273" s="844"/>
      <c r="YH273" s="844"/>
      <c r="YI273" s="844"/>
      <c r="YJ273" s="844"/>
      <c r="YK273" s="844"/>
      <c r="YL273" s="844"/>
      <c r="YM273" s="844"/>
      <c r="YN273" s="844"/>
      <c r="YO273" s="844"/>
      <c r="YP273" s="844"/>
      <c r="YQ273" s="844"/>
      <c r="YR273" s="844"/>
      <c r="YS273" s="844"/>
      <c r="YT273" s="844"/>
      <c r="YU273" s="844"/>
      <c r="YV273" s="844"/>
      <c r="YW273" s="844"/>
      <c r="YX273" s="844"/>
      <c r="YY273" s="844"/>
      <c r="YZ273" s="844"/>
      <c r="ZA273" s="844"/>
      <c r="ZB273" s="844"/>
      <c r="ZC273" s="844"/>
      <c r="ZD273" s="844"/>
      <c r="ZE273" s="844"/>
      <c r="ZF273" s="844"/>
      <c r="ZG273" s="844"/>
      <c r="ZH273" s="844"/>
      <c r="ZI273" s="844"/>
      <c r="ZJ273" s="844"/>
      <c r="ZK273" s="844"/>
      <c r="ZL273" s="844"/>
      <c r="ZM273" s="844"/>
      <c r="ZN273" s="844"/>
      <c r="ZO273" s="844"/>
      <c r="ZP273" s="844"/>
      <c r="ZQ273" s="844"/>
      <c r="ZR273" s="844"/>
      <c r="ZS273" s="844"/>
      <c r="ZT273" s="844"/>
      <c r="ZU273" s="844"/>
      <c r="ZV273" s="844"/>
      <c r="ZW273" s="844"/>
      <c r="ZX273" s="844"/>
      <c r="ZY273" s="844"/>
      <c r="ZZ273" s="844"/>
      <c r="AAA273" s="844"/>
      <c r="AAB273" s="844"/>
      <c r="AAC273" s="844"/>
      <c r="AAD273" s="844"/>
      <c r="AAE273" s="844"/>
      <c r="AAF273" s="844"/>
      <c r="AAG273" s="844"/>
      <c r="AAH273" s="844"/>
      <c r="AAI273" s="844"/>
      <c r="AAJ273" s="844"/>
      <c r="AAK273" s="844"/>
      <c r="AAL273" s="844"/>
      <c r="AAM273" s="844"/>
      <c r="AAN273" s="844"/>
      <c r="AAO273" s="844"/>
      <c r="AAP273" s="844"/>
      <c r="AAQ273" s="844"/>
      <c r="AAR273" s="844"/>
      <c r="AAS273" s="844"/>
      <c r="AAT273" s="844"/>
      <c r="AAU273" s="844"/>
      <c r="AAV273" s="844"/>
      <c r="AAW273" s="844"/>
      <c r="AAX273" s="844"/>
      <c r="AAY273" s="844"/>
      <c r="AAZ273" s="844"/>
      <c r="ABA273" s="844"/>
      <c r="ABB273" s="844"/>
      <c r="ABC273" s="844"/>
      <c r="ABD273" s="844"/>
      <c r="ABE273" s="844"/>
      <c r="ABF273" s="844"/>
      <c r="ABG273" s="844"/>
      <c r="ABH273" s="844"/>
      <c r="ABI273" s="844"/>
      <c r="ABJ273" s="844"/>
      <c r="ABK273" s="844"/>
      <c r="ABL273" s="844"/>
      <c r="ABM273" s="844"/>
      <c r="ABN273" s="844"/>
      <c r="ABO273" s="844"/>
      <c r="ABP273" s="844"/>
      <c r="ABQ273" s="844"/>
      <c r="ABR273" s="844"/>
      <c r="ABS273" s="844"/>
      <c r="ABT273" s="844"/>
      <c r="ABU273" s="844"/>
      <c r="ABV273" s="844"/>
      <c r="ABW273" s="844"/>
      <c r="ABX273" s="844"/>
      <c r="ABY273" s="844"/>
      <c r="ABZ273" s="844"/>
      <c r="ACA273" s="844"/>
      <c r="ACB273" s="844"/>
      <c r="ACC273" s="844"/>
      <c r="ACD273" s="844"/>
      <c r="ACE273" s="844"/>
      <c r="ACF273" s="844"/>
      <c r="ACG273" s="844"/>
      <c r="ACH273" s="844"/>
      <c r="ACI273" s="844"/>
      <c r="ACJ273" s="844"/>
      <c r="ACK273" s="844"/>
      <c r="ACL273" s="844"/>
      <c r="ACM273" s="844"/>
      <c r="ACN273" s="844"/>
      <c r="ACO273" s="844"/>
      <c r="ACP273" s="844"/>
      <c r="ACQ273" s="844"/>
      <c r="ACR273" s="844"/>
      <c r="ACS273" s="844"/>
      <c r="ACT273" s="844"/>
      <c r="ACU273" s="844"/>
      <c r="ACV273" s="844"/>
      <c r="ACW273" s="844"/>
      <c r="ACX273" s="844"/>
      <c r="ACY273" s="844"/>
      <c r="ACZ273" s="844"/>
      <c r="ADA273" s="844"/>
      <c r="ADB273" s="844"/>
      <c r="ADC273" s="844"/>
      <c r="ADD273" s="844"/>
      <c r="ADE273" s="844"/>
      <c r="ADF273" s="844"/>
      <c r="ADG273" s="844"/>
      <c r="ADH273" s="844"/>
      <c r="ADI273" s="844"/>
      <c r="ADJ273" s="844"/>
      <c r="ADK273" s="844"/>
      <c r="ADL273" s="844"/>
      <c r="ADM273" s="844"/>
      <c r="ADN273" s="844"/>
      <c r="ADO273" s="844"/>
      <c r="ADP273" s="844"/>
      <c r="ADQ273" s="844"/>
      <c r="ADR273" s="844"/>
      <c r="ADS273" s="844"/>
      <c r="ADT273" s="844"/>
      <c r="ADU273" s="844"/>
      <c r="ADV273" s="844"/>
      <c r="ADW273" s="844"/>
      <c r="ADX273" s="844"/>
      <c r="ADY273" s="844"/>
      <c r="ADZ273" s="844"/>
      <c r="AEA273" s="844"/>
      <c r="AEB273" s="844"/>
      <c r="AEC273" s="844"/>
      <c r="AED273" s="844"/>
      <c r="AEE273" s="844"/>
      <c r="AEF273" s="844"/>
      <c r="AEG273" s="844"/>
      <c r="AEH273" s="844"/>
      <c r="AEI273" s="844"/>
      <c r="AEJ273" s="844"/>
      <c r="AEK273" s="844"/>
      <c r="AEL273" s="844"/>
      <c r="AEM273" s="844"/>
      <c r="AEN273" s="844"/>
      <c r="AEO273" s="844"/>
      <c r="AEP273" s="844"/>
      <c r="AEQ273" s="844"/>
      <c r="AER273" s="844"/>
      <c r="AES273" s="844"/>
      <c r="AET273" s="844"/>
      <c r="AEU273" s="844"/>
      <c r="AEV273" s="844"/>
      <c r="AEW273" s="844"/>
      <c r="AEX273" s="844"/>
      <c r="AEY273" s="844"/>
      <c r="AEZ273" s="844"/>
      <c r="AFA273" s="844"/>
      <c r="AFB273" s="844"/>
      <c r="AFC273" s="844"/>
      <c r="AFD273" s="844"/>
      <c r="AFE273" s="844"/>
      <c r="AFF273" s="844"/>
      <c r="AFG273" s="844"/>
      <c r="AFH273" s="844"/>
      <c r="AFI273" s="844"/>
      <c r="AFJ273" s="844"/>
      <c r="AFK273" s="844"/>
      <c r="AFL273" s="844"/>
      <c r="AFM273" s="844"/>
      <c r="AFN273" s="844"/>
      <c r="AFO273" s="844"/>
      <c r="AFP273" s="844"/>
      <c r="AFQ273" s="844"/>
      <c r="AFR273" s="844"/>
      <c r="AFS273" s="844"/>
      <c r="AFT273" s="844"/>
      <c r="AFU273" s="844"/>
      <c r="AFV273" s="844"/>
      <c r="AFW273" s="844"/>
      <c r="AFX273" s="844"/>
      <c r="AFY273" s="844"/>
      <c r="AFZ273" s="844"/>
      <c r="AGA273" s="844"/>
      <c r="AGB273" s="844"/>
      <c r="AGC273" s="844"/>
      <c r="AGD273" s="844"/>
      <c r="AGE273" s="844"/>
      <c r="AGF273" s="844"/>
      <c r="AGG273" s="844"/>
      <c r="AGH273" s="844"/>
      <c r="AGI273" s="844"/>
      <c r="AGJ273" s="844"/>
    </row>
    <row r="274" spans="1:868" s="845" customFormat="1" hidden="1">
      <c r="A274" s="292" t="s">
        <v>161</v>
      </c>
      <c r="B274" s="55" t="s">
        <v>217</v>
      </c>
      <c r="C274" s="265" t="s">
        <v>147</v>
      </c>
      <c r="D274" s="55" t="s">
        <v>147</v>
      </c>
      <c r="E274" s="260">
        <v>2.7E-4</v>
      </c>
      <c r="F274" s="235">
        <v>2</v>
      </c>
      <c r="G274" s="265"/>
      <c r="H274" s="29">
        <v>2</v>
      </c>
      <c r="I274" s="9">
        <v>2</v>
      </c>
      <c r="J274" s="9">
        <v>2</v>
      </c>
      <c r="K274" s="9">
        <v>3</v>
      </c>
      <c r="L274" s="9">
        <v>3</v>
      </c>
      <c r="M274" s="9">
        <v>3</v>
      </c>
      <c r="N274" s="186">
        <f t="shared" ref="N274:N305" si="15">IF( OR( ISBLANK(H274),ISBLANK(J274), ISBLANK(K274), ISBLANK(L274), ISBLANK(M274) ), "", 1.5*SQRT(   EXP(2.21*(H274-1)) + EXP(2.21*(J274-1)) + EXP(2.21*(K274-1)) + EXP(2.21*(L274-1)) + EXP(2.21*M274)   )/100*2.45 )</f>
        <v>1.1278755061256258</v>
      </c>
      <c r="O274" s="160">
        <f t="shared" si="13"/>
        <v>1.1278755061256258</v>
      </c>
      <c r="P274" s="63"/>
      <c r="Q274" s="844"/>
      <c r="R274" s="844"/>
      <c r="S274" s="844"/>
      <c r="T274" s="844"/>
      <c r="U274" s="844"/>
      <c r="V274" s="844"/>
      <c r="W274" s="844"/>
      <c r="X274" s="844"/>
      <c r="Y274" s="844"/>
      <c r="Z274" s="844"/>
      <c r="AA274" s="844"/>
      <c r="AB274" s="844"/>
      <c r="AC274" s="844"/>
      <c r="AD274" s="844"/>
      <c r="AE274" s="844"/>
      <c r="AF274" s="844"/>
      <c r="AG274" s="844"/>
      <c r="AH274" s="844"/>
      <c r="AI274" s="844"/>
      <c r="AJ274" s="844"/>
      <c r="AK274" s="844"/>
      <c r="AL274" s="844"/>
      <c r="AM274" s="844"/>
      <c r="AN274" s="844"/>
      <c r="AO274" s="844"/>
      <c r="AP274" s="844"/>
      <c r="AQ274" s="844"/>
      <c r="AR274" s="844"/>
      <c r="AS274" s="844"/>
      <c r="AT274" s="844"/>
      <c r="AU274" s="844"/>
      <c r="AV274" s="844"/>
      <c r="AW274" s="844"/>
      <c r="AX274" s="844"/>
      <c r="AY274" s="844"/>
      <c r="AZ274" s="844"/>
      <c r="BA274" s="844"/>
      <c r="BB274" s="844"/>
      <c r="BC274" s="844"/>
      <c r="BD274" s="844"/>
      <c r="BE274" s="844"/>
      <c r="BF274" s="844"/>
      <c r="BG274" s="844"/>
      <c r="BH274" s="844"/>
      <c r="BI274" s="844"/>
      <c r="BJ274" s="844"/>
      <c r="BK274" s="844"/>
      <c r="BL274" s="844"/>
      <c r="BM274" s="844"/>
      <c r="BN274" s="844"/>
      <c r="BO274" s="844"/>
      <c r="BP274" s="844"/>
      <c r="BQ274" s="844"/>
      <c r="BR274" s="844"/>
      <c r="BS274" s="844"/>
      <c r="BT274" s="844"/>
      <c r="BU274" s="844"/>
      <c r="BV274" s="844"/>
      <c r="BW274" s="844"/>
      <c r="BX274" s="844"/>
      <c r="BY274" s="844"/>
      <c r="BZ274" s="844"/>
      <c r="CA274" s="844"/>
      <c r="CB274" s="844"/>
      <c r="CC274" s="844"/>
      <c r="CD274" s="844"/>
      <c r="CE274" s="844"/>
      <c r="CF274" s="844"/>
      <c r="CG274" s="844"/>
      <c r="CH274" s="844"/>
      <c r="CI274" s="844"/>
      <c r="CJ274" s="844"/>
      <c r="CK274" s="844"/>
      <c r="CL274" s="844"/>
      <c r="CM274" s="844"/>
      <c r="CN274" s="844"/>
      <c r="CO274" s="844"/>
      <c r="CP274" s="844"/>
      <c r="CQ274" s="844"/>
      <c r="CR274" s="844"/>
      <c r="CS274" s="844"/>
      <c r="CT274" s="844"/>
      <c r="CU274" s="844"/>
      <c r="CV274" s="844"/>
      <c r="CW274" s="844"/>
      <c r="CX274" s="844"/>
      <c r="CY274" s="844"/>
      <c r="CZ274" s="844"/>
      <c r="DA274" s="844"/>
      <c r="DB274" s="844"/>
      <c r="DC274" s="844"/>
      <c r="DD274" s="844"/>
      <c r="DE274" s="844"/>
      <c r="DF274" s="844"/>
      <c r="DG274" s="844"/>
      <c r="DH274" s="844"/>
      <c r="DI274" s="844"/>
      <c r="DJ274" s="844"/>
      <c r="DK274" s="844"/>
      <c r="DL274" s="844"/>
      <c r="DM274" s="844"/>
      <c r="DN274" s="844"/>
      <c r="DO274" s="844"/>
      <c r="DP274" s="844"/>
      <c r="DQ274" s="844"/>
      <c r="DR274" s="844"/>
      <c r="DS274" s="844"/>
      <c r="DT274" s="844"/>
      <c r="DU274" s="844"/>
      <c r="DV274" s="844"/>
      <c r="DW274" s="844"/>
      <c r="DX274" s="844"/>
      <c r="DY274" s="844"/>
      <c r="DZ274" s="844"/>
      <c r="EA274" s="844"/>
      <c r="EB274" s="844"/>
      <c r="EC274" s="844"/>
      <c r="ED274" s="844"/>
      <c r="EE274" s="844"/>
      <c r="EF274" s="844"/>
      <c r="EG274" s="844"/>
      <c r="EH274" s="844"/>
      <c r="EI274" s="844"/>
      <c r="EJ274" s="844"/>
      <c r="EK274" s="844"/>
      <c r="EL274" s="844"/>
      <c r="EM274" s="844"/>
      <c r="EN274" s="844"/>
      <c r="EO274" s="844"/>
      <c r="EP274" s="844"/>
      <c r="EQ274" s="844"/>
      <c r="ER274" s="844"/>
      <c r="ES274" s="844"/>
      <c r="ET274" s="844"/>
      <c r="EU274" s="844"/>
      <c r="EV274" s="844"/>
      <c r="EW274" s="844"/>
      <c r="EX274" s="844"/>
      <c r="EY274" s="844"/>
      <c r="EZ274" s="844"/>
      <c r="FA274" s="844"/>
      <c r="FB274" s="844"/>
      <c r="FC274" s="844"/>
      <c r="FD274" s="844"/>
      <c r="FE274" s="844"/>
      <c r="FF274" s="844"/>
      <c r="FG274" s="844"/>
      <c r="FH274" s="844"/>
      <c r="FI274" s="844"/>
      <c r="FJ274" s="844"/>
      <c r="FK274" s="844"/>
      <c r="FL274" s="844"/>
      <c r="FM274" s="844"/>
      <c r="FN274" s="844"/>
      <c r="FO274" s="844"/>
      <c r="FP274" s="844"/>
      <c r="FQ274" s="844"/>
      <c r="FR274" s="844"/>
      <c r="FS274" s="844"/>
      <c r="FT274" s="844"/>
      <c r="FU274" s="844"/>
      <c r="FV274" s="844"/>
      <c r="FW274" s="844"/>
      <c r="FX274" s="844"/>
      <c r="FY274" s="844"/>
      <c r="FZ274" s="844"/>
      <c r="GA274" s="844"/>
      <c r="GB274" s="844"/>
      <c r="GC274" s="844"/>
      <c r="GD274" s="844"/>
      <c r="GE274" s="844"/>
      <c r="GF274" s="844"/>
      <c r="GG274" s="844"/>
      <c r="GH274" s="844"/>
      <c r="GI274" s="844"/>
      <c r="GJ274" s="844"/>
      <c r="GK274" s="844"/>
      <c r="GL274" s="844"/>
      <c r="GM274" s="844"/>
      <c r="GN274" s="844"/>
      <c r="GO274" s="844"/>
      <c r="GP274" s="844"/>
      <c r="GQ274" s="844"/>
      <c r="GR274" s="844"/>
      <c r="GS274" s="844"/>
      <c r="GT274" s="844"/>
      <c r="GU274" s="844"/>
      <c r="GV274" s="844"/>
      <c r="GW274" s="844"/>
      <c r="GX274" s="844"/>
      <c r="GY274" s="844"/>
      <c r="GZ274" s="844"/>
      <c r="HA274" s="844"/>
      <c r="HB274" s="844"/>
      <c r="HC274" s="844"/>
      <c r="HD274" s="844"/>
      <c r="HE274" s="844"/>
      <c r="HF274" s="844"/>
      <c r="HG274" s="844"/>
      <c r="HH274" s="844"/>
      <c r="HI274" s="844"/>
      <c r="HJ274" s="844"/>
      <c r="HK274" s="844"/>
      <c r="HL274" s="844"/>
      <c r="HM274" s="844"/>
      <c r="HN274" s="844"/>
      <c r="HO274" s="844"/>
      <c r="HP274" s="844"/>
      <c r="HQ274" s="844"/>
      <c r="HR274" s="844"/>
      <c r="HS274" s="844"/>
      <c r="HT274" s="844"/>
      <c r="HU274" s="844"/>
      <c r="HV274" s="844"/>
      <c r="HW274" s="844"/>
      <c r="HX274" s="844"/>
      <c r="HY274" s="844"/>
      <c r="HZ274" s="844"/>
      <c r="IA274" s="844"/>
      <c r="IB274" s="844"/>
      <c r="IC274" s="844"/>
      <c r="ID274" s="844"/>
      <c r="IE274" s="844"/>
      <c r="IF274" s="844"/>
      <c r="IG274" s="844"/>
      <c r="IH274" s="844"/>
      <c r="II274" s="844"/>
      <c r="IJ274" s="844"/>
      <c r="IK274" s="844"/>
      <c r="IL274" s="844"/>
      <c r="IM274" s="844"/>
      <c r="IN274" s="844"/>
      <c r="IO274" s="844"/>
      <c r="IP274" s="844"/>
      <c r="IQ274" s="844"/>
      <c r="IR274" s="844"/>
      <c r="IS274" s="844"/>
      <c r="IT274" s="844"/>
      <c r="IU274" s="844"/>
      <c r="IV274" s="844"/>
      <c r="IW274" s="844"/>
      <c r="IX274" s="844"/>
      <c r="IY274" s="844"/>
      <c r="IZ274" s="844"/>
      <c r="JA274" s="844"/>
      <c r="JB274" s="844"/>
      <c r="JC274" s="844"/>
      <c r="JD274" s="844"/>
      <c r="JE274" s="844"/>
      <c r="JF274" s="844"/>
      <c r="JG274" s="844"/>
      <c r="JH274" s="844"/>
      <c r="JI274" s="844"/>
      <c r="JJ274" s="844"/>
      <c r="JK274" s="844"/>
      <c r="JL274" s="844"/>
      <c r="JM274" s="844"/>
      <c r="JN274" s="844"/>
      <c r="JO274" s="844"/>
      <c r="JP274" s="844"/>
      <c r="JQ274" s="844"/>
      <c r="JR274" s="844"/>
      <c r="JS274" s="844"/>
      <c r="JT274" s="844"/>
      <c r="JU274" s="844"/>
      <c r="JV274" s="844"/>
      <c r="JW274" s="844"/>
      <c r="JX274" s="844"/>
      <c r="JY274" s="844"/>
      <c r="JZ274" s="844"/>
      <c r="KA274" s="844"/>
      <c r="KB274" s="844"/>
      <c r="KC274" s="844"/>
      <c r="KD274" s="844"/>
      <c r="KE274" s="844"/>
      <c r="KF274" s="844"/>
      <c r="KG274" s="844"/>
      <c r="KH274" s="844"/>
      <c r="KI274" s="844"/>
      <c r="KJ274" s="844"/>
      <c r="KK274" s="844"/>
      <c r="KL274" s="844"/>
      <c r="KM274" s="844"/>
      <c r="KN274" s="844"/>
      <c r="KO274" s="844"/>
      <c r="KP274" s="844"/>
      <c r="KQ274" s="844"/>
      <c r="KR274" s="844"/>
      <c r="KS274" s="844"/>
      <c r="KT274" s="844"/>
      <c r="KU274" s="844"/>
      <c r="KV274" s="844"/>
      <c r="KW274" s="844"/>
      <c r="KX274" s="844"/>
      <c r="KY274" s="844"/>
      <c r="KZ274" s="844"/>
      <c r="LA274" s="844"/>
      <c r="LB274" s="844"/>
      <c r="LC274" s="844"/>
      <c r="LD274" s="844"/>
      <c r="LE274" s="844"/>
      <c r="LF274" s="844"/>
      <c r="LG274" s="844"/>
      <c r="LH274" s="844"/>
      <c r="LI274" s="844"/>
      <c r="LJ274" s="844"/>
      <c r="LK274" s="844"/>
      <c r="LL274" s="844"/>
      <c r="LM274" s="844"/>
      <c r="LN274" s="844"/>
      <c r="LO274" s="844"/>
      <c r="LP274" s="844"/>
      <c r="LQ274" s="844"/>
      <c r="LR274" s="844"/>
      <c r="LS274" s="844"/>
      <c r="LT274" s="844"/>
      <c r="LU274" s="844"/>
      <c r="LV274" s="844"/>
      <c r="LW274" s="844"/>
      <c r="LX274" s="844"/>
      <c r="LY274" s="844"/>
      <c r="LZ274" s="844"/>
      <c r="MA274" s="844"/>
      <c r="MB274" s="844"/>
      <c r="MC274" s="844"/>
      <c r="MD274" s="844"/>
      <c r="ME274" s="844"/>
      <c r="MF274" s="844"/>
      <c r="MG274" s="844"/>
      <c r="MH274" s="844"/>
      <c r="MI274" s="844"/>
      <c r="MJ274" s="844"/>
      <c r="MK274" s="844"/>
      <c r="ML274" s="844"/>
      <c r="MM274" s="844"/>
      <c r="MN274" s="844"/>
      <c r="MO274" s="844"/>
      <c r="MP274" s="844"/>
      <c r="MQ274" s="844"/>
      <c r="MR274" s="844"/>
      <c r="MS274" s="844"/>
      <c r="MT274" s="844"/>
      <c r="MU274" s="844"/>
      <c r="MV274" s="844"/>
      <c r="MW274" s="844"/>
      <c r="MX274" s="844"/>
      <c r="MY274" s="844"/>
      <c r="MZ274" s="844"/>
      <c r="NA274" s="844"/>
      <c r="NB274" s="844"/>
      <c r="NC274" s="844"/>
      <c r="ND274" s="844"/>
      <c r="NE274" s="844"/>
      <c r="NF274" s="844"/>
      <c r="NG274" s="844"/>
      <c r="NH274" s="844"/>
      <c r="NI274" s="844"/>
      <c r="NJ274" s="844"/>
      <c r="NK274" s="844"/>
      <c r="NL274" s="844"/>
      <c r="NM274" s="844"/>
      <c r="NN274" s="844"/>
      <c r="NO274" s="844"/>
      <c r="NP274" s="844"/>
      <c r="NQ274" s="844"/>
      <c r="NR274" s="844"/>
      <c r="NS274" s="844"/>
      <c r="NT274" s="844"/>
      <c r="NU274" s="844"/>
      <c r="NV274" s="844"/>
      <c r="NW274" s="844"/>
      <c r="NX274" s="844"/>
      <c r="NY274" s="844"/>
      <c r="NZ274" s="844"/>
      <c r="OA274" s="844"/>
      <c r="OB274" s="844"/>
      <c r="OC274" s="844"/>
      <c r="OD274" s="844"/>
      <c r="OE274" s="844"/>
      <c r="OF274" s="844"/>
      <c r="OG274" s="844"/>
      <c r="OH274" s="844"/>
      <c r="OI274" s="844"/>
      <c r="OJ274" s="844"/>
      <c r="OK274" s="844"/>
      <c r="OL274" s="844"/>
      <c r="OM274" s="844"/>
      <c r="ON274" s="844"/>
      <c r="OO274" s="844"/>
      <c r="OP274" s="844"/>
      <c r="OQ274" s="844"/>
      <c r="OR274" s="844"/>
      <c r="OS274" s="844"/>
      <c r="OT274" s="844"/>
      <c r="OU274" s="844"/>
      <c r="OV274" s="844"/>
      <c r="OW274" s="844"/>
      <c r="OX274" s="844"/>
      <c r="OY274" s="844"/>
      <c r="OZ274" s="844"/>
      <c r="PA274" s="844"/>
      <c r="PB274" s="844"/>
      <c r="PC274" s="844"/>
      <c r="PD274" s="844"/>
      <c r="PE274" s="844"/>
      <c r="PF274" s="844"/>
      <c r="PG274" s="844"/>
      <c r="PH274" s="844"/>
      <c r="PI274" s="844"/>
      <c r="PJ274" s="844"/>
      <c r="PK274" s="844"/>
      <c r="PL274" s="844"/>
      <c r="PM274" s="844"/>
      <c r="PN274" s="844"/>
      <c r="PO274" s="844"/>
      <c r="PP274" s="844"/>
      <c r="PQ274" s="844"/>
      <c r="PR274" s="844"/>
      <c r="PS274" s="844"/>
      <c r="PT274" s="844"/>
      <c r="PU274" s="844"/>
      <c r="PV274" s="844"/>
      <c r="PW274" s="844"/>
      <c r="PX274" s="844"/>
      <c r="PY274" s="844"/>
      <c r="PZ274" s="844"/>
      <c r="QA274" s="844"/>
      <c r="QB274" s="844"/>
      <c r="QC274" s="844"/>
      <c r="QD274" s="844"/>
      <c r="QE274" s="844"/>
      <c r="QF274" s="844"/>
      <c r="QG274" s="844"/>
      <c r="QH274" s="844"/>
      <c r="QI274" s="844"/>
      <c r="QJ274" s="844"/>
      <c r="QK274" s="844"/>
      <c r="QL274" s="844"/>
      <c r="QM274" s="844"/>
      <c r="QN274" s="844"/>
      <c r="QO274" s="844"/>
      <c r="QP274" s="844"/>
      <c r="QQ274" s="844"/>
      <c r="QR274" s="844"/>
      <c r="QS274" s="844"/>
      <c r="QT274" s="844"/>
      <c r="QU274" s="844"/>
      <c r="QV274" s="844"/>
      <c r="QW274" s="844"/>
      <c r="QX274" s="844"/>
      <c r="QY274" s="844"/>
      <c r="QZ274" s="844"/>
      <c r="RA274" s="844"/>
      <c r="RB274" s="844"/>
      <c r="RC274" s="844"/>
      <c r="RD274" s="844"/>
      <c r="RE274" s="844"/>
      <c r="RF274" s="844"/>
      <c r="RG274" s="844"/>
      <c r="RH274" s="844"/>
      <c r="RI274" s="844"/>
      <c r="RJ274" s="844"/>
      <c r="RK274" s="844"/>
      <c r="RL274" s="844"/>
      <c r="RM274" s="844"/>
      <c r="RN274" s="844"/>
      <c r="RO274" s="844"/>
      <c r="RP274" s="844"/>
      <c r="RQ274" s="844"/>
      <c r="RR274" s="844"/>
      <c r="RS274" s="844"/>
      <c r="RT274" s="844"/>
      <c r="RU274" s="844"/>
      <c r="RV274" s="844"/>
      <c r="RW274" s="844"/>
      <c r="RX274" s="844"/>
      <c r="RY274" s="844"/>
      <c r="RZ274" s="844"/>
      <c r="SA274" s="844"/>
      <c r="SB274" s="844"/>
      <c r="SC274" s="844"/>
      <c r="SD274" s="844"/>
      <c r="SE274" s="844"/>
      <c r="SF274" s="844"/>
      <c r="SG274" s="844"/>
      <c r="SH274" s="844"/>
      <c r="SI274" s="844"/>
      <c r="SJ274" s="844"/>
      <c r="SK274" s="844"/>
      <c r="SL274" s="844"/>
      <c r="SM274" s="844"/>
      <c r="SN274" s="844"/>
      <c r="SO274" s="844"/>
      <c r="SP274" s="844"/>
      <c r="SQ274" s="844"/>
      <c r="SR274" s="844"/>
      <c r="SS274" s="844"/>
      <c r="ST274" s="844"/>
      <c r="SU274" s="844"/>
      <c r="SV274" s="844"/>
      <c r="SW274" s="844"/>
      <c r="SX274" s="844"/>
      <c r="SY274" s="844"/>
      <c r="SZ274" s="844"/>
      <c r="TA274" s="844"/>
      <c r="TB274" s="844"/>
      <c r="TC274" s="844"/>
      <c r="TD274" s="844"/>
      <c r="TE274" s="844"/>
      <c r="TF274" s="844"/>
      <c r="TG274" s="844"/>
      <c r="TH274" s="844"/>
      <c r="TI274" s="844"/>
      <c r="TJ274" s="844"/>
      <c r="TK274" s="844"/>
      <c r="TL274" s="844"/>
      <c r="TM274" s="844"/>
      <c r="TN274" s="844"/>
      <c r="TO274" s="844"/>
      <c r="TP274" s="844"/>
      <c r="TQ274" s="844"/>
      <c r="TR274" s="844"/>
      <c r="TS274" s="844"/>
      <c r="TT274" s="844"/>
      <c r="TU274" s="844"/>
      <c r="TV274" s="844"/>
      <c r="TW274" s="844"/>
      <c r="TX274" s="844"/>
      <c r="TY274" s="844"/>
      <c r="TZ274" s="844"/>
      <c r="UA274" s="844"/>
      <c r="UB274" s="844"/>
      <c r="UC274" s="844"/>
      <c r="UD274" s="844"/>
      <c r="UE274" s="844"/>
      <c r="UF274" s="844"/>
      <c r="UG274" s="844"/>
      <c r="UH274" s="844"/>
      <c r="UI274" s="844"/>
      <c r="UJ274" s="844"/>
      <c r="UK274" s="844"/>
      <c r="UL274" s="844"/>
      <c r="UM274" s="844"/>
      <c r="UN274" s="844"/>
      <c r="UO274" s="844"/>
      <c r="UP274" s="844"/>
      <c r="UQ274" s="844"/>
      <c r="UR274" s="844"/>
      <c r="US274" s="844"/>
      <c r="UT274" s="844"/>
      <c r="UU274" s="844"/>
      <c r="UV274" s="844"/>
      <c r="UW274" s="844"/>
      <c r="UX274" s="844"/>
      <c r="UY274" s="844"/>
      <c r="UZ274" s="844"/>
      <c r="VA274" s="844"/>
      <c r="VB274" s="844"/>
      <c r="VC274" s="844"/>
      <c r="VD274" s="844"/>
      <c r="VE274" s="844"/>
      <c r="VF274" s="844"/>
      <c r="VG274" s="844"/>
      <c r="VH274" s="844"/>
      <c r="VI274" s="844"/>
      <c r="VJ274" s="844"/>
      <c r="VK274" s="844"/>
      <c r="VL274" s="844"/>
      <c r="VM274" s="844"/>
      <c r="VN274" s="844"/>
      <c r="VO274" s="844"/>
      <c r="VP274" s="844"/>
      <c r="VQ274" s="844"/>
      <c r="VR274" s="844"/>
      <c r="VS274" s="844"/>
      <c r="VT274" s="844"/>
      <c r="VU274" s="844"/>
      <c r="VV274" s="844"/>
      <c r="VW274" s="844"/>
      <c r="VX274" s="844"/>
      <c r="VY274" s="844"/>
      <c r="VZ274" s="844"/>
      <c r="WA274" s="844"/>
      <c r="WB274" s="844"/>
      <c r="WC274" s="844"/>
      <c r="WD274" s="844"/>
      <c r="WE274" s="844"/>
      <c r="WF274" s="844"/>
      <c r="WG274" s="844"/>
      <c r="WH274" s="844"/>
      <c r="WI274" s="844"/>
      <c r="WJ274" s="844"/>
      <c r="WK274" s="844"/>
      <c r="WL274" s="844"/>
      <c r="WM274" s="844"/>
      <c r="WN274" s="844"/>
      <c r="WO274" s="844"/>
      <c r="WP274" s="844"/>
      <c r="WQ274" s="844"/>
      <c r="WR274" s="844"/>
      <c r="WS274" s="844"/>
      <c r="WT274" s="844"/>
      <c r="WU274" s="844"/>
      <c r="WV274" s="844"/>
      <c r="WW274" s="844"/>
      <c r="WX274" s="844"/>
      <c r="WY274" s="844"/>
      <c r="WZ274" s="844"/>
      <c r="XA274" s="844"/>
      <c r="XB274" s="844"/>
      <c r="XC274" s="844"/>
      <c r="XD274" s="844"/>
      <c r="XE274" s="844"/>
      <c r="XF274" s="844"/>
      <c r="XG274" s="844"/>
      <c r="XH274" s="844"/>
      <c r="XI274" s="844"/>
      <c r="XJ274" s="844"/>
      <c r="XK274" s="844"/>
      <c r="XL274" s="844"/>
      <c r="XM274" s="844"/>
      <c r="XN274" s="844"/>
      <c r="XO274" s="844"/>
      <c r="XP274" s="844"/>
      <c r="XQ274" s="844"/>
      <c r="XR274" s="844"/>
      <c r="XS274" s="844"/>
      <c r="XT274" s="844"/>
      <c r="XU274" s="844"/>
      <c r="XV274" s="844"/>
      <c r="XW274" s="844"/>
      <c r="XX274" s="844"/>
      <c r="XY274" s="844"/>
      <c r="XZ274" s="844"/>
      <c r="YA274" s="844"/>
      <c r="YB274" s="844"/>
      <c r="YC274" s="844"/>
      <c r="YD274" s="844"/>
      <c r="YE274" s="844"/>
      <c r="YF274" s="844"/>
      <c r="YG274" s="844"/>
      <c r="YH274" s="844"/>
      <c r="YI274" s="844"/>
      <c r="YJ274" s="844"/>
      <c r="YK274" s="844"/>
      <c r="YL274" s="844"/>
      <c r="YM274" s="844"/>
      <c r="YN274" s="844"/>
      <c r="YO274" s="844"/>
      <c r="YP274" s="844"/>
      <c r="YQ274" s="844"/>
      <c r="YR274" s="844"/>
      <c r="YS274" s="844"/>
      <c r="YT274" s="844"/>
      <c r="YU274" s="844"/>
      <c r="YV274" s="844"/>
      <c r="YW274" s="844"/>
      <c r="YX274" s="844"/>
      <c r="YY274" s="844"/>
      <c r="YZ274" s="844"/>
      <c r="ZA274" s="844"/>
      <c r="ZB274" s="844"/>
      <c r="ZC274" s="844"/>
      <c r="ZD274" s="844"/>
      <c r="ZE274" s="844"/>
      <c r="ZF274" s="844"/>
      <c r="ZG274" s="844"/>
      <c r="ZH274" s="844"/>
      <c r="ZI274" s="844"/>
      <c r="ZJ274" s="844"/>
      <c r="ZK274" s="844"/>
      <c r="ZL274" s="844"/>
      <c r="ZM274" s="844"/>
      <c r="ZN274" s="844"/>
      <c r="ZO274" s="844"/>
      <c r="ZP274" s="844"/>
      <c r="ZQ274" s="844"/>
      <c r="ZR274" s="844"/>
      <c r="ZS274" s="844"/>
      <c r="ZT274" s="844"/>
      <c r="ZU274" s="844"/>
      <c r="ZV274" s="844"/>
      <c r="ZW274" s="844"/>
      <c r="ZX274" s="844"/>
      <c r="ZY274" s="844"/>
      <c r="ZZ274" s="844"/>
      <c r="AAA274" s="844"/>
      <c r="AAB274" s="844"/>
      <c r="AAC274" s="844"/>
      <c r="AAD274" s="844"/>
      <c r="AAE274" s="844"/>
      <c r="AAF274" s="844"/>
      <c r="AAG274" s="844"/>
      <c r="AAH274" s="844"/>
      <c r="AAI274" s="844"/>
      <c r="AAJ274" s="844"/>
      <c r="AAK274" s="844"/>
      <c r="AAL274" s="844"/>
      <c r="AAM274" s="844"/>
      <c r="AAN274" s="844"/>
      <c r="AAO274" s="844"/>
      <c r="AAP274" s="844"/>
      <c r="AAQ274" s="844"/>
      <c r="AAR274" s="844"/>
      <c r="AAS274" s="844"/>
      <c r="AAT274" s="844"/>
      <c r="AAU274" s="844"/>
      <c r="AAV274" s="844"/>
      <c r="AAW274" s="844"/>
      <c r="AAX274" s="844"/>
      <c r="AAY274" s="844"/>
      <c r="AAZ274" s="844"/>
      <c r="ABA274" s="844"/>
      <c r="ABB274" s="844"/>
      <c r="ABC274" s="844"/>
      <c r="ABD274" s="844"/>
      <c r="ABE274" s="844"/>
      <c r="ABF274" s="844"/>
      <c r="ABG274" s="844"/>
      <c r="ABH274" s="844"/>
      <c r="ABI274" s="844"/>
      <c r="ABJ274" s="844"/>
      <c r="ABK274" s="844"/>
      <c r="ABL274" s="844"/>
      <c r="ABM274" s="844"/>
      <c r="ABN274" s="844"/>
      <c r="ABO274" s="844"/>
      <c r="ABP274" s="844"/>
      <c r="ABQ274" s="844"/>
      <c r="ABR274" s="844"/>
      <c r="ABS274" s="844"/>
      <c r="ABT274" s="844"/>
      <c r="ABU274" s="844"/>
      <c r="ABV274" s="844"/>
      <c r="ABW274" s="844"/>
      <c r="ABX274" s="844"/>
      <c r="ABY274" s="844"/>
      <c r="ABZ274" s="844"/>
      <c r="ACA274" s="844"/>
      <c r="ACB274" s="844"/>
      <c r="ACC274" s="844"/>
      <c r="ACD274" s="844"/>
      <c r="ACE274" s="844"/>
      <c r="ACF274" s="844"/>
      <c r="ACG274" s="844"/>
      <c r="ACH274" s="844"/>
      <c r="ACI274" s="844"/>
      <c r="ACJ274" s="844"/>
      <c r="ACK274" s="844"/>
      <c r="ACL274" s="844"/>
      <c r="ACM274" s="844"/>
      <c r="ACN274" s="844"/>
      <c r="ACO274" s="844"/>
      <c r="ACP274" s="844"/>
      <c r="ACQ274" s="844"/>
      <c r="ACR274" s="844"/>
      <c r="ACS274" s="844"/>
      <c r="ACT274" s="844"/>
      <c r="ACU274" s="844"/>
      <c r="ACV274" s="844"/>
      <c r="ACW274" s="844"/>
      <c r="ACX274" s="844"/>
      <c r="ACY274" s="844"/>
      <c r="ACZ274" s="844"/>
      <c r="ADA274" s="844"/>
      <c r="ADB274" s="844"/>
      <c r="ADC274" s="844"/>
      <c r="ADD274" s="844"/>
      <c r="ADE274" s="844"/>
      <c r="ADF274" s="844"/>
      <c r="ADG274" s="844"/>
      <c r="ADH274" s="844"/>
      <c r="ADI274" s="844"/>
      <c r="ADJ274" s="844"/>
      <c r="ADK274" s="844"/>
      <c r="ADL274" s="844"/>
      <c r="ADM274" s="844"/>
      <c r="ADN274" s="844"/>
      <c r="ADO274" s="844"/>
      <c r="ADP274" s="844"/>
      <c r="ADQ274" s="844"/>
      <c r="ADR274" s="844"/>
      <c r="ADS274" s="844"/>
      <c r="ADT274" s="844"/>
      <c r="ADU274" s="844"/>
      <c r="ADV274" s="844"/>
      <c r="ADW274" s="844"/>
      <c r="ADX274" s="844"/>
      <c r="ADY274" s="844"/>
      <c r="ADZ274" s="844"/>
      <c r="AEA274" s="844"/>
      <c r="AEB274" s="844"/>
      <c r="AEC274" s="844"/>
      <c r="AED274" s="844"/>
      <c r="AEE274" s="844"/>
      <c r="AEF274" s="844"/>
      <c r="AEG274" s="844"/>
      <c r="AEH274" s="844"/>
      <c r="AEI274" s="844"/>
      <c r="AEJ274" s="844"/>
      <c r="AEK274" s="844"/>
      <c r="AEL274" s="844"/>
      <c r="AEM274" s="844"/>
      <c r="AEN274" s="844"/>
      <c r="AEO274" s="844"/>
      <c r="AEP274" s="844"/>
      <c r="AEQ274" s="844"/>
      <c r="AER274" s="844"/>
      <c r="AES274" s="844"/>
      <c r="AET274" s="844"/>
      <c r="AEU274" s="844"/>
      <c r="AEV274" s="844"/>
      <c r="AEW274" s="844"/>
      <c r="AEX274" s="844"/>
      <c r="AEY274" s="844"/>
      <c r="AEZ274" s="844"/>
      <c r="AFA274" s="844"/>
      <c r="AFB274" s="844"/>
      <c r="AFC274" s="844"/>
      <c r="AFD274" s="844"/>
      <c r="AFE274" s="844"/>
      <c r="AFF274" s="844"/>
      <c r="AFG274" s="844"/>
      <c r="AFH274" s="844"/>
      <c r="AFI274" s="844"/>
      <c r="AFJ274" s="844"/>
      <c r="AFK274" s="844"/>
      <c r="AFL274" s="844"/>
      <c r="AFM274" s="844"/>
      <c r="AFN274" s="844"/>
      <c r="AFO274" s="844"/>
      <c r="AFP274" s="844"/>
      <c r="AFQ274" s="844"/>
      <c r="AFR274" s="844"/>
      <c r="AFS274" s="844"/>
      <c r="AFT274" s="844"/>
      <c r="AFU274" s="844"/>
      <c r="AFV274" s="844"/>
      <c r="AFW274" s="844"/>
      <c r="AFX274" s="844"/>
      <c r="AFY274" s="844"/>
      <c r="AFZ274" s="844"/>
      <c r="AGA274" s="844"/>
      <c r="AGB274" s="844"/>
      <c r="AGC274" s="844"/>
      <c r="AGD274" s="844"/>
      <c r="AGE274" s="844"/>
      <c r="AGF274" s="844"/>
      <c r="AGG274" s="844"/>
      <c r="AGH274" s="844"/>
      <c r="AGI274" s="844"/>
      <c r="AGJ274" s="844"/>
    </row>
    <row r="275" spans="1:868" s="845" customFormat="1" hidden="1">
      <c r="A275" s="152" t="s">
        <v>191</v>
      </c>
      <c r="B275" s="34" t="s">
        <v>217</v>
      </c>
      <c r="C275" s="40" t="s">
        <v>147</v>
      </c>
      <c r="D275" s="34" t="s">
        <v>147</v>
      </c>
      <c r="E275" s="40">
        <v>2.7E-4</v>
      </c>
      <c r="F275" s="235">
        <v>2</v>
      </c>
      <c r="G275" s="40" t="s">
        <v>218</v>
      </c>
      <c r="H275" s="29">
        <v>1</v>
      </c>
      <c r="I275" s="9"/>
      <c r="J275" s="9">
        <v>1</v>
      </c>
      <c r="K275" s="9">
        <v>3</v>
      </c>
      <c r="L275" s="9">
        <v>3</v>
      </c>
      <c r="M275" s="9">
        <v>3</v>
      </c>
      <c r="N275" s="186">
        <f t="shared" si="15"/>
        <v>1.1181151966036349</v>
      </c>
      <c r="O275" s="160" t="str">
        <f t="shared" si="13"/>
        <v/>
      </c>
      <c r="P275" s="858"/>
      <c r="Q275" s="844"/>
      <c r="R275" s="844"/>
      <c r="S275" s="844"/>
      <c r="T275" s="844"/>
      <c r="U275" s="844"/>
      <c r="V275" s="844"/>
      <c r="W275" s="844"/>
      <c r="X275" s="844"/>
      <c r="Y275" s="844"/>
      <c r="Z275" s="844"/>
      <c r="AA275" s="844"/>
      <c r="AB275" s="844"/>
      <c r="AC275" s="844"/>
      <c r="AD275" s="844"/>
      <c r="AE275" s="844"/>
      <c r="AF275" s="844"/>
      <c r="AG275" s="844"/>
      <c r="AH275" s="844"/>
      <c r="AI275" s="844"/>
      <c r="AJ275" s="844"/>
      <c r="AK275" s="844"/>
      <c r="AL275" s="844"/>
      <c r="AM275" s="844"/>
      <c r="AN275" s="844"/>
      <c r="AO275" s="844"/>
      <c r="AP275" s="844"/>
      <c r="AQ275" s="844"/>
      <c r="AR275" s="844"/>
      <c r="AS275" s="844"/>
      <c r="AT275" s="844"/>
      <c r="AU275" s="844"/>
      <c r="AV275" s="844"/>
      <c r="AW275" s="844"/>
      <c r="AX275" s="844"/>
      <c r="AY275" s="844"/>
      <c r="AZ275" s="844"/>
      <c r="BA275" s="844"/>
      <c r="BB275" s="844"/>
      <c r="BC275" s="844"/>
      <c r="BD275" s="844"/>
      <c r="BE275" s="844"/>
      <c r="BF275" s="844"/>
      <c r="BG275" s="844"/>
      <c r="BH275" s="844"/>
      <c r="BI275" s="844"/>
      <c r="BJ275" s="844"/>
      <c r="BK275" s="844"/>
      <c r="BL275" s="844"/>
      <c r="BM275" s="844"/>
      <c r="BN275" s="844"/>
      <c r="BO275" s="844"/>
      <c r="BP275" s="844"/>
      <c r="BQ275" s="844"/>
      <c r="BR275" s="844"/>
      <c r="BS275" s="844"/>
      <c r="BT275" s="844"/>
      <c r="BU275" s="844"/>
      <c r="BV275" s="844"/>
      <c r="BW275" s="844"/>
      <c r="BX275" s="844"/>
      <c r="BY275" s="844"/>
      <c r="BZ275" s="844"/>
      <c r="CA275" s="844"/>
      <c r="CB275" s="844"/>
      <c r="CC275" s="844"/>
      <c r="CD275" s="844"/>
      <c r="CE275" s="844"/>
      <c r="CF275" s="844"/>
      <c r="CG275" s="844"/>
      <c r="CH275" s="844"/>
      <c r="CI275" s="844"/>
      <c r="CJ275" s="844"/>
      <c r="CK275" s="844"/>
      <c r="CL275" s="844"/>
      <c r="CM275" s="844"/>
      <c r="CN275" s="844"/>
      <c r="CO275" s="844"/>
      <c r="CP275" s="844"/>
      <c r="CQ275" s="844"/>
      <c r="CR275" s="844"/>
      <c r="CS275" s="844"/>
      <c r="CT275" s="844"/>
      <c r="CU275" s="844"/>
      <c r="CV275" s="844"/>
      <c r="CW275" s="844"/>
      <c r="CX275" s="844"/>
      <c r="CY275" s="844"/>
      <c r="CZ275" s="844"/>
      <c r="DA275" s="844"/>
      <c r="DB275" s="844"/>
      <c r="DC275" s="844"/>
      <c r="DD275" s="844"/>
      <c r="DE275" s="844"/>
      <c r="DF275" s="844"/>
      <c r="DG275" s="844"/>
      <c r="DH275" s="844"/>
      <c r="DI275" s="844"/>
      <c r="DJ275" s="844"/>
      <c r="DK275" s="844"/>
      <c r="DL275" s="844"/>
      <c r="DM275" s="844"/>
      <c r="DN275" s="844"/>
      <c r="DO275" s="844"/>
      <c r="DP275" s="844"/>
      <c r="DQ275" s="844"/>
      <c r="DR275" s="844"/>
      <c r="DS275" s="844"/>
      <c r="DT275" s="844"/>
      <c r="DU275" s="844"/>
      <c r="DV275" s="844"/>
      <c r="DW275" s="844"/>
      <c r="DX275" s="844"/>
      <c r="DY275" s="844"/>
      <c r="DZ275" s="844"/>
      <c r="EA275" s="844"/>
      <c r="EB275" s="844"/>
      <c r="EC275" s="844"/>
      <c r="ED275" s="844"/>
      <c r="EE275" s="844"/>
      <c r="EF275" s="844"/>
      <c r="EG275" s="844"/>
      <c r="EH275" s="844"/>
      <c r="EI275" s="844"/>
      <c r="EJ275" s="844"/>
      <c r="EK275" s="844"/>
      <c r="EL275" s="844"/>
      <c r="EM275" s="844"/>
      <c r="EN275" s="844"/>
      <c r="EO275" s="844"/>
      <c r="EP275" s="844"/>
      <c r="EQ275" s="844"/>
      <c r="ER275" s="844"/>
      <c r="ES275" s="844"/>
      <c r="ET275" s="844"/>
      <c r="EU275" s="844"/>
      <c r="EV275" s="844"/>
      <c r="EW275" s="844"/>
      <c r="EX275" s="844"/>
      <c r="EY275" s="844"/>
      <c r="EZ275" s="844"/>
      <c r="FA275" s="844"/>
      <c r="FB275" s="844"/>
      <c r="FC275" s="844"/>
      <c r="FD275" s="844"/>
      <c r="FE275" s="844"/>
      <c r="FF275" s="844"/>
      <c r="FG275" s="844"/>
      <c r="FH275" s="844"/>
      <c r="FI275" s="844"/>
      <c r="FJ275" s="844"/>
      <c r="FK275" s="844"/>
      <c r="FL275" s="844"/>
      <c r="FM275" s="844"/>
      <c r="FN275" s="844"/>
      <c r="FO275" s="844"/>
      <c r="FP275" s="844"/>
      <c r="FQ275" s="844"/>
      <c r="FR275" s="844"/>
      <c r="FS275" s="844"/>
      <c r="FT275" s="844"/>
      <c r="FU275" s="844"/>
      <c r="FV275" s="844"/>
      <c r="FW275" s="844"/>
      <c r="FX275" s="844"/>
      <c r="FY275" s="844"/>
      <c r="FZ275" s="844"/>
      <c r="GA275" s="844"/>
      <c r="GB275" s="844"/>
      <c r="GC275" s="844"/>
      <c r="GD275" s="844"/>
      <c r="GE275" s="844"/>
      <c r="GF275" s="844"/>
      <c r="GG275" s="844"/>
      <c r="GH275" s="844"/>
      <c r="GI275" s="844"/>
      <c r="GJ275" s="844"/>
      <c r="GK275" s="844"/>
      <c r="GL275" s="844"/>
      <c r="GM275" s="844"/>
      <c r="GN275" s="844"/>
      <c r="GO275" s="844"/>
      <c r="GP275" s="844"/>
      <c r="GQ275" s="844"/>
      <c r="GR275" s="844"/>
      <c r="GS275" s="844"/>
      <c r="GT275" s="844"/>
      <c r="GU275" s="844"/>
      <c r="GV275" s="844"/>
      <c r="GW275" s="844"/>
      <c r="GX275" s="844"/>
      <c r="GY275" s="844"/>
      <c r="GZ275" s="844"/>
      <c r="HA275" s="844"/>
      <c r="HB275" s="844"/>
      <c r="HC275" s="844"/>
      <c r="HD275" s="844"/>
      <c r="HE275" s="844"/>
      <c r="HF275" s="844"/>
      <c r="HG275" s="844"/>
      <c r="HH275" s="844"/>
      <c r="HI275" s="844"/>
      <c r="HJ275" s="844"/>
      <c r="HK275" s="844"/>
      <c r="HL275" s="844"/>
      <c r="HM275" s="844"/>
      <c r="HN275" s="844"/>
      <c r="HO275" s="844"/>
      <c r="HP275" s="844"/>
      <c r="HQ275" s="844"/>
      <c r="HR275" s="844"/>
      <c r="HS275" s="844"/>
      <c r="HT275" s="844"/>
      <c r="HU275" s="844"/>
      <c r="HV275" s="844"/>
      <c r="HW275" s="844"/>
      <c r="HX275" s="844"/>
      <c r="HY275" s="844"/>
      <c r="HZ275" s="844"/>
      <c r="IA275" s="844"/>
      <c r="IB275" s="844"/>
      <c r="IC275" s="844"/>
      <c r="ID275" s="844"/>
      <c r="IE275" s="844"/>
      <c r="IF275" s="844"/>
      <c r="IG275" s="844"/>
      <c r="IH275" s="844"/>
      <c r="II275" s="844"/>
      <c r="IJ275" s="844"/>
      <c r="IK275" s="844"/>
      <c r="IL275" s="844"/>
      <c r="IM275" s="844"/>
      <c r="IN275" s="844"/>
      <c r="IO275" s="844"/>
      <c r="IP275" s="844"/>
      <c r="IQ275" s="844"/>
      <c r="IR275" s="844"/>
      <c r="IS275" s="844"/>
      <c r="IT275" s="844"/>
      <c r="IU275" s="844"/>
      <c r="IV275" s="844"/>
      <c r="IW275" s="844"/>
      <c r="IX275" s="844"/>
      <c r="IY275" s="844"/>
      <c r="IZ275" s="844"/>
      <c r="JA275" s="844"/>
      <c r="JB275" s="844"/>
      <c r="JC275" s="844"/>
      <c r="JD275" s="844"/>
      <c r="JE275" s="844"/>
      <c r="JF275" s="844"/>
      <c r="JG275" s="844"/>
      <c r="JH275" s="844"/>
      <c r="JI275" s="844"/>
      <c r="JJ275" s="844"/>
      <c r="JK275" s="844"/>
      <c r="JL275" s="844"/>
      <c r="JM275" s="844"/>
      <c r="JN275" s="844"/>
      <c r="JO275" s="844"/>
      <c r="JP275" s="844"/>
      <c r="JQ275" s="844"/>
      <c r="JR275" s="844"/>
      <c r="JS275" s="844"/>
      <c r="JT275" s="844"/>
      <c r="JU275" s="844"/>
      <c r="JV275" s="844"/>
      <c r="JW275" s="844"/>
      <c r="JX275" s="844"/>
      <c r="JY275" s="844"/>
      <c r="JZ275" s="844"/>
      <c r="KA275" s="844"/>
      <c r="KB275" s="844"/>
      <c r="KC275" s="844"/>
      <c r="KD275" s="844"/>
      <c r="KE275" s="844"/>
      <c r="KF275" s="844"/>
      <c r="KG275" s="844"/>
      <c r="KH275" s="844"/>
      <c r="KI275" s="844"/>
      <c r="KJ275" s="844"/>
      <c r="KK275" s="844"/>
      <c r="KL275" s="844"/>
      <c r="KM275" s="844"/>
      <c r="KN275" s="844"/>
      <c r="KO275" s="844"/>
      <c r="KP275" s="844"/>
      <c r="KQ275" s="844"/>
      <c r="KR275" s="844"/>
      <c r="KS275" s="844"/>
      <c r="KT275" s="844"/>
      <c r="KU275" s="844"/>
      <c r="KV275" s="844"/>
      <c r="KW275" s="844"/>
      <c r="KX275" s="844"/>
      <c r="KY275" s="844"/>
      <c r="KZ275" s="844"/>
      <c r="LA275" s="844"/>
      <c r="LB275" s="844"/>
      <c r="LC275" s="844"/>
      <c r="LD275" s="844"/>
      <c r="LE275" s="844"/>
      <c r="LF275" s="844"/>
      <c r="LG275" s="844"/>
      <c r="LH275" s="844"/>
      <c r="LI275" s="844"/>
      <c r="LJ275" s="844"/>
      <c r="LK275" s="844"/>
      <c r="LL275" s="844"/>
      <c r="LM275" s="844"/>
      <c r="LN275" s="844"/>
      <c r="LO275" s="844"/>
      <c r="LP275" s="844"/>
      <c r="LQ275" s="844"/>
      <c r="LR275" s="844"/>
      <c r="LS275" s="844"/>
      <c r="LT275" s="844"/>
      <c r="LU275" s="844"/>
      <c r="LV275" s="844"/>
      <c r="LW275" s="844"/>
      <c r="LX275" s="844"/>
      <c r="LY275" s="844"/>
      <c r="LZ275" s="844"/>
      <c r="MA275" s="844"/>
      <c r="MB275" s="844"/>
      <c r="MC275" s="844"/>
      <c r="MD275" s="844"/>
      <c r="ME275" s="844"/>
      <c r="MF275" s="844"/>
      <c r="MG275" s="844"/>
      <c r="MH275" s="844"/>
      <c r="MI275" s="844"/>
      <c r="MJ275" s="844"/>
      <c r="MK275" s="844"/>
      <c r="ML275" s="844"/>
      <c r="MM275" s="844"/>
      <c r="MN275" s="844"/>
      <c r="MO275" s="844"/>
      <c r="MP275" s="844"/>
      <c r="MQ275" s="844"/>
      <c r="MR275" s="844"/>
      <c r="MS275" s="844"/>
      <c r="MT275" s="844"/>
      <c r="MU275" s="844"/>
      <c r="MV275" s="844"/>
      <c r="MW275" s="844"/>
      <c r="MX275" s="844"/>
      <c r="MY275" s="844"/>
      <c r="MZ275" s="844"/>
      <c r="NA275" s="844"/>
      <c r="NB275" s="844"/>
      <c r="NC275" s="844"/>
      <c r="ND275" s="844"/>
      <c r="NE275" s="844"/>
      <c r="NF275" s="844"/>
      <c r="NG275" s="844"/>
      <c r="NH275" s="844"/>
      <c r="NI275" s="844"/>
      <c r="NJ275" s="844"/>
      <c r="NK275" s="844"/>
      <c r="NL275" s="844"/>
      <c r="NM275" s="844"/>
      <c r="NN275" s="844"/>
      <c r="NO275" s="844"/>
      <c r="NP275" s="844"/>
      <c r="NQ275" s="844"/>
      <c r="NR275" s="844"/>
      <c r="NS275" s="844"/>
      <c r="NT275" s="844"/>
      <c r="NU275" s="844"/>
      <c r="NV275" s="844"/>
      <c r="NW275" s="844"/>
      <c r="NX275" s="844"/>
      <c r="NY275" s="844"/>
      <c r="NZ275" s="844"/>
      <c r="OA275" s="844"/>
      <c r="OB275" s="844"/>
      <c r="OC275" s="844"/>
      <c r="OD275" s="844"/>
      <c r="OE275" s="844"/>
      <c r="OF275" s="844"/>
      <c r="OG275" s="844"/>
      <c r="OH275" s="844"/>
      <c r="OI275" s="844"/>
      <c r="OJ275" s="844"/>
      <c r="OK275" s="844"/>
      <c r="OL275" s="844"/>
      <c r="OM275" s="844"/>
      <c r="ON275" s="844"/>
      <c r="OO275" s="844"/>
      <c r="OP275" s="844"/>
      <c r="OQ275" s="844"/>
      <c r="OR275" s="844"/>
      <c r="OS275" s="844"/>
      <c r="OT275" s="844"/>
      <c r="OU275" s="844"/>
      <c r="OV275" s="844"/>
      <c r="OW275" s="844"/>
      <c r="OX275" s="844"/>
      <c r="OY275" s="844"/>
      <c r="OZ275" s="844"/>
      <c r="PA275" s="844"/>
      <c r="PB275" s="844"/>
      <c r="PC275" s="844"/>
      <c r="PD275" s="844"/>
      <c r="PE275" s="844"/>
      <c r="PF275" s="844"/>
      <c r="PG275" s="844"/>
      <c r="PH275" s="844"/>
      <c r="PI275" s="844"/>
      <c r="PJ275" s="844"/>
      <c r="PK275" s="844"/>
      <c r="PL275" s="844"/>
      <c r="PM275" s="844"/>
      <c r="PN275" s="844"/>
      <c r="PO275" s="844"/>
      <c r="PP275" s="844"/>
      <c r="PQ275" s="844"/>
      <c r="PR275" s="844"/>
      <c r="PS275" s="844"/>
      <c r="PT275" s="844"/>
      <c r="PU275" s="844"/>
      <c r="PV275" s="844"/>
      <c r="PW275" s="844"/>
      <c r="PX275" s="844"/>
      <c r="PY275" s="844"/>
      <c r="PZ275" s="844"/>
      <c r="QA275" s="844"/>
      <c r="QB275" s="844"/>
      <c r="QC275" s="844"/>
      <c r="QD275" s="844"/>
      <c r="QE275" s="844"/>
      <c r="QF275" s="844"/>
      <c r="QG275" s="844"/>
      <c r="QH275" s="844"/>
      <c r="QI275" s="844"/>
      <c r="QJ275" s="844"/>
      <c r="QK275" s="844"/>
      <c r="QL275" s="844"/>
      <c r="QM275" s="844"/>
      <c r="QN275" s="844"/>
      <c r="QO275" s="844"/>
      <c r="QP275" s="844"/>
      <c r="QQ275" s="844"/>
      <c r="QR275" s="844"/>
      <c r="QS275" s="844"/>
      <c r="QT275" s="844"/>
      <c r="QU275" s="844"/>
      <c r="QV275" s="844"/>
      <c r="QW275" s="844"/>
      <c r="QX275" s="844"/>
      <c r="QY275" s="844"/>
      <c r="QZ275" s="844"/>
      <c r="RA275" s="844"/>
      <c r="RB275" s="844"/>
      <c r="RC275" s="844"/>
      <c r="RD275" s="844"/>
      <c r="RE275" s="844"/>
      <c r="RF275" s="844"/>
      <c r="RG275" s="844"/>
      <c r="RH275" s="844"/>
      <c r="RI275" s="844"/>
      <c r="RJ275" s="844"/>
      <c r="RK275" s="844"/>
      <c r="RL275" s="844"/>
      <c r="RM275" s="844"/>
      <c r="RN275" s="844"/>
      <c r="RO275" s="844"/>
      <c r="RP275" s="844"/>
      <c r="RQ275" s="844"/>
      <c r="RR275" s="844"/>
      <c r="RS275" s="844"/>
      <c r="RT275" s="844"/>
      <c r="RU275" s="844"/>
      <c r="RV275" s="844"/>
      <c r="RW275" s="844"/>
      <c r="RX275" s="844"/>
      <c r="RY275" s="844"/>
      <c r="RZ275" s="844"/>
      <c r="SA275" s="844"/>
      <c r="SB275" s="844"/>
      <c r="SC275" s="844"/>
      <c r="SD275" s="844"/>
      <c r="SE275" s="844"/>
      <c r="SF275" s="844"/>
      <c r="SG275" s="844"/>
      <c r="SH275" s="844"/>
      <c r="SI275" s="844"/>
      <c r="SJ275" s="844"/>
      <c r="SK275" s="844"/>
      <c r="SL275" s="844"/>
      <c r="SM275" s="844"/>
      <c r="SN275" s="844"/>
      <c r="SO275" s="844"/>
      <c r="SP275" s="844"/>
      <c r="SQ275" s="844"/>
      <c r="SR275" s="844"/>
      <c r="SS275" s="844"/>
      <c r="ST275" s="844"/>
      <c r="SU275" s="844"/>
      <c r="SV275" s="844"/>
      <c r="SW275" s="844"/>
      <c r="SX275" s="844"/>
      <c r="SY275" s="844"/>
      <c r="SZ275" s="844"/>
      <c r="TA275" s="844"/>
      <c r="TB275" s="844"/>
      <c r="TC275" s="844"/>
      <c r="TD275" s="844"/>
      <c r="TE275" s="844"/>
      <c r="TF275" s="844"/>
      <c r="TG275" s="844"/>
      <c r="TH275" s="844"/>
      <c r="TI275" s="844"/>
      <c r="TJ275" s="844"/>
      <c r="TK275" s="844"/>
      <c r="TL275" s="844"/>
      <c r="TM275" s="844"/>
      <c r="TN275" s="844"/>
      <c r="TO275" s="844"/>
      <c r="TP275" s="844"/>
      <c r="TQ275" s="844"/>
      <c r="TR275" s="844"/>
      <c r="TS275" s="844"/>
      <c r="TT275" s="844"/>
      <c r="TU275" s="844"/>
      <c r="TV275" s="844"/>
      <c r="TW275" s="844"/>
      <c r="TX275" s="844"/>
      <c r="TY275" s="844"/>
      <c r="TZ275" s="844"/>
      <c r="UA275" s="844"/>
      <c r="UB275" s="844"/>
      <c r="UC275" s="844"/>
      <c r="UD275" s="844"/>
      <c r="UE275" s="844"/>
      <c r="UF275" s="844"/>
      <c r="UG275" s="844"/>
      <c r="UH275" s="844"/>
      <c r="UI275" s="844"/>
      <c r="UJ275" s="844"/>
      <c r="UK275" s="844"/>
      <c r="UL275" s="844"/>
      <c r="UM275" s="844"/>
      <c r="UN275" s="844"/>
      <c r="UO275" s="844"/>
      <c r="UP275" s="844"/>
      <c r="UQ275" s="844"/>
      <c r="UR275" s="844"/>
      <c r="US275" s="844"/>
      <c r="UT275" s="844"/>
      <c r="UU275" s="844"/>
      <c r="UV275" s="844"/>
      <c r="UW275" s="844"/>
      <c r="UX275" s="844"/>
      <c r="UY275" s="844"/>
      <c r="UZ275" s="844"/>
      <c r="VA275" s="844"/>
      <c r="VB275" s="844"/>
      <c r="VC275" s="844"/>
      <c r="VD275" s="844"/>
      <c r="VE275" s="844"/>
      <c r="VF275" s="844"/>
      <c r="VG275" s="844"/>
      <c r="VH275" s="844"/>
      <c r="VI275" s="844"/>
      <c r="VJ275" s="844"/>
      <c r="VK275" s="844"/>
      <c r="VL275" s="844"/>
      <c r="VM275" s="844"/>
      <c r="VN275" s="844"/>
      <c r="VO275" s="844"/>
      <c r="VP275" s="844"/>
      <c r="VQ275" s="844"/>
      <c r="VR275" s="844"/>
      <c r="VS275" s="844"/>
      <c r="VT275" s="844"/>
      <c r="VU275" s="844"/>
      <c r="VV275" s="844"/>
      <c r="VW275" s="844"/>
      <c r="VX275" s="844"/>
      <c r="VY275" s="844"/>
      <c r="VZ275" s="844"/>
      <c r="WA275" s="844"/>
      <c r="WB275" s="844"/>
      <c r="WC275" s="844"/>
      <c r="WD275" s="844"/>
      <c r="WE275" s="844"/>
      <c r="WF275" s="844"/>
      <c r="WG275" s="844"/>
      <c r="WH275" s="844"/>
      <c r="WI275" s="844"/>
      <c r="WJ275" s="844"/>
      <c r="WK275" s="844"/>
      <c r="WL275" s="844"/>
      <c r="WM275" s="844"/>
      <c r="WN275" s="844"/>
      <c r="WO275" s="844"/>
      <c r="WP275" s="844"/>
      <c r="WQ275" s="844"/>
      <c r="WR275" s="844"/>
      <c r="WS275" s="844"/>
      <c r="WT275" s="844"/>
      <c r="WU275" s="844"/>
      <c r="WV275" s="844"/>
      <c r="WW275" s="844"/>
      <c r="WX275" s="844"/>
      <c r="WY275" s="844"/>
      <c r="WZ275" s="844"/>
      <c r="XA275" s="844"/>
      <c r="XB275" s="844"/>
      <c r="XC275" s="844"/>
      <c r="XD275" s="844"/>
      <c r="XE275" s="844"/>
      <c r="XF275" s="844"/>
      <c r="XG275" s="844"/>
      <c r="XH275" s="844"/>
      <c r="XI275" s="844"/>
      <c r="XJ275" s="844"/>
      <c r="XK275" s="844"/>
      <c r="XL275" s="844"/>
      <c r="XM275" s="844"/>
      <c r="XN275" s="844"/>
      <c r="XO275" s="844"/>
      <c r="XP275" s="844"/>
      <c r="XQ275" s="844"/>
      <c r="XR275" s="844"/>
      <c r="XS275" s="844"/>
      <c r="XT275" s="844"/>
      <c r="XU275" s="844"/>
      <c r="XV275" s="844"/>
      <c r="XW275" s="844"/>
      <c r="XX275" s="844"/>
      <c r="XY275" s="844"/>
      <c r="XZ275" s="844"/>
      <c r="YA275" s="844"/>
      <c r="YB275" s="844"/>
      <c r="YC275" s="844"/>
      <c r="YD275" s="844"/>
      <c r="YE275" s="844"/>
      <c r="YF275" s="844"/>
      <c r="YG275" s="844"/>
      <c r="YH275" s="844"/>
      <c r="YI275" s="844"/>
      <c r="YJ275" s="844"/>
      <c r="YK275" s="844"/>
      <c r="YL275" s="844"/>
      <c r="YM275" s="844"/>
      <c r="YN275" s="844"/>
      <c r="YO275" s="844"/>
      <c r="YP275" s="844"/>
      <c r="YQ275" s="844"/>
      <c r="YR275" s="844"/>
      <c r="YS275" s="844"/>
      <c r="YT275" s="844"/>
      <c r="YU275" s="844"/>
      <c r="YV275" s="844"/>
      <c r="YW275" s="844"/>
      <c r="YX275" s="844"/>
      <c r="YY275" s="844"/>
      <c r="YZ275" s="844"/>
      <c r="ZA275" s="844"/>
      <c r="ZB275" s="844"/>
      <c r="ZC275" s="844"/>
      <c r="ZD275" s="844"/>
      <c r="ZE275" s="844"/>
      <c r="ZF275" s="844"/>
      <c r="ZG275" s="844"/>
      <c r="ZH275" s="844"/>
      <c r="ZI275" s="844"/>
      <c r="ZJ275" s="844"/>
      <c r="ZK275" s="844"/>
      <c r="ZL275" s="844"/>
      <c r="ZM275" s="844"/>
      <c r="ZN275" s="844"/>
      <c r="ZO275" s="844"/>
      <c r="ZP275" s="844"/>
      <c r="ZQ275" s="844"/>
      <c r="ZR275" s="844"/>
      <c r="ZS275" s="844"/>
      <c r="ZT275" s="844"/>
      <c r="ZU275" s="844"/>
      <c r="ZV275" s="844"/>
      <c r="ZW275" s="844"/>
      <c r="ZX275" s="844"/>
      <c r="ZY275" s="844"/>
      <c r="ZZ275" s="844"/>
      <c r="AAA275" s="844"/>
      <c r="AAB275" s="844"/>
      <c r="AAC275" s="844"/>
      <c r="AAD275" s="844"/>
      <c r="AAE275" s="844"/>
      <c r="AAF275" s="844"/>
      <c r="AAG275" s="844"/>
      <c r="AAH275" s="844"/>
      <c r="AAI275" s="844"/>
      <c r="AAJ275" s="844"/>
      <c r="AAK275" s="844"/>
      <c r="AAL275" s="844"/>
      <c r="AAM275" s="844"/>
      <c r="AAN275" s="844"/>
      <c r="AAO275" s="844"/>
      <c r="AAP275" s="844"/>
      <c r="AAQ275" s="844"/>
      <c r="AAR275" s="844"/>
      <c r="AAS275" s="844"/>
      <c r="AAT275" s="844"/>
      <c r="AAU275" s="844"/>
      <c r="AAV275" s="844"/>
      <c r="AAW275" s="844"/>
      <c r="AAX275" s="844"/>
      <c r="AAY275" s="844"/>
      <c r="AAZ275" s="844"/>
      <c r="ABA275" s="844"/>
      <c r="ABB275" s="844"/>
      <c r="ABC275" s="844"/>
      <c r="ABD275" s="844"/>
      <c r="ABE275" s="844"/>
      <c r="ABF275" s="844"/>
      <c r="ABG275" s="844"/>
      <c r="ABH275" s="844"/>
      <c r="ABI275" s="844"/>
      <c r="ABJ275" s="844"/>
      <c r="ABK275" s="844"/>
      <c r="ABL275" s="844"/>
      <c r="ABM275" s="844"/>
      <c r="ABN275" s="844"/>
      <c r="ABO275" s="844"/>
      <c r="ABP275" s="844"/>
      <c r="ABQ275" s="844"/>
      <c r="ABR275" s="844"/>
      <c r="ABS275" s="844"/>
      <c r="ABT275" s="844"/>
      <c r="ABU275" s="844"/>
      <c r="ABV275" s="844"/>
      <c r="ABW275" s="844"/>
      <c r="ABX275" s="844"/>
      <c r="ABY275" s="844"/>
      <c r="ABZ275" s="844"/>
      <c r="ACA275" s="844"/>
      <c r="ACB275" s="844"/>
      <c r="ACC275" s="844"/>
      <c r="ACD275" s="844"/>
      <c r="ACE275" s="844"/>
      <c r="ACF275" s="844"/>
      <c r="ACG275" s="844"/>
      <c r="ACH275" s="844"/>
      <c r="ACI275" s="844"/>
      <c r="ACJ275" s="844"/>
      <c r="ACK275" s="844"/>
      <c r="ACL275" s="844"/>
      <c r="ACM275" s="844"/>
      <c r="ACN275" s="844"/>
      <c r="ACO275" s="844"/>
      <c r="ACP275" s="844"/>
      <c r="ACQ275" s="844"/>
      <c r="ACR275" s="844"/>
      <c r="ACS275" s="844"/>
      <c r="ACT275" s="844"/>
      <c r="ACU275" s="844"/>
      <c r="ACV275" s="844"/>
      <c r="ACW275" s="844"/>
      <c r="ACX275" s="844"/>
      <c r="ACY275" s="844"/>
      <c r="ACZ275" s="844"/>
      <c r="ADA275" s="844"/>
      <c r="ADB275" s="844"/>
      <c r="ADC275" s="844"/>
      <c r="ADD275" s="844"/>
      <c r="ADE275" s="844"/>
      <c r="ADF275" s="844"/>
      <c r="ADG275" s="844"/>
      <c r="ADH275" s="844"/>
      <c r="ADI275" s="844"/>
      <c r="ADJ275" s="844"/>
      <c r="ADK275" s="844"/>
      <c r="ADL275" s="844"/>
      <c r="ADM275" s="844"/>
      <c r="ADN275" s="844"/>
      <c r="ADO275" s="844"/>
      <c r="ADP275" s="844"/>
      <c r="ADQ275" s="844"/>
      <c r="ADR275" s="844"/>
      <c r="ADS275" s="844"/>
      <c r="ADT275" s="844"/>
      <c r="ADU275" s="844"/>
      <c r="ADV275" s="844"/>
      <c r="ADW275" s="844"/>
      <c r="ADX275" s="844"/>
      <c r="ADY275" s="844"/>
      <c r="ADZ275" s="844"/>
      <c r="AEA275" s="844"/>
      <c r="AEB275" s="844"/>
      <c r="AEC275" s="844"/>
      <c r="AED275" s="844"/>
      <c r="AEE275" s="844"/>
      <c r="AEF275" s="844"/>
      <c r="AEG275" s="844"/>
      <c r="AEH275" s="844"/>
      <c r="AEI275" s="844"/>
      <c r="AEJ275" s="844"/>
      <c r="AEK275" s="844"/>
      <c r="AEL275" s="844"/>
      <c r="AEM275" s="844"/>
      <c r="AEN275" s="844"/>
      <c r="AEO275" s="844"/>
      <c r="AEP275" s="844"/>
      <c r="AEQ275" s="844"/>
      <c r="AER275" s="844"/>
      <c r="AES275" s="844"/>
      <c r="AET275" s="844"/>
      <c r="AEU275" s="844"/>
      <c r="AEV275" s="844"/>
      <c r="AEW275" s="844"/>
      <c r="AEX275" s="844"/>
      <c r="AEY275" s="844"/>
      <c r="AEZ275" s="844"/>
      <c r="AFA275" s="844"/>
      <c r="AFB275" s="844"/>
      <c r="AFC275" s="844"/>
      <c r="AFD275" s="844"/>
      <c r="AFE275" s="844"/>
      <c r="AFF275" s="844"/>
      <c r="AFG275" s="844"/>
      <c r="AFH275" s="844"/>
      <c r="AFI275" s="844"/>
      <c r="AFJ275" s="844"/>
      <c r="AFK275" s="844"/>
      <c r="AFL275" s="844"/>
      <c r="AFM275" s="844"/>
      <c r="AFN275" s="844"/>
      <c r="AFO275" s="844"/>
      <c r="AFP275" s="844"/>
      <c r="AFQ275" s="844"/>
      <c r="AFR275" s="844"/>
      <c r="AFS275" s="844"/>
      <c r="AFT275" s="844"/>
      <c r="AFU275" s="844"/>
      <c r="AFV275" s="844"/>
      <c r="AFW275" s="844"/>
      <c r="AFX275" s="844"/>
      <c r="AFY275" s="844"/>
      <c r="AFZ275" s="844"/>
      <c r="AGA275" s="844"/>
      <c r="AGB275" s="844"/>
      <c r="AGC275" s="844"/>
      <c r="AGD275" s="844"/>
      <c r="AGE275" s="844"/>
      <c r="AGF275" s="844"/>
      <c r="AGG275" s="844"/>
      <c r="AGH275" s="844"/>
      <c r="AGI275" s="844"/>
      <c r="AGJ275" s="844"/>
    </row>
    <row r="276" spans="1:868" s="845" customFormat="1" hidden="1">
      <c r="A276" s="292" t="s">
        <v>179</v>
      </c>
      <c r="B276" s="55" t="s">
        <v>217</v>
      </c>
      <c r="C276" s="265" t="s">
        <v>147</v>
      </c>
      <c r="D276" s="55" t="s">
        <v>147</v>
      </c>
      <c r="E276" s="260">
        <v>2.7E-4</v>
      </c>
      <c r="F276" s="235">
        <v>2</v>
      </c>
      <c r="G276" s="265" t="s">
        <v>171</v>
      </c>
      <c r="H276" s="29">
        <v>2</v>
      </c>
      <c r="I276" s="9">
        <v>2</v>
      </c>
      <c r="J276" s="9">
        <v>2</v>
      </c>
      <c r="K276" s="9">
        <v>3</v>
      </c>
      <c r="L276" s="9">
        <v>3</v>
      </c>
      <c r="M276" s="9">
        <v>3</v>
      </c>
      <c r="N276" s="186">
        <f t="shared" si="15"/>
        <v>1.1278755061256258</v>
      </c>
      <c r="O276" s="160">
        <f t="shared" si="13"/>
        <v>1.1278755061256258</v>
      </c>
      <c r="P276" s="63"/>
      <c r="Q276" s="844"/>
      <c r="R276" s="844"/>
      <c r="S276" s="844"/>
      <c r="T276" s="844"/>
      <c r="U276" s="844"/>
      <c r="V276" s="844"/>
      <c r="W276" s="844"/>
      <c r="X276" s="844"/>
      <c r="Y276" s="844"/>
      <c r="Z276" s="844"/>
      <c r="AA276" s="844"/>
      <c r="AB276" s="844"/>
      <c r="AC276" s="844"/>
      <c r="AD276" s="844"/>
      <c r="AE276" s="844"/>
      <c r="AF276" s="844"/>
      <c r="AG276" s="844"/>
      <c r="AH276" s="844"/>
      <c r="AI276" s="844"/>
      <c r="AJ276" s="844"/>
      <c r="AK276" s="844"/>
      <c r="AL276" s="844"/>
      <c r="AM276" s="844"/>
      <c r="AN276" s="844"/>
      <c r="AO276" s="844"/>
      <c r="AP276" s="844"/>
      <c r="AQ276" s="844"/>
      <c r="AR276" s="844"/>
      <c r="AS276" s="844"/>
      <c r="AT276" s="844"/>
      <c r="AU276" s="844"/>
      <c r="AV276" s="844"/>
      <c r="AW276" s="844"/>
      <c r="AX276" s="844"/>
      <c r="AY276" s="844"/>
      <c r="AZ276" s="844"/>
      <c r="BA276" s="844"/>
      <c r="BB276" s="844"/>
      <c r="BC276" s="844"/>
      <c r="BD276" s="844"/>
      <c r="BE276" s="844"/>
      <c r="BF276" s="844"/>
      <c r="BG276" s="844"/>
      <c r="BH276" s="844"/>
      <c r="BI276" s="844"/>
      <c r="BJ276" s="844"/>
      <c r="BK276" s="844"/>
      <c r="BL276" s="844"/>
      <c r="BM276" s="844"/>
      <c r="BN276" s="844"/>
      <c r="BO276" s="844"/>
      <c r="BP276" s="844"/>
      <c r="BQ276" s="844"/>
      <c r="BR276" s="844"/>
      <c r="BS276" s="844"/>
      <c r="BT276" s="844"/>
      <c r="BU276" s="844"/>
      <c r="BV276" s="844"/>
      <c r="BW276" s="844"/>
      <c r="BX276" s="844"/>
      <c r="BY276" s="844"/>
      <c r="BZ276" s="844"/>
      <c r="CA276" s="844"/>
      <c r="CB276" s="844"/>
      <c r="CC276" s="844"/>
      <c r="CD276" s="844"/>
      <c r="CE276" s="844"/>
      <c r="CF276" s="844"/>
      <c r="CG276" s="844"/>
      <c r="CH276" s="844"/>
      <c r="CI276" s="844"/>
      <c r="CJ276" s="844"/>
      <c r="CK276" s="844"/>
      <c r="CL276" s="844"/>
      <c r="CM276" s="844"/>
      <c r="CN276" s="844"/>
      <c r="CO276" s="844"/>
      <c r="CP276" s="844"/>
      <c r="CQ276" s="844"/>
      <c r="CR276" s="844"/>
      <c r="CS276" s="844"/>
      <c r="CT276" s="844"/>
      <c r="CU276" s="844"/>
      <c r="CV276" s="844"/>
      <c r="CW276" s="844"/>
      <c r="CX276" s="844"/>
      <c r="CY276" s="844"/>
      <c r="CZ276" s="844"/>
      <c r="DA276" s="844"/>
      <c r="DB276" s="844"/>
      <c r="DC276" s="844"/>
      <c r="DD276" s="844"/>
      <c r="DE276" s="844"/>
      <c r="DF276" s="844"/>
      <c r="DG276" s="844"/>
      <c r="DH276" s="844"/>
      <c r="DI276" s="844"/>
      <c r="DJ276" s="844"/>
      <c r="DK276" s="844"/>
      <c r="DL276" s="844"/>
      <c r="DM276" s="844"/>
      <c r="DN276" s="844"/>
      <c r="DO276" s="844"/>
      <c r="DP276" s="844"/>
      <c r="DQ276" s="844"/>
      <c r="DR276" s="844"/>
      <c r="DS276" s="844"/>
      <c r="DT276" s="844"/>
      <c r="DU276" s="844"/>
      <c r="DV276" s="844"/>
      <c r="DW276" s="844"/>
      <c r="DX276" s="844"/>
      <c r="DY276" s="844"/>
      <c r="DZ276" s="844"/>
      <c r="EA276" s="844"/>
      <c r="EB276" s="844"/>
      <c r="EC276" s="844"/>
      <c r="ED276" s="844"/>
      <c r="EE276" s="844"/>
      <c r="EF276" s="844"/>
      <c r="EG276" s="844"/>
      <c r="EH276" s="844"/>
      <c r="EI276" s="844"/>
      <c r="EJ276" s="844"/>
      <c r="EK276" s="844"/>
      <c r="EL276" s="844"/>
      <c r="EM276" s="844"/>
      <c r="EN276" s="844"/>
      <c r="EO276" s="844"/>
      <c r="EP276" s="844"/>
      <c r="EQ276" s="844"/>
      <c r="ER276" s="844"/>
      <c r="ES276" s="844"/>
      <c r="ET276" s="844"/>
      <c r="EU276" s="844"/>
      <c r="EV276" s="844"/>
      <c r="EW276" s="844"/>
      <c r="EX276" s="844"/>
      <c r="EY276" s="844"/>
      <c r="EZ276" s="844"/>
      <c r="FA276" s="844"/>
      <c r="FB276" s="844"/>
      <c r="FC276" s="844"/>
      <c r="FD276" s="844"/>
      <c r="FE276" s="844"/>
      <c r="FF276" s="844"/>
      <c r="FG276" s="844"/>
      <c r="FH276" s="844"/>
      <c r="FI276" s="844"/>
      <c r="FJ276" s="844"/>
      <c r="FK276" s="844"/>
      <c r="FL276" s="844"/>
      <c r="FM276" s="844"/>
      <c r="FN276" s="844"/>
      <c r="FO276" s="844"/>
      <c r="FP276" s="844"/>
      <c r="FQ276" s="844"/>
      <c r="FR276" s="844"/>
      <c r="FS276" s="844"/>
      <c r="FT276" s="844"/>
      <c r="FU276" s="844"/>
      <c r="FV276" s="844"/>
      <c r="FW276" s="844"/>
      <c r="FX276" s="844"/>
      <c r="FY276" s="844"/>
      <c r="FZ276" s="844"/>
      <c r="GA276" s="844"/>
      <c r="GB276" s="844"/>
      <c r="GC276" s="844"/>
      <c r="GD276" s="844"/>
      <c r="GE276" s="844"/>
      <c r="GF276" s="844"/>
      <c r="GG276" s="844"/>
      <c r="GH276" s="844"/>
      <c r="GI276" s="844"/>
      <c r="GJ276" s="844"/>
      <c r="GK276" s="844"/>
      <c r="GL276" s="844"/>
      <c r="GM276" s="844"/>
      <c r="GN276" s="844"/>
      <c r="GO276" s="844"/>
      <c r="GP276" s="844"/>
      <c r="GQ276" s="844"/>
      <c r="GR276" s="844"/>
      <c r="GS276" s="844"/>
      <c r="GT276" s="844"/>
      <c r="GU276" s="844"/>
      <c r="GV276" s="844"/>
      <c r="GW276" s="844"/>
      <c r="GX276" s="844"/>
      <c r="GY276" s="844"/>
      <c r="GZ276" s="844"/>
      <c r="HA276" s="844"/>
      <c r="HB276" s="844"/>
      <c r="HC276" s="844"/>
      <c r="HD276" s="844"/>
      <c r="HE276" s="844"/>
      <c r="HF276" s="844"/>
      <c r="HG276" s="844"/>
      <c r="HH276" s="844"/>
      <c r="HI276" s="844"/>
      <c r="HJ276" s="844"/>
      <c r="HK276" s="844"/>
      <c r="HL276" s="844"/>
      <c r="HM276" s="844"/>
      <c r="HN276" s="844"/>
      <c r="HO276" s="844"/>
      <c r="HP276" s="844"/>
      <c r="HQ276" s="844"/>
      <c r="HR276" s="844"/>
      <c r="HS276" s="844"/>
      <c r="HT276" s="844"/>
      <c r="HU276" s="844"/>
      <c r="HV276" s="844"/>
      <c r="HW276" s="844"/>
      <c r="HX276" s="844"/>
      <c r="HY276" s="844"/>
      <c r="HZ276" s="844"/>
      <c r="IA276" s="844"/>
      <c r="IB276" s="844"/>
      <c r="IC276" s="844"/>
      <c r="ID276" s="844"/>
      <c r="IE276" s="844"/>
      <c r="IF276" s="844"/>
      <c r="IG276" s="844"/>
      <c r="IH276" s="844"/>
      <c r="II276" s="844"/>
      <c r="IJ276" s="844"/>
      <c r="IK276" s="844"/>
      <c r="IL276" s="844"/>
      <c r="IM276" s="844"/>
      <c r="IN276" s="844"/>
      <c r="IO276" s="844"/>
      <c r="IP276" s="844"/>
      <c r="IQ276" s="844"/>
      <c r="IR276" s="844"/>
      <c r="IS276" s="844"/>
      <c r="IT276" s="844"/>
      <c r="IU276" s="844"/>
      <c r="IV276" s="844"/>
      <c r="IW276" s="844"/>
      <c r="IX276" s="844"/>
      <c r="IY276" s="844"/>
      <c r="IZ276" s="844"/>
      <c r="JA276" s="844"/>
      <c r="JB276" s="844"/>
      <c r="JC276" s="844"/>
      <c r="JD276" s="844"/>
      <c r="JE276" s="844"/>
      <c r="JF276" s="844"/>
      <c r="JG276" s="844"/>
      <c r="JH276" s="844"/>
      <c r="JI276" s="844"/>
      <c r="JJ276" s="844"/>
      <c r="JK276" s="844"/>
      <c r="JL276" s="844"/>
      <c r="JM276" s="844"/>
      <c r="JN276" s="844"/>
      <c r="JO276" s="844"/>
      <c r="JP276" s="844"/>
      <c r="JQ276" s="844"/>
      <c r="JR276" s="844"/>
      <c r="JS276" s="844"/>
      <c r="JT276" s="844"/>
      <c r="JU276" s="844"/>
      <c r="JV276" s="844"/>
      <c r="JW276" s="844"/>
      <c r="JX276" s="844"/>
      <c r="JY276" s="844"/>
      <c r="JZ276" s="844"/>
      <c r="KA276" s="844"/>
      <c r="KB276" s="844"/>
      <c r="KC276" s="844"/>
      <c r="KD276" s="844"/>
      <c r="KE276" s="844"/>
      <c r="KF276" s="844"/>
      <c r="KG276" s="844"/>
      <c r="KH276" s="844"/>
      <c r="KI276" s="844"/>
      <c r="KJ276" s="844"/>
      <c r="KK276" s="844"/>
      <c r="KL276" s="844"/>
      <c r="KM276" s="844"/>
      <c r="KN276" s="844"/>
      <c r="KO276" s="844"/>
      <c r="KP276" s="844"/>
      <c r="KQ276" s="844"/>
      <c r="KR276" s="844"/>
      <c r="KS276" s="844"/>
      <c r="KT276" s="844"/>
      <c r="KU276" s="844"/>
      <c r="KV276" s="844"/>
      <c r="KW276" s="844"/>
      <c r="KX276" s="844"/>
      <c r="KY276" s="844"/>
      <c r="KZ276" s="844"/>
      <c r="LA276" s="844"/>
      <c r="LB276" s="844"/>
      <c r="LC276" s="844"/>
      <c r="LD276" s="844"/>
      <c r="LE276" s="844"/>
      <c r="LF276" s="844"/>
      <c r="LG276" s="844"/>
      <c r="LH276" s="844"/>
      <c r="LI276" s="844"/>
      <c r="LJ276" s="844"/>
      <c r="LK276" s="844"/>
      <c r="LL276" s="844"/>
      <c r="LM276" s="844"/>
      <c r="LN276" s="844"/>
      <c r="LO276" s="844"/>
      <c r="LP276" s="844"/>
      <c r="LQ276" s="844"/>
      <c r="LR276" s="844"/>
      <c r="LS276" s="844"/>
      <c r="LT276" s="844"/>
      <c r="LU276" s="844"/>
      <c r="LV276" s="844"/>
      <c r="LW276" s="844"/>
      <c r="LX276" s="844"/>
      <c r="LY276" s="844"/>
      <c r="LZ276" s="844"/>
      <c r="MA276" s="844"/>
      <c r="MB276" s="844"/>
      <c r="MC276" s="844"/>
      <c r="MD276" s="844"/>
      <c r="ME276" s="844"/>
      <c r="MF276" s="844"/>
      <c r="MG276" s="844"/>
      <c r="MH276" s="844"/>
      <c r="MI276" s="844"/>
      <c r="MJ276" s="844"/>
      <c r="MK276" s="844"/>
      <c r="ML276" s="844"/>
      <c r="MM276" s="844"/>
      <c r="MN276" s="844"/>
      <c r="MO276" s="844"/>
      <c r="MP276" s="844"/>
      <c r="MQ276" s="844"/>
      <c r="MR276" s="844"/>
      <c r="MS276" s="844"/>
      <c r="MT276" s="844"/>
      <c r="MU276" s="844"/>
      <c r="MV276" s="844"/>
      <c r="MW276" s="844"/>
      <c r="MX276" s="844"/>
      <c r="MY276" s="844"/>
      <c r="MZ276" s="844"/>
      <c r="NA276" s="844"/>
      <c r="NB276" s="844"/>
      <c r="NC276" s="844"/>
      <c r="ND276" s="844"/>
      <c r="NE276" s="844"/>
      <c r="NF276" s="844"/>
      <c r="NG276" s="844"/>
      <c r="NH276" s="844"/>
      <c r="NI276" s="844"/>
      <c r="NJ276" s="844"/>
      <c r="NK276" s="844"/>
      <c r="NL276" s="844"/>
      <c r="NM276" s="844"/>
      <c r="NN276" s="844"/>
      <c r="NO276" s="844"/>
      <c r="NP276" s="844"/>
      <c r="NQ276" s="844"/>
      <c r="NR276" s="844"/>
      <c r="NS276" s="844"/>
      <c r="NT276" s="844"/>
      <c r="NU276" s="844"/>
      <c r="NV276" s="844"/>
      <c r="NW276" s="844"/>
      <c r="NX276" s="844"/>
      <c r="NY276" s="844"/>
      <c r="NZ276" s="844"/>
      <c r="OA276" s="844"/>
      <c r="OB276" s="844"/>
      <c r="OC276" s="844"/>
      <c r="OD276" s="844"/>
      <c r="OE276" s="844"/>
      <c r="OF276" s="844"/>
      <c r="OG276" s="844"/>
      <c r="OH276" s="844"/>
      <c r="OI276" s="844"/>
      <c r="OJ276" s="844"/>
      <c r="OK276" s="844"/>
      <c r="OL276" s="844"/>
      <c r="OM276" s="844"/>
      <c r="ON276" s="844"/>
      <c r="OO276" s="844"/>
      <c r="OP276" s="844"/>
      <c r="OQ276" s="844"/>
      <c r="OR276" s="844"/>
      <c r="OS276" s="844"/>
      <c r="OT276" s="844"/>
      <c r="OU276" s="844"/>
      <c r="OV276" s="844"/>
      <c r="OW276" s="844"/>
      <c r="OX276" s="844"/>
      <c r="OY276" s="844"/>
      <c r="OZ276" s="844"/>
      <c r="PA276" s="844"/>
      <c r="PB276" s="844"/>
      <c r="PC276" s="844"/>
      <c r="PD276" s="844"/>
      <c r="PE276" s="844"/>
      <c r="PF276" s="844"/>
      <c r="PG276" s="844"/>
      <c r="PH276" s="844"/>
      <c r="PI276" s="844"/>
      <c r="PJ276" s="844"/>
      <c r="PK276" s="844"/>
      <c r="PL276" s="844"/>
      <c r="PM276" s="844"/>
      <c r="PN276" s="844"/>
      <c r="PO276" s="844"/>
      <c r="PP276" s="844"/>
      <c r="PQ276" s="844"/>
      <c r="PR276" s="844"/>
      <c r="PS276" s="844"/>
      <c r="PT276" s="844"/>
      <c r="PU276" s="844"/>
      <c r="PV276" s="844"/>
      <c r="PW276" s="844"/>
      <c r="PX276" s="844"/>
      <c r="PY276" s="844"/>
      <c r="PZ276" s="844"/>
      <c r="QA276" s="844"/>
      <c r="QB276" s="844"/>
      <c r="QC276" s="844"/>
      <c r="QD276" s="844"/>
      <c r="QE276" s="844"/>
      <c r="QF276" s="844"/>
      <c r="QG276" s="844"/>
      <c r="QH276" s="844"/>
      <c r="QI276" s="844"/>
      <c r="QJ276" s="844"/>
      <c r="QK276" s="844"/>
      <c r="QL276" s="844"/>
      <c r="QM276" s="844"/>
      <c r="QN276" s="844"/>
      <c r="QO276" s="844"/>
      <c r="QP276" s="844"/>
      <c r="QQ276" s="844"/>
      <c r="QR276" s="844"/>
      <c r="QS276" s="844"/>
      <c r="QT276" s="844"/>
      <c r="QU276" s="844"/>
      <c r="QV276" s="844"/>
      <c r="QW276" s="844"/>
      <c r="QX276" s="844"/>
      <c r="QY276" s="844"/>
      <c r="QZ276" s="844"/>
      <c r="RA276" s="844"/>
      <c r="RB276" s="844"/>
      <c r="RC276" s="844"/>
      <c r="RD276" s="844"/>
      <c r="RE276" s="844"/>
      <c r="RF276" s="844"/>
      <c r="RG276" s="844"/>
      <c r="RH276" s="844"/>
      <c r="RI276" s="844"/>
      <c r="RJ276" s="844"/>
      <c r="RK276" s="844"/>
      <c r="RL276" s="844"/>
      <c r="RM276" s="844"/>
      <c r="RN276" s="844"/>
      <c r="RO276" s="844"/>
      <c r="RP276" s="844"/>
      <c r="RQ276" s="844"/>
      <c r="RR276" s="844"/>
      <c r="RS276" s="844"/>
      <c r="RT276" s="844"/>
      <c r="RU276" s="844"/>
      <c r="RV276" s="844"/>
      <c r="RW276" s="844"/>
      <c r="RX276" s="844"/>
      <c r="RY276" s="844"/>
      <c r="RZ276" s="844"/>
      <c r="SA276" s="844"/>
      <c r="SB276" s="844"/>
      <c r="SC276" s="844"/>
      <c r="SD276" s="844"/>
      <c r="SE276" s="844"/>
      <c r="SF276" s="844"/>
      <c r="SG276" s="844"/>
      <c r="SH276" s="844"/>
      <c r="SI276" s="844"/>
      <c r="SJ276" s="844"/>
      <c r="SK276" s="844"/>
      <c r="SL276" s="844"/>
      <c r="SM276" s="844"/>
      <c r="SN276" s="844"/>
      <c r="SO276" s="844"/>
      <c r="SP276" s="844"/>
      <c r="SQ276" s="844"/>
      <c r="SR276" s="844"/>
      <c r="SS276" s="844"/>
      <c r="ST276" s="844"/>
      <c r="SU276" s="844"/>
      <c r="SV276" s="844"/>
      <c r="SW276" s="844"/>
      <c r="SX276" s="844"/>
      <c r="SY276" s="844"/>
      <c r="SZ276" s="844"/>
      <c r="TA276" s="844"/>
      <c r="TB276" s="844"/>
      <c r="TC276" s="844"/>
      <c r="TD276" s="844"/>
      <c r="TE276" s="844"/>
      <c r="TF276" s="844"/>
      <c r="TG276" s="844"/>
      <c r="TH276" s="844"/>
      <c r="TI276" s="844"/>
      <c r="TJ276" s="844"/>
      <c r="TK276" s="844"/>
      <c r="TL276" s="844"/>
      <c r="TM276" s="844"/>
      <c r="TN276" s="844"/>
      <c r="TO276" s="844"/>
      <c r="TP276" s="844"/>
      <c r="TQ276" s="844"/>
      <c r="TR276" s="844"/>
      <c r="TS276" s="844"/>
      <c r="TT276" s="844"/>
      <c r="TU276" s="844"/>
      <c r="TV276" s="844"/>
      <c r="TW276" s="844"/>
      <c r="TX276" s="844"/>
      <c r="TY276" s="844"/>
      <c r="TZ276" s="844"/>
      <c r="UA276" s="844"/>
      <c r="UB276" s="844"/>
      <c r="UC276" s="844"/>
      <c r="UD276" s="844"/>
      <c r="UE276" s="844"/>
      <c r="UF276" s="844"/>
      <c r="UG276" s="844"/>
      <c r="UH276" s="844"/>
      <c r="UI276" s="844"/>
      <c r="UJ276" s="844"/>
      <c r="UK276" s="844"/>
      <c r="UL276" s="844"/>
      <c r="UM276" s="844"/>
      <c r="UN276" s="844"/>
      <c r="UO276" s="844"/>
      <c r="UP276" s="844"/>
      <c r="UQ276" s="844"/>
      <c r="UR276" s="844"/>
      <c r="US276" s="844"/>
      <c r="UT276" s="844"/>
      <c r="UU276" s="844"/>
      <c r="UV276" s="844"/>
      <c r="UW276" s="844"/>
      <c r="UX276" s="844"/>
      <c r="UY276" s="844"/>
      <c r="UZ276" s="844"/>
      <c r="VA276" s="844"/>
      <c r="VB276" s="844"/>
      <c r="VC276" s="844"/>
      <c r="VD276" s="844"/>
      <c r="VE276" s="844"/>
      <c r="VF276" s="844"/>
      <c r="VG276" s="844"/>
      <c r="VH276" s="844"/>
      <c r="VI276" s="844"/>
      <c r="VJ276" s="844"/>
      <c r="VK276" s="844"/>
      <c r="VL276" s="844"/>
      <c r="VM276" s="844"/>
      <c r="VN276" s="844"/>
      <c r="VO276" s="844"/>
      <c r="VP276" s="844"/>
      <c r="VQ276" s="844"/>
      <c r="VR276" s="844"/>
      <c r="VS276" s="844"/>
      <c r="VT276" s="844"/>
      <c r="VU276" s="844"/>
      <c r="VV276" s="844"/>
      <c r="VW276" s="844"/>
      <c r="VX276" s="844"/>
      <c r="VY276" s="844"/>
      <c r="VZ276" s="844"/>
      <c r="WA276" s="844"/>
      <c r="WB276" s="844"/>
      <c r="WC276" s="844"/>
      <c r="WD276" s="844"/>
      <c r="WE276" s="844"/>
      <c r="WF276" s="844"/>
      <c r="WG276" s="844"/>
      <c r="WH276" s="844"/>
      <c r="WI276" s="844"/>
      <c r="WJ276" s="844"/>
      <c r="WK276" s="844"/>
      <c r="WL276" s="844"/>
      <c r="WM276" s="844"/>
      <c r="WN276" s="844"/>
      <c r="WO276" s="844"/>
      <c r="WP276" s="844"/>
      <c r="WQ276" s="844"/>
      <c r="WR276" s="844"/>
      <c r="WS276" s="844"/>
      <c r="WT276" s="844"/>
      <c r="WU276" s="844"/>
      <c r="WV276" s="844"/>
      <c r="WW276" s="844"/>
      <c r="WX276" s="844"/>
      <c r="WY276" s="844"/>
      <c r="WZ276" s="844"/>
      <c r="XA276" s="844"/>
      <c r="XB276" s="844"/>
      <c r="XC276" s="844"/>
      <c r="XD276" s="844"/>
      <c r="XE276" s="844"/>
      <c r="XF276" s="844"/>
      <c r="XG276" s="844"/>
      <c r="XH276" s="844"/>
      <c r="XI276" s="844"/>
      <c r="XJ276" s="844"/>
      <c r="XK276" s="844"/>
      <c r="XL276" s="844"/>
      <c r="XM276" s="844"/>
      <c r="XN276" s="844"/>
      <c r="XO276" s="844"/>
      <c r="XP276" s="844"/>
      <c r="XQ276" s="844"/>
      <c r="XR276" s="844"/>
      <c r="XS276" s="844"/>
      <c r="XT276" s="844"/>
      <c r="XU276" s="844"/>
      <c r="XV276" s="844"/>
      <c r="XW276" s="844"/>
      <c r="XX276" s="844"/>
      <c r="XY276" s="844"/>
      <c r="XZ276" s="844"/>
      <c r="YA276" s="844"/>
      <c r="YB276" s="844"/>
      <c r="YC276" s="844"/>
      <c r="YD276" s="844"/>
      <c r="YE276" s="844"/>
      <c r="YF276" s="844"/>
      <c r="YG276" s="844"/>
      <c r="YH276" s="844"/>
      <c r="YI276" s="844"/>
      <c r="YJ276" s="844"/>
      <c r="YK276" s="844"/>
      <c r="YL276" s="844"/>
      <c r="YM276" s="844"/>
      <c r="YN276" s="844"/>
      <c r="YO276" s="844"/>
      <c r="YP276" s="844"/>
      <c r="YQ276" s="844"/>
      <c r="YR276" s="844"/>
      <c r="YS276" s="844"/>
      <c r="YT276" s="844"/>
      <c r="YU276" s="844"/>
      <c r="YV276" s="844"/>
      <c r="YW276" s="844"/>
      <c r="YX276" s="844"/>
      <c r="YY276" s="844"/>
      <c r="YZ276" s="844"/>
      <c r="ZA276" s="844"/>
      <c r="ZB276" s="844"/>
      <c r="ZC276" s="844"/>
      <c r="ZD276" s="844"/>
      <c r="ZE276" s="844"/>
      <c r="ZF276" s="844"/>
      <c r="ZG276" s="844"/>
      <c r="ZH276" s="844"/>
      <c r="ZI276" s="844"/>
      <c r="ZJ276" s="844"/>
      <c r="ZK276" s="844"/>
      <c r="ZL276" s="844"/>
      <c r="ZM276" s="844"/>
      <c r="ZN276" s="844"/>
      <c r="ZO276" s="844"/>
      <c r="ZP276" s="844"/>
      <c r="ZQ276" s="844"/>
      <c r="ZR276" s="844"/>
      <c r="ZS276" s="844"/>
      <c r="ZT276" s="844"/>
      <c r="ZU276" s="844"/>
      <c r="ZV276" s="844"/>
      <c r="ZW276" s="844"/>
      <c r="ZX276" s="844"/>
      <c r="ZY276" s="844"/>
      <c r="ZZ276" s="844"/>
      <c r="AAA276" s="844"/>
      <c r="AAB276" s="844"/>
      <c r="AAC276" s="844"/>
      <c r="AAD276" s="844"/>
      <c r="AAE276" s="844"/>
      <c r="AAF276" s="844"/>
      <c r="AAG276" s="844"/>
      <c r="AAH276" s="844"/>
      <c r="AAI276" s="844"/>
      <c r="AAJ276" s="844"/>
      <c r="AAK276" s="844"/>
      <c r="AAL276" s="844"/>
      <c r="AAM276" s="844"/>
      <c r="AAN276" s="844"/>
      <c r="AAO276" s="844"/>
      <c r="AAP276" s="844"/>
      <c r="AAQ276" s="844"/>
      <c r="AAR276" s="844"/>
      <c r="AAS276" s="844"/>
      <c r="AAT276" s="844"/>
      <c r="AAU276" s="844"/>
      <c r="AAV276" s="844"/>
      <c r="AAW276" s="844"/>
      <c r="AAX276" s="844"/>
      <c r="AAY276" s="844"/>
      <c r="AAZ276" s="844"/>
      <c r="ABA276" s="844"/>
      <c r="ABB276" s="844"/>
      <c r="ABC276" s="844"/>
      <c r="ABD276" s="844"/>
      <c r="ABE276" s="844"/>
      <c r="ABF276" s="844"/>
      <c r="ABG276" s="844"/>
      <c r="ABH276" s="844"/>
      <c r="ABI276" s="844"/>
      <c r="ABJ276" s="844"/>
      <c r="ABK276" s="844"/>
      <c r="ABL276" s="844"/>
      <c r="ABM276" s="844"/>
      <c r="ABN276" s="844"/>
      <c r="ABO276" s="844"/>
      <c r="ABP276" s="844"/>
      <c r="ABQ276" s="844"/>
      <c r="ABR276" s="844"/>
      <c r="ABS276" s="844"/>
      <c r="ABT276" s="844"/>
      <c r="ABU276" s="844"/>
      <c r="ABV276" s="844"/>
      <c r="ABW276" s="844"/>
      <c r="ABX276" s="844"/>
      <c r="ABY276" s="844"/>
      <c r="ABZ276" s="844"/>
      <c r="ACA276" s="844"/>
      <c r="ACB276" s="844"/>
      <c r="ACC276" s="844"/>
      <c r="ACD276" s="844"/>
      <c r="ACE276" s="844"/>
      <c r="ACF276" s="844"/>
      <c r="ACG276" s="844"/>
      <c r="ACH276" s="844"/>
      <c r="ACI276" s="844"/>
      <c r="ACJ276" s="844"/>
      <c r="ACK276" s="844"/>
      <c r="ACL276" s="844"/>
      <c r="ACM276" s="844"/>
      <c r="ACN276" s="844"/>
      <c r="ACO276" s="844"/>
      <c r="ACP276" s="844"/>
      <c r="ACQ276" s="844"/>
      <c r="ACR276" s="844"/>
      <c r="ACS276" s="844"/>
      <c r="ACT276" s="844"/>
      <c r="ACU276" s="844"/>
      <c r="ACV276" s="844"/>
      <c r="ACW276" s="844"/>
      <c r="ACX276" s="844"/>
      <c r="ACY276" s="844"/>
      <c r="ACZ276" s="844"/>
      <c r="ADA276" s="844"/>
      <c r="ADB276" s="844"/>
      <c r="ADC276" s="844"/>
      <c r="ADD276" s="844"/>
      <c r="ADE276" s="844"/>
      <c r="ADF276" s="844"/>
      <c r="ADG276" s="844"/>
      <c r="ADH276" s="844"/>
      <c r="ADI276" s="844"/>
      <c r="ADJ276" s="844"/>
      <c r="ADK276" s="844"/>
      <c r="ADL276" s="844"/>
      <c r="ADM276" s="844"/>
      <c r="ADN276" s="844"/>
      <c r="ADO276" s="844"/>
      <c r="ADP276" s="844"/>
      <c r="ADQ276" s="844"/>
      <c r="ADR276" s="844"/>
      <c r="ADS276" s="844"/>
      <c r="ADT276" s="844"/>
      <c r="ADU276" s="844"/>
      <c r="ADV276" s="844"/>
      <c r="ADW276" s="844"/>
      <c r="ADX276" s="844"/>
      <c r="ADY276" s="844"/>
      <c r="ADZ276" s="844"/>
      <c r="AEA276" s="844"/>
      <c r="AEB276" s="844"/>
      <c r="AEC276" s="844"/>
      <c r="AED276" s="844"/>
      <c r="AEE276" s="844"/>
      <c r="AEF276" s="844"/>
      <c r="AEG276" s="844"/>
      <c r="AEH276" s="844"/>
      <c r="AEI276" s="844"/>
      <c r="AEJ276" s="844"/>
      <c r="AEK276" s="844"/>
      <c r="AEL276" s="844"/>
      <c r="AEM276" s="844"/>
      <c r="AEN276" s="844"/>
      <c r="AEO276" s="844"/>
      <c r="AEP276" s="844"/>
      <c r="AEQ276" s="844"/>
      <c r="AER276" s="844"/>
      <c r="AES276" s="844"/>
      <c r="AET276" s="844"/>
      <c r="AEU276" s="844"/>
      <c r="AEV276" s="844"/>
      <c r="AEW276" s="844"/>
      <c r="AEX276" s="844"/>
      <c r="AEY276" s="844"/>
      <c r="AEZ276" s="844"/>
      <c r="AFA276" s="844"/>
      <c r="AFB276" s="844"/>
      <c r="AFC276" s="844"/>
      <c r="AFD276" s="844"/>
      <c r="AFE276" s="844"/>
      <c r="AFF276" s="844"/>
      <c r="AFG276" s="844"/>
      <c r="AFH276" s="844"/>
      <c r="AFI276" s="844"/>
      <c r="AFJ276" s="844"/>
      <c r="AFK276" s="844"/>
      <c r="AFL276" s="844"/>
      <c r="AFM276" s="844"/>
      <c r="AFN276" s="844"/>
      <c r="AFO276" s="844"/>
      <c r="AFP276" s="844"/>
      <c r="AFQ276" s="844"/>
      <c r="AFR276" s="844"/>
      <c r="AFS276" s="844"/>
      <c r="AFT276" s="844"/>
      <c r="AFU276" s="844"/>
      <c r="AFV276" s="844"/>
      <c r="AFW276" s="844"/>
      <c r="AFX276" s="844"/>
      <c r="AFY276" s="844"/>
      <c r="AFZ276" s="844"/>
      <c r="AGA276" s="844"/>
      <c r="AGB276" s="844"/>
      <c r="AGC276" s="844"/>
      <c r="AGD276" s="844"/>
      <c r="AGE276" s="844"/>
      <c r="AGF276" s="844"/>
      <c r="AGG276" s="844"/>
      <c r="AGH276" s="844"/>
      <c r="AGI276" s="844"/>
      <c r="AGJ276" s="844"/>
    </row>
    <row r="277" spans="1:868" s="845" customFormat="1" hidden="1">
      <c r="A277" s="292" t="s">
        <v>202</v>
      </c>
      <c r="B277" s="55" t="s">
        <v>217</v>
      </c>
      <c r="C277" s="265" t="s">
        <v>147</v>
      </c>
      <c r="D277" s="55" t="s">
        <v>147</v>
      </c>
      <c r="E277" s="260">
        <v>2.7E-4</v>
      </c>
      <c r="F277" s="235">
        <v>2</v>
      </c>
      <c r="G277" s="265" t="s">
        <v>171</v>
      </c>
      <c r="H277" s="29">
        <v>2</v>
      </c>
      <c r="I277" s="9">
        <v>2</v>
      </c>
      <c r="J277" s="9">
        <v>2</v>
      </c>
      <c r="K277" s="9">
        <v>3</v>
      </c>
      <c r="L277" s="9">
        <v>3</v>
      </c>
      <c r="M277" s="9">
        <v>3</v>
      </c>
      <c r="N277" s="186">
        <f t="shared" si="15"/>
        <v>1.1278755061256258</v>
      </c>
      <c r="O277" s="160">
        <f t="shared" si="13"/>
        <v>1.1278755061256258</v>
      </c>
      <c r="P277" s="63"/>
      <c r="Q277" s="844"/>
      <c r="R277" s="844"/>
      <c r="S277" s="844"/>
      <c r="T277" s="844"/>
      <c r="U277" s="844"/>
      <c r="V277" s="844"/>
      <c r="W277" s="844"/>
      <c r="X277" s="844"/>
      <c r="Y277" s="844"/>
      <c r="Z277" s="844"/>
      <c r="AA277" s="844"/>
      <c r="AB277" s="844"/>
      <c r="AC277" s="844"/>
      <c r="AD277" s="844"/>
      <c r="AE277" s="844"/>
      <c r="AF277" s="844"/>
      <c r="AG277" s="844"/>
      <c r="AH277" s="844"/>
      <c r="AI277" s="844"/>
      <c r="AJ277" s="844"/>
      <c r="AK277" s="844"/>
      <c r="AL277" s="844"/>
      <c r="AM277" s="844"/>
      <c r="AN277" s="844"/>
      <c r="AO277" s="844"/>
      <c r="AP277" s="844"/>
      <c r="AQ277" s="844"/>
      <c r="AR277" s="844"/>
      <c r="AS277" s="844"/>
      <c r="AT277" s="844"/>
      <c r="AU277" s="844"/>
      <c r="AV277" s="844"/>
      <c r="AW277" s="844"/>
      <c r="AX277" s="844"/>
      <c r="AY277" s="844"/>
      <c r="AZ277" s="844"/>
      <c r="BA277" s="844"/>
      <c r="BB277" s="844"/>
      <c r="BC277" s="844"/>
      <c r="BD277" s="844"/>
      <c r="BE277" s="844"/>
      <c r="BF277" s="844"/>
      <c r="BG277" s="844"/>
      <c r="BH277" s="844"/>
      <c r="BI277" s="844"/>
      <c r="BJ277" s="844"/>
      <c r="BK277" s="844"/>
      <c r="BL277" s="844"/>
      <c r="BM277" s="844"/>
      <c r="BN277" s="844"/>
      <c r="BO277" s="844"/>
      <c r="BP277" s="844"/>
      <c r="BQ277" s="844"/>
      <c r="BR277" s="844"/>
      <c r="BS277" s="844"/>
      <c r="BT277" s="844"/>
      <c r="BU277" s="844"/>
      <c r="BV277" s="844"/>
      <c r="BW277" s="844"/>
      <c r="BX277" s="844"/>
      <c r="BY277" s="844"/>
      <c r="BZ277" s="844"/>
      <c r="CA277" s="844"/>
      <c r="CB277" s="844"/>
      <c r="CC277" s="844"/>
      <c r="CD277" s="844"/>
      <c r="CE277" s="844"/>
      <c r="CF277" s="844"/>
      <c r="CG277" s="844"/>
      <c r="CH277" s="844"/>
      <c r="CI277" s="844"/>
      <c r="CJ277" s="844"/>
      <c r="CK277" s="844"/>
      <c r="CL277" s="844"/>
      <c r="CM277" s="844"/>
      <c r="CN277" s="844"/>
      <c r="CO277" s="844"/>
      <c r="CP277" s="844"/>
      <c r="CQ277" s="844"/>
      <c r="CR277" s="844"/>
      <c r="CS277" s="844"/>
      <c r="CT277" s="844"/>
      <c r="CU277" s="844"/>
      <c r="CV277" s="844"/>
      <c r="CW277" s="844"/>
      <c r="CX277" s="844"/>
      <c r="CY277" s="844"/>
      <c r="CZ277" s="844"/>
      <c r="DA277" s="844"/>
      <c r="DB277" s="844"/>
      <c r="DC277" s="844"/>
      <c r="DD277" s="844"/>
      <c r="DE277" s="844"/>
      <c r="DF277" s="844"/>
      <c r="DG277" s="844"/>
      <c r="DH277" s="844"/>
      <c r="DI277" s="844"/>
      <c r="DJ277" s="844"/>
      <c r="DK277" s="844"/>
      <c r="DL277" s="844"/>
      <c r="DM277" s="844"/>
      <c r="DN277" s="844"/>
      <c r="DO277" s="844"/>
      <c r="DP277" s="844"/>
      <c r="DQ277" s="844"/>
      <c r="DR277" s="844"/>
      <c r="DS277" s="844"/>
      <c r="DT277" s="844"/>
      <c r="DU277" s="844"/>
      <c r="DV277" s="844"/>
      <c r="DW277" s="844"/>
      <c r="DX277" s="844"/>
      <c r="DY277" s="844"/>
      <c r="DZ277" s="844"/>
      <c r="EA277" s="844"/>
      <c r="EB277" s="844"/>
      <c r="EC277" s="844"/>
      <c r="ED277" s="844"/>
      <c r="EE277" s="844"/>
      <c r="EF277" s="844"/>
      <c r="EG277" s="844"/>
      <c r="EH277" s="844"/>
      <c r="EI277" s="844"/>
      <c r="EJ277" s="844"/>
      <c r="EK277" s="844"/>
      <c r="EL277" s="844"/>
      <c r="EM277" s="844"/>
      <c r="EN277" s="844"/>
      <c r="EO277" s="844"/>
      <c r="EP277" s="844"/>
      <c r="EQ277" s="844"/>
      <c r="ER277" s="844"/>
      <c r="ES277" s="844"/>
      <c r="ET277" s="844"/>
      <c r="EU277" s="844"/>
      <c r="EV277" s="844"/>
      <c r="EW277" s="844"/>
      <c r="EX277" s="844"/>
      <c r="EY277" s="844"/>
      <c r="EZ277" s="844"/>
      <c r="FA277" s="844"/>
      <c r="FB277" s="844"/>
      <c r="FC277" s="844"/>
      <c r="FD277" s="844"/>
      <c r="FE277" s="844"/>
      <c r="FF277" s="844"/>
      <c r="FG277" s="844"/>
      <c r="FH277" s="844"/>
      <c r="FI277" s="844"/>
      <c r="FJ277" s="844"/>
      <c r="FK277" s="844"/>
      <c r="FL277" s="844"/>
      <c r="FM277" s="844"/>
      <c r="FN277" s="844"/>
      <c r="FO277" s="844"/>
      <c r="FP277" s="844"/>
      <c r="FQ277" s="844"/>
      <c r="FR277" s="844"/>
      <c r="FS277" s="844"/>
      <c r="FT277" s="844"/>
      <c r="FU277" s="844"/>
      <c r="FV277" s="844"/>
      <c r="FW277" s="844"/>
      <c r="FX277" s="844"/>
      <c r="FY277" s="844"/>
      <c r="FZ277" s="844"/>
      <c r="GA277" s="844"/>
      <c r="GB277" s="844"/>
      <c r="GC277" s="844"/>
      <c r="GD277" s="844"/>
      <c r="GE277" s="844"/>
      <c r="GF277" s="844"/>
      <c r="GG277" s="844"/>
      <c r="GH277" s="844"/>
      <c r="GI277" s="844"/>
      <c r="GJ277" s="844"/>
      <c r="GK277" s="844"/>
      <c r="GL277" s="844"/>
      <c r="GM277" s="844"/>
      <c r="GN277" s="844"/>
      <c r="GO277" s="844"/>
      <c r="GP277" s="844"/>
      <c r="GQ277" s="844"/>
      <c r="GR277" s="844"/>
      <c r="GS277" s="844"/>
      <c r="GT277" s="844"/>
      <c r="GU277" s="844"/>
      <c r="GV277" s="844"/>
      <c r="GW277" s="844"/>
      <c r="GX277" s="844"/>
      <c r="GY277" s="844"/>
      <c r="GZ277" s="844"/>
      <c r="HA277" s="844"/>
      <c r="HB277" s="844"/>
      <c r="HC277" s="844"/>
      <c r="HD277" s="844"/>
      <c r="HE277" s="844"/>
      <c r="HF277" s="844"/>
      <c r="HG277" s="844"/>
      <c r="HH277" s="844"/>
      <c r="HI277" s="844"/>
      <c r="HJ277" s="844"/>
      <c r="HK277" s="844"/>
      <c r="HL277" s="844"/>
      <c r="HM277" s="844"/>
      <c r="HN277" s="844"/>
      <c r="HO277" s="844"/>
      <c r="HP277" s="844"/>
      <c r="HQ277" s="844"/>
      <c r="HR277" s="844"/>
      <c r="HS277" s="844"/>
      <c r="HT277" s="844"/>
      <c r="HU277" s="844"/>
      <c r="HV277" s="844"/>
      <c r="HW277" s="844"/>
      <c r="HX277" s="844"/>
      <c r="HY277" s="844"/>
      <c r="HZ277" s="844"/>
      <c r="IA277" s="844"/>
      <c r="IB277" s="844"/>
      <c r="IC277" s="844"/>
      <c r="ID277" s="844"/>
      <c r="IE277" s="844"/>
      <c r="IF277" s="844"/>
      <c r="IG277" s="844"/>
      <c r="IH277" s="844"/>
      <c r="II277" s="844"/>
      <c r="IJ277" s="844"/>
      <c r="IK277" s="844"/>
      <c r="IL277" s="844"/>
      <c r="IM277" s="844"/>
      <c r="IN277" s="844"/>
      <c r="IO277" s="844"/>
      <c r="IP277" s="844"/>
      <c r="IQ277" s="844"/>
      <c r="IR277" s="844"/>
      <c r="IS277" s="844"/>
      <c r="IT277" s="844"/>
      <c r="IU277" s="844"/>
      <c r="IV277" s="844"/>
      <c r="IW277" s="844"/>
      <c r="IX277" s="844"/>
      <c r="IY277" s="844"/>
      <c r="IZ277" s="844"/>
      <c r="JA277" s="844"/>
      <c r="JB277" s="844"/>
      <c r="JC277" s="844"/>
      <c r="JD277" s="844"/>
      <c r="JE277" s="844"/>
      <c r="JF277" s="844"/>
      <c r="JG277" s="844"/>
      <c r="JH277" s="844"/>
      <c r="JI277" s="844"/>
      <c r="JJ277" s="844"/>
      <c r="JK277" s="844"/>
      <c r="JL277" s="844"/>
      <c r="JM277" s="844"/>
      <c r="JN277" s="844"/>
      <c r="JO277" s="844"/>
      <c r="JP277" s="844"/>
      <c r="JQ277" s="844"/>
      <c r="JR277" s="844"/>
      <c r="JS277" s="844"/>
      <c r="JT277" s="844"/>
      <c r="JU277" s="844"/>
      <c r="JV277" s="844"/>
      <c r="JW277" s="844"/>
      <c r="JX277" s="844"/>
      <c r="JY277" s="844"/>
      <c r="JZ277" s="844"/>
      <c r="KA277" s="844"/>
      <c r="KB277" s="844"/>
      <c r="KC277" s="844"/>
      <c r="KD277" s="844"/>
      <c r="KE277" s="844"/>
      <c r="KF277" s="844"/>
      <c r="KG277" s="844"/>
      <c r="KH277" s="844"/>
      <c r="KI277" s="844"/>
      <c r="KJ277" s="844"/>
      <c r="KK277" s="844"/>
      <c r="KL277" s="844"/>
      <c r="KM277" s="844"/>
      <c r="KN277" s="844"/>
      <c r="KO277" s="844"/>
      <c r="KP277" s="844"/>
      <c r="KQ277" s="844"/>
      <c r="KR277" s="844"/>
      <c r="KS277" s="844"/>
      <c r="KT277" s="844"/>
      <c r="KU277" s="844"/>
      <c r="KV277" s="844"/>
      <c r="KW277" s="844"/>
      <c r="KX277" s="844"/>
      <c r="KY277" s="844"/>
      <c r="KZ277" s="844"/>
      <c r="LA277" s="844"/>
      <c r="LB277" s="844"/>
      <c r="LC277" s="844"/>
      <c r="LD277" s="844"/>
      <c r="LE277" s="844"/>
      <c r="LF277" s="844"/>
      <c r="LG277" s="844"/>
      <c r="LH277" s="844"/>
      <c r="LI277" s="844"/>
      <c r="LJ277" s="844"/>
      <c r="LK277" s="844"/>
      <c r="LL277" s="844"/>
      <c r="LM277" s="844"/>
      <c r="LN277" s="844"/>
      <c r="LO277" s="844"/>
      <c r="LP277" s="844"/>
      <c r="LQ277" s="844"/>
      <c r="LR277" s="844"/>
      <c r="LS277" s="844"/>
      <c r="LT277" s="844"/>
      <c r="LU277" s="844"/>
      <c r="LV277" s="844"/>
      <c r="LW277" s="844"/>
      <c r="LX277" s="844"/>
      <c r="LY277" s="844"/>
      <c r="LZ277" s="844"/>
      <c r="MA277" s="844"/>
      <c r="MB277" s="844"/>
      <c r="MC277" s="844"/>
      <c r="MD277" s="844"/>
      <c r="ME277" s="844"/>
      <c r="MF277" s="844"/>
      <c r="MG277" s="844"/>
      <c r="MH277" s="844"/>
      <c r="MI277" s="844"/>
      <c r="MJ277" s="844"/>
      <c r="MK277" s="844"/>
      <c r="ML277" s="844"/>
      <c r="MM277" s="844"/>
      <c r="MN277" s="844"/>
      <c r="MO277" s="844"/>
      <c r="MP277" s="844"/>
      <c r="MQ277" s="844"/>
      <c r="MR277" s="844"/>
      <c r="MS277" s="844"/>
      <c r="MT277" s="844"/>
      <c r="MU277" s="844"/>
      <c r="MV277" s="844"/>
      <c r="MW277" s="844"/>
      <c r="MX277" s="844"/>
      <c r="MY277" s="844"/>
      <c r="MZ277" s="844"/>
      <c r="NA277" s="844"/>
      <c r="NB277" s="844"/>
      <c r="NC277" s="844"/>
      <c r="ND277" s="844"/>
      <c r="NE277" s="844"/>
      <c r="NF277" s="844"/>
      <c r="NG277" s="844"/>
      <c r="NH277" s="844"/>
      <c r="NI277" s="844"/>
      <c r="NJ277" s="844"/>
      <c r="NK277" s="844"/>
      <c r="NL277" s="844"/>
      <c r="NM277" s="844"/>
      <c r="NN277" s="844"/>
      <c r="NO277" s="844"/>
      <c r="NP277" s="844"/>
      <c r="NQ277" s="844"/>
      <c r="NR277" s="844"/>
      <c r="NS277" s="844"/>
      <c r="NT277" s="844"/>
      <c r="NU277" s="844"/>
      <c r="NV277" s="844"/>
      <c r="NW277" s="844"/>
      <c r="NX277" s="844"/>
      <c r="NY277" s="844"/>
      <c r="NZ277" s="844"/>
      <c r="OA277" s="844"/>
      <c r="OB277" s="844"/>
      <c r="OC277" s="844"/>
      <c r="OD277" s="844"/>
      <c r="OE277" s="844"/>
      <c r="OF277" s="844"/>
      <c r="OG277" s="844"/>
      <c r="OH277" s="844"/>
      <c r="OI277" s="844"/>
      <c r="OJ277" s="844"/>
      <c r="OK277" s="844"/>
      <c r="OL277" s="844"/>
      <c r="OM277" s="844"/>
      <c r="ON277" s="844"/>
      <c r="OO277" s="844"/>
      <c r="OP277" s="844"/>
      <c r="OQ277" s="844"/>
      <c r="OR277" s="844"/>
      <c r="OS277" s="844"/>
      <c r="OT277" s="844"/>
      <c r="OU277" s="844"/>
      <c r="OV277" s="844"/>
      <c r="OW277" s="844"/>
      <c r="OX277" s="844"/>
      <c r="OY277" s="844"/>
      <c r="OZ277" s="844"/>
      <c r="PA277" s="844"/>
      <c r="PB277" s="844"/>
      <c r="PC277" s="844"/>
      <c r="PD277" s="844"/>
      <c r="PE277" s="844"/>
      <c r="PF277" s="844"/>
      <c r="PG277" s="844"/>
      <c r="PH277" s="844"/>
      <c r="PI277" s="844"/>
      <c r="PJ277" s="844"/>
      <c r="PK277" s="844"/>
      <c r="PL277" s="844"/>
      <c r="PM277" s="844"/>
      <c r="PN277" s="844"/>
      <c r="PO277" s="844"/>
      <c r="PP277" s="844"/>
      <c r="PQ277" s="844"/>
      <c r="PR277" s="844"/>
      <c r="PS277" s="844"/>
      <c r="PT277" s="844"/>
      <c r="PU277" s="844"/>
      <c r="PV277" s="844"/>
      <c r="PW277" s="844"/>
      <c r="PX277" s="844"/>
      <c r="PY277" s="844"/>
      <c r="PZ277" s="844"/>
      <c r="QA277" s="844"/>
      <c r="QB277" s="844"/>
      <c r="QC277" s="844"/>
      <c r="QD277" s="844"/>
      <c r="QE277" s="844"/>
      <c r="QF277" s="844"/>
      <c r="QG277" s="844"/>
      <c r="QH277" s="844"/>
      <c r="QI277" s="844"/>
      <c r="QJ277" s="844"/>
      <c r="QK277" s="844"/>
      <c r="QL277" s="844"/>
      <c r="QM277" s="844"/>
      <c r="QN277" s="844"/>
      <c r="QO277" s="844"/>
      <c r="QP277" s="844"/>
      <c r="QQ277" s="844"/>
      <c r="QR277" s="844"/>
      <c r="QS277" s="844"/>
      <c r="QT277" s="844"/>
      <c r="QU277" s="844"/>
      <c r="QV277" s="844"/>
      <c r="QW277" s="844"/>
      <c r="QX277" s="844"/>
      <c r="QY277" s="844"/>
      <c r="QZ277" s="844"/>
      <c r="RA277" s="844"/>
      <c r="RB277" s="844"/>
      <c r="RC277" s="844"/>
      <c r="RD277" s="844"/>
      <c r="RE277" s="844"/>
      <c r="RF277" s="844"/>
      <c r="RG277" s="844"/>
      <c r="RH277" s="844"/>
      <c r="RI277" s="844"/>
      <c r="RJ277" s="844"/>
      <c r="RK277" s="844"/>
      <c r="RL277" s="844"/>
      <c r="RM277" s="844"/>
      <c r="RN277" s="844"/>
      <c r="RO277" s="844"/>
      <c r="RP277" s="844"/>
      <c r="RQ277" s="844"/>
      <c r="RR277" s="844"/>
      <c r="RS277" s="844"/>
      <c r="RT277" s="844"/>
      <c r="RU277" s="844"/>
      <c r="RV277" s="844"/>
      <c r="RW277" s="844"/>
      <c r="RX277" s="844"/>
      <c r="RY277" s="844"/>
      <c r="RZ277" s="844"/>
      <c r="SA277" s="844"/>
      <c r="SB277" s="844"/>
      <c r="SC277" s="844"/>
      <c r="SD277" s="844"/>
      <c r="SE277" s="844"/>
      <c r="SF277" s="844"/>
      <c r="SG277" s="844"/>
      <c r="SH277" s="844"/>
      <c r="SI277" s="844"/>
      <c r="SJ277" s="844"/>
      <c r="SK277" s="844"/>
      <c r="SL277" s="844"/>
      <c r="SM277" s="844"/>
      <c r="SN277" s="844"/>
      <c r="SO277" s="844"/>
      <c r="SP277" s="844"/>
      <c r="SQ277" s="844"/>
      <c r="SR277" s="844"/>
      <c r="SS277" s="844"/>
      <c r="ST277" s="844"/>
      <c r="SU277" s="844"/>
      <c r="SV277" s="844"/>
      <c r="SW277" s="844"/>
      <c r="SX277" s="844"/>
      <c r="SY277" s="844"/>
      <c r="SZ277" s="844"/>
      <c r="TA277" s="844"/>
      <c r="TB277" s="844"/>
      <c r="TC277" s="844"/>
      <c r="TD277" s="844"/>
      <c r="TE277" s="844"/>
      <c r="TF277" s="844"/>
      <c r="TG277" s="844"/>
      <c r="TH277" s="844"/>
      <c r="TI277" s="844"/>
      <c r="TJ277" s="844"/>
      <c r="TK277" s="844"/>
      <c r="TL277" s="844"/>
      <c r="TM277" s="844"/>
      <c r="TN277" s="844"/>
      <c r="TO277" s="844"/>
      <c r="TP277" s="844"/>
      <c r="TQ277" s="844"/>
      <c r="TR277" s="844"/>
      <c r="TS277" s="844"/>
      <c r="TT277" s="844"/>
      <c r="TU277" s="844"/>
      <c r="TV277" s="844"/>
      <c r="TW277" s="844"/>
      <c r="TX277" s="844"/>
      <c r="TY277" s="844"/>
      <c r="TZ277" s="844"/>
      <c r="UA277" s="844"/>
      <c r="UB277" s="844"/>
      <c r="UC277" s="844"/>
      <c r="UD277" s="844"/>
      <c r="UE277" s="844"/>
      <c r="UF277" s="844"/>
      <c r="UG277" s="844"/>
      <c r="UH277" s="844"/>
      <c r="UI277" s="844"/>
      <c r="UJ277" s="844"/>
      <c r="UK277" s="844"/>
      <c r="UL277" s="844"/>
      <c r="UM277" s="844"/>
      <c r="UN277" s="844"/>
      <c r="UO277" s="844"/>
      <c r="UP277" s="844"/>
      <c r="UQ277" s="844"/>
      <c r="UR277" s="844"/>
      <c r="US277" s="844"/>
      <c r="UT277" s="844"/>
      <c r="UU277" s="844"/>
      <c r="UV277" s="844"/>
      <c r="UW277" s="844"/>
      <c r="UX277" s="844"/>
      <c r="UY277" s="844"/>
      <c r="UZ277" s="844"/>
      <c r="VA277" s="844"/>
      <c r="VB277" s="844"/>
      <c r="VC277" s="844"/>
      <c r="VD277" s="844"/>
      <c r="VE277" s="844"/>
      <c r="VF277" s="844"/>
      <c r="VG277" s="844"/>
      <c r="VH277" s="844"/>
      <c r="VI277" s="844"/>
      <c r="VJ277" s="844"/>
      <c r="VK277" s="844"/>
      <c r="VL277" s="844"/>
      <c r="VM277" s="844"/>
      <c r="VN277" s="844"/>
      <c r="VO277" s="844"/>
      <c r="VP277" s="844"/>
      <c r="VQ277" s="844"/>
      <c r="VR277" s="844"/>
      <c r="VS277" s="844"/>
      <c r="VT277" s="844"/>
      <c r="VU277" s="844"/>
      <c r="VV277" s="844"/>
      <c r="VW277" s="844"/>
      <c r="VX277" s="844"/>
      <c r="VY277" s="844"/>
      <c r="VZ277" s="844"/>
      <c r="WA277" s="844"/>
      <c r="WB277" s="844"/>
      <c r="WC277" s="844"/>
      <c r="WD277" s="844"/>
      <c r="WE277" s="844"/>
      <c r="WF277" s="844"/>
      <c r="WG277" s="844"/>
      <c r="WH277" s="844"/>
      <c r="WI277" s="844"/>
      <c r="WJ277" s="844"/>
      <c r="WK277" s="844"/>
      <c r="WL277" s="844"/>
      <c r="WM277" s="844"/>
      <c r="WN277" s="844"/>
      <c r="WO277" s="844"/>
      <c r="WP277" s="844"/>
      <c r="WQ277" s="844"/>
      <c r="WR277" s="844"/>
      <c r="WS277" s="844"/>
      <c r="WT277" s="844"/>
      <c r="WU277" s="844"/>
      <c r="WV277" s="844"/>
      <c r="WW277" s="844"/>
      <c r="WX277" s="844"/>
      <c r="WY277" s="844"/>
      <c r="WZ277" s="844"/>
      <c r="XA277" s="844"/>
      <c r="XB277" s="844"/>
      <c r="XC277" s="844"/>
      <c r="XD277" s="844"/>
      <c r="XE277" s="844"/>
      <c r="XF277" s="844"/>
      <c r="XG277" s="844"/>
      <c r="XH277" s="844"/>
      <c r="XI277" s="844"/>
      <c r="XJ277" s="844"/>
      <c r="XK277" s="844"/>
      <c r="XL277" s="844"/>
      <c r="XM277" s="844"/>
      <c r="XN277" s="844"/>
      <c r="XO277" s="844"/>
      <c r="XP277" s="844"/>
      <c r="XQ277" s="844"/>
      <c r="XR277" s="844"/>
      <c r="XS277" s="844"/>
      <c r="XT277" s="844"/>
      <c r="XU277" s="844"/>
      <c r="XV277" s="844"/>
      <c r="XW277" s="844"/>
      <c r="XX277" s="844"/>
      <c r="XY277" s="844"/>
      <c r="XZ277" s="844"/>
      <c r="YA277" s="844"/>
      <c r="YB277" s="844"/>
      <c r="YC277" s="844"/>
      <c r="YD277" s="844"/>
      <c r="YE277" s="844"/>
      <c r="YF277" s="844"/>
      <c r="YG277" s="844"/>
      <c r="YH277" s="844"/>
      <c r="YI277" s="844"/>
      <c r="YJ277" s="844"/>
      <c r="YK277" s="844"/>
      <c r="YL277" s="844"/>
      <c r="YM277" s="844"/>
      <c r="YN277" s="844"/>
      <c r="YO277" s="844"/>
      <c r="YP277" s="844"/>
      <c r="YQ277" s="844"/>
      <c r="YR277" s="844"/>
      <c r="YS277" s="844"/>
      <c r="YT277" s="844"/>
      <c r="YU277" s="844"/>
      <c r="YV277" s="844"/>
      <c r="YW277" s="844"/>
      <c r="YX277" s="844"/>
      <c r="YY277" s="844"/>
      <c r="YZ277" s="844"/>
      <c r="ZA277" s="844"/>
      <c r="ZB277" s="844"/>
      <c r="ZC277" s="844"/>
      <c r="ZD277" s="844"/>
      <c r="ZE277" s="844"/>
      <c r="ZF277" s="844"/>
      <c r="ZG277" s="844"/>
      <c r="ZH277" s="844"/>
      <c r="ZI277" s="844"/>
      <c r="ZJ277" s="844"/>
      <c r="ZK277" s="844"/>
      <c r="ZL277" s="844"/>
      <c r="ZM277" s="844"/>
      <c r="ZN277" s="844"/>
      <c r="ZO277" s="844"/>
      <c r="ZP277" s="844"/>
      <c r="ZQ277" s="844"/>
      <c r="ZR277" s="844"/>
      <c r="ZS277" s="844"/>
      <c r="ZT277" s="844"/>
      <c r="ZU277" s="844"/>
      <c r="ZV277" s="844"/>
      <c r="ZW277" s="844"/>
      <c r="ZX277" s="844"/>
      <c r="ZY277" s="844"/>
      <c r="ZZ277" s="844"/>
      <c r="AAA277" s="844"/>
      <c r="AAB277" s="844"/>
      <c r="AAC277" s="844"/>
      <c r="AAD277" s="844"/>
      <c r="AAE277" s="844"/>
      <c r="AAF277" s="844"/>
      <c r="AAG277" s="844"/>
      <c r="AAH277" s="844"/>
      <c r="AAI277" s="844"/>
      <c r="AAJ277" s="844"/>
      <c r="AAK277" s="844"/>
      <c r="AAL277" s="844"/>
      <c r="AAM277" s="844"/>
      <c r="AAN277" s="844"/>
      <c r="AAO277" s="844"/>
      <c r="AAP277" s="844"/>
      <c r="AAQ277" s="844"/>
      <c r="AAR277" s="844"/>
      <c r="AAS277" s="844"/>
      <c r="AAT277" s="844"/>
      <c r="AAU277" s="844"/>
      <c r="AAV277" s="844"/>
      <c r="AAW277" s="844"/>
      <c r="AAX277" s="844"/>
      <c r="AAY277" s="844"/>
      <c r="AAZ277" s="844"/>
      <c r="ABA277" s="844"/>
      <c r="ABB277" s="844"/>
      <c r="ABC277" s="844"/>
      <c r="ABD277" s="844"/>
      <c r="ABE277" s="844"/>
      <c r="ABF277" s="844"/>
      <c r="ABG277" s="844"/>
      <c r="ABH277" s="844"/>
      <c r="ABI277" s="844"/>
      <c r="ABJ277" s="844"/>
      <c r="ABK277" s="844"/>
      <c r="ABL277" s="844"/>
      <c r="ABM277" s="844"/>
      <c r="ABN277" s="844"/>
      <c r="ABO277" s="844"/>
      <c r="ABP277" s="844"/>
      <c r="ABQ277" s="844"/>
      <c r="ABR277" s="844"/>
      <c r="ABS277" s="844"/>
      <c r="ABT277" s="844"/>
      <c r="ABU277" s="844"/>
      <c r="ABV277" s="844"/>
      <c r="ABW277" s="844"/>
      <c r="ABX277" s="844"/>
      <c r="ABY277" s="844"/>
      <c r="ABZ277" s="844"/>
      <c r="ACA277" s="844"/>
      <c r="ACB277" s="844"/>
      <c r="ACC277" s="844"/>
      <c r="ACD277" s="844"/>
      <c r="ACE277" s="844"/>
      <c r="ACF277" s="844"/>
      <c r="ACG277" s="844"/>
      <c r="ACH277" s="844"/>
      <c r="ACI277" s="844"/>
      <c r="ACJ277" s="844"/>
      <c r="ACK277" s="844"/>
      <c r="ACL277" s="844"/>
      <c r="ACM277" s="844"/>
      <c r="ACN277" s="844"/>
      <c r="ACO277" s="844"/>
      <c r="ACP277" s="844"/>
      <c r="ACQ277" s="844"/>
      <c r="ACR277" s="844"/>
      <c r="ACS277" s="844"/>
      <c r="ACT277" s="844"/>
      <c r="ACU277" s="844"/>
      <c r="ACV277" s="844"/>
      <c r="ACW277" s="844"/>
      <c r="ACX277" s="844"/>
      <c r="ACY277" s="844"/>
      <c r="ACZ277" s="844"/>
      <c r="ADA277" s="844"/>
      <c r="ADB277" s="844"/>
      <c r="ADC277" s="844"/>
      <c r="ADD277" s="844"/>
      <c r="ADE277" s="844"/>
      <c r="ADF277" s="844"/>
      <c r="ADG277" s="844"/>
      <c r="ADH277" s="844"/>
      <c r="ADI277" s="844"/>
      <c r="ADJ277" s="844"/>
      <c r="ADK277" s="844"/>
      <c r="ADL277" s="844"/>
      <c r="ADM277" s="844"/>
      <c r="ADN277" s="844"/>
      <c r="ADO277" s="844"/>
      <c r="ADP277" s="844"/>
      <c r="ADQ277" s="844"/>
      <c r="ADR277" s="844"/>
      <c r="ADS277" s="844"/>
      <c r="ADT277" s="844"/>
      <c r="ADU277" s="844"/>
      <c r="ADV277" s="844"/>
      <c r="ADW277" s="844"/>
      <c r="ADX277" s="844"/>
      <c r="ADY277" s="844"/>
      <c r="ADZ277" s="844"/>
      <c r="AEA277" s="844"/>
      <c r="AEB277" s="844"/>
      <c r="AEC277" s="844"/>
      <c r="AED277" s="844"/>
      <c r="AEE277" s="844"/>
      <c r="AEF277" s="844"/>
      <c r="AEG277" s="844"/>
      <c r="AEH277" s="844"/>
      <c r="AEI277" s="844"/>
      <c r="AEJ277" s="844"/>
      <c r="AEK277" s="844"/>
      <c r="AEL277" s="844"/>
      <c r="AEM277" s="844"/>
      <c r="AEN277" s="844"/>
      <c r="AEO277" s="844"/>
      <c r="AEP277" s="844"/>
      <c r="AEQ277" s="844"/>
      <c r="AER277" s="844"/>
      <c r="AES277" s="844"/>
      <c r="AET277" s="844"/>
      <c r="AEU277" s="844"/>
      <c r="AEV277" s="844"/>
      <c r="AEW277" s="844"/>
      <c r="AEX277" s="844"/>
      <c r="AEY277" s="844"/>
      <c r="AEZ277" s="844"/>
      <c r="AFA277" s="844"/>
      <c r="AFB277" s="844"/>
      <c r="AFC277" s="844"/>
      <c r="AFD277" s="844"/>
      <c r="AFE277" s="844"/>
      <c r="AFF277" s="844"/>
      <c r="AFG277" s="844"/>
      <c r="AFH277" s="844"/>
      <c r="AFI277" s="844"/>
      <c r="AFJ277" s="844"/>
      <c r="AFK277" s="844"/>
      <c r="AFL277" s="844"/>
      <c r="AFM277" s="844"/>
      <c r="AFN277" s="844"/>
      <c r="AFO277" s="844"/>
      <c r="AFP277" s="844"/>
      <c r="AFQ277" s="844"/>
      <c r="AFR277" s="844"/>
      <c r="AFS277" s="844"/>
      <c r="AFT277" s="844"/>
      <c r="AFU277" s="844"/>
      <c r="AFV277" s="844"/>
      <c r="AFW277" s="844"/>
      <c r="AFX277" s="844"/>
      <c r="AFY277" s="844"/>
      <c r="AFZ277" s="844"/>
      <c r="AGA277" s="844"/>
      <c r="AGB277" s="844"/>
      <c r="AGC277" s="844"/>
      <c r="AGD277" s="844"/>
      <c r="AGE277" s="844"/>
      <c r="AGF277" s="844"/>
      <c r="AGG277" s="844"/>
      <c r="AGH277" s="844"/>
      <c r="AGI277" s="844"/>
      <c r="AGJ277" s="844"/>
    </row>
    <row r="278" spans="1:868" s="845" customFormat="1" hidden="1">
      <c r="A278" s="152" t="s">
        <v>213</v>
      </c>
      <c r="B278" s="34" t="s">
        <v>217</v>
      </c>
      <c r="C278" s="40" t="s">
        <v>147</v>
      </c>
      <c r="D278" s="34" t="s">
        <v>147</v>
      </c>
      <c r="E278" s="260">
        <v>2.7E-4</v>
      </c>
      <c r="F278" s="235">
        <v>2</v>
      </c>
      <c r="G278" s="40" t="s">
        <v>218</v>
      </c>
      <c r="H278" s="29">
        <v>1</v>
      </c>
      <c r="I278" s="9">
        <v>2</v>
      </c>
      <c r="J278" s="9">
        <v>1</v>
      </c>
      <c r="K278" s="9">
        <v>3</v>
      </c>
      <c r="L278" s="9">
        <v>3</v>
      </c>
      <c r="M278" s="9">
        <v>3</v>
      </c>
      <c r="N278" s="186">
        <f t="shared" si="15"/>
        <v>1.1181151966036349</v>
      </c>
      <c r="O278" s="160">
        <f t="shared" ref="O278:O307" si="16">IF( OR( ISBLANK(I278),ISBLANK(J278), ISBLANK(K278), ISBLANK(L278), ISBLANK(M278) ), "", 1.5*SQRT( EXP(2.21*(I278-1)) + EXP(2.21*(J278-1)) + EXP(2.21*(K278-1)) + EXP(2.21*(L278-1)) + EXP(2.21*M278)   )/100*2.45 )</f>
        <v>1.123005955058592</v>
      </c>
      <c r="P278" s="63"/>
      <c r="Q278" s="844"/>
      <c r="R278" s="844"/>
      <c r="S278" s="844"/>
      <c r="T278" s="844"/>
      <c r="U278" s="844"/>
      <c r="V278" s="844"/>
      <c r="W278" s="844"/>
      <c r="X278" s="844"/>
      <c r="Y278" s="844"/>
      <c r="Z278" s="844"/>
      <c r="AA278" s="844"/>
      <c r="AB278" s="844"/>
      <c r="AC278" s="844"/>
      <c r="AD278" s="844"/>
      <c r="AE278" s="844"/>
      <c r="AF278" s="844"/>
      <c r="AG278" s="844"/>
      <c r="AH278" s="844"/>
      <c r="AI278" s="844"/>
      <c r="AJ278" s="844"/>
      <c r="AK278" s="844"/>
      <c r="AL278" s="844"/>
      <c r="AM278" s="844"/>
      <c r="AN278" s="844"/>
      <c r="AO278" s="844"/>
      <c r="AP278" s="844"/>
      <c r="AQ278" s="844"/>
      <c r="AR278" s="844"/>
      <c r="AS278" s="844"/>
      <c r="AT278" s="844"/>
      <c r="AU278" s="844"/>
      <c r="AV278" s="844"/>
      <c r="AW278" s="844"/>
      <c r="AX278" s="844"/>
      <c r="AY278" s="844"/>
      <c r="AZ278" s="844"/>
      <c r="BA278" s="844"/>
      <c r="BB278" s="844"/>
      <c r="BC278" s="844"/>
      <c r="BD278" s="844"/>
      <c r="BE278" s="844"/>
      <c r="BF278" s="844"/>
      <c r="BG278" s="844"/>
      <c r="BH278" s="844"/>
      <c r="BI278" s="844"/>
      <c r="BJ278" s="844"/>
      <c r="BK278" s="844"/>
      <c r="BL278" s="844"/>
      <c r="BM278" s="844"/>
      <c r="BN278" s="844"/>
      <c r="BO278" s="844"/>
      <c r="BP278" s="844"/>
      <c r="BQ278" s="844"/>
      <c r="BR278" s="844"/>
      <c r="BS278" s="844"/>
      <c r="BT278" s="844"/>
      <c r="BU278" s="844"/>
      <c r="BV278" s="844"/>
      <c r="BW278" s="844"/>
      <c r="BX278" s="844"/>
      <c r="BY278" s="844"/>
      <c r="BZ278" s="844"/>
      <c r="CA278" s="844"/>
      <c r="CB278" s="844"/>
      <c r="CC278" s="844"/>
      <c r="CD278" s="844"/>
      <c r="CE278" s="844"/>
      <c r="CF278" s="844"/>
      <c r="CG278" s="844"/>
      <c r="CH278" s="844"/>
      <c r="CI278" s="844"/>
      <c r="CJ278" s="844"/>
      <c r="CK278" s="844"/>
      <c r="CL278" s="844"/>
      <c r="CM278" s="844"/>
      <c r="CN278" s="844"/>
      <c r="CO278" s="844"/>
      <c r="CP278" s="844"/>
      <c r="CQ278" s="844"/>
      <c r="CR278" s="844"/>
      <c r="CS278" s="844"/>
      <c r="CT278" s="844"/>
      <c r="CU278" s="844"/>
      <c r="CV278" s="844"/>
      <c r="CW278" s="844"/>
      <c r="CX278" s="844"/>
      <c r="CY278" s="844"/>
      <c r="CZ278" s="844"/>
      <c r="DA278" s="844"/>
      <c r="DB278" s="844"/>
      <c r="DC278" s="844"/>
      <c r="DD278" s="844"/>
      <c r="DE278" s="844"/>
      <c r="DF278" s="844"/>
      <c r="DG278" s="844"/>
      <c r="DH278" s="844"/>
      <c r="DI278" s="844"/>
      <c r="DJ278" s="844"/>
      <c r="DK278" s="844"/>
      <c r="DL278" s="844"/>
      <c r="DM278" s="844"/>
      <c r="DN278" s="844"/>
      <c r="DO278" s="844"/>
      <c r="DP278" s="844"/>
      <c r="DQ278" s="844"/>
      <c r="DR278" s="844"/>
      <c r="DS278" s="844"/>
      <c r="DT278" s="844"/>
      <c r="DU278" s="844"/>
      <c r="DV278" s="844"/>
      <c r="DW278" s="844"/>
      <c r="DX278" s="844"/>
      <c r="DY278" s="844"/>
      <c r="DZ278" s="844"/>
      <c r="EA278" s="844"/>
      <c r="EB278" s="844"/>
      <c r="EC278" s="844"/>
      <c r="ED278" s="844"/>
      <c r="EE278" s="844"/>
      <c r="EF278" s="844"/>
      <c r="EG278" s="844"/>
      <c r="EH278" s="844"/>
      <c r="EI278" s="844"/>
      <c r="EJ278" s="844"/>
      <c r="EK278" s="844"/>
      <c r="EL278" s="844"/>
      <c r="EM278" s="844"/>
      <c r="EN278" s="844"/>
      <c r="EO278" s="844"/>
      <c r="EP278" s="844"/>
      <c r="EQ278" s="844"/>
      <c r="ER278" s="844"/>
      <c r="ES278" s="844"/>
      <c r="ET278" s="844"/>
      <c r="EU278" s="844"/>
      <c r="EV278" s="844"/>
      <c r="EW278" s="844"/>
      <c r="EX278" s="844"/>
      <c r="EY278" s="844"/>
      <c r="EZ278" s="844"/>
      <c r="FA278" s="844"/>
      <c r="FB278" s="844"/>
      <c r="FC278" s="844"/>
      <c r="FD278" s="844"/>
      <c r="FE278" s="844"/>
      <c r="FF278" s="844"/>
      <c r="FG278" s="844"/>
      <c r="FH278" s="844"/>
      <c r="FI278" s="844"/>
      <c r="FJ278" s="844"/>
      <c r="FK278" s="844"/>
      <c r="FL278" s="844"/>
      <c r="FM278" s="844"/>
      <c r="FN278" s="844"/>
      <c r="FO278" s="844"/>
      <c r="FP278" s="844"/>
      <c r="FQ278" s="844"/>
      <c r="FR278" s="844"/>
      <c r="FS278" s="844"/>
      <c r="FT278" s="844"/>
      <c r="FU278" s="844"/>
      <c r="FV278" s="844"/>
      <c r="FW278" s="844"/>
      <c r="FX278" s="844"/>
      <c r="FY278" s="844"/>
      <c r="FZ278" s="844"/>
      <c r="GA278" s="844"/>
      <c r="GB278" s="844"/>
      <c r="GC278" s="844"/>
      <c r="GD278" s="844"/>
      <c r="GE278" s="844"/>
      <c r="GF278" s="844"/>
      <c r="GG278" s="844"/>
      <c r="GH278" s="844"/>
      <c r="GI278" s="844"/>
      <c r="GJ278" s="844"/>
      <c r="GK278" s="844"/>
      <c r="GL278" s="844"/>
      <c r="GM278" s="844"/>
      <c r="GN278" s="844"/>
      <c r="GO278" s="844"/>
      <c r="GP278" s="844"/>
      <c r="GQ278" s="844"/>
      <c r="GR278" s="844"/>
      <c r="GS278" s="844"/>
      <c r="GT278" s="844"/>
      <c r="GU278" s="844"/>
      <c r="GV278" s="844"/>
      <c r="GW278" s="844"/>
      <c r="GX278" s="844"/>
      <c r="GY278" s="844"/>
      <c r="GZ278" s="844"/>
      <c r="HA278" s="844"/>
      <c r="HB278" s="844"/>
      <c r="HC278" s="844"/>
      <c r="HD278" s="844"/>
      <c r="HE278" s="844"/>
      <c r="HF278" s="844"/>
      <c r="HG278" s="844"/>
      <c r="HH278" s="844"/>
      <c r="HI278" s="844"/>
      <c r="HJ278" s="844"/>
      <c r="HK278" s="844"/>
      <c r="HL278" s="844"/>
      <c r="HM278" s="844"/>
      <c r="HN278" s="844"/>
      <c r="HO278" s="844"/>
      <c r="HP278" s="844"/>
      <c r="HQ278" s="844"/>
      <c r="HR278" s="844"/>
      <c r="HS278" s="844"/>
      <c r="HT278" s="844"/>
      <c r="HU278" s="844"/>
      <c r="HV278" s="844"/>
      <c r="HW278" s="844"/>
      <c r="HX278" s="844"/>
      <c r="HY278" s="844"/>
      <c r="HZ278" s="844"/>
      <c r="IA278" s="844"/>
      <c r="IB278" s="844"/>
      <c r="IC278" s="844"/>
      <c r="ID278" s="844"/>
      <c r="IE278" s="844"/>
      <c r="IF278" s="844"/>
      <c r="IG278" s="844"/>
      <c r="IH278" s="844"/>
      <c r="II278" s="844"/>
      <c r="IJ278" s="844"/>
      <c r="IK278" s="844"/>
      <c r="IL278" s="844"/>
      <c r="IM278" s="844"/>
      <c r="IN278" s="844"/>
      <c r="IO278" s="844"/>
      <c r="IP278" s="844"/>
      <c r="IQ278" s="844"/>
      <c r="IR278" s="844"/>
      <c r="IS278" s="844"/>
      <c r="IT278" s="844"/>
      <c r="IU278" s="844"/>
      <c r="IV278" s="844"/>
      <c r="IW278" s="844"/>
      <c r="IX278" s="844"/>
      <c r="IY278" s="844"/>
      <c r="IZ278" s="844"/>
      <c r="JA278" s="844"/>
      <c r="JB278" s="844"/>
      <c r="JC278" s="844"/>
      <c r="JD278" s="844"/>
      <c r="JE278" s="844"/>
      <c r="JF278" s="844"/>
      <c r="JG278" s="844"/>
      <c r="JH278" s="844"/>
      <c r="JI278" s="844"/>
      <c r="JJ278" s="844"/>
      <c r="JK278" s="844"/>
      <c r="JL278" s="844"/>
      <c r="JM278" s="844"/>
      <c r="JN278" s="844"/>
      <c r="JO278" s="844"/>
      <c r="JP278" s="844"/>
      <c r="JQ278" s="844"/>
      <c r="JR278" s="844"/>
      <c r="JS278" s="844"/>
      <c r="JT278" s="844"/>
      <c r="JU278" s="844"/>
      <c r="JV278" s="844"/>
      <c r="JW278" s="844"/>
      <c r="JX278" s="844"/>
      <c r="JY278" s="844"/>
      <c r="JZ278" s="844"/>
      <c r="KA278" s="844"/>
      <c r="KB278" s="844"/>
      <c r="KC278" s="844"/>
      <c r="KD278" s="844"/>
      <c r="KE278" s="844"/>
      <c r="KF278" s="844"/>
      <c r="KG278" s="844"/>
      <c r="KH278" s="844"/>
      <c r="KI278" s="844"/>
      <c r="KJ278" s="844"/>
      <c r="KK278" s="844"/>
      <c r="KL278" s="844"/>
      <c r="KM278" s="844"/>
      <c r="KN278" s="844"/>
      <c r="KO278" s="844"/>
      <c r="KP278" s="844"/>
      <c r="KQ278" s="844"/>
      <c r="KR278" s="844"/>
      <c r="KS278" s="844"/>
      <c r="KT278" s="844"/>
      <c r="KU278" s="844"/>
      <c r="KV278" s="844"/>
      <c r="KW278" s="844"/>
      <c r="KX278" s="844"/>
      <c r="KY278" s="844"/>
      <c r="KZ278" s="844"/>
      <c r="LA278" s="844"/>
      <c r="LB278" s="844"/>
      <c r="LC278" s="844"/>
      <c r="LD278" s="844"/>
      <c r="LE278" s="844"/>
      <c r="LF278" s="844"/>
      <c r="LG278" s="844"/>
      <c r="LH278" s="844"/>
      <c r="LI278" s="844"/>
      <c r="LJ278" s="844"/>
      <c r="LK278" s="844"/>
      <c r="LL278" s="844"/>
      <c r="LM278" s="844"/>
      <c r="LN278" s="844"/>
      <c r="LO278" s="844"/>
      <c r="LP278" s="844"/>
      <c r="LQ278" s="844"/>
      <c r="LR278" s="844"/>
      <c r="LS278" s="844"/>
      <c r="LT278" s="844"/>
      <c r="LU278" s="844"/>
      <c r="LV278" s="844"/>
      <c r="LW278" s="844"/>
      <c r="LX278" s="844"/>
      <c r="LY278" s="844"/>
      <c r="LZ278" s="844"/>
      <c r="MA278" s="844"/>
      <c r="MB278" s="844"/>
      <c r="MC278" s="844"/>
      <c r="MD278" s="844"/>
      <c r="ME278" s="844"/>
      <c r="MF278" s="844"/>
      <c r="MG278" s="844"/>
      <c r="MH278" s="844"/>
      <c r="MI278" s="844"/>
      <c r="MJ278" s="844"/>
      <c r="MK278" s="844"/>
      <c r="ML278" s="844"/>
      <c r="MM278" s="844"/>
      <c r="MN278" s="844"/>
      <c r="MO278" s="844"/>
      <c r="MP278" s="844"/>
      <c r="MQ278" s="844"/>
      <c r="MR278" s="844"/>
      <c r="MS278" s="844"/>
      <c r="MT278" s="844"/>
      <c r="MU278" s="844"/>
      <c r="MV278" s="844"/>
      <c r="MW278" s="844"/>
      <c r="MX278" s="844"/>
      <c r="MY278" s="844"/>
      <c r="MZ278" s="844"/>
      <c r="NA278" s="844"/>
      <c r="NB278" s="844"/>
      <c r="NC278" s="844"/>
      <c r="ND278" s="844"/>
      <c r="NE278" s="844"/>
      <c r="NF278" s="844"/>
      <c r="NG278" s="844"/>
      <c r="NH278" s="844"/>
      <c r="NI278" s="844"/>
      <c r="NJ278" s="844"/>
      <c r="NK278" s="844"/>
      <c r="NL278" s="844"/>
      <c r="NM278" s="844"/>
      <c r="NN278" s="844"/>
      <c r="NO278" s="844"/>
      <c r="NP278" s="844"/>
      <c r="NQ278" s="844"/>
      <c r="NR278" s="844"/>
      <c r="NS278" s="844"/>
      <c r="NT278" s="844"/>
      <c r="NU278" s="844"/>
      <c r="NV278" s="844"/>
      <c r="NW278" s="844"/>
      <c r="NX278" s="844"/>
      <c r="NY278" s="844"/>
      <c r="NZ278" s="844"/>
      <c r="OA278" s="844"/>
      <c r="OB278" s="844"/>
      <c r="OC278" s="844"/>
      <c r="OD278" s="844"/>
      <c r="OE278" s="844"/>
      <c r="OF278" s="844"/>
      <c r="OG278" s="844"/>
      <c r="OH278" s="844"/>
      <c r="OI278" s="844"/>
      <c r="OJ278" s="844"/>
      <c r="OK278" s="844"/>
      <c r="OL278" s="844"/>
      <c r="OM278" s="844"/>
      <c r="ON278" s="844"/>
      <c r="OO278" s="844"/>
      <c r="OP278" s="844"/>
      <c r="OQ278" s="844"/>
      <c r="OR278" s="844"/>
      <c r="OS278" s="844"/>
      <c r="OT278" s="844"/>
      <c r="OU278" s="844"/>
      <c r="OV278" s="844"/>
      <c r="OW278" s="844"/>
      <c r="OX278" s="844"/>
      <c r="OY278" s="844"/>
      <c r="OZ278" s="844"/>
      <c r="PA278" s="844"/>
      <c r="PB278" s="844"/>
      <c r="PC278" s="844"/>
      <c r="PD278" s="844"/>
      <c r="PE278" s="844"/>
      <c r="PF278" s="844"/>
      <c r="PG278" s="844"/>
      <c r="PH278" s="844"/>
      <c r="PI278" s="844"/>
      <c r="PJ278" s="844"/>
      <c r="PK278" s="844"/>
      <c r="PL278" s="844"/>
      <c r="PM278" s="844"/>
      <c r="PN278" s="844"/>
      <c r="PO278" s="844"/>
      <c r="PP278" s="844"/>
      <c r="PQ278" s="844"/>
      <c r="PR278" s="844"/>
      <c r="PS278" s="844"/>
      <c r="PT278" s="844"/>
      <c r="PU278" s="844"/>
      <c r="PV278" s="844"/>
      <c r="PW278" s="844"/>
      <c r="PX278" s="844"/>
      <c r="PY278" s="844"/>
      <c r="PZ278" s="844"/>
      <c r="QA278" s="844"/>
      <c r="QB278" s="844"/>
      <c r="QC278" s="844"/>
      <c r="QD278" s="844"/>
      <c r="QE278" s="844"/>
      <c r="QF278" s="844"/>
      <c r="QG278" s="844"/>
      <c r="QH278" s="844"/>
      <c r="QI278" s="844"/>
      <c r="QJ278" s="844"/>
      <c r="QK278" s="844"/>
      <c r="QL278" s="844"/>
      <c r="QM278" s="844"/>
      <c r="QN278" s="844"/>
      <c r="QO278" s="844"/>
      <c r="QP278" s="844"/>
      <c r="QQ278" s="844"/>
      <c r="QR278" s="844"/>
      <c r="QS278" s="844"/>
      <c r="QT278" s="844"/>
      <c r="QU278" s="844"/>
      <c r="QV278" s="844"/>
      <c r="QW278" s="844"/>
      <c r="QX278" s="844"/>
      <c r="QY278" s="844"/>
      <c r="QZ278" s="844"/>
      <c r="RA278" s="844"/>
      <c r="RB278" s="844"/>
      <c r="RC278" s="844"/>
      <c r="RD278" s="844"/>
      <c r="RE278" s="844"/>
      <c r="RF278" s="844"/>
      <c r="RG278" s="844"/>
      <c r="RH278" s="844"/>
      <c r="RI278" s="844"/>
      <c r="RJ278" s="844"/>
      <c r="RK278" s="844"/>
      <c r="RL278" s="844"/>
      <c r="RM278" s="844"/>
      <c r="RN278" s="844"/>
      <c r="RO278" s="844"/>
      <c r="RP278" s="844"/>
      <c r="RQ278" s="844"/>
      <c r="RR278" s="844"/>
      <c r="RS278" s="844"/>
      <c r="RT278" s="844"/>
      <c r="RU278" s="844"/>
      <c r="RV278" s="844"/>
      <c r="RW278" s="844"/>
      <c r="RX278" s="844"/>
      <c r="RY278" s="844"/>
      <c r="RZ278" s="844"/>
      <c r="SA278" s="844"/>
      <c r="SB278" s="844"/>
      <c r="SC278" s="844"/>
      <c r="SD278" s="844"/>
      <c r="SE278" s="844"/>
      <c r="SF278" s="844"/>
      <c r="SG278" s="844"/>
      <c r="SH278" s="844"/>
      <c r="SI278" s="844"/>
      <c r="SJ278" s="844"/>
      <c r="SK278" s="844"/>
      <c r="SL278" s="844"/>
      <c r="SM278" s="844"/>
      <c r="SN278" s="844"/>
      <c r="SO278" s="844"/>
      <c r="SP278" s="844"/>
      <c r="SQ278" s="844"/>
      <c r="SR278" s="844"/>
      <c r="SS278" s="844"/>
      <c r="ST278" s="844"/>
      <c r="SU278" s="844"/>
      <c r="SV278" s="844"/>
      <c r="SW278" s="844"/>
      <c r="SX278" s="844"/>
      <c r="SY278" s="844"/>
      <c r="SZ278" s="844"/>
      <c r="TA278" s="844"/>
      <c r="TB278" s="844"/>
      <c r="TC278" s="844"/>
      <c r="TD278" s="844"/>
      <c r="TE278" s="844"/>
      <c r="TF278" s="844"/>
      <c r="TG278" s="844"/>
      <c r="TH278" s="844"/>
      <c r="TI278" s="844"/>
      <c r="TJ278" s="844"/>
      <c r="TK278" s="844"/>
      <c r="TL278" s="844"/>
      <c r="TM278" s="844"/>
      <c r="TN278" s="844"/>
      <c r="TO278" s="844"/>
      <c r="TP278" s="844"/>
      <c r="TQ278" s="844"/>
      <c r="TR278" s="844"/>
      <c r="TS278" s="844"/>
      <c r="TT278" s="844"/>
      <c r="TU278" s="844"/>
      <c r="TV278" s="844"/>
      <c r="TW278" s="844"/>
      <c r="TX278" s="844"/>
      <c r="TY278" s="844"/>
      <c r="TZ278" s="844"/>
      <c r="UA278" s="844"/>
      <c r="UB278" s="844"/>
      <c r="UC278" s="844"/>
      <c r="UD278" s="844"/>
      <c r="UE278" s="844"/>
      <c r="UF278" s="844"/>
      <c r="UG278" s="844"/>
      <c r="UH278" s="844"/>
      <c r="UI278" s="844"/>
      <c r="UJ278" s="844"/>
      <c r="UK278" s="844"/>
      <c r="UL278" s="844"/>
      <c r="UM278" s="844"/>
      <c r="UN278" s="844"/>
      <c r="UO278" s="844"/>
      <c r="UP278" s="844"/>
      <c r="UQ278" s="844"/>
      <c r="UR278" s="844"/>
      <c r="US278" s="844"/>
      <c r="UT278" s="844"/>
      <c r="UU278" s="844"/>
      <c r="UV278" s="844"/>
      <c r="UW278" s="844"/>
      <c r="UX278" s="844"/>
      <c r="UY278" s="844"/>
      <c r="UZ278" s="844"/>
      <c r="VA278" s="844"/>
      <c r="VB278" s="844"/>
      <c r="VC278" s="844"/>
      <c r="VD278" s="844"/>
      <c r="VE278" s="844"/>
      <c r="VF278" s="844"/>
      <c r="VG278" s="844"/>
      <c r="VH278" s="844"/>
      <c r="VI278" s="844"/>
      <c r="VJ278" s="844"/>
      <c r="VK278" s="844"/>
      <c r="VL278" s="844"/>
      <c r="VM278" s="844"/>
      <c r="VN278" s="844"/>
      <c r="VO278" s="844"/>
      <c r="VP278" s="844"/>
      <c r="VQ278" s="844"/>
      <c r="VR278" s="844"/>
      <c r="VS278" s="844"/>
      <c r="VT278" s="844"/>
      <c r="VU278" s="844"/>
      <c r="VV278" s="844"/>
      <c r="VW278" s="844"/>
      <c r="VX278" s="844"/>
      <c r="VY278" s="844"/>
      <c r="VZ278" s="844"/>
      <c r="WA278" s="844"/>
      <c r="WB278" s="844"/>
      <c r="WC278" s="844"/>
      <c r="WD278" s="844"/>
      <c r="WE278" s="844"/>
      <c r="WF278" s="844"/>
      <c r="WG278" s="844"/>
      <c r="WH278" s="844"/>
      <c r="WI278" s="844"/>
      <c r="WJ278" s="844"/>
      <c r="WK278" s="844"/>
      <c r="WL278" s="844"/>
      <c r="WM278" s="844"/>
      <c r="WN278" s="844"/>
      <c r="WO278" s="844"/>
      <c r="WP278" s="844"/>
      <c r="WQ278" s="844"/>
      <c r="WR278" s="844"/>
      <c r="WS278" s="844"/>
      <c r="WT278" s="844"/>
      <c r="WU278" s="844"/>
      <c r="WV278" s="844"/>
      <c r="WW278" s="844"/>
      <c r="WX278" s="844"/>
      <c r="WY278" s="844"/>
      <c r="WZ278" s="844"/>
      <c r="XA278" s="844"/>
      <c r="XB278" s="844"/>
      <c r="XC278" s="844"/>
      <c r="XD278" s="844"/>
      <c r="XE278" s="844"/>
      <c r="XF278" s="844"/>
      <c r="XG278" s="844"/>
      <c r="XH278" s="844"/>
      <c r="XI278" s="844"/>
      <c r="XJ278" s="844"/>
      <c r="XK278" s="844"/>
      <c r="XL278" s="844"/>
      <c r="XM278" s="844"/>
      <c r="XN278" s="844"/>
      <c r="XO278" s="844"/>
      <c r="XP278" s="844"/>
      <c r="XQ278" s="844"/>
      <c r="XR278" s="844"/>
      <c r="XS278" s="844"/>
      <c r="XT278" s="844"/>
      <c r="XU278" s="844"/>
      <c r="XV278" s="844"/>
      <c r="XW278" s="844"/>
      <c r="XX278" s="844"/>
      <c r="XY278" s="844"/>
      <c r="XZ278" s="844"/>
      <c r="YA278" s="844"/>
      <c r="YB278" s="844"/>
      <c r="YC278" s="844"/>
      <c r="YD278" s="844"/>
      <c r="YE278" s="844"/>
      <c r="YF278" s="844"/>
      <c r="YG278" s="844"/>
      <c r="YH278" s="844"/>
      <c r="YI278" s="844"/>
      <c r="YJ278" s="844"/>
      <c r="YK278" s="844"/>
      <c r="YL278" s="844"/>
      <c r="YM278" s="844"/>
      <c r="YN278" s="844"/>
      <c r="YO278" s="844"/>
      <c r="YP278" s="844"/>
      <c r="YQ278" s="844"/>
      <c r="YR278" s="844"/>
      <c r="YS278" s="844"/>
      <c r="YT278" s="844"/>
      <c r="YU278" s="844"/>
      <c r="YV278" s="844"/>
      <c r="YW278" s="844"/>
      <c r="YX278" s="844"/>
      <c r="YY278" s="844"/>
      <c r="YZ278" s="844"/>
      <c r="ZA278" s="844"/>
      <c r="ZB278" s="844"/>
      <c r="ZC278" s="844"/>
      <c r="ZD278" s="844"/>
      <c r="ZE278" s="844"/>
      <c r="ZF278" s="844"/>
      <c r="ZG278" s="844"/>
      <c r="ZH278" s="844"/>
      <c r="ZI278" s="844"/>
      <c r="ZJ278" s="844"/>
      <c r="ZK278" s="844"/>
      <c r="ZL278" s="844"/>
      <c r="ZM278" s="844"/>
      <c r="ZN278" s="844"/>
      <c r="ZO278" s="844"/>
      <c r="ZP278" s="844"/>
      <c r="ZQ278" s="844"/>
      <c r="ZR278" s="844"/>
      <c r="ZS278" s="844"/>
      <c r="ZT278" s="844"/>
      <c r="ZU278" s="844"/>
      <c r="ZV278" s="844"/>
      <c r="ZW278" s="844"/>
      <c r="ZX278" s="844"/>
      <c r="ZY278" s="844"/>
      <c r="ZZ278" s="844"/>
      <c r="AAA278" s="844"/>
      <c r="AAB278" s="844"/>
      <c r="AAC278" s="844"/>
      <c r="AAD278" s="844"/>
      <c r="AAE278" s="844"/>
      <c r="AAF278" s="844"/>
      <c r="AAG278" s="844"/>
      <c r="AAH278" s="844"/>
      <c r="AAI278" s="844"/>
      <c r="AAJ278" s="844"/>
      <c r="AAK278" s="844"/>
      <c r="AAL278" s="844"/>
      <c r="AAM278" s="844"/>
      <c r="AAN278" s="844"/>
      <c r="AAO278" s="844"/>
      <c r="AAP278" s="844"/>
      <c r="AAQ278" s="844"/>
      <c r="AAR278" s="844"/>
      <c r="AAS278" s="844"/>
      <c r="AAT278" s="844"/>
      <c r="AAU278" s="844"/>
      <c r="AAV278" s="844"/>
      <c r="AAW278" s="844"/>
      <c r="AAX278" s="844"/>
      <c r="AAY278" s="844"/>
      <c r="AAZ278" s="844"/>
      <c r="ABA278" s="844"/>
      <c r="ABB278" s="844"/>
      <c r="ABC278" s="844"/>
      <c r="ABD278" s="844"/>
      <c r="ABE278" s="844"/>
      <c r="ABF278" s="844"/>
      <c r="ABG278" s="844"/>
      <c r="ABH278" s="844"/>
      <c r="ABI278" s="844"/>
      <c r="ABJ278" s="844"/>
      <c r="ABK278" s="844"/>
      <c r="ABL278" s="844"/>
      <c r="ABM278" s="844"/>
      <c r="ABN278" s="844"/>
      <c r="ABO278" s="844"/>
      <c r="ABP278" s="844"/>
      <c r="ABQ278" s="844"/>
      <c r="ABR278" s="844"/>
      <c r="ABS278" s="844"/>
      <c r="ABT278" s="844"/>
      <c r="ABU278" s="844"/>
      <c r="ABV278" s="844"/>
      <c r="ABW278" s="844"/>
      <c r="ABX278" s="844"/>
      <c r="ABY278" s="844"/>
      <c r="ABZ278" s="844"/>
      <c r="ACA278" s="844"/>
      <c r="ACB278" s="844"/>
      <c r="ACC278" s="844"/>
      <c r="ACD278" s="844"/>
      <c r="ACE278" s="844"/>
      <c r="ACF278" s="844"/>
      <c r="ACG278" s="844"/>
      <c r="ACH278" s="844"/>
      <c r="ACI278" s="844"/>
      <c r="ACJ278" s="844"/>
      <c r="ACK278" s="844"/>
      <c r="ACL278" s="844"/>
      <c r="ACM278" s="844"/>
      <c r="ACN278" s="844"/>
      <c r="ACO278" s="844"/>
      <c r="ACP278" s="844"/>
      <c r="ACQ278" s="844"/>
      <c r="ACR278" s="844"/>
      <c r="ACS278" s="844"/>
      <c r="ACT278" s="844"/>
      <c r="ACU278" s="844"/>
      <c r="ACV278" s="844"/>
      <c r="ACW278" s="844"/>
      <c r="ACX278" s="844"/>
      <c r="ACY278" s="844"/>
      <c r="ACZ278" s="844"/>
      <c r="ADA278" s="844"/>
      <c r="ADB278" s="844"/>
      <c r="ADC278" s="844"/>
      <c r="ADD278" s="844"/>
      <c r="ADE278" s="844"/>
      <c r="ADF278" s="844"/>
      <c r="ADG278" s="844"/>
      <c r="ADH278" s="844"/>
      <c r="ADI278" s="844"/>
      <c r="ADJ278" s="844"/>
      <c r="ADK278" s="844"/>
      <c r="ADL278" s="844"/>
      <c r="ADM278" s="844"/>
      <c r="ADN278" s="844"/>
      <c r="ADO278" s="844"/>
      <c r="ADP278" s="844"/>
      <c r="ADQ278" s="844"/>
      <c r="ADR278" s="844"/>
      <c r="ADS278" s="844"/>
      <c r="ADT278" s="844"/>
      <c r="ADU278" s="844"/>
      <c r="ADV278" s="844"/>
      <c r="ADW278" s="844"/>
      <c r="ADX278" s="844"/>
      <c r="ADY278" s="844"/>
      <c r="ADZ278" s="844"/>
      <c r="AEA278" s="844"/>
      <c r="AEB278" s="844"/>
      <c r="AEC278" s="844"/>
      <c r="AED278" s="844"/>
      <c r="AEE278" s="844"/>
      <c r="AEF278" s="844"/>
      <c r="AEG278" s="844"/>
      <c r="AEH278" s="844"/>
      <c r="AEI278" s="844"/>
      <c r="AEJ278" s="844"/>
      <c r="AEK278" s="844"/>
      <c r="AEL278" s="844"/>
      <c r="AEM278" s="844"/>
      <c r="AEN278" s="844"/>
      <c r="AEO278" s="844"/>
      <c r="AEP278" s="844"/>
      <c r="AEQ278" s="844"/>
      <c r="AER278" s="844"/>
      <c r="AES278" s="844"/>
      <c r="AET278" s="844"/>
      <c r="AEU278" s="844"/>
      <c r="AEV278" s="844"/>
      <c r="AEW278" s="844"/>
      <c r="AEX278" s="844"/>
      <c r="AEY278" s="844"/>
      <c r="AEZ278" s="844"/>
      <c r="AFA278" s="844"/>
      <c r="AFB278" s="844"/>
      <c r="AFC278" s="844"/>
      <c r="AFD278" s="844"/>
      <c r="AFE278" s="844"/>
      <c r="AFF278" s="844"/>
      <c r="AFG278" s="844"/>
      <c r="AFH278" s="844"/>
      <c r="AFI278" s="844"/>
      <c r="AFJ278" s="844"/>
      <c r="AFK278" s="844"/>
      <c r="AFL278" s="844"/>
      <c r="AFM278" s="844"/>
      <c r="AFN278" s="844"/>
      <c r="AFO278" s="844"/>
      <c r="AFP278" s="844"/>
      <c r="AFQ278" s="844"/>
      <c r="AFR278" s="844"/>
      <c r="AFS278" s="844"/>
      <c r="AFT278" s="844"/>
      <c r="AFU278" s="844"/>
      <c r="AFV278" s="844"/>
      <c r="AFW278" s="844"/>
      <c r="AFX278" s="844"/>
      <c r="AFY278" s="844"/>
      <c r="AFZ278" s="844"/>
      <c r="AGA278" s="844"/>
      <c r="AGB278" s="844"/>
      <c r="AGC278" s="844"/>
      <c r="AGD278" s="844"/>
      <c r="AGE278" s="844"/>
      <c r="AGF278" s="844"/>
      <c r="AGG278" s="844"/>
      <c r="AGH278" s="844"/>
      <c r="AGI278" s="844"/>
      <c r="AGJ278" s="844"/>
    </row>
    <row r="279" spans="1:868" hidden="1">
      <c r="A279" s="152" t="s">
        <v>214</v>
      </c>
      <c r="B279" s="34" t="s">
        <v>217</v>
      </c>
      <c r="C279" s="40" t="s">
        <v>147</v>
      </c>
      <c r="D279" s="34" t="s">
        <v>147</v>
      </c>
      <c r="E279" s="260">
        <v>2.7E-4</v>
      </c>
      <c r="F279" s="235">
        <v>2</v>
      </c>
      <c r="G279" s="40" t="s">
        <v>218</v>
      </c>
      <c r="H279" s="29">
        <v>1</v>
      </c>
      <c r="I279" s="9">
        <v>2</v>
      </c>
      <c r="J279" s="9">
        <v>1</v>
      </c>
      <c r="K279" s="9">
        <v>3</v>
      </c>
      <c r="L279" s="9">
        <v>3</v>
      </c>
      <c r="M279" s="9">
        <v>3</v>
      </c>
      <c r="N279" s="186">
        <f t="shared" si="15"/>
        <v>1.1181151966036349</v>
      </c>
      <c r="O279" s="160">
        <f t="shared" si="16"/>
        <v>1.123005955058592</v>
      </c>
      <c r="P279" s="63"/>
    </row>
    <row r="280" spans="1:868" hidden="1">
      <c r="A280" s="152" t="s">
        <v>215</v>
      </c>
      <c r="B280" s="34" t="s">
        <v>217</v>
      </c>
      <c r="C280" s="40" t="s">
        <v>147</v>
      </c>
      <c r="D280" s="34" t="s">
        <v>147</v>
      </c>
      <c r="E280" s="260">
        <v>2.7E-4</v>
      </c>
      <c r="F280" s="235">
        <v>2</v>
      </c>
      <c r="G280" s="40" t="s">
        <v>218</v>
      </c>
      <c r="H280" s="29">
        <v>1</v>
      </c>
      <c r="I280" s="9">
        <v>2</v>
      </c>
      <c r="J280" s="9">
        <v>1</v>
      </c>
      <c r="K280" s="9">
        <v>3</v>
      </c>
      <c r="L280" s="9">
        <v>3</v>
      </c>
      <c r="M280" s="9">
        <v>3</v>
      </c>
      <c r="N280" s="186">
        <f t="shared" si="15"/>
        <v>1.1181151966036349</v>
      </c>
      <c r="O280" s="160">
        <f t="shared" si="16"/>
        <v>1.123005955058592</v>
      </c>
      <c r="P280" s="63"/>
    </row>
    <row r="281" spans="1:868" hidden="1">
      <c r="A281" s="152" t="s">
        <v>247</v>
      </c>
      <c r="B281" s="55" t="s">
        <v>217</v>
      </c>
      <c r="C281" s="265" t="s">
        <v>147</v>
      </c>
      <c r="D281" s="55" t="s">
        <v>147</v>
      </c>
      <c r="E281" s="260">
        <v>2.7E-4</v>
      </c>
      <c r="F281" s="235">
        <v>2</v>
      </c>
      <c r="G281" s="265" t="s">
        <v>171</v>
      </c>
      <c r="H281" s="29">
        <v>2</v>
      </c>
      <c r="I281" s="9">
        <v>2</v>
      </c>
      <c r="J281" s="9">
        <v>2</v>
      </c>
      <c r="K281" s="9">
        <v>3</v>
      </c>
      <c r="L281" s="9">
        <v>3</v>
      </c>
      <c r="M281" s="9">
        <v>3</v>
      </c>
      <c r="N281" s="186">
        <f t="shared" si="15"/>
        <v>1.1278755061256258</v>
      </c>
      <c r="O281" s="160">
        <f t="shared" si="16"/>
        <v>1.1278755061256258</v>
      </c>
      <c r="P281" s="63"/>
    </row>
    <row r="282" spans="1:868" hidden="1">
      <c r="A282" s="292" t="s">
        <v>194</v>
      </c>
      <c r="B282" s="55" t="s">
        <v>217</v>
      </c>
      <c r="C282" s="265" t="s">
        <v>147</v>
      </c>
      <c r="D282" s="55" t="s">
        <v>147</v>
      </c>
      <c r="E282" s="260">
        <v>2.7E-4</v>
      </c>
      <c r="F282" s="235">
        <v>2</v>
      </c>
      <c r="G282" s="265" t="s">
        <v>171</v>
      </c>
      <c r="H282" s="29">
        <v>2</v>
      </c>
      <c r="I282" s="9">
        <v>2</v>
      </c>
      <c r="J282" s="9">
        <v>2</v>
      </c>
      <c r="K282" s="9">
        <v>3</v>
      </c>
      <c r="L282" s="9">
        <v>3</v>
      </c>
      <c r="M282" s="9">
        <v>3</v>
      </c>
      <c r="N282" s="186">
        <f t="shared" si="15"/>
        <v>1.1278755061256258</v>
      </c>
      <c r="O282" s="160">
        <f t="shared" si="16"/>
        <v>1.1278755061256258</v>
      </c>
      <c r="P282" s="63"/>
    </row>
    <row r="283" spans="1:868" hidden="1">
      <c r="A283" s="292" t="s">
        <v>198</v>
      </c>
      <c r="B283" s="55" t="s">
        <v>217</v>
      </c>
      <c r="C283" s="265" t="s">
        <v>147</v>
      </c>
      <c r="D283" s="55" t="s">
        <v>147</v>
      </c>
      <c r="E283" s="260">
        <v>2.7E-4</v>
      </c>
      <c r="F283" s="235">
        <v>2</v>
      </c>
      <c r="G283" s="265" t="s">
        <v>171</v>
      </c>
      <c r="H283" s="29">
        <v>2</v>
      </c>
      <c r="I283" s="9">
        <v>2</v>
      </c>
      <c r="J283" s="9">
        <v>2</v>
      </c>
      <c r="K283" s="9">
        <v>3</v>
      </c>
      <c r="L283" s="9">
        <v>3</v>
      </c>
      <c r="M283" s="9">
        <v>3</v>
      </c>
      <c r="N283" s="186">
        <f t="shared" si="15"/>
        <v>1.1278755061256258</v>
      </c>
      <c r="O283" s="160">
        <f t="shared" si="16"/>
        <v>1.1278755061256258</v>
      </c>
      <c r="P283" s="63"/>
    </row>
    <row r="284" spans="1:868" hidden="1">
      <c r="A284" s="152" t="s">
        <v>248</v>
      </c>
      <c r="B284" s="34" t="s">
        <v>217</v>
      </c>
      <c r="C284" s="40" t="s">
        <v>147</v>
      </c>
      <c r="D284" s="34" t="s">
        <v>147</v>
      </c>
      <c r="E284" s="260">
        <v>2.7E-4</v>
      </c>
      <c r="F284" s="235">
        <v>2</v>
      </c>
      <c r="G284" s="40" t="s">
        <v>218</v>
      </c>
      <c r="H284" s="29">
        <v>1</v>
      </c>
      <c r="I284" s="9"/>
      <c r="J284" s="9">
        <v>1</v>
      </c>
      <c r="K284" s="9">
        <v>3</v>
      </c>
      <c r="L284" s="9">
        <v>3</v>
      </c>
      <c r="M284" s="9">
        <v>3</v>
      </c>
      <c r="N284" s="186">
        <f t="shared" si="15"/>
        <v>1.1181151966036349</v>
      </c>
      <c r="O284" s="160" t="str">
        <f t="shared" si="16"/>
        <v/>
      </c>
      <c r="P284" s="63"/>
    </row>
    <row r="285" spans="1:868" hidden="1">
      <c r="A285" s="152" t="s">
        <v>216</v>
      </c>
      <c r="B285" s="34" t="s">
        <v>217</v>
      </c>
      <c r="C285" s="40" t="s">
        <v>147</v>
      </c>
      <c r="D285" s="34" t="s">
        <v>147</v>
      </c>
      <c r="E285" s="260">
        <v>2.7E-4</v>
      </c>
      <c r="F285" s="235">
        <v>2</v>
      </c>
      <c r="G285" s="40" t="s">
        <v>218</v>
      </c>
      <c r="H285" s="29">
        <v>1</v>
      </c>
      <c r="I285" s="9"/>
      <c r="J285" s="9">
        <v>1</v>
      </c>
      <c r="K285" s="9">
        <v>3</v>
      </c>
      <c r="L285" s="9">
        <v>3</v>
      </c>
      <c r="M285" s="9">
        <v>3</v>
      </c>
      <c r="N285" s="186">
        <f t="shared" si="15"/>
        <v>1.1181151966036349</v>
      </c>
      <c r="O285" s="160" t="str">
        <f t="shared" si="16"/>
        <v/>
      </c>
      <c r="P285" s="63"/>
    </row>
    <row r="286" spans="1:868" hidden="1">
      <c r="A286" s="152" t="s">
        <v>121</v>
      </c>
      <c r="B286" s="34" t="s">
        <v>247</v>
      </c>
      <c r="C286" s="40" t="s">
        <v>147</v>
      </c>
      <c r="D286" s="34" t="s">
        <v>98</v>
      </c>
      <c r="E286" s="260">
        <v>0</v>
      </c>
      <c r="F286" s="235">
        <v>1</v>
      </c>
      <c r="G286" s="40"/>
      <c r="H286" s="29"/>
      <c r="I286" s="9"/>
      <c r="J286" s="9"/>
      <c r="K286" s="9"/>
      <c r="L286" s="9"/>
      <c r="M286" s="9"/>
      <c r="N286" s="186" t="str">
        <f t="shared" si="15"/>
        <v/>
      </c>
      <c r="O286" s="160" t="str">
        <f t="shared" si="16"/>
        <v/>
      </c>
      <c r="P286" s="63"/>
    </row>
    <row r="287" spans="1:868" hidden="1">
      <c r="A287" s="152" t="s">
        <v>249</v>
      </c>
      <c r="B287" s="34" t="s">
        <v>217</v>
      </c>
      <c r="C287" s="40" t="s">
        <v>147</v>
      </c>
      <c r="D287" s="34" t="s">
        <v>147</v>
      </c>
      <c r="E287" s="260">
        <v>2.7E-4</v>
      </c>
      <c r="F287" s="235">
        <v>2</v>
      </c>
      <c r="G287" s="40" t="s">
        <v>218</v>
      </c>
      <c r="H287" s="29">
        <v>1</v>
      </c>
      <c r="I287" s="9"/>
      <c r="J287" s="9">
        <v>1</v>
      </c>
      <c r="K287" s="9">
        <v>3</v>
      </c>
      <c r="L287" s="9">
        <v>3</v>
      </c>
      <c r="M287" s="9">
        <v>3</v>
      </c>
      <c r="N287" s="186">
        <f t="shared" si="15"/>
        <v>1.1181151966036349</v>
      </c>
      <c r="O287" s="160" t="str">
        <f t="shared" si="16"/>
        <v/>
      </c>
      <c r="P287" s="63"/>
    </row>
    <row r="288" spans="1:868" hidden="1">
      <c r="A288" s="152" t="s">
        <v>121</v>
      </c>
      <c r="B288" s="34" t="s">
        <v>247</v>
      </c>
      <c r="C288" s="40" t="s">
        <v>147</v>
      </c>
      <c r="D288" s="34" t="s">
        <v>99</v>
      </c>
      <c r="E288" s="260">
        <v>2.7068708019976597E-2</v>
      </c>
      <c r="F288" s="235">
        <v>1</v>
      </c>
      <c r="G288" s="40" t="s">
        <v>171</v>
      </c>
      <c r="H288" s="29">
        <v>2</v>
      </c>
      <c r="I288" s="9">
        <v>2</v>
      </c>
      <c r="J288" s="9">
        <v>2</v>
      </c>
      <c r="K288" s="9">
        <v>2</v>
      </c>
      <c r="L288" s="9">
        <v>1</v>
      </c>
      <c r="M288" s="9">
        <v>2</v>
      </c>
      <c r="N288" s="186">
        <f t="shared" si="15"/>
        <v>0.38795788889711302</v>
      </c>
      <c r="O288" s="160">
        <f t="shared" si="16"/>
        <v>0.38795788889711302</v>
      </c>
      <c r="P288" s="63"/>
    </row>
    <row r="289" spans="1:16" hidden="1">
      <c r="A289" s="152" t="s">
        <v>250</v>
      </c>
      <c r="B289" s="34" t="s">
        <v>217</v>
      </c>
      <c r="C289" s="40" t="s">
        <v>147</v>
      </c>
      <c r="D289" s="34" t="s">
        <v>147</v>
      </c>
      <c r="E289" s="260">
        <v>2.7E-4</v>
      </c>
      <c r="F289" s="235">
        <v>2</v>
      </c>
      <c r="G289" s="40" t="s">
        <v>218</v>
      </c>
      <c r="H289" s="29">
        <v>1</v>
      </c>
      <c r="I289" s="9"/>
      <c r="J289" s="9">
        <v>1</v>
      </c>
      <c r="K289" s="9">
        <v>3</v>
      </c>
      <c r="L289" s="9">
        <v>3</v>
      </c>
      <c r="M289" s="9">
        <v>3</v>
      </c>
      <c r="N289" s="186">
        <f t="shared" si="15"/>
        <v>1.1181151966036349</v>
      </c>
      <c r="O289" s="160" t="str">
        <f t="shared" si="16"/>
        <v/>
      </c>
      <c r="P289" s="63"/>
    </row>
    <row r="290" spans="1:16" hidden="1">
      <c r="A290" s="292" t="s">
        <v>251</v>
      </c>
      <c r="B290" s="55" t="s">
        <v>217</v>
      </c>
      <c r="C290" s="265" t="s">
        <v>147</v>
      </c>
      <c r="D290" s="55" t="s">
        <v>147</v>
      </c>
      <c r="E290" s="260">
        <v>2.7E-4</v>
      </c>
      <c r="F290" s="235">
        <v>2</v>
      </c>
      <c r="G290" s="265" t="s">
        <v>171</v>
      </c>
      <c r="H290" s="29">
        <v>2</v>
      </c>
      <c r="I290" s="9">
        <v>2</v>
      </c>
      <c r="J290" s="9">
        <v>2</v>
      </c>
      <c r="K290" s="9">
        <v>3</v>
      </c>
      <c r="L290" s="9">
        <v>3</v>
      </c>
      <c r="M290" s="9">
        <v>3</v>
      </c>
      <c r="N290" s="186">
        <f t="shared" si="15"/>
        <v>1.1278755061256258</v>
      </c>
      <c r="O290" s="160">
        <f t="shared" si="16"/>
        <v>1.1278755061256258</v>
      </c>
      <c r="P290" s="63"/>
    </row>
    <row r="291" spans="1:16" hidden="1">
      <c r="A291" s="292" t="s">
        <v>252</v>
      </c>
      <c r="B291" s="55" t="s">
        <v>217</v>
      </c>
      <c r="C291" s="265" t="s">
        <v>147</v>
      </c>
      <c r="D291" s="55" t="s">
        <v>147</v>
      </c>
      <c r="E291" s="260">
        <v>2.7E-4</v>
      </c>
      <c r="F291" s="235">
        <v>2</v>
      </c>
      <c r="G291" s="265" t="s">
        <v>171</v>
      </c>
      <c r="H291" s="29">
        <v>2</v>
      </c>
      <c r="I291" s="9">
        <v>2</v>
      </c>
      <c r="J291" s="9">
        <v>2</v>
      </c>
      <c r="K291" s="9">
        <v>3</v>
      </c>
      <c r="L291" s="9">
        <v>3</v>
      </c>
      <c r="M291" s="9">
        <v>3</v>
      </c>
      <c r="N291" s="186">
        <f t="shared" si="15"/>
        <v>1.1278755061256258</v>
      </c>
      <c r="O291" s="160">
        <f t="shared" si="16"/>
        <v>1.1278755061256258</v>
      </c>
      <c r="P291" s="63"/>
    </row>
    <row r="292" spans="1:16" hidden="1">
      <c r="A292" s="152" t="s">
        <v>121</v>
      </c>
      <c r="B292" s="34" t="s">
        <v>247</v>
      </c>
      <c r="C292" s="40" t="s">
        <v>147</v>
      </c>
      <c r="D292" s="34" t="s">
        <v>103</v>
      </c>
      <c r="E292" s="260">
        <v>0.18991471314722469</v>
      </c>
      <c r="F292" s="235">
        <v>1</v>
      </c>
      <c r="G292" s="40" t="s">
        <v>171</v>
      </c>
      <c r="H292" s="29">
        <v>2</v>
      </c>
      <c r="I292" s="9">
        <v>2</v>
      </c>
      <c r="J292" s="9">
        <v>2</v>
      </c>
      <c r="K292" s="9">
        <v>2</v>
      </c>
      <c r="L292" s="9">
        <v>1</v>
      </c>
      <c r="M292" s="9">
        <v>2</v>
      </c>
      <c r="N292" s="186">
        <f t="shared" si="15"/>
        <v>0.38795788889711302</v>
      </c>
      <c r="O292" s="160">
        <f t="shared" si="16"/>
        <v>0.38795788889711302</v>
      </c>
      <c r="P292" s="63"/>
    </row>
    <row r="293" spans="1:16" hidden="1">
      <c r="A293" s="152" t="s">
        <v>121</v>
      </c>
      <c r="B293" s="34" t="s">
        <v>247</v>
      </c>
      <c r="C293" s="40" t="s">
        <v>147</v>
      </c>
      <c r="D293" s="34" t="s">
        <v>107</v>
      </c>
      <c r="E293" s="260">
        <v>0</v>
      </c>
      <c r="F293" s="235">
        <v>1</v>
      </c>
      <c r="G293" s="40"/>
      <c r="H293" s="29"/>
      <c r="I293" s="9"/>
      <c r="J293" s="9"/>
      <c r="K293" s="9"/>
      <c r="L293" s="9"/>
      <c r="M293" s="9"/>
      <c r="N293" s="186" t="str">
        <f t="shared" si="15"/>
        <v/>
      </c>
      <c r="O293" s="160" t="str">
        <f t="shared" si="16"/>
        <v/>
      </c>
      <c r="P293" s="63"/>
    </row>
    <row r="294" spans="1:16" hidden="1">
      <c r="A294" s="152" t="s">
        <v>121</v>
      </c>
      <c r="B294" s="34" t="s">
        <v>197</v>
      </c>
      <c r="C294" s="40" t="s">
        <v>147</v>
      </c>
      <c r="D294" s="34" t="s">
        <v>93</v>
      </c>
      <c r="E294" s="260">
        <v>0</v>
      </c>
      <c r="F294" s="235">
        <v>1</v>
      </c>
      <c r="G294" s="40"/>
      <c r="H294" s="29"/>
      <c r="I294" s="9"/>
      <c r="J294" s="9"/>
      <c r="K294" s="9"/>
      <c r="L294" s="9"/>
      <c r="M294" s="9"/>
      <c r="N294" s="186" t="str">
        <f t="shared" si="15"/>
        <v/>
      </c>
      <c r="O294" s="160" t="str">
        <f t="shared" si="16"/>
        <v/>
      </c>
      <c r="P294" s="63"/>
    </row>
    <row r="295" spans="1:16" hidden="1">
      <c r="A295" s="152" t="s">
        <v>121</v>
      </c>
      <c r="B295" s="34" t="s">
        <v>197</v>
      </c>
      <c r="C295" s="40" t="s">
        <v>147</v>
      </c>
      <c r="D295" s="34" t="s">
        <v>94</v>
      </c>
      <c r="E295" s="260">
        <v>3.9813826497656801E-2</v>
      </c>
      <c r="F295" s="235">
        <v>1</v>
      </c>
      <c r="G295" s="40" t="s">
        <v>203</v>
      </c>
      <c r="H295" s="29">
        <v>1</v>
      </c>
      <c r="I295" s="9">
        <v>2</v>
      </c>
      <c r="J295" s="9">
        <v>2</v>
      </c>
      <c r="K295" s="9">
        <v>2</v>
      </c>
      <c r="L295" s="9">
        <v>1</v>
      </c>
      <c r="M295" s="9">
        <v>2</v>
      </c>
      <c r="N295" s="186">
        <f t="shared" si="15"/>
        <v>0.37356464144298934</v>
      </c>
      <c r="O295" s="160">
        <f t="shared" si="16"/>
        <v>0.38795788889711302</v>
      </c>
      <c r="P295" s="63"/>
    </row>
    <row r="296" spans="1:16" hidden="1">
      <c r="A296" s="292" t="s">
        <v>253</v>
      </c>
      <c r="B296" s="55" t="s">
        <v>217</v>
      </c>
      <c r="C296" s="265" t="s">
        <v>147</v>
      </c>
      <c r="D296" s="55" t="s">
        <v>147</v>
      </c>
      <c r="E296" s="260">
        <v>2.7E-4</v>
      </c>
      <c r="F296" s="235">
        <v>2</v>
      </c>
      <c r="G296" s="265" t="s">
        <v>171</v>
      </c>
      <c r="H296" s="29">
        <v>2</v>
      </c>
      <c r="I296" s="9">
        <v>2</v>
      </c>
      <c r="J296" s="9">
        <v>2</v>
      </c>
      <c r="K296" s="9">
        <v>3</v>
      </c>
      <c r="L296" s="9">
        <v>3</v>
      </c>
      <c r="M296" s="9">
        <v>3</v>
      </c>
      <c r="N296" s="186">
        <f t="shared" si="15"/>
        <v>1.1278755061256258</v>
      </c>
      <c r="O296" s="160">
        <f t="shared" si="16"/>
        <v>1.1278755061256258</v>
      </c>
      <c r="P296" s="63"/>
    </row>
    <row r="297" spans="1:16" hidden="1">
      <c r="A297" s="292" t="s">
        <v>254</v>
      </c>
      <c r="B297" s="55" t="s">
        <v>217</v>
      </c>
      <c r="C297" s="265" t="s">
        <v>147</v>
      </c>
      <c r="D297" s="55" t="s">
        <v>147</v>
      </c>
      <c r="E297" s="260">
        <v>2.7E-4</v>
      </c>
      <c r="F297" s="235">
        <v>2</v>
      </c>
      <c r="G297" s="265" t="s">
        <v>171</v>
      </c>
      <c r="H297" s="29">
        <v>2</v>
      </c>
      <c r="I297" s="9">
        <v>2</v>
      </c>
      <c r="J297" s="9">
        <v>2</v>
      </c>
      <c r="K297" s="9">
        <v>3</v>
      </c>
      <c r="L297" s="9">
        <v>3</v>
      </c>
      <c r="M297" s="9">
        <v>3</v>
      </c>
      <c r="N297" s="186">
        <f t="shared" si="15"/>
        <v>1.1278755061256258</v>
      </c>
      <c r="O297" s="160">
        <f t="shared" si="16"/>
        <v>1.1278755061256258</v>
      </c>
      <c r="P297" s="63"/>
    </row>
    <row r="298" spans="1:16" hidden="1">
      <c r="A298" s="292" t="s">
        <v>255</v>
      </c>
      <c r="B298" s="55" t="s">
        <v>217</v>
      </c>
      <c r="C298" s="265" t="s">
        <v>147</v>
      </c>
      <c r="D298" s="55" t="s">
        <v>147</v>
      </c>
      <c r="E298" s="243">
        <v>2.7E-4</v>
      </c>
      <c r="F298" s="235">
        <v>2</v>
      </c>
      <c r="G298" s="265" t="s">
        <v>171</v>
      </c>
      <c r="H298" s="29">
        <v>2</v>
      </c>
      <c r="I298" s="9">
        <v>2</v>
      </c>
      <c r="J298" s="9">
        <v>2</v>
      </c>
      <c r="K298" s="9">
        <v>3</v>
      </c>
      <c r="L298" s="9">
        <v>3</v>
      </c>
      <c r="M298" s="9">
        <v>3</v>
      </c>
      <c r="N298" s="186">
        <f t="shared" si="15"/>
        <v>1.1278755061256258</v>
      </c>
      <c r="O298" s="160">
        <f t="shared" si="16"/>
        <v>1.1278755061256258</v>
      </c>
      <c r="P298" s="63"/>
    </row>
    <row r="299" spans="1:16" hidden="1">
      <c r="A299" s="152" t="s">
        <v>187</v>
      </c>
      <c r="B299" s="34" t="s">
        <v>256</v>
      </c>
      <c r="C299" s="40" t="s">
        <v>147</v>
      </c>
      <c r="D299" s="34" t="s">
        <v>147</v>
      </c>
      <c r="E299" s="260">
        <v>1</v>
      </c>
      <c r="F299" s="235">
        <v>1</v>
      </c>
      <c r="G299" s="40"/>
      <c r="H299" s="29"/>
      <c r="I299" s="9"/>
      <c r="J299" s="9"/>
      <c r="K299" s="9"/>
      <c r="L299" s="9"/>
      <c r="M299" s="9"/>
      <c r="N299" s="186" t="str">
        <f t="shared" si="15"/>
        <v/>
      </c>
      <c r="O299" s="160" t="str">
        <f t="shared" si="16"/>
        <v/>
      </c>
      <c r="P299" s="63"/>
    </row>
    <row r="300" spans="1:16" hidden="1">
      <c r="A300" s="152" t="s">
        <v>121</v>
      </c>
      <c r="B300" s="34" t="s">
        <v>197</v>
      </c>
      <c r="C300" s="40" t="s">
        <v>147</v>
      </c>
      <c r="D300" s="34" t="s">
        <v>95</v>
      </c>
      <c r="E300" s="260">
        <v>6.8545874707195309E-2</v>
      </c>
      <c r="F300" s="235">
        <v>1</v>
      </c>
      <c r="G300" s="40" t="s">
        <v>203</v>
      </c>
      <c r="H300" s="29">
        <v>1</v>
      </c>
      <c r="I300" s="9">
        <v>2</v>
      </c>
      <c r="J300" s="9">
        <v>2</v>
      </c>
      <c r="K300" s="9">
        <v>2</v>
      </c>
      <c r="L300" s="9">
        <v>1</v>
      </c>
      <c r="M300" s="9">
        <v>2</v>
      </c>
      <c r="N300" s="186">
        <f t="shared" si="15"/>
        <v>0.37356464144298934</v>
      </c>
      <c r="O300" s="160">
        <f t="shared" si="16"/>
        <v>0.38795788889711302</v>
      </c>
      <c r="P300" s="63"/>
    </row>
    <row r="301" spans="1:16" hidden="1">
      <c r="A301" s="152" t="s">
        <v>257</v>
      </c>
      <c r="B301" s="34" t="s">
        <v>258</v>
      </c>
      <c r="C301" s="40" t="s">
        <v>147</v>
      </c>
      <c r="D301" s="34" t="s">
        <v>93</v>
      </c>
      <c r="E301" s="260">
        <v>9.4320486815415827E-2</v>
      </c>
      <c r="F301" s="235">
        <v>1</v>
      </c>
      <c r="G301" s="40" t="s">
        <v>259</v>
      </c>
      <c r="H301" s="29">
        <v>2</v>
      </c>
      <c r="I301" s="9">
        <v>2</v>
      </c>
      <c r="J301" s="9">
        <v>2</v>
      </c>
      <c r="K301" s="9">
        <v>3</v>
      </c>
      <c r="L301" s="9">
        <v>1</v>
      </c>
      <c r="M301" s="9">
        <v>3</v>
      </c>
      <c r="N301" s="186">
        <f t="shared" si="15"/>
        <v>1.0776024280428556</v>
      </c>
      <c r="O301" s="160">
        <f t="shared" si="16"/>
        <v>1.0776024280428556</v>
      </c>
      <c r="P301" s="63" t="s">
        <v>260</v>
      </c>
    </row>
    <row r="302" spans="1:16" hidden="1">
      <c r="A302" s="152" t="s">
        <v>257</v>
      </c>
      <c r="B302" s="34" t="s">
        <v>258</v>
      </c>
      <c r="C302" s="40" t="s">
        <v>147</v>
      </c>
      <c r="D302" s="34" t="s">
        <v>94</v>
      </c>
      <c r="E302" s="260">
        <v>9.4320486815415827E-2</v>
      </c>
      <c r="F302" s="235">
        <v>1</v>
      </c>
      <c r="G302" s="40" t="s">
        <v>259</v>
      </c>
      <c r="H302" s="29">
        <v>2</v>
      </c>
      <c r="I302" s="9">
        <v>2</v>
      </c>
      <c r="J302" s="9">
        <v>2</v>
      </c>
      <c r="K302" s="9">
        <v>3</v>
      </c>
      <c r="L302" s="9">
        <v>1</v>
      </c>
      <c r="M302" s="9">
        <v>3</v>
      </c>
      <c r="N302" s="186">
        <f t="shared" si="15"/>
        <v>1.0776024280428556</v>
      </c>
      <c r="O302" s="160">
        <f t="shared" si="16"/>
        <v>1.0776024280428556</v>
      </c>
      <c r="P302" s="63" t="s">
        <v>260</v>
      </c>
    </row>
    <row r="303" spans="1:16" hidden="1">
      <c r="A303" s="152" t="s">
        <v>257</v>
      </c>
      <c r="B303" s="34" t="s">
        <v>258</v>
      </c>
      <c r="C303" s="40" t="s">
        <v>147</v>
      </c>
      <c r="D303" s="34" t="s">
        <v>95</v>
      </c>
      <c r="E303" s="260">
        <v>9.4320486815415827E-2</v>
      </c>
      <c r="F303" s="235">
        <v>1</v>
      </c>
      <c r="G303" s="40" t="s">
        <v>259</v>
      </c>
      <c r="H303" s="29">
        <v>2</v>
      </c>
      <c r="I303" s="9">
        <v>2</v>
      </c>
      <c r="J303" s="9">
        <v>2</v>
      </c>
      <c r="K303" s="9">
        <v>3</v>
      </c>
      <c r="L303" s="9">
        <v>1</v>
      </c>
      <c r="M303" s="9">
        <v>3</v>
      </c>
      <c r="N303" s="186">
        <f t="shared" si="15"/>
        <v>1.0776024280428556</v>
      </c>
      <c r="O303" s="160">
        <f t="shared" si="16"/>
        <v>1.0776024280428556</v>
      </c>
      <c r="P303" s="63" t="s">
        <v>260</v>
      </c>
    </row>
    <row r="304" spans="1:16" hidden="1">
      <c r="A304" s="152" t="s">
        <v>257</v>
      </c>
      <c r="B304" s="34" t="s">
        <v>258</v>
      </c>
      <c r="C304" s="40" t="s">
        <v>147</v>
      </c>
      <c r="D304" s="34" t="s">
        <v>96</v>
      </c>
      <c r="E304" s="260">
        <v>9.4320486815415827E-2</v>
      </c>
      <c r="F304" s="235">
        <v>1</v>
      </c>
      <c r="G304" s="40" t="s">
        <v>259</v>
      </c>
      <c r="H304" s="29">
        <v>2</v>
      </c>
      <c r="I304" s="9">
        <v>2</v>
      </c>
      <c r="J304" s="9">
        <v>2</v>
      </c>
      <c r="K304" s="9">
        <v>3</v>
      </c>
      <c r="L304" s="9">
        <v>1</v>
      </c>
      <c r="M304" s="9">
        <v>3</v>
      </c>
      <c r="N304" s="186">
        <f t="shared" si="15"/>
        <v>1.0776024280428556</v>
      </c>
      <c r="O304" s="160">
        <f t="shared" si="16"/>
        <v>1.0776024280428556</v>
      </c>
      <c r="P304" s="63" t="s">
        <v>260</v>
      </c>
    </row>
    <row r="305" spans="1:32" hidden="1">
      <c r="A305" s="152" t="s">
        <v>257</v>
      </c>
      <c r="B305" s="34" t="s">
        <v>258</v>
      </c>
      <c r="C305" s="40" t="s">
        <v>147</v>
      </c>
      <c r="D305" s="34" t="s">
        <v>97</v>
      </c>
      <c r="E305" s="260">
        <v>9.4320486815415827E-2</v>
      </c>
      <c r="F305" s="235">
        <v>1</v>
      </c>
      <c r="G305" s="40" t="s">
        <v>259</v>
      </c>
      <c r="H305" s="29">
        <v>2</v>
      </c>
      <c r="I305" s="9">
        <v>2</v>
      </c>
      <c r="J305" s="9">
        <v>2</v>
      </c>
      <c r="K305" s="9">
        <v>3</v>
      </c>
      <c r="L305" s="9">
        <v>1</v>
      </c>
      <c r="M305" s="9">
        <v>3</v>
      </c>
      <c r="N305" s="186">
        <f t="shared" si="15"/>
        <v>1.0776024280428556</v>
      </c>
      <c r="O305" s="160">
        <f t="shared" si="16"/>
        <v>1.0776024280428556</v>
      </c>
      <c r="P305" s="63" t="s">
        <v>260</v>
      </c>
    </row>
    <row r="306" spans="1:32" hidden="1">
      <c r="A306" s="152" t="s">
        <v>257</v>
      </c>
      <c r="B306" s="34" t="s">
        <v>258</v>
      </c>
      <c r="C306" s="40" t="s">
        <v>147</v>
      </c>
      <c r="D306" s="34" t="s">
        <v>98</v>
      </c>
      <c r="E306" s="260">
        <v>9.4320486815415827E-2</v>
      </c>
      <c r="F306" s="235">
        <v>1</v>
      </c>
      <c r="G306" s="40" t="s">
        <v>259</v>
      </c>
      <c r="H306" s="29">
        <v>2</v>
      </c>
      <c r="I306" s="9">
        <v>2</v>
      </c>
      <c r="J306" s="9">
        <v>2</v>
      </c>
      <c r="K306" s="9">
        <v>3</v>
      </c>
      <c r="L306" s="9">
        <v>1</v>
      </c>
      <c r="M306" s="9">
        <v>3</v>
      </c>
      <c r="N306" s="186">
        <f t="shared" ref="N306:N307" si="17">IF( OR( ISBLANK(H306),ISBLANK(J306), ISBLANK(K306), ISBLANK(L306), ISBLANK(M306) ), "", 1.5*SQRT(   EXP(2.21*(H306-1)) + EXP(2.21*(J306-1)) + EXP(2.21*(K306-1)) + EXP(2.21*(L306-1)) + EXP(2.21*M306)   )/100*2.45 )</f>
        <v>1.0776024280428556</v>
      </c>
      <c r="O306" s="160">
        <f t="shared" si="16"/>
        <v>1.0776024280428556</v>
      </c>
      <c r="P306" s="63" t="s">
        <v>260</v>
      </c>
    </row>
    <row r="307" spans="1:32" hidden="1">
      <c r="A307" s="152" t="s">
        <v>257</v>
      </c>
      <c r="B307" s="34" t="s">
        <v>258</v>
      </c>
      <c r="C307" s="40" t="s">
        <v>147</v>
      </c>
      <c r="D307" s="34" t="s">
        <v>99</v>
      </c>
      <c r="E307" s="260">
        <v>9.4320486815415827E-2</v>
      </c>
      <c r="F307" s="235">
        <v>1</v>
      </c>
      <c r="G307" s="40" t="s">
        <v>259</v>
      </c>
      <c r="H307" s="29">
        <v>2</v>
      </c>
      <c r="I307" s="9">
        <v>2</v>
      </c>
      <c r="J307" s="9">
        <v>2</v>
      </c>
      <c r="K307" s="9">
        <v>1</v>
      </c>
      <c r="L307" s="9">
        <v>1</v>
      </c>
      <c r="M307" s="9">
        <v>1</v>
      </c>
      <c r="N307" s="186">
        <f t="shared" si="17"/>
        <v>0.19908580854301616</v>
      </c>
      <c r="O307" s="160">
        <f t="shared" si="16"/>
        <v>0.19908580854301616</v>
      </c>
      <c r="P307" s="63"/>
    </row>
    <row r="308" spans="1:32" s="16" customFormat="1" hidden="1">
      <c r="A308" s="340" t="s">
        <v>152</v>
      </c>
      <c r="B308" s="69" t="s">
        <v>261</v>
      </c>
      <c r="C308" s="868" t="s">
        <v>147</v>
      </c>
      <c r="D308" s="34" t="s">
        <v>147</v>
      </c>
      <c r="E308" s="869" t="s">
        <v>158</v>
      </c>
      <c r="F308" s="870">
        <v>1</v>
      </c>
      <c r="G308" s="868"/>
      <c r="H308" s="29"/>
      <c r="I308" s="9"/>
      <c r="J308" s="9"/>
      <c r="K308" s="9"/>
      <c r="L308" s="9"/>
      <c r="M308" s="9"/>
      <c r="N308" s="186" t="s">
        <v>262</v>
      </c>
      <c r="O308" s="160" t="s">
        <v>262</v>
      </c>
      <c r="P308" s="63" t="s">
        <v>263</v>
      </c>
      <c r="X308" s="846"/>
      <c r="Y308" s="846"/>
      <c r="AA308" s="846"/>
      <c r="AB308" s="846"/>
      <c r="AC308" s="847"/>
      <c r="AD308" s="847"/>
      <c r="AE308" s="846"/>
      <c r="AF308" s="847"/>
    </row>
    <row r="309" spans="1:32" s="16" customFormat="1" hidden="1">
      <c r="A309" s="340" t="s">
        <v>152</v>
      </c>
      <c r="B309" s="34" t="s">
        <v>264</v>
      </c>
      <c r="C309" s="40" t="s">
        <v>147</v>
      </c>
      <c r="D309" s="34" t="s">
        <v>147</v>
      </c>
      <c r="E309" s="868">
        <f>(1-0.004)*0.0001/100</f>
        <v>9.9600000000000008E-7</v>
      </c>
      <c r="F309" s="69">
        <v>2</v>
      </c>
      <c r="G309" s="868" t="s">
        <v>265</v>
      </c>
      <c r="H309" s="29">
        <v>2</v>
      </c>
      <c r="I309" s="9">
        <v>1</v>
      </c>
      <c r="J309" s="9">
        <v>2</v>
      </c>
      <c r="K309" s="9">
        <v>3</v>
      </c>
      <c r="L309" s="9">
        <v>3</v>
      </c>
      <c r="M309" s="9">
        <v>1</v>
      </c>
      <c r="N309" s="186">
        <v>0.60108474454521421</v>
      </c>
      <c r="O309" s="160">
        <v>0.60108474454521421</v>
      </c>
      <c r="P309" s="63"/>
    </row>
    <row r="310" spans="1:32" s="16" customFormat="1" hidden="1">
      <c r="A310" s="340" t="s">
        <v>152</v>
      </c>
      <c r="B310" s="34" t="s">
        <v>264</v>
      </c>
      <c r="C310" s="40" t="s">
        <v>147</v>
      </c>
      <c r="D310" s="34" t="s">
        <v>147</v>
      </c>
      <c r="E310" s="868">
        <f>(1-0.004)*0.04/100</f>
        <v>3.9839999999999998E-4</v>
      </c>
      <c r="F310" s="69">
        <v>2</v>
      </c>
      <c r="G310" s="868" t="s">
        <v>265</v>
      </c>
      <c r="H310" s="29">
        <v>2</v>
      </c>
      <c r="I310" s="9">
        <v>1</v>
      </c>
      <c r="J310" s="9">
        <v>2</v>
      </c>
      <c r="K310" s="9">
        <v>3</v>
      </c>
      <c r="L310" s="9">
        <v>3</v>
      </c>
      <c r="M310" s="9">
        <v>1</v>
      </c>
      <c r="N310" s="186">
        <v>0.60108474454521421</v>
      </c>
      <c r="O310" s="160">
        <v>0.60108474454521421</v>
      </c>
      <c r="P310" s="63"/>
    </row>
    <row r="311" spans="1:32" s="16" customFormat="1" hidden="1">
      <c r="A311" s="340" t="s">
        <v>152</v>
      </c>
      <c r="B311" s="69" t="s">
        <v>192</v>
      </c>
      <c r="C311" s="40" t="s">
        <v>147</v>
      </c>
      <c r="D311" s="34" t="s">
        <v>147</v>
      </c>
      <c r="E311" s="869">
        <v>0</v>
      </c>
      <c r="F311" s="870">
        <v>1</v>
      </c>
      <c r="G311" s="868" t="s">
        <v>266</v>
      </c>
      <c r="H311" s="29"/>
      <c r="I311" s="9"/>
      <c r="J311" s="9"/>
      <c r="K311" s="9"/>
      <c r="L311" s="9"/>
      <c r="M311" s="9"/>
      <c r="N311" s="186" t="s">
        <v>262</v>
      </c>
      <c r="O311" s="160" t="s">
        <v>262</v>
      </c>
      <c r="P311" s="63"/>
    </row>
    <row r="312" spans="1:32" s="16" customFormat="1" hidden="1">
      <c r="A312" s="340" t="s">
        <v>152</v>
      </c>
      <c r="B312" s="34" t="s">
        <v>267</v>
      </c>
      <c r="C312" s="40" t="s">
        <v>147</v>
      </c>
      <c r="D312" s="34" t="s">
        <v>147</v>
      </c>
      <c r="E312" s="868">
        <f>0.004*0.0001/100</f>
        <v>4.0000000000000002E-9</v>
      </c>
      <c r="F312" s="69">
        <v>2</v>
      </c>
      <c r="G312" s="868" t="s">
        <v>265</v>
      </c>
      <c r="H312" s="29">
        <v>2</v>
      </c>
      <c r="I312" s="9">
        <v>1</v>
      </c>
      <c r="J312" s="9">
        <v>2</v>
      </c>
      <c r="K312" s="9">
        <v>3</v>
      </c>
      <c r="L312" s="9">
        <v>3</v>
      </c>
      <c r="M312" s="9">
        <v>1</v>
      </c>
      <c r="N312" s="186">
        <v>0.60108474454521421</v>
      </c>
      <c r="O312" s="160">
        <v>0.60108474454521421</v>
      </c>
      <c r="P312" s="63"/>
    </row>
    <row r="313" spans="1:32" s="16" customFormat="1" hidden="1">
      <c r="A313" s="340" t="s">
        <v>152</v>
      </c>
      <c r="B313" s="34" t="s">
        <v>267</v>
      </c>
      <c r="C313" s="40" t="s">
        <v>147</v>
      </c>
      <c r="D313" s="34" t="s">
        <v>147</v>
      </c>
      <c r="E313" s="868">
        <f>0.004*0.04/100</f>
        <v>1.6000000000000001E-6</v>
      </c>
      <c r="F313" s="69">
        <v>2</v>
      </c>
      <c r="G313" s="868" t="s">
        <v>265</v>
      </c>
      <c r="H313" s="29">
        <v>2</v>
      </c>
      <c r="I313" s="9">
        <v>1</v>
      </c>
      <c r="J313" s="9">
        <v>2</v>
      </c>
      <c r="K313" s="9">
        <v>3</v>
      </c>
      <c r="L313" s="9">
        <v>3</v>
      </c>
      <c r="M313" s="9">
        <v>1</v>
      </c>
      <c r="N313" s="186">
        <v>0.60108474454521421</v>
      </c>
      <c r="O313" s="160">
        <v>0.60108474454521421</v>
      </c>
      <c r="P313" s="63"/>
    </row>
    <row r="314" spans="1:32" s="16" customFormat="1" hidden="1">
      <c r="A314" s="340" t="s">
        <v>152</v>
      </c>
      <c r="B314" s="69" t="s">
        <v>187</v>
      </c>
      <c r="C314" s="40" t="s">
        <v>147</v>
      </c>
      <c r="D314" s="34" t="s">
        <v>147</v>
      </c>
      <c r="E314" s="869">
        <v>0.1</v>
      </c>
      <c r="F314" s="870">
        <v>1</v>
      </c>
      <c r="G314" s="868" t="s">
        <v>268</v>
      </c>
      <c r="H314" s="29">
        <v>2</v>
      </c>
      <c r="I314" s="9">
        <v>2</v>
      </c>
      <c r="J314" s="9">
        <v>2</v>
      </c>
      <c r="K314" s="9">
        <v>3</v>
      </c>
      <c r="L314" s="9">
        <v>1</v>
      </c>
      <c r="M314" s="9">
        <v>1</v>
      </c>
      <c r="N314" s="186">
        <v>0.38795788889711302</v>
      </c>
      <c r="O314" s="160">
        <v>0.38795788889711302</v>
      </c>
      <c r="P314" s="63"/>
    </row>
    <row r="315" spans="1:32" hidden="1">
      <c r="A315" s="152" t="s">
        <v>121</v>
      </c>
      <c r="B315" s="34" t="s">
        <v>197</v>
      </c>
      <c r="C315" s="40" t="s">
        <v>147</v>
      </c>
      <c r="D315" s="34" t="s">
        <v>96</v>
      </c>
      <c r="E315" s="260">
        <v>0</v>
      </c>
      <c r="F315" s="235">
        <v>1</v>
      </c>
      <c r="G315" s="40"/>
      <c r="H315" s="29"/>
      <c r="I315" s="9"/>
      <c r="J315" s="9"/>
      <c r="K315" s="9"/>
      <c r="L315" s="9"/>
      <c r="M315" s="9"/>
      <c r="N315" s="186" t="str">
        <f t="shared" ref="N315:N346" si="18">IF( OR( ISBLANK(H315),ISBLANK(J315), ISBLANK(K315), ISBLANK(L315), ISBLANK(M315) ), "", 1.5*SQRT(   EXP(2.21*(H315-1)) + EXP(2.21*(J315-1)) + EXP(2.21*(K315-1)) + EXP(2.21*(L315-1)) + EXP(2.21*M315)   )/100*2.45 )</f>
        <v/>
      </c>
      <c r="O315" s="160" t="str">
        <f t="shared" ref="O315:O346" si="19">IF( OR( ISBLANK(I315),ISBLANK(J315), ISBLANK(K315), ISBLANK(L315), ISBLANK(M315) ), "", 1.5*SQRT( EXP(2.21*(I315-1)) + EXP(2.21*(J315-1)) + EXP(2.21*(K315-1)) + EXP(2.21*(L315-1)) + EXP(2.21*M315)   )/100*2.45 )</f>
        <v/>
      </c>
      <c r="P315" s="63"/>
    </row>
    <row r="316" spans="1:32" hidden="1">
      <c r="A316" s="152" t="s">
        <v>121</v>
      </c>
      <c r="B316" s="34" t="s">
        <v>197</v>
      </c>
      <c r="C316" s="40" t="s">
        <v>147</v>
      </c>
      <c r="D316" s="34" t="s">
        <v>97</v>
      </c>
      <c r="E316" s="260">
        <v>0</v>
      </c>
      <c r="F316" s="235">
        <v>1</v>
      </c>
      <c r="G316" s="40"/>
      <c r="H316" s="29"/>
      <c r="I316" s="9"/>
      <c r="J316" s="9"/>
      <c r="K316" s="9"/>
      <c r="L316" s="9"/>
      <c r="M316" s="9"/>
      <c r="N316" s="186" t="str">
        <f t="shared" si="18"/>
        <v/>
      </c>
      <c r="O316" s="160" t="str">
        <f t="shared" si="19"/>
        <v/>
      </c>
      <c r="P316" s="63"/>
    </row>
    <row r="317" spans="1:32" hidden="1">
      <c r="A317" s="152" t="s">
        <v>118</v>
      </c>
      <c r="B317" s="34" t="s">
        <v>269</v>
      </c>
      <c r="C317" s="40" t="s">
        <v>147</v>
      </c>
      <c r="D317" s="34" t="s">
        <v>147</v>
      </c>
      <c r="E317" s="260" t="s">
        <v>158</v>
      </c>
      <c r="F317" s="34">
        <v>1</v>
      </c>
      <c r="G317" s="40"/>
      <c r="H317" s="29">
        <v>1</v>
      </c>
      <c r="I317" s="9"/>
      <c r="J317" s="9">
        <v>1</v>
      </c>
      <c r="K317" s="9">
        <v>1</v>
      </c>
      <c r="L317" s="9">
        <v>2</v>
      </c>
      <c r="M317" s="9">
        <v>2</v>
      </c>
      <c r="N317" s="186">
        <f t="shared" si="18"/>
        <v>0.35859414261160716</v>
      </c>
      <c r="O317" s="160" t="str">
        <f t="shared" si="19"/>
        <v/>
      </c>
      <c r="P317" s="63"/>
    </row>
    <row r="318" spans="1:32" hidden="1">
      <c r="A318" s="152" t="s">
        <v>123</v>
      </c>
      <c r="B318" s="34" t="s">
        <v>269</v>
      </c>
      <c r="C318" s="40" t="s">
        <v>147</v>
      </c>
      <c r="D318" s="34" t="s">
        <v>147</v>
      </c>
      <c r="E318" s="260">
        <v>1</v>
      </c>
      <c r="F318" s="34">
        <v>1</v>
      </c>
      <c r="G318" s="40"/>
      <c r="H318" s="29">
        <v>1</v>
      </c>
      <c r="I318" s="9"/>
      <c r="J318" s="9">
        <v>1</v>
      </c>
      <c r="K318" s="9">
        <v>1</v>
      </c>
      <c r="L318" s="9">
        <v>2</v>
      </c>
      <c r="M318" s="9">
        <v>2</v>
      </c>
      <c r="N318" s="186">
        <f t="shared" si="18"/>
        <v>0.35859414261160716</v>
      </c>
      <c r="O318" s="160" t="str">
        <f t="shared" si="19"/>
        <v/>
      </c>
      <c r="P318" s="63"/>
    </row>
    <row r="319" spans="1:32" hidden="1">
      <c r="A319" s="152" t="s">
        <v>267</v>
      </c>
      <c r="B319" s="34" t="s">
        <v>264</v>
      </c>
      <c r="C319" s="40" t="s">
        <v>147</v>
      </c>
      <c r="D319" s="34" t="s">
        <v>147</v>
      </c>
      <c r="E319" s="260">
        <v>0.3</v>
      </c>
      <c r="F319" s="235">
        <v>2</v>
      </c>
      <c r="G319" s="40" t="s">
        <v>270</v>
      </c>
      <c r="H319" s="29">
        <v>2</v>
      </c>
      <c r="I319" s="9">
        <v>2</v>
      </c>
      <c r="J319" s="9">
        <v>1</v>
      </c>
      <c r="K319" s="9">
        <v>1</v>
      </c>
      <c r="L319" s="9">
        <v>1</v>
      </c>
      <c r="M319" s="9">
        <v>3</v>
      </c>
      <c r="N319" s="186">
        <f t="shared" si="18"/>
        <v>1.0195048044558224</v>
      </c>
      <c r="O319" s="160">
        <f t="shared" si="19"/>
        <v>1.0195048044558224</v>
      </c>
      <c r="P319" s="63"/>
    </row>
    <row r="320" spans="1:32" hidden="1">
      <c r="A320" s="152" t="s">
        <v>267</v>
      </c>
      <c r="B320" s="34" t="s">
        <v>271</v>
      </c>
      <c r="C320" s="40" t="s">
        <v>147</v>
      </c>
      <c r="D320" s="34" t="s">
        <v>147</v>
      </c>
      <c r="E320" s="260">
        <v>0.1</v>
      </c>
      <c r="F320" s="235">
        <v>2</v>
      </c>
      <c r="G320" s="40" t="s">
        <v>270</v>
      </c>
      <c r="H320" s="29">
        <v>2</v>
      </c>
      <c r="I320" s="9">
        <v>2</v>
      </c>
      <c r="J320" s="9">
        <v>1</v>
      </c>
      <c r="K320" s="9">
        <v>1</v>
      </c>
      <c r="L320" s="9">
        <v>1</v>
      </c>
      <c r="M320" s="9">
        <v>3</v>
      </c>
      <c r="N320" s="186">
        <f t="shared" si="18"/>
        <v>1.0195048044558224</v>
      </c>
      <c r="O320" s="160">
        <f t="shared" si="19"/>
        <v>1.0195048044558224</v>
      </c>
      <c r="P320" s="63"/>
    </row>
    <row r="321" spans="1:16" hidden="1">
      <c r="A321" s="152" t="s">
        <v>267</v>
      </c>
      <c r="B321" s="34" t="s">
        <v>228</v>
      </c>
      <c r="C321" s="40" t="s">
        <v>147</v>
      </c>
      <c r="D321" s="34" t="s">
        <v>147</v>
      </c>
      <c r="E321" s="260">
        <v>0.6</v>
      </c>
      <c r="F321" s="235">
        <v>2</v>
      </c>
      <c r="G321" s="40" t="s">
        <v>270</v>
      </c>
      <c r="H321" s="29">
        <v>2</v>
      </c>
      <c r="I321" s="9">
        <v>2</v>
      </c>
      <c r="J321" s="9">
        <v>1</v>
      </c>
      <c r="K321" s="9">
        <v>1</v>
      </c>
      <c r="L321" s="9">
        <v>1</v>
      </c>
      <c r="M321" s="9">
        <v>3</v>
      </c>
      <c r="N321" s="186">
        <f t="shared" si="18"/>
        <v>1.0195048044558224</v>
      </c>
      <c r="O321" s="160">
        <f t="shared" si="19"/>
        <v>1.0195048044558224</v>
      </c>
      <c r="P321" s="63"/>
    </row>
    <row r="322" spans="1:16" hidden="1">
      <c r="A322" s="152" t="s">
        <v>272</v>
      </c>
      <c r="B322" s="34" t="s">
        <v>273</v>
      </c>
      <c r="C322" s="40" t="s">
        <v>147</v>
      </c>
      <c r="D322" s="34" t="s">
        <v>147</v>
      </c>
      <c r="E322" s="260" t="s">
        <v>158</v>
      </c>
      <c r="F322" s="34">
        <v>1</v>
      </c>
      <c r="G322" s="40"/>
      <c r="H322" s="29"/>
      <c r="I322" s="9"/>
      <c r="J322" s="9"/>
      <c r="K322" s="9"/>
      <c r="L322" s="9"/>
      <c r="M322" s="9"/>
      <c r="N322" s="186" t="str">
        <f t="shared" si="18"/>
        <v/>
      </c>
      <c r="O322" s="160" t="str">
        <f t="shared" si="19"/>
        <v/>
      </c>
      <c r="P322" s="63"/>
    </row>
    <row r="323" spans="1:16" hidden="1">
      <c r="A323" s="152" t="s">
        <v>274</v>
      </c>
      <c r="B323" s="34" t="s">
        <v>275</v>
      </c>
      <c r="C323" s="40" t="s">
        <v>147</v>
      </c>
      <c r="D323" s="34" t="s">
        <v>147</v>
      </c>
      <c r="E323" s="260">
        <v>1</v>
      </c>
      <c r="F323" s="235">
        <v>2</v>
      </c>
      <c r="G323" s="40"/>
      <c r="H323" s="29">
        <v>3</v>
      </c>
      <c r="I323" s="9"/>
      <c r="J323" s="9">
        <v>3</v>
      </c>
      <c r="K323" s="9">
        <v>3</v>
      </c>
      <c r="L323" s="9">
        <v>3</v>
      </c>
      <c r="M323" s="9">
        <v>3</v>
      </c>
      <c r="N323" s="186">
        <f t="shared" si="18"/>
        <v>1.2132328390150593</v>
      </c>
      <c r="O323" s="160" t="str">
        <f t="shared" si="19"/>
        <v/>
      </c>
      <c r="P323" s="63"/>
    </row>
    <row r="324" spans="1:16" hidden="1">
      <c r="A324" s="152" t="s">
        <v>274</v>
      </c>
      <c r="B324" s="34" t="s">
        <v>275</v>
      </c>
      <c r="C324" s="40" t="s">
        <v>147</v>
      </c>
      <c r="D324" s="34" t="s">
        <v>147</v>
      </c>
      <c r="E324" s="260">
        <v>0</v>
      </c>
      <c r="F324" s="235">
        <v>2</v>
      </c>
      <c r="G324" s="40"/>
      <c r="H324" s="29"/>
      <c r="I324" s="9"/>
      <c r="J324" s="9"/>
      <c r="K324" s="9"/>
      <c r="L324" s="9"/>
      <c r="M324" s="9"/>
      <c r="N324" s="186" t="str">
        <f t="shared" si="18"/>
        <v/>
      </c>
      <c r="O324" s="160" t="str">
        <f t="shared" si="19"/>
        <v/>
      </c>
      <c r="P324" s="63"/>
    </row>
    <row r="325" spans="1:16" hidden="1">
      <c r="A325" s="152" t="s">
        <v>274</v>
      </c>
      <c r="B325" s="34" t="s">
        <v>222</v>
      </c>
      <c r="C325" s="40" t="s">
        <v>147</v>
      </c>
      <c r="D325" s="34" t="s">
        <v>147</v>
      </c>
      <c r="E325" s="260" t="s">
        <v>158</v>
      </c>
      <c r="F325" s="235">
        <v>1</v>
      </c>
      <c r="G325" s="40"/>
      <c r="H325" s="29"/>
      <c r="I325" s="9"/>
      <c r="J325" s="9"/>
      <c r="K325" s="9"/>
      <c r="L325" s="9"/>
      <c r="M325" s="9"/>
      <c r="N325" s="186" t="str">
        <f t="shared" si="18"/>
        <v/>
      </c>
      <c r="O325" s="160" t="str">
        <f t="shared" si="19"/>
        <v/>
      </c>
      <c r="P325" s="63"/>
    </row>
    <row r="326" spans="1:16" hidden="1">
      <c r="A326" s="152" t="s">
        <v>276</v>
      </c>
      <c r="B326" s="34" t="s">
        <v>271</v>
      </c>
      <c r="C326" s="40" t="s">
        <v>147</v>
      </c>
      <c r="D326" s="34" t="s">
        <v>147</v>
      </c>
      <c r="E326" s="260">
        <v>1</v>
      </c>
      <c r="F326" s="235">
        <v>2</v>
      </c>
      <c r="G326" s="40"/>
      <c r="H326" s="29">
        <v>3</v>
      </c>
      <c r="I326" s="9"/>
      <c r="J326" s="9">
        <v>3</v>
      </c>
      <c r="K326" s="9">
        <v>3</v>
      </c>
      <c r="L326" s="9">
        <v>3</v>
      </c>
      <c r="M326" s="9">
        <v>3</v>
      </c>
      <c r="N326" s="186">
        <f t="shared" si="18"/>
        <v>1.2132328390150593</v>
      </c>
      <c r="O326" s="160" t="str">
        <f t="shared" si="19"/>
        <v/>
      </c>
      <c r="P326" s="63"/>
    </row>
    <row r="327" spans="1:16" hidden="1">
      <c r="A327" s="152" t="s">
        <v>276</v>
      </c>
      <c r="B327" s="34" t="s">
        <v>271</v>
      </c>
      <c r="C327" s="40" t="s">
        <v>147</v>
      </c>
      <c r="D327" s="34" t="s">
        <v>147</v>
      </c>
      <c r="E327" s="260">
        <v>0</v>
      </c>
      <c r="F327" s="235">
        <v>2</v>
      </c>
      <c r="G327" s="40"/>
      <c r="H327" s="29"/>
      <c r="I327" s="9"/>
      <c r="J327" s="9"/>
      <c r="K327" s="9"/>
      <c r="L327" s="9"/>
      <c r="M327" s="9"/>
      <c r="N327" s="186" t="str">
        <f t="shared" si="18"/>
        <v/>
      </c>
      <c r="O327" s="160" t="str">
        <f t="shared" si="19"/>
        <v/>
      </c>
      <c r="P327" s="63"/>
    </row>
    <row r="328" spans="1:16" hidden="1">
      <c r="A328" s="152" t="s">
        <v>276</v>
      </c>
      <c r="B328" s="34" t="s">
        <v>228</v>
      </c>
      <c r="C328" s="40" t="s">
        <v>147</v>
      </c>
      <c r="D328" s="34" t="s">
        <v>147</v>
      </c>
      <c r="E328" s="260" t="s">
        <v>158</v>
      </c>
      <c r="F328" s="235">
        <v>1</v>
      </c>
      <c r="G328" s="40"/>
      <c r="H328" s="29"/>
      <c r="I328" s="9"/>
      <c r="J328" s="9"/>
      <c r="K328" s="9"/>
      <c r="L328" s="9"/>
      <c r="M328" s="9"/>
      <c r="N328" s="186" t="str">
        <f t="shared" si="18"/>
        <v/>
      </c>
      <c r="O328" s="160" t="str">
        <f t="shared" si="19"/>
        <v/>
      </c>
      <c r="P328" s="63"/>
    </row>
    <row r="329" spans="1:16">
      <c r="A329" s="152" t="s">
        <v>269</v>
      </c>
      <c r="B329" s="34" t="s">
        <v>258</v>
      </c>
      <c r="C329" s="40" t="s">
        <v>188</v>
      </c>
      <c r="D329" s="69" t="s">
        <v>93</v>
      </c>
      <c r="E329" s="868">
        <v>0.89414414414414412</v>
      </c>
      <c r="F329" s="34">
        <v>1</v>
      </c>
      <c r="G329" s="344" t="s">
        <v>119</v>
      </c>
      <c r="H329" s="29">
        <v>1</v>
      </c>
      <c r="I329" s="9"/>
      <c r="J329" s="9">
        <v>1</v>
      </c>
      <c r="K329" s="9">
        <v>1</v>
      </c>
      <c r="L329" s="9">
        <v>2</v>
      </c>
      <c r="M329" s="9">
        <v>2</v>
      </c>
      <c r="N329" s="186">
        <f t="shared" si="18"/>
        <v>0.35859414261160716</v>
      </c>
      <c r="O329" s="160" t="str">
        <f t="shared" si="19"/>
        <v/>
      </c>
      <c r="P329" s="63"/>
    </row>
    <row r="330" spans="1:16">
      <c r="A330" s="152" t="s">
        <v>269</v>
      </c>
      <c r="B330" s="34" t="s">
        <v>258</v>
      </c>
      <c r="C330" s="40" t="s">
        <v>188</v>
      </c>
      <c r="D330" s="69" t="s">
        <v>94</v>
      </c>
      <c r="E330" s="868">
        <v>0.84514925373134331</v>
      </c>
      <c r="F330" s="34">
        <v>1</v>
      </c>
      <c r="G330" s="344" t="s">
        <v>119</v>
      </c>
      <c r="H330" s="29">
        <v>1</v>
      </c>
      <c r="I330" s="9"/>
      <c r="J330" s="9">
        <v>1</v>
      </c>
      <c r="K330" s="9">
        <v>1</v>
      </c>
      <c r="L330" s="9">
        <v>2</v>
      </c>
      <c r="M330" s="9">
        <v>2</v>
      </c>
      <c r="N330" s="186">
        <f t="shared" si="18"/>
        <v>0.35859414261160716</v>
      </c>
      <c r="O330" s="160" t="str">
        <f t="shared" si="19"/>
        <v/>
      </c>
      <c r="P330" s="63"/>
    </row>
    <row r="331" spans="1:16">
      <c r="A331" s="152" t="s">
        <v>269</v>
      </c>
      <c r="B331" s="34" t="s">
        <v>258</v>
      </c>
      <c r="C331" s="40" t="s">
        <v>188</v>
      </c>
      <c r="D331" s="69" t="s">
        <v>95</v>
      </c>
      <c r="E331" s="868">
        <v>0.2164781906300485</v>
      </c>
      <c r="F331" s="34">
        <v>1</v>
      </c>
      <c r="G331" s="344" t="s">
        <v>119</v>
      </c>
      <c r="H331" s="29">
        <v>1</v>
      </c>
      <c r="I331" s="9"/>
      <c r="J331" s="9">
        <v>1</v>
      </c>
      <c r="K331" s="9">
        <v>1</v>
      </c>
      <c r="L331" s="9">
        <v>2</v>
      </c>
      <c r="M331" s="9">
        <v>2</v>
      </c>
      <c r="N331" s="186">
        <f t="shared" si="18"/>
        <v>0.35859414261160716</v>
      </c>
      <c r="O331" s="160" t="str">
        <f t="shared" si="19"/>
        <v/>
      </c>
      <c r="P331" s="63"/>
    </row>
    <row r="332" spans="1:16">
      <c r="A332" s="152" t="s">
        <v>269</v>
      </c>
      <c r="B332" s="34" t="s">
        <v>258</v>
      </c>
      <c r="C332" s="40" t="s">
        <v>188</v>
      </c>
      <c r="D332" s="69" t="s">
        <v>96</v>
      </c>
      <c r="E332" s="868">
        <v>0.14782608695652169</v>
      </c>
      <c r="F332" s="34">
        <v>1</v>
      </c>
      <c r="G332" s="344" t="s">
        <v>119</v>
      </c>
      <c r="H332" s="29">
        <v>1</v>
      </c>
      <c r="I332" s="9"/>
      <c r="J332" s="9">
        <v>1</v>
      </c>
      <c r="K332" s="9">
        <v>1</v>
      </c>
      <c r="L332" s="9">
        <v>2</v>
      </c>
      <c r="M332" s="9">
        <v>2</v>
      </c>
      <c r="N332" s="186">
        <f t="shared" si="18"/>
        <v>0.35859414261160716</v>
      </c>
      <c r="O332" s="160" t="str">
        <f t="shared" si="19"/>
        <v/>
      </c>
      <c r="P332" s="63"/>
    </row>
    <row r="333" spans="1:16">
      <c r="A333" s="152" t="s">
        <v>269</v>
      </c>
      <c r="B333" s="34" t="s">
        <v>258</v>
      </c>
      <c r="C333" s="40" t="s">
        <v>188</v>
      </c>
      <c r="D333" s="69" t="s">
        <v>97</v>
      </c>
      <c r="E333" s="868">
        <v>0.66574585635359118</v>
      </c>
      <c r="F333" s="34">
        <v>1</v>
      </c>
      <c r="G333" s="344" t="s">
        <v>119</v>
      </c>
      <c r="H333" s="29">
        <v>1</v>
      </c>
      <c r="I333" s="9"/>
      <c r="J333" s="9">
        <v>1</v>
      </c>
      <c r="K333" s="9">
        <v>1</v>
      </c>
      <c r="L333" s="9">
        <v>2</v>
      </c>
      <c r="M333" s="9">
        <v>2</v>
      </c>
      <c r="N333" s="186">
        <f t="shared" si="18"/>
        <v>0.35859414261160716</v>
      </c>
      <c r="O333" s="160" t="str">
        <f t="shared" si="19"/>
        <v/>
      </c>
      <c r="P333" s="63"/>
    </row>
    <row r="334" spans="1:16">
      <c r="A334" s="152" t="s">
        <v>269</v>
      </c>
      <c r="B334" s="34" t="s">
        <v>258</v>
      </c>
      <c r="C334" s="40" t="s">
        <v>188</v>
      </c>
      <c r="D334" s="69" t="s">
        <v>98</v>
      </c>
      <c r="E334" s="868">
        <v>0.85006045949214026</v>
      </c>
      <c r="F334" s="34">
        <v>1</v>
      </c>
      <c r="G334" s="344" t="s">
        <v>119</v>
      </c>
      <c r="H334" s="29">
        <v>1</v>
      </c>
      <c r="I334" s="9"/>
      <c r="J334" s="9">
        <v>1</v>
      </c>
      <c r="K334" s="9">
        <v>1</v>
      </c>
      <c r="L334" s="9">
        <v>2</v>
      </c>
      <c r="M334" s="9">
        <v>2</v>
      </c>
      <c r="N334" s="186">
        <f t="shared" si="18"/>
        <v>0.35859414261160716</v>
      </c>
      <c r="O334" s="160" t="str">
        <f t="shared" si="19"/>
        <v/>
      </c>
      <c r="P334" s="63"/>
    </row>
    <row r="335" spans="1:16">
      <c r="A335" s="152" t="s">
        <v>269</v>
      </c>
      <c r="B335" s="34" t="s">
        <v>258</v>
      </c>
      <c r="C335" s="40" t="s">
        <v>188</v>
      </c>
      <c r="D335" s="69" t="s">
        <v>99</v>
      </c>
      <c r="E335" s="868">
        <v>1</v>
      </c>
      <c r="F335" s="34">
        <v>1</v>
      </c>
      <c r="G335" s="344" t="s">
        <v>119</v>
      </c>
      <c r="H335" s="29">
        <v>1</v>
      </c>
      <c r="I335" s="9"/>
      <c r="J335" s="9">
        <v>1</v>
      </c>
      <c r="K335" s="9">
        <v>1</v>
      </c>
      <c r="L335" s="9">
        <v>2</v>
      </c>
      <c r="M335" s="9">
        <v>2</v>
      </c>
      <c r="N335" s="186">
        <f t="shared" si="18"/>
        <v>0.35859414261160716</v>
      </c>
      <c r="O335" s="160" t="str">
        <f t="shared" si="19"/>
        <v/>
      </c>
      <c r="P335" s="63"/>
    </row>
    <row r="336" spans="1:16" hidden="1">
      <c r="A336" s="152" t="s">
        <v>37</v>
      </c>
      <c r="B336" s="34" t="s">
        <v>167</v>
      </c>
      <c r="C336" s="40" t="s">
        <v>147</v>
      </c>
      <c r="D336" s="34" t="s">
        <v>93</v>
      </c>
      <c r="E336" s="260">
        <f>Intentionally_produced_MPs!H127</f>
        <v>0</v>
      </c>
      <c r="F336" s="235">
        <v>1</v>
      </c>
      <c r="G336" s="40"/>
      <c r="H336" s="29"/>
      <c r="I336" s="9"/>
      <c r="J336" s="9"/>
      <c r="K336" s="9"/>
      <c r="L336" s="9"/>
      <c r="M336" s="9"/>
      <c r="N336" s="186" t="str">
        <f t="shared" si="18"/>
        <v/>
      </c>
      <c r="O336" s="160" t="str">
        <f t="shared" si="19"/>
        <v/>
      </c>
      <c r="P336" s="63"/>
    </row>
    <row r="337" spans="1:16" hidden="1">
      <c r="A337" s="152" t="s">
        <v>37</v>
      </c>
      <c r="B337" s="34" t="s">
        <v>167</v>
      </c>
      <c r="C337" s="40" t="s">
        <v>147</v>
      </c>
      <c r="D337" s="34" t="s">
        <v>94</v>
      </c>
      <c r="E337" s="260">
        <f>Intentionally_produced_MPs!H128</f>
        <v>0.56875626926941902</v>
      </c>
      <c r="F337" s="235">
        <v>1</v>
      </c>
      <c r="G337" s="40"/>
      <c r="H337" s="29">
        <v>3</v>
      </c>
      <c r="I337" s="9">
        <v>2</v>
      </c>
      <c r="J337" s="9">
        <v>3</v>
      </c>
      <c r="K337" s="9">
        <v>3</v>
      </c>
      <c r="L337" s="9">
        <v>3</v>
      </c>
      <c r="M337" s="9">
        <v>3</v>
      </c>
      <c r="N337" s="186">
        <f t="shared" si="18"/>
        <v>1.2132328390150593</v>
      </c>
      <c r="O337" s="160">
        <f t="shared" si="19"/>
        <v>1.1713319510247036</v>
      </c>
      <c r="P337" s="63"/>
    </row>
    <row r="338" spans="1:16" hidden="1">
      <c r="A338" s="152" t="s">
        <v>37</v>
      </c>
      <c r="B338" s="34" t="s">
        <v>167</v>
      </c>
      <c r="C338" s="40" t="s">
        <v>147</v>
      </c>
      <c r="D338" s="34" t="s">
        <v>95</v>
      </c>
      <c r="E338" s="260">
        <f>Intentionally_produced_MPs!H129</f>
        <v>0</v>
      </c>
      <c r="F338" s="235">
        <v>1</v>
      </c>
      <c r="G338" s="40"/>
      <c r="H338" s="29"/>
      <c r="I338" s="9"/>
      <c r="J338" s="9"/>
      <c r="K338" s="9"/>
      <c r="L338" s="9"/>
      <c r="M338" s="9"/>
      <c r="N338" s="186" t="str">
        <f t="shared" si="18"/>
        <v/>
      </c>
      <c r="O338" s="160" t="str">
        <f t="shared" si="19"/>
        <v/>
      </c>
      <c r="P338" s="63"/>
    </row>
    <row r="339" spans="1:16" hidden="1">
      <c r="A339" s="152" t="s">
        <v>37</v>
      </c>
      <c r="B339" s="34" t="s">
        <v>167</v>
      </c>
      <c r="C339" s="40" t="s">
        <v>147</v>
      </c>
      <c r="D339" s="34" t="s">
        <v>96</v>
      </c>
      <c r="E339" s="260">
        <f>Intentionally_produced_MPs!H130</f>
        <v>0</v>
      </c>
      <c r="F339" s="235">
        <v>1</v>
      </c>
      <c r="G339" s="40"/>
      <c r="H339" s="29"/>
      <c r="I339" s="9"/>
      <c r="J339" s="9"/>
      <c r="K339" s="9"/>
      <c r="L339" s="9"/>
      <c r="M339" s="9"/>
      <c r="N339" s="186" t="str">
        <f t="shared" si="18"/>
        <v/>
      </c>
      <c r="O339" s="160" t="str">
        <f t="shared" si="19"/>
        <v/>
      </c>
      <c r="P339" s="63"/>
    </row>
    <row r="340" spans="1:16" hidden="1">
      <c r="A340" s="152" t="s">
        <v>37</v>
      </c>
      <c r="B340" s="34" t="s">
        <v>167</v>
      </c>
      <c r="C340" s="40" t="s">
        <v>147</v>
      </c>
      <c r="D340" s="34" t="s">
        <v>97</v>
      </c>
      <c r="E340" s="260">
        <f>Intentionally_produced_MPs!H131</f>
        <v>0</v>
      </c>
      <c r="F340" s="235">
        <v>1</v>
      </c>
      <c r="G340" s="40"/>
      <c r="H340" s="29"/>
      <c r="I340" s="9"/>
      <c r="J340" s="9"/>
      <c r="K340" s="9"/>
      <c r="L340" s="9"/>
      <c r="M340" s="9"/>
      <c r="N340" s="186" t="str">
        <f t="shared" si="18"/>
        <v/>
      </c>
      <c r="O340" s="160" t="str">
        <f t="shared" si="19"/>
        <v/>
      </c>
      <c r="P340" s="63"/>
    </row>
    <row r="341" spans="1:16" hidden="1">
      <c r="A341" s="152" t="s">
        <v>37</v>
      </c>
      <c r="B341" s="34" t="s">
        <v>167</v>
      </c>
      <c r="C341" s="40" t="s">
        <v>147</v>
      </c>
      <c r="D341" s="34" t="s">
        <v>98</v>
      </c>
      <c r="E341" s="260">
        <f>Intentionally_produced_MPs!H132</f>
        <v>0</v>
      </c>
      <c r="F341" s="235">
        <v>1</v>
      </c>
      <c r="G341" s="40"/>
      <c r="H341" s="29"/>
      <c r="I341" s="9"/>
      <c r="J341" s="9"/>
      <c r="K341" s="9"/>
      <c r="L341" s="9"/>
      <c r="M341" s="9"/>
      <c r="N341" s="186" t="str">
        <f t="shared" si="18"/>
        <v/>
      </c>
      <c r="O341" s="160" t="str">
        <f t="shared" si="19"/>
        <v/>
      </c>
      <c r="P341" s="63"/>
    </row>
    <row r="342" spans="1:16" hidden="1">
      <c r="A342" s="152" t="s">
        <v>37</v>
      </c>
      <c r="B342" s="34" t="s">
        <v>167</v>
      </c>
      <c r="C342" s="40" t="s">
        <v>147</v>
      </c>
      <c r="D342" s="34" t="s">
        <v>99</v>
      </c>
      <c r="E342" s="260">
        <f>Intentionally_produced_MPs!H133</f>
        <v>0</v>
      </c>
      <c r="F342" s="235">
        <v>1</v>
      </c>
      <c r="G342" s="40"/>
      <c r="H342" s="29"/>
      <c r="I342" s="9"/>
      <c r="J342" s="9"/>
      <c r="K342" s="9"/>
      <c r="L342" s="9"/>
      <c r="M342" s="9"/>
      <c r="N342" s="186" t="str">
        <f t="shared" si="18"/>
        <v/>
      </c>
      <c r="O342" s="160" t="str">
        <f t="shared" si="19"/>
        <v/>
      </c>
      <c r="P342" s="63"/>
    </row>
    <row r="343" spans="1:16" hidden="1">
      <c r="A343" s="152" t="s">
        <v>37</v>
      </c>
      <c r="B343" s="34" t="s">
        <v>167</v>
      </c>
      <c r="C343" s="40" t="s">
        <v>147</v>
      </c>
      <c r="D343" s="34" t="s">
        <v>100</v>
      </c>
      <c r="E343" s="260">
        <f>Intentionally_produced_MPs!H134</f>
        <v>0</v>
      </c>
      <c r="F343" s="235">
        <v>1</v>
      </c>
      <c r="G343" s="40"/>
      <c r="H343" s="29"/>
      <c r="I343" s="9"/>
      <c r="J343" s="9"/>
      <c r="K343" s="9"/>
      <c r="L343" s="9"/>
      <c r="M343" s="9"/>
      <c r="N343" s="186" t="str">
        <f t="shared" si="18"/>
        <v/>
      </c>
      <c r="O343" s="160" t="str">
        <f t="shared" si="19"/>
        <v/>
      </c>
      <c r="P343" s="63"/>
    </row>
    <row r="344" spans="1:16" hidden="1">
      <c r="A344" s="152" t="s">
        <v>37</v>
      </c>
      <c r="B344" s="34" t="s">
        <v>167</v>
      </c>
      <c r="C344" s="40" t="s">
        <v>147</v>
      </c>
      <c r="D344" s="34" t="s">
        <v>101</v>
      </c>
      <c r="E344" s="260">
        <f>Intentionally_produced_MPs!H135</f>
        <v>0</v>
      </c>
      <c r="F344" s="235">
        <v>1</v>
      </c>
      <c r="G344" s="40"/>
      <c r="H344" s="29"/>
      <c r="I344" s="9"/>
      <c r="J344" s="9"/>
      <c r="K344" s="9"/>
      <c r="L344" s="9"/>
      <c r="M344" s="9"/>
      <c r="N344" s="186" t="str">
        <f t="shared" si="18"/>
        <v/>
      </c>
      <c r="O344" s="160" t="str">
        <f t="shared" si="19"/>
        <v/>
      </c>
      <c r="P344" s="63"/>
    </row>
    <row r="345" spans="1:16" hidden="1">
      <c r="A345" s="152" t="s">
        <v>37</v>
      </c>
      <c r="B345" s="34" t="s">
        <v>167</v>
      </c>
      <c r="C345" s="40" t="s">
        <v>147</v>
      </c>
      <c r="D345" s="34" t="s">
        <v>102</v>
      </c>
      <c r="E345" s="260">
        <f>Intentionally_produced_MPs!H136</f>
        <v>0</v>
      </c>
      <c r="F345" s="235">
        <v>1</v>
      </c>
      <c r="G345" s="40"/>
      <c r="H345" s="29"/>
      <c r="I345" s="9"/>
      <c r="J345" s="9"/>
      <c r="K345" s="9"/>
      <c r="L345" s="9"/>
      <c r="M345" s="9"/>
      <c r="N345" s="186" t="str">
        <f t="shared" si="18"/>
        <v/>
      </c>
      <c r="O345" s="160" t="str">
        <f t="shared" si="19"/>
        <v/>
      </c>
      <c r="P345" s="63"/>
    </row>
    <row r="346" spans="1:16" hidden="1">
      <c r="A346" s="152" t="s">
        <v>37</v>
      </c>
      <c r="B346" s="34" t="s">
        <v>167</v>
      </c>
      <c r="C346" s="40" t="s">
        <v>147</v>
      </c>
      <c r="D346" s="34" t="s">
        <v>103</v>
      </c>
      <c r="E346" s="260">
        <f>Intentionally_produced_MPs!H137</f>
        <v>0</v>
      </c>
      <c r="F346" s="235">
        <v>1</v>
      </c>
      <c r="G346" s="40"/>
      <c r="H346" s="29"/>
      <c r="I346" s="9"/>
      <c r="J346" s="9"/>
      <c r="K346" s="9"/>
      <c r="L346" s="9"/>
      <c r="M346" s="9"/>
      <c r="N346" s="186" t="str">
        <f t="shared" si="18"/>
        <v/>
      </c>
      <c r="O346" s="160" t="str">
        <f t="shared" si="19"/>
        <v/>
      </c>
      <c r="P346" s="63"/>
    </row>
    <row r="347" spans="1:16" hidden="1">
      <c r="A347" s="152" t="s">
        <v>37</v>
      </c>
      <c r="B347" s="34" t="s">
        <v>167</v>
      </c>
      <c r="C347" s="40" t="s">
        <v>147</v>
      </c>
      <c r="D347" s="34" t="s">
        <v>104</v>
      </c>
      <c r="E347" s="260">
        <f>Intentionally_produced_MPs!H138</f>
        <v>0</v>
      </c>
      <c r="F347" s="235">
        <v>1</v>
      </c>
      <c r="G347" s="40"/>
      <c r="H347" s="29"/>
      <c r="I347" s="9"/>
      <c r="J347" s="9"/>
      <c r="K347" s="9"/>
      <c r="L347" s="9"/>
      <c r="M347" s="9"/>
      <c r="N347" s="186" t="str">
        <f t="shared" ref="N347:N378" si="20">IF( OR( ISBLANK(H347),ISBLANK(J347), ISBLANK(K347), ISBLANK(L347), ISBLANK(M347) ), "", 1.5*SQRT(   EXP(2.21*(H347-1)) + EXP(2.21*(J347-1)) + EXP(2.21*(K347-1)) + EXP(2.21*(L347-1)) + EXP(2.21*M347)   )/100*2.45 )</f>
        <v/>
      </c>
      <c r="O347" s="160" t="str">
        <f t="shared" ref="O347:O379" si="21">IF( OR( ISBLANK(I347),ISBLANK(J347), ISBLANK(K347), ISBLANK(L347), ISBLANK(M347) ), "", 1.5*SQRT( EXP(2.21*(I347-1)) + EXP(2.21*(J347-1)) + EXP(2.21*(K347-1)) + EXP(2.21*(L347-1)) + EXP(2.21*M347)   )/100*2.45 )</f>
        <v/>
      </c>
      <c r="P347" s="63"/>
    </row>
    <row r="348" spans="1:16" hidden="1">
      <c r="A348" s="152" t="s">
        <v>37</v>
      </c>
      <c r="B348" s="34" t="s">
        <v>167</v>
      </c>
      <c r="C348" s="40" t="s">
        <v>147</v>
      </c>
      <c r="D348" s="34" t="s">
        <v>105</v>
      </c>
      <c r="E348" s="260">
        <f>Intentionally_produced_MPs!H139</f>
        <v>0</v>
      </c>
      <c r="F348" s="235">
        <v>1</v>
      </c>
      <c r="G348" s="40"/>
      <c r="H348" s="29"/>
      <c r="I348" s="9"/>
      <c r="J348" s="9"/>
      <c r="K348" s="9"/>
      <c r="L348" s="9"/>
      <c r="M348" s="9"/>
      <c r="N348" s="186" t="str">
        <f t="shared" si="20"/>
        <v/>
      </c>
      <c r="O348" s="160" t="str">
        <f t="shared" si="21"/>
        <v/>
      </c>
      <c r="P348" s="63"/>
    </row>
    <row r="349" spans="1:16" hidden="1">
      <c r="A349" s="152" t="s">
        <v>37</v>
      </c>
      <c r="B349" s="34" t="s">
        <v>167</v>
      </c>
      <c r="C349" s="40" t="s">
        <v>147</v>
      </c>
      <c r="D349" s="34" t="s">
        <v>106</v>
      </c>
      <c r="E349" s="260">
        <f>Intentionally_produced_MPs!H140</f>
        <v>0</v>
      </c>
      <c r="F349" s="235">
        <v>1</v>
      </c>
      <c r="G349" s="40"/>
      <c r="H349" s="29"/>
      <c r="I349" s="9"/>
      <c r="J349" s="9"/>
      <c r="K349" s="9"/>
      <c r="L349" s="9"/>
      <c r="M349" s="9"/>
      <c r="N349" s="186" t="str">
        <f t="shared" si="20"/>
        <v/>
      </c>
      <c r="O349" s="160" t="str">
        <f t="shared" si="21"/>
        <v/>
      </c>
      <c r="P349" s="63"/>
    </row>
    <row r="350" spans="1:16" hidden="1">
      <c r="A350" s="152" t="s">
        <v>37</v>
      </c>
      <c r="B350" s="34" t="s">
        <v>278</v>
      </c>
      <c r="C350" s="40" t="s">
        <v>147</v>
      </c>
      <c r="D350" s="34" t="s">
        <v>93</v>
      </c>
      <c r="E350" s="260">
        <f>Intentionally_produced_MPs!R127</f>
        <v>0</v>
      </c>
      <c r="F350" s="235">
        <v>1</v>
      </c>
      <c r="G350" s="40"/>
      <c r="H350" s="29"/>
      <c r="I350" s="9"/>
      <c r="J350" s="9"/>
      <c r="K350" s="9"/>
      <c r="L350" s="9"/>
      <c r="M350" s="9"/>
      <c r="N350" s="186" t="str">
        <f t="shared" si="20"/>
        <v/>
      </c>
      <c r="O350" s="160" t="str">
        <f t="shared" si="21"/>
        <v/>
      </c>
      <c r="P350" s="63"/>
    </row>
    <row r="351" spans="1:16" hidden="1">
      <c r="A351" s="152" t="s">
        <v>37</v>
      </c>
      <c r="B351" s="34" t="s">
        <v>278</v>
      </c>
      <c r="C351" s="40" t="s">
        <v>147</v>
      </c>
      <c r="D351" s="34" t="s">
        <v>94</v>
      </c>
      <c r="E351" s="260">
        <f>Intentionally_produced_MPs!R128</f>
        <v>0</v>
      </c>
      <c r="F351" s="235">
        <v>1</v>
      </c>
      <c r="G351" s="40"/>
      <c r="H351" s="29"/>
      <c r="I351" s="9"/>
      <c r="J351" s="9"/>
      <c r="K351" s="9"/>
      <c r="L351" s="9"/>
      <c r="M351" s="9"/>
      <c r="N351" s="186" t="str">
        <f t="shared" si="20"/>
        <v/>
      </c>
      <c r="O351" s="160" t="str">
        <f t="shared" si="21"/>
        <v/>
      </c>
      <c r="P351" s="63"/>
    </row>
    <row r="352" spans="1:16" hidden="1">
      <c r="A352" s="152" t="s">
        <v>37</v>
      </c>
      <c r="B352" s="34" t="s">
        <v>278</v>
      </c>
      <c r="C352" s="40" t="s">
        <v>147</v>
      </c>
      <c r="D352" s="34" t="s">
        <v>95</v>
      </c>
      <c r="E352" s="260">
        <f>Intentionally_produced_MPs!R129</f>
        <v>0</v>
      </c>
      <c r="F352" s="235">
        <v>1</v>
      </c>
      <c r="G352" s="40"/>
      <c r="H352" s="29"/>
      <c r="I352" s="9"/>
      <c r="J352" s="9"/>
      <c r="K352" s="9"/>
      <c r="L352" s="9"/>
      <c r="M352" s="9"/>
      <c r="N352" s="186" t="str">
        <f t="shared" si="20"/>
        <v/>
      </c>
      <c r="O352" s="160" t="str">
        <f t="shared" si="21"/>
        <v/>
      </c>
      <c r="P352" s="63"/>
    </row>
    <row r="353" spans="1:16" hidden="1">
      <c r="A353" s="152" t="s">
        <v>37</v>
      </c>
      <c r="B353" s="34" t="s">
        <v>278</v>
      </c>
      <c r="C353" s="40" t="s">
        <v>147</v>
      </c>
      <c r="D353" s="34" t="s">
        <v>96</v>
      </c>
      <c r="E353" s="260">
        <f>Intentionally_produced_MPs!R130</f>
        <v>0</v>
      </c>
      <c r="F353" s="235">
        <v>1</v>
      </c>
      <c r="G353" s="40"/>
      <c r="H353" s="29"/>
      <c r="I353" s="9"/>
      <c r="J353" s="9"/>
      <c r="K353" s="9"/>
      <c r="L353" s="9"/>
      <c r="M353" s="9"/>
      <c r="N353" s="186" t="str">
        <f t="shared" si="20"/>
        <v/>
      </c>
      <c r="O353" s="160" t="str">
        <f t="shared" si="21"/>
        <v/>
      </c>
      <c r="P353" s="63"/>
    </row>
    <row r="354" spans="1:16" hidden="1">
      <c r="A354" s="152" t="s">
        <v>37</v>
      </c>
      <c r="B354" s="34" t="s">
        <v>278</v>
      </c>
      <c r="C354" s="40" t="s">
        <v>147</v>
      </c>
      <c r="D354" s="34" t="s">
        <v>97</v>
      </c>
      <c r="E354" s="260">
        <f>Intentionally_produced_MPs!R131</f>
        <v>0</v>
      </c>
      <c r="F354" s="235">
        <v>1</v>
      </c>
      <c r="G354" s="40"/>
      <c r="H354" s="29"/>
      <c r="I354" s="9"/>
      <c r="J354" s="9"/>
      <c r="K354" s="9"/>
      <c r="L354" s="9"/>
      <c r="M354" s="9"/>
      <c r="N354" s="186" t="str">
        <f t="shared" si="20"/>
        <v/>
      </c>
      <c r="O354" s="160" t="str">
        <f t="shared" si="21"/>
        <v/>
      </c>
      <c r="P354" s="63"/>
    </row>
    <row r="355" spans="1:16" hidden="1">
      <c r="A355" s="152" t="s">
        <v>37</v>
      </c>
      <c r="B355" s="34" t="s">
        <v>278</v>
      </c>
      <c r="C355" s="40" t="s">
        <v>147</v>
      </c>
      <c r="D355" s="34" t="s">
        <v>98</v>
      </c>
      <c r="E355" s="260">
        <f>Intentionally_produced_MPs!R132</f>
        <v>0</v>
      </c>
      <c r="F355" s="235">
        <v>1</v>
      </c>
      <c r="G355" s="40"/>
      <c r="H355" s="29"/>
      <c r="I355" s="9"/>
      <c r="J355" s="9"/>
      <c r="K355" s="9"/>
      <c r="L355" s="9"/>
      <c r="M355" s="9"/>
      <c r="N355" s="186" t="str">
        <f t="shared" si="20"/>
        <v/>
      </c>
      <c r="O355" s="160" t="str">
        <f t="shared" si="21"/>
        <v/>
      </c>
      <c r="P355" s="63"/>
    </row>
    <row r="356" spans="1:16" hidden="1">
      <c r="A356" s="152" t="s">
        <v>37</v>
      </c>
      <c r="B356" s="34" t="s">
        <v>278</v>
      </c>
      <c r="C356" s="40" t="s">
        <v>147</v>
      </c>
      <c r="D356" s="34" t="s">
        <v>99</v>
      </c>
      <c r="E356" s="260">
        <f>Intentionally_produced_MPs!R133</f>
        <v>0</v>
      </c>
      <c r="F356" s="235">
        <v>1</v>
      </c>
      <c r="G356" s="40"/>
      <c r="H356" s="29"/>
      <c r="I356" s="9"/>
      <c r="J356" s="9"/>
      <c r="K356" s="9"/>
      <c r="L356" s="9"/>
      <c r="M356" s="9"/>
      <c r="N356" s="186" t="str">
        <f t="shared" si="20"/>
        <v/>
      </c>
      <c r="O356" s="160" t="str">
        <f t="shared" si="21"/>
        <v/>
      </c>
      <c r="P356" s="63"/>
    </row>
    <row r="357" spans="1:16" hidden="1">
      <c r="A357" s="152" t="s">
        <v>37</v>
      </c>
      <c r="B357" s="34" t="s">
        <v>278</v>
      </c>
      <c r="C357" s="40" t="s">
        <v>147</v>
      </c>
      <c r="D357" s="34" t="s">
        <v>100</v>
      </c>
      <c r="E357" s="260">
        <f>Intentionally_produced_MPs!R134</f>
        <v>0</v>
      </c>
      <c r="F357" s="235">
        <v>1</v>
      </c>
      <c r="G357" s="40"/>
      <c r="H357" s="29"/>
      <c r="I357" s="9"/>
      <c r="J357" s="9"/>
      <c r="K357" s="9"/>
      <c r="L357" s="9"/>
      <c r="M357" s="9"/>
      <c r="N357" s="186" t="str">
        <f t="shared" si="20"/>
        <v/>
      </c>
      <c r="O357" s="160" t="str">
        <f t="shared" si="21"/>
        <v/>
      </c>
      <c r="P357" s="63"/>
    </row>
    <row r="358" spans="1:16" hidden="1">
      <c r="A358" s="152" t="s">
        <v>37</v>
      </c>
      <c r="B358" s="34" t="s">
        <v>278</v>
      </c>
      <c r="C358" s="40" t="s">
        <v>147</v>
      </c>
      <c r="D358" s="34" t="s">
        <v>101</v>
      </c>
      <c r="E358" s="260">
        <f>Intentionally_produced_MPs!R135</f>
        <v>0</v>
      </c>
      <c r="F358" s="235">
        <v>1</v>
      </c>
      <c r="G358" s="40"/>
      <c r="H358" s="29"/>
      <c r="I358" s="9"/>
      <c r="J358" s="9"/>
      <c r="K358" s="9"/>
      <c r="L358" s="9"/>
      <c r="M358" s="9"/>
      <c r="N358" s="186" t="str">
        <f t="shared" si="20"/>
        <v/>
      </c>
      <c r="O358" s="160" t="str">
        <f t="shared" si="21"/>
        <v/>
      </c>
      <c r="P358" s="63"/>
    </row>
    <row r="359" spans="1:16" hidden="1">
      <c r="A359" s="152" t="s">
        <v>37</v>
      </c>
      <c r="B359" s="34" t="s">
        <v>278</v>
      </c>
      <c r="C359" s="40" t="s">
        <v>147</v>
      </c>
      <c r="D359" s="34" t="s">
        <v>102</v>
      </c>
      <c r="E359" s="260">
        <f>Intentionally_produced_MPs!R136</f>
        <v>0</v>
      </c>
      <c r="F359" s="235">
        <v>1</v>
      </c>
      <c r="G359" s="40"/>
      <c r="H359" s="29"/>
      <c r="I359" s="9"/>
      <c r="J359" s="9"/>
      <c r="K359" s="9"/>
      <c r="L359" s="9"/>
      <c r="M359" s="9"/>
      <c r="N359" s="186" t="str">
        <f t="shared" si="20"/>
        <v/>
      </c>
      <c r="O359" s="160" t="str">
        <f t="shared" si="21"/>
        <v/>
      </c>
      <c r="P359" s="63"/>
    </row>
    <row r="360" spans="1:16" hidden="1">
      <c r="A360" s="152" t="s">
        <v>37</v>
      </c>
      <c r="B360" s="34" t="s">
        <v>278</v>
      </c>
      <c r="C360" s="40" t="s">
        <v>147</v>
      </c>
      <c r="D360" s="34" t="s">
        <v>103</v>
      </c>
      <c r="E360" s="260">
        <f>Intentionally_produced_MPs!R137</f>
        <v>0</v>
      </c>
      <c r="F360" s="235">
        <v>1</v>
      </c>
      <c r="G360" s="40"/>
      <c r="H360" s="29"/>
      <c r="I360" s="9"/>
      <c r="J360" s="9"/>
      <c r="K360" s="9"/>
      <c r="L360" s="9"/>
      <c r="M360" s="9"/>
      <c r="N360" s="186" t="str">
        <f t="shared" si="20"/>
        <v/>
      </c>
      <c r="O360" s="160" t="str">
        <f t="shared" si="21"/>
        <v/>
      </c>
      <c r="P360" s="63"/>
    </row>
    <row r="361" spans="1:16" hidden="1">
      <c r="A361" s="152" t="s">
        <v>37</v>
      </c>
      <c r="B361" s="34" t="s">
        <v>278</v>
      </c>
      <c r="C361" s="40" t="s">
        <v>147</v>
      </c>
      <c r="D361" s="34" t="s">
        <v>104</v>
      </c>
      <c r="E361" s="260">
        <f>Intentionally_produced_MPs!R138</f>
        <v>0</v>
      </c>
      <c r="F361" s="235">
        <v>1</v>
      </c>
      <c r="G361" s="40"/>
      <c r="H361" s="29"/>
      <c r="I361" s="9"/>
      <c r="J361" s="9"/>
      <c r="K361" s="9"/>
      <c r="L361" s="9"/>
      <c r="M361" s="9"/>
      <c r="N361" s="186" t="str">
        <f t="shared" si="20"/>
        <v/>
      </c>
      <c r="O361" s="160" t="str">
        <f t="shared" si="21"/>
        <v/>
      </c>
      <c r="P361" s="63"/>
    </row>
    <row r="362" spans="1:16" hidden="1">
      <c r="A362" s="152" t="s">
        <v>37</v>
      </c>
      <c r="B362" s="34" t="s">
        <v>278</v>
      </c>
      <c r="C362" s="40" t="s">
        <v>147</v>
      </c>
      <c r="D362" s="34" t="s">
        <v>105</v>
      </c>
      <c r="E362" s="260">
        <f>Intentionally_produced_MPs!R139</f>
        <v>0</v>
      </c>
      <c r="F362" s="235">
        <v>1</v>
      </c>
      <c r="G362" s="40"/>
      <c r="H362" s="29"/>
      <c r="I362" s="9"/>
      <c r="J362" s="9"/>
      <c r="K362" s="9"/>
      <c r="L362" s="9"/>
      <c r="M362" s="9"/>
      <c r="N362" s="186" t="str">
        <f t="shared" si="20"/>
        <v/>
      </c>
      <c r="O362" s="160" t="str">
        <f t="shared" si="21"/>
        <v/>
      </c>
      <c r="P362" s="63"/>
    </row>
    <row r="363" spans="1:16" hidden="1">
      <c r="A363" s="152" t="s">
        <v>37</v>
      </c>
      <c r="B363" s="34" t="s">
        <v>278</v>
      </c>
      <c r="C363" s="40" t="s">
        <v>147</v>
      </c>
      <c r="D363" s="34" t="s">
        <v>106</v>
      </c>
      <c r="E363" s="260">
        <f>Intentionally_produced_MPs!R140</f>
        <v>0.14573018486415787</v>
      </c>
      <c r="F363" s="235">
        <v>1</v>
      </c>
      <c r="G363" s="40"/>
      <c r="H363" s="29">
        <v>3</v>
      </c>
      <c r="I363" s="9">
        <v>2</v>
      </c>
      <c r="J363" s="9">
        <v>3</v>
      </c>
      <c r="K363" s="9">
        <v>3</v>
      </c>
      <c r="L363" s="9">
        <v>3</v>
      </c>
      <c r="M363" s="9">
        <v>3</v>
      </c>
      <c r="N363" s="186">
        <f t="shared" si="20"/>
        <v>1.2132328390150593</v>
      </c>
      <c r="O363" s="160">
        <f t="shared" si="21"/>
        <v>1.1713319510247036</v>
      </c>
      <c r="P363" s="63"/>
    </row>
    <row r="364" spans="1:16" hidden="1">
      <c r="A364" s="152" t="s">
        <v>121</v>
      </c>
      <c r="B364" s="34" t="s">
        <v>197</v>
      </c>
      <c r="C364" s="40" t="s">
        <v>147</v>
      </c>
      <c r="D364" s="34" t="s">
        <v>98</v>
      </c>
      <c r="E364" s="260">
        <v>0</v>
      </c>
      <c r="F364" s="235">
        <v>1</v>
      </c>
      <c r="G364" s="40"/>
      <c r="H364" s="29"/>
      <c r="I364" s="9"/>
      <c r="J364" s="9"/>
      <c r="K364" s="9"/>
      <c r="L364" s="9"/>
      <c r="M364" s="9"/>
      <c r="N364" s="186" t="str">
        <f t="shared" si="20"/>
        <v/>
      </c>
      <c r="O364" s="160" t="str">
        <f t="shared" si="21"/>
        <v/>
      </c>
      <c r="P364" s="63"/>
    </row>
    <row r="365" spans="1:16" hidden="1">
      <c r="A365" s="152" t="s">
        <v>121</v>
      </c>
      <c r="B365" s="34" t="s">
        <v>197</v>
      </c>
      <c r="C365" s="40" t="s">
        <v>147</v>
      </c>
      <c r="D365" s="34" t="s">
        <v>99</v>
      </c>
      <c r="E365" s="260">
        <v>0.74088216310529564</v>
      </c>
      <c r="F365" s="235">
        <v>1</v>
      </c>
      <c r="G365" s="40" t="s">
        <v>203</v>
      </c>
      <c r="H365" s="29">
        <v>1</v>
      </c>
      <c r="I365" s="9">
        <v>2</v>
      </c>
      <c r="J365" s="9">
        <v>2</v>
      </c>
      <c r="K365" s="9">
        <v>2</v>
      </c>
      <c r="L365" s="9">
        <v>1</v>
      </c>
      <c r="M365" s="9">
        <v>2</v>
      </c>
      <c r="N365" s="186">
        <f t="shared" si="20"/>
        <v>0.37356464144298934</v>
      </c>
      <c r="O365" s="160">
        <f t="shared" si="21"/>
        <v>0.38795788889711302</v>
      </c>
      <c r="P365" s="63"/>
    </row>
    <row r="366" spans="1:16" hidden="1">
      <c r="A366" s="152" t="s">
        <v>121</v>
      </c>
      <c r="B366" s="34" t="s">
        <v>197</v>
      </c>
      <c r="C366" s="40" t="s">
        <v>147</v>
      </c>
      <c r="D366" s="34" t="s">
        <v>103</v>
      </c>
      <c r="E366" s="260">
        <v>0.81008528685277537</v>
      </c>
      <c r="F366" s="235">
        <v>1</v>
      </c>
      <c r="G366" s="40" t="s">
        <v>203</v>
      </c>
      <c r="H366" s="29">
        <v>1</v>
      </c>
      <c r="I366" s="9">
        <v>2</v>
      </c>
      <c r="J366" s="9">
        <v>2</v>
      </c>
      <c r="K366" s="9">
        <v>2</v>
      </c>
      <c r="L366" s="9">
        <v>1</v>
      </c>
      <c r="M366" s="9">
        <v>2</v>
      </c>
      <c r="N366" s="186">
        <f t="shared" si="20"/>
        <v>0.37356464144298934</v>
      </c>
      <c r="O366" s="160">
        <f t="shared" si="21"/>
        <v>0.38795788889711302</v>
      </c>
      <c r="P366" s="63"/>
    </row>
    <row r="367" spans="1:16" hidden="1">
      <c r="A367" s="152" t="s">
        <v>121</v>
      </c>
      <c r="B367" s="34" t="s">
        <v>197</v>
      </c>
      <c r="C367" s="40" t="s">
        <v>147</v>
      </c>
      <c r="D367" s="34" t="s">
        <v>107</v>
      </c>
      <c r="E367" s="260">
        <v>1</v>
      </c>
      <c r="F367" s="235">
        <v>1</v>
      </c>
      <c r="G367" s="40" t="s">
        <v>203</v>
      </c>
      <c r="H367" s="29">
        <v>1</v>
      </c>
      <c r="I367" s="9">
        <v>2</v>
      </c>
      <c r="J367" s="9">
        <v>2</v>
      </c>
      <c r="K367" s="9">
        <v>2</v>
      </c>
      <c r="L367" s="9">
        <v>1</v>
      </c>
      <c r="M367" s="9">
        <v>2</v>
      </c>
      <c r="N367" s="186">
        <f t="shared" si="20"/>
        <v>0.37356464144298934</v>
      </c>
      <c r="O367" s="160">
        <f t="shared" si="21"/>
        <v>0.38795788889711302</v>
      </c>
      <c r="P367" s="63"/>
    </row>
    <row r="368" spans="1:16" hidden="1">
      <c r="A368" s="152" t="s">
        <v>121</v>
      </c>
      <c r="B368" s="34" t="s">
        <v>252</v>
      </c>
      <c r="C368" s="40" t="s">
        <v>147</v>
      </c>
      <c r="D368" s="34" t="s">
        <v>93</v>
      </c>
      <c r="E368" s="260">
        <v>0</v>
      </c>
      <c r="F368" s="235">
        <v>1</v>
      </c>
      <c r="G368" s="40"/>
      <c r="H368" s="29"/>
      <c r="I368" s="9"/>
      <c r="J368" s="9"/>
      <c r="K368" s="9"/>
      <c r="L368" s="9"/>
      <c r="M368" s="9"/>
      <c r="N368" s="186" t="str">
        <f t="shared" si="20"/>
        <v/>
      </c>
      <c r="O368" s="160" t="str">
        <f t="shared" si="21"/>
        <v/>
      </c>
      <c r="P368" s="63"/>
    </row>
    <row r="369" spans="1:16" hidden="1">
      <c r="A369" s="152" t="s">
        <v>121</v>
      </c>
      <c r="B369" s="34" t="s">
        <v>252</v>
      </c>
      <c r="C369" s="40" t="s">
        <v>147</v>
      </c>
      <c r="D369" s="34" t="s">
        <v>94</v>
      </c>
      <c r="E369" s="260">
        <v>0</v>
      </c>
      <c r="F369" s="235">
        <v>1</v>
      </c>
      <c r="G369" s="40"/>
      <c r="H369" s="29"/>
      <c r="I369" s="9"/>
      <c r="J369" s="9"/>
      <c r="K369" s="9"/>
      <c r="L369" s="9"/>
      <c r="M369" s="9"/>
      <c r="N369" s="186" t="str">
        <f t="shared" si="20"/>
        <v/>
      </c>
      <c r="O369" s="160" t="str">
        <f t="shared" si="21"/>
        <v/>
      </c>
      <c r="P369" s="63"/>
    </row>
    <row r="370" spans="1:16" hidden="1">
      <c r="A370" s="152" t="s">
        <v>121</v>
      </c>
      <c r="B370" s="34" t="s">
        <v>252</v>
      </c>
      <c r="C370" s="40" t="s">
        <v>147</v>
      </c>
      <c r="D370" s="34" t="s">
        <v>95</v>
      </c>
      <c r="E370" s="260">
        <v>9.7010040144805229E-2</v>
      </c>
      <c r="F370" s="235">
        <v>1</v>
      </c>
      <c r="G370" s="40" t="s">
        <v>171</v>
      </c>
      <c r="H370" s="29">
        <v>2</v>
      </c>
      <c r="I370" s="9">
        <v>2</v>
      </c>
      <c r="J370" s="9">
        <v>2</v>
      </c>
      <c r="K370" s="9">
        <v>2</v>
      </c>
      <c r="L370" s="9">
        <v>1</v>
      </c>
      <c r="M370" s="9">
        <v>2</v>
      </c>
      <c r="N370" s="186">
        <f t="shared" si="20"/>
        <v>0.38795788889711302</v>
      </c>
      <c r="O370" s="160">
        <f t="shared" si="21"/>
        <v>0.38795788889711302</v>
      </c>
      <c r="P370" s="63"/>
    </row>
    <row r="371" spans="1:16" hidden="1">
      <c r="A371" s="152" t="s">
        <v>121</v>
      </c>
      <c r="B371" s="34" t="s">
        <v>252</v>
      </c>
      <c r="C371" s="40" t="s">
        <v>147</v>
      </c>
      <c r="D371" s="34" t="s">
        <v>96</v>
      </c>
      <c r="E371" s="260">
        <v>0</v>
      </c>
      <c r="F371" s="235">
        <v>1</v>
      </c>
      <c r="G371" s="40"/>
      <c r="H371" s="29"/>
      <c r="I371" s="9"/>
      <c r="J371" s="9"/>
      <c r="K371" s="9"/>
      <c r="L371" s="9"/>
      <c r="M371" s="9"/>
      <c r="N371" s="186" t="str">
        <f t="shared" si="20"/>
        <v/>
      </c>
      <c r="O371" s="160" t="str">
        <f t="shared" si="21"/>
        <v/>
      </c>
      <c r="P371" s="63"/>
    </row>
    <row r="372" spans="1:16" hidden="1">
      <c r="A372" s="152" t="s">
        <v>121</v>
      </c>
      <c r="B372" s="34" t="s">
        <v>252</v>
      </c>
      <c r="C372" s="40" t="s">
        <v>147</v>
      </c>
      <c r="D372" s="34" t="s">
        <v>97</v>
      </c>
      <c r="E372" s="260">
        <v>0</v>
      </c>
      <c r="F372" s="235">
        <v>1</v>
      </c>
      <c r="G372" s="40"/>
      <c r="H372" s="29"/>
      <c r="I372" s="9"/>
      <c r="J372" s="9"/>
      <c r="K372" s="9"/>
      <c r="L372" s="9"/>
      <c r="M372" s="9"/>
      <c r="N372" s="186" t="str">
        <f t="shared" si="20"/>
        <v/>
      </c>
      <c r="O372" s="160" t="str">
        <f t="shared" si="21"/>
        <v/>
      </c>
      <c r="P372" s="63"/>
    </row>
    <row r="373" spans="1:16" hidden="1">
      <c r="A373" s="152" t="s">
        <v>121</v>
      </c>
      <c r="B373" s="34" t="s">
        <v>252</v>
      </c>
      <c r="C373" s="40" t="s">
        <v>147</v>
      </c>
      <c r="D373" s="34" t="s">
        <v>98</v>
      </c>
      <c r="E373" s="260">
        <v>0</v>
      </c>
      <c r="F373" s="235">
        <v>1</v>
      </c>
      <c r="G373" s="40"/>
      <c r="H373" s="29"/>
      <c r="I373" s="9"/>
      <c r="J373" s="9"/>
      <c r="K373" s="9"/>
      <c r="L373" s="9"/>
      <c r="M373" s="9"/>
      <c r="N373" s="186" t="str">
        <f t="shared" si="20"/>
        <v/>
      </c>
      <c r="O373" s="160" t="str">
        <f t="shared" si="21"/>
        <v/>
      </c>
      <c r="P373" s="63"/>
    </row>
    <row r="374" spans="1:16" hidden="1">
      <c r="A374" s="152" t="s">
        <v>121</v>
      </c>
      <c r="B374" s="34" t="s">
        <v>252</v>
      </c>
      <c r="C374" s="40" t="s">
        <v>147</v>
      </c>
      <c r="D374" s="34" t="s">
        <v>99</v>
      </c>
      <c r="E374" s="260">
        <v>0</v>
      </c>
      <c r="F374" s="235">
        <v>1</v>
      </c>
      <c r="G374" s="40"/>
      <c r="H374" s="29"/>
      <c r="I374" s="9"/>
      <c r="J374" s="9"/>
      <c r="K374" s="9"/>
      <c r="L374" s="9"/>
      <c r="M374" s="9"/>
      <c r="N374" s="186" t="str">
        <f t="shared" si="20"/>
        <v/>
      </c>
      <c r="O374" s="160" t="str">
        <f t="shared" si="21"/>
        <v/>
      </c>
      <c r="P374" s="63"/>
    </row>
    <row r="375" spans="1:16" hidden="1">
      <c r="A375" s="152" t="s">
        <v>121</v>
      </c>
      <c r="B375" s="34" t="s">
        <v>252</v>
      </c>
      <c r="C375" s="40" t="s">
        <v>147</v>
      </c>
      <c r="D375" s="34" t="s">
        <v>103</v>
      </c>
      <c r="E375" s="260">
        <v>0</v>
      </c>
      <c r="F375" s="235">
        <v>1</v>
      </c>
      <c r="G375" s="40"/>
      <c r="H375" s="29"/>
      <c r="I375" s="9"/>
      <c r="J375" s="9"/>
      <c r="K375" s="9"/>
      <c r="L375" s="9"/>
      <c r="M375" s="9"/>
      <c r="N375" s="186" t="str">
        <f t="shared" si="20"/>
        <v/>
      </c>
      <c r="O375" s="160" t="str">
        <f t="shared" si="21"/>
        <v/>
      </c>
      <c r="P375" s="63"/>
    </row>
    <row r="376" spans="1:16" hidden="1">
      <c r="A376" s="152" t="s">
        <v>279</v>
      </c>
      <c r="B376" s="34" t="s">
        <v>280</v>
      </c>
      <c r="C376" s="40" t="s">
        <v>188</v>
      </c>
      <c r="D376" s="34" t="s">
        <v>147</v>
      </c>
      <c r="E376" s="871" t="s">
        <v>158</v>
      </c>
      <c r="F376" s="34">
        <v>1</v>
      </c>
      <c r="G376" s="40"/>
      <c r="H376" s="29"/>
      <c r="I376" s="9"/>
      <c r="J376" s="9"/>
      <c r="K376" s="9"/>
      <c r="L376" s="9"/>
      <c r="M376" s="9"/>
      <c r="N376" s="186" t="str">
        <f t="shared" si="20"/>
        <v/>
      </c>
      <c r="O376" s="160" t="str">
        <f t="shared" si="21"/>
        <v/>
      </c>
      <c r="P376" s="63"/>
    </row>
    <row r="377" spans="1:16" hidden="1">
      <c r="A377" s="152" t="s">
        <v>279</v>
      </c>
      <c r="B377" s="34" t="s">
        <v>280</v>
      </c>
      <c r="C377" s="40" t="s">
        <v>190</v>
      </c>
      <c r="D377" s="34" t="s">
        <v>147</v>
      </c>
      <c r="E377" s="871" t="s">
        <v>158</v>
      </c>
      <c r="F377" s="34">
        <v>1</v>
      </c>
      <c r="G377" s="40"/>
      <c r="H377" s="29"/>
      <c r="I377" s="9"/>
      <c r="J377" s="9"/>
      <c r="K377" s="9"/>
      <c r="L377" s="9"/>
      <c r="M377" s="9"/>
      <c r="N377" s="186" t="str">
        <f t="shared" si="20"/>
        <v/>
      </c>
      <c r="O377" s="160" t="str">
        <f t="shared" si="21"/>
        <v/>
      </c>
      <c r="P377" s="858"/>
    </row>
    <row r="378" spans="1:16" hidden="1">
      <c r="A378" s="152" t="s">
        <v>279</v>
      </c>
      <c r="B378" s="34" t="s">
        <v>281</v>
      </c>
      <c r="C378" s="40" t="s">
        <v>188</v>
      </c>
      <c r="D378" s="34" t="s">
        <v>147</v>
      </c>
      <c r="E378" s="871">
        <v>0.9</v>
      </c>
      <c r="F378" s="34">
        <v>2</v>
      </c>
      <c r="G378" s="40"/>
      <c r="H378" s="29">
        <v>1</v>
      </c>
      <c r="I378" s="9"/>
      <c r="J378" s="9">
        <v>1</v>
      </c>
      <c r="K378" s="9">
        <v>1</v>
      </c>
      <c r="L378" s="9">
        <v>1</v>
      </c>
      <c r="M378" s="9">
        <v>1</v>
      </c>
      <c r="N378" s="186">
        <f t="shared" si="20"/>
        <v>0.13309242924026707</v>
      </c>
      <c r="O378" s="160" t="str">
        <f t="shared" si="21"/>
        <v/>
      </c>
      <c r="P378" s="63" t="s">
        <v>282</v>
      </c>
    </row>
    <row r="379" spans="1:16" hidden="1">
      <c r="A379" s="152" t="s">
        <v>279</v>
      </c>
      <c r="B379" s="34" t="s">
        <v>281</v>
      </c>
      <c r="C379" s="40" t="s">
        <v>190</v>
      </c>
      <c r="D379" s="34" t="s">
        <v>147</v>
      </c>
      <c r="E379" s="871">
        <v>0.05</v>
      </c>
      <c r="F379" s="34">
        <v>2</v>
      </c>
      <c r="G379" s="40" t="s">
        <v>283</v>
      </c>
      <c r="H379" s="29"/>
      <c r="I379" s="9">
        <v>1</v>
      </c>
      <c r="J379" s="9">
        <v>1</v>
      </c>
      <c r="K379" s="9">
        <v>2</v>
      </c>
      <c r="L379" s="9">
        <v>1</v>
      </c>
      <c r="M379" s="9">
        <v>4</v>
      </c>
      <c r="N379" s="186" t="str">
        <f t="shared" ref="N379" si="22">IF( OR( ISBLANK(H379),ISBLANK(J379), ISBLANK(K379), ISBLANK(L379), ISBLANK(M379) ), "", 1.5*SQRT(   EXP(2.21*(H379-1)) + EXP(2.21*(J379-1)) + EXP(2.21*(K379-1)) + EXP(2.21*(L379-1)) + EXP(2.21*M379)   )/100*2.45 )</f>
        <v/>
      </c>
      <c r="O379" s="160">
        <f t="shared" si="21"/>
        <v>3.0564664491960198</v>
      </c>
      <c r="P379" s="63" t="s">
        <v>284</v>
      </c>
    </row>
    <row r="380" spans="1:16" hidden="1">
      <c r="A380" s="152" t="s">
        <v>280</v>
      </c>
      <c r="B380" s="34" t="s">
        <v>285</v>
      </c>
      <c r="C380" s="40" t="s">
        <v>147</v>
      </c>
      <c r="D380" s="34" t="s">
        <v>147</v>
      </c>
      <c r="E380" s="871" t="s">
        <v>158</v>
      </c>
      <c r="F380" s="34">
        <v>1</v>
      </c>
      <c r="G380" s="40"/>
      <c r="H380" s="29"/>
      <c r="I380" s="9"/>
      <c r="J380" s="9"/>
      <c r="K380" s="9"/>
      <c r="L380" s="9"/>
      <c r="M380" s="9"/>
      <c r="N380" s="186"/>
      <c r="O380" s="160"/>
      <c r="P380" s="63"/>
    </row>
    <row r="381" spans="1:16" hidden="1">
      <c r="A381" s="152" t="s">
        <v>280</v>
      </c>
      <c r="B381" s="34" t="s">
        <v>244</v>
      </c>
      <c r="C381" s="40" t="s">
        <v>147</v>
      </c>
      <c r="D381" s="34" t="s">
        <v>147</v>
      </c>
      <c r="E381" s="871">
        <v>0.05</v>
      </c>
      <c r="F381" s="34">
        <v>2</v>
      </c>
      <c r="G381" s="40" t="s">
        <v>286</v>
      </c>
      <c r="H381" s="29">
        <v>1</v>
      </c>
      <c r="I381" s="9">
        <v>2</v>
      </c>
      <c r="J381" s="9">
        <v>1</v>
      </c>
      <c r="K381" s="9">
        <v>1</v>
      </c>
      <c r="L381" s="9">
        <v>2</v>
      </c>
      <c r="M381" s="9">
        <v>3</v>
      </c>
      <c r="N381" s="186">
        <f t="shared" ref="N381:N397" si="23">IF( OR( ISBLANK(H381),ISBLANK(J381), ISBLANK(K381), ISBLANK(L381), ISBLANK(M381) ), "", 1.5*SQRT(   EXP(2.21*(H381-1)) + EXP(2.21*(J381-1)) + EXP(2.21*(K381-1)) + EXP(2.21*(L381-1)) + EXP(2.21*M381)   )/100*2.45 )</f>
        <v>1.0195048044558224</v>
      </c>
      <c r="O381" s="160">
        <f t="shared" ref="O381:O397" si="24">IF( OR( ISBLANK(I381),ISBLANK(J381), ISBLANK(K381), ISBLANK(L381), ISBLANK(M381) ), "", 1.5*SQRT( EXP(2.21*(I381-1)) + EXP(2.21*(J381-1)) + EXP(2.21*(K381-1)) + EXP(2.21*(L381-1)) + EXP(2.21*M381)   )/100*2.45 )</f>
        <v>1.0248662490928169</v>
      </c>
      <c r="P381" s="858"/>
    </row>
    <row r="382" spans="1:16" hidden="1">
      <c r="A382" s="152" t="s">
        <v>280</v>
      </c>
      <c r="B382" s="34" t="s">
        <v>244</v>
      </c>
      <c r="C382" s="40" t="s">
        <v>147</v>
      </c>
      <c r="D382" s="34" t="s">
        <v>147</v>
      </c>
      <c r="E382" s="871">
        <v>0.1</v>
      </c>
      <c r="F382" s="34">
        <v>2</v>
      </c>
      <c r="G382" s="872" t="s">
        <v>287</v>
      </c>
      <c r="H382" s="29">
        <v>1</v>
      </c>
      <c r="I382" s="9">
        <v>2</v>
      </c>
      <c r="J382" s="9">
        <v>2</v>
      </c>
      <c r="K382" s="9">
        <v>1</v>
      </c>
      <c r="L382" s="9">
        <v>2</v>
      </c>
      <c r="M382" s="9">
        <v>3</v>
      </c>
      <c r="N382" s="186">
        <f t="shared" si="23"/>
        <v>1.0248662490928169</v>
      </c>
      <c r="O382" s="160">
        <f t="shared" si="24"/>
        <v>1.0301997916669636</v>
      </c>
      <c r="P382" s="858"/>
    </row>
    <row r="383" spans="1:16" hidden="1">
      <c r="A383" s="152" t="s">
        <v>121</v>
      </c>
      <c r="B383" s="34" t="s">
        <v>252</v>
      </c>
      <c r="C383" s="40" t="s">
        <v>147</v>
      </c>
      <c r="D383" s="34" t="s">
        <v>107</v>
      </c>
      <c r="E383" s="260">
        <v>0</v>
      </c>
      <c r="F383" s="235">
        <v>1</v>
      </c>
      <c r="G383" s="40"/>
      <c r="H383" s="29"/>
      <c r="I383" s="9"/>
      <c r="J383" s="9"/>
      <c r="K383" s="9"/>
      <c r="L383" s="9"/>
      <c r="M383" s="9"/>
      <c r="N383" s="186" t="str">
        <f t="shared" si="23"/>
        <v/>
      </c>
      <c r="O383" s="160" t="str">
        <f t="shared" si="24"/>
        <v/>
      </c>
      <c r="P383" s="63"/>
    </row>
    <row r="384" spans="1:16" hidden="1">
      <c r="A384" s="152" t="s">
        <v>121</v>
      </c>
      <c r="B384" s="34" t="s">
        <v>253</v>
      </c>
      <c r="C384" s="40" t="s">
        <v>147</v>
      </c>
      <c r="D384" s="34" t="s">
        <v>93</v>
      </c>
      <c r="E384" s="260">
        <v>0</v>
      </c>
      <c r="F384" s="235">
        <v>1</v>
      </c>
      <c r="G384" s="40"/>
      <c r="H384" s="29"/>
      <c r="I384" s="9"/>
      <c r="J384" s="9"/>
      <c r="K384" s="9"/>
      <c r="L384" s="9"/>
      <c r="M384" s="9"/>
      <c r="N384" s="186" t="str">
        <f t="shared" si="23"/>
        <v/>
      </c>
      <c r="O384" s="160" t="str">
        <f t="shared" si="24"/>
        <v/>
      </c>
      <c r="P384" s="63"/>
    </row>
    <row r="385" spans="1:16" hidden="1">
      <c r="A385" s="152" t="s">
        <v>121</v>
      </c>
      <c r="B385" s="34" t="s">
        <v>253</v>
      </c>
      <c r="C385" s="40" t="s">
        <v>147</v>
      </c>
      <c r="D385" s="34" t="s">
        <v>94</v>
      </c>
      <c r="E385" s="260">
        <v>0.48467412765528584</v>
      </c>
      <c r="F385" s="235">
        <v>1</v>
      </c>
      <c r="G385" s="40" t="s">
        <v>171</v>
      </c>
      <c r="H385" s="29">
        <v>2</v>
      </c>
      <c r="I385" s="9">
        <v>2</v>
      </c>
      <c r="J385" s="9">
        <v>2</v>
      </c>
      <c r="K385" s="9">
        <v>2</v>
      </c>
      <c r="L385" s="9">
        <v>1</v>
      </c>
      <c r="M385" s="9">
        <v>2</v>
      </c>
      <c r="N385" s="186">
        <f t="shared" si="23"/>
        <v>0.38795788889711302</v>
      </c>
      <c r="O385" s="160">
        <f t="shared" si="24"/>
        <v>0.38795788889711302</v>
      </c>
      <c r="P385" s="63"/>
    </row>
    <row r="386" spans="1:16" hidden="1">
      <c r="A386" s="152" t="s">
        <v>121</v>
      </c>
      <c r="B386" s="34" t="s">
        <v>253</v>
      </c>
      <c r="C386" s="40" t="s">
        <v>147</v>
      </c>
      <c r="D386" s="34" t="s">
        <v>95</v>
      </c>
      <c r="E386" s="260">
        <v>0.8344440851479995</v>
      </c>
      <c r="F386" s="235">
        <v>1</v>
      </c>
      <c r="G386" s="40" t="s">
        <v>171</v>
      </c>
      <c r="H386" s="29">
        <v>2</v>
      </c>
      <c r="I386" s="9">
        <v>2</v>
      </c>
      <c r="J386" s="9">
        <v>2</v>
      </c>
      <c r="K386" s="9">
        <v>2</v>
      </c>
      <c r="L386" s="9">
        <v>1</v>
      </c>
      <c r="M386" s="9">
        <v>2</v>
      </c>
      <c r="N386" s="186">
        <f t="shared" si="23"/>
        <v>0.38795788889711302</v>
      </c>
      <c r="O386" s="160">
        <f t="shared" si="24"/>
        <v>0.38795788889711302</v>
      </c>
      <c r="P386" s="63"/>
    </row>
    <row r="387" spans="1:16" hidden="1">
      <c r="A387" s="152" t="s">
        <v>121</v>
      </c>
      <c r="B387" s="34" t="s">
        <v>253</v>
      </c>
      <c r="C387" s="40" t="s">
        <v>147</v>
      </c>
      <c r="D387" s="34" t="s">
        <v>96</v>
      </c>
      <c r="E387" s="260">
        <v>0</v>
      </c>
      <c r="F387" s="235">
        <v>1</v>
      </c>
      <c r="G387" s="40"/>
      <c r="H387" s="29"/>
      <c r="I387" s="9"/>
      <c r="J387" s="9"/>
      <c r="K387" s="9"/>
      <c r="L387" s="9"/>
      <c r="M387" s="9"/>
      <c r="N387" s="186" t="str">
        <f t="shared" si="23"/>
        <v/>
      </c>
      <c r="O387" s="160" t="str">
        <f t="shared" si="24"/>
        <v/>
      </c>
      <c r="P387" s="63"/>
    </row>
    <row r="388" spans="1:16" hidden="1">
      <c r="A388" s="152" t="s">
        <v>121</v>
      </c>
      <c r="B388" s="34" t="s">
        <v>253</v>
      </c>
      <c r="C388" s="40" t="s">
        <v>147</v>
      </c>
      <c r="D388" s="34" t="s">
        <v>97</v>
      </c>
      <c r="E388" s="260">
        <v>0</v>
      </c>
      <c r="F388" s="235">
        <v>1</v>
      </c>
      <c r="G388" s="40"/>
      <c r="H388" s="29"/>
      <c r="I388" s="9"/>
      <c r="J388" s="9"/>
      <c r="K388" s="9"/>
      <c r="L388" s="9"/>
      <c r="M388" s="9"/>
      <c r="N388" s="186" t="str">
        <f t="shared" si="23"/>
        <v/>
      </c>
      <c r="O388" s="160" t="str">
        <f t="shared" si="24"/>
        <v/>
      </c>
      <c r="P388" s="63"/>
    </row>
    <row r="389" spans="1:16" hidden="1">
      <c r="A389" s="152" t="s">
        <v>121</v>
      </c>
      <c r="B389" s="34" t="s">
        <v>253</v>
      </c>
      <c r="C389" s="40" t="s">
        <v>147</v>
      </c>
      <c r="D389" s="34" t="s">
        <v>98</v>
      </c>
      <c r="E389" s="260">
        <v>0</v>
      </c>
      <c r="F389" s="235">
        <v>1</v>
      </c>
      <c r="G389" s="40"/>
      <c r="H389" s="29"/>
      <c r="I389" s="9"/>
      <c r="J389" s="9"/>
      <c r="K389" s="9"/>
      <c r="L389" s="9"/>
      <c r="M389" s="9"/>
      <c r="N389" s="186" t="str">
        <f t="shared" si="23"/>
        <v/>
      </c>
      <c r="O389" s="160" t="str">
        <f t="shared" si="24"/>
        <v/>
      </c>
      <c r="P389" s="63"/>
    </row>
    <row r="390" spans="1:16" hidden="1">
      <c r="A390" s="152" t="s">
        <v>121</v>
      </c>
      <c r="B390" s="34" t="s">
        <v>253</v>
      </c>
      <c r="C390" s="40" t="s">
        <v>147</v>
      </c>
      <c r="D390" s="34" t="s">
        <v>99</v>
      </c>
      <c r="E390" s="260">
        <v>0.11713166905985782</v>
      </c>
      <c r="F390" s="235">
        <v>1</v>
      </c>
      <c r="G390" s="40" t="s">
        <v>171</v>
      </c>
      <c r="H390" s="29">
        <v>2</v>
      </c>
      <c r="I390" s="9">
        <v>2</v>
      </c>
      <c r="J390" s="9">
        <v>2</v>
      </c>
      <c r="K390" s="9">
        <v>2</v>
      </c>
      <c r="L390" s="9">
        <v>1</v>
      </c>
      <c r="M390" s="9">
        <v>2</v>
      </c>
      <c r="N390" s="186">
        <f t="shared" si="23"/>
        <v>0.38795788889711302</v>
      </c>
      <c r="O390" s="160">
        <f t="shared" si="24"/>
        <v>0.38795788889711302</v>
      </c>
      <c r="P390" s="63"/>
    </row>
    <row r="391" spans="1:16" hidden="1">
      <c r="A391" s="152" t="s">
        <v>121</v>
      </c>
      <c r="B391" s="34" t="s">
        <v>253</v>
      </c>
      <c r="C391" s="40" t="s">
        <v>147</v>
      </c>
      <c r="D391" s="34" t="s">
        <v>103</v>
      </c>
      <c r="E391" s="260">
        <v>0</v>
      </c>
      <c r="F391" s="235">
        <v>1</v>
      </c>
      <c r="G391" s="40"/>
      <c r="H391" s="29"/>
      <c r="I391" s="9"/>
      <c r="J391" s="9"/>
      <c r="K391" s="9"/>
      <c r="L391" s="9"/>
      <c r="M391" s="9"/>
      <c r="N391" s="186" t="str">
        <f t="shared" si="23"/>
        <v/>
      </c>
      <c r="O391" s="160" t="str">
        <f t="shared" si="24"/>
        <v/>
      </c>
      <c r="P391" s="63"/>
    </row>
    <row r="392" spans="1:16" hidden="1">
      <c r="A392" s="152" t="s">
        <v>121</v>
      </c>
      <c r="B392" s="34" t="s">
        <v>253</v>
      </c>
      <c r="C392" s="40" t="s">
        <v>147</v>
      </c>
      <c r="D392" s="34" t="s">
        <v>107</v>
      </c>
      <c r="E392" s="260">
        <v>0</v>
      </c>
      <c r="F392" s="235">
        <v>1</v>
      </c>
      <c r="G392" s="40"/>
      <c r="H392" s="29"/>
      <c r="I392" s="9"/>
      <c r="J392" s="9"/>
      <c r="K392" s="9"/>
      <c r="L392" s="9"/>
      <c r="M392" s="9"/>
      <c r="N392" s="186" t="str">
        <f t="shared" si="23"/>
        <v/>
      </c>
      <c r="O392" s="160" t="str">
        <f t="shared" si="24"/>
        <v/>
      </c>
      <c r="P392" s="63"/>
    </row>
    <row r="393" spans="1:16" hidden="1">
      <c r="A393" s="152" t="s">
        <v>121</v>
      </c>
      <c r="B393" s="34" t="s">
        <v>254</v>
      </c>
      <c r="C393" s="40" t="s">
        <v>147</v>
      </c>
      <c r="D393" s="34" t="s">
        <v>93</v>
      </c>
      <c r="E393" s="260">
        <v>0</v>
      </c>
      <c r="F393" s="235">
        <v>1</v>
      </c>
      <c r="G393" s="40"/>
      <c r="H393" s="29"/>
      <c r="I393" s="9"/>
      <c r="J393" s="9"/>
      <c r="K393" s="9"/>
      <c r="L393" s="9"/>
      <c r="M393" s="9"/>
      <c r="N393" s="186" t="str">
        <f t="shared" si="23"/>
        <v/>
      </c>
      <c r="O393" s="160" t="str">
        <f t="shared" si="24"/>
        <v/>
      </c>
      <c r="P393" s="63"/>
    </row>
    <row r="394" spans="1:16" hidden="1">
      <c r="A394" s="152" t="s">
        <v>121</v>
      </c>
      <c r="B394" s="34" t="s">
        <v>254</v>
      </c>
      <c r="C394" s="40" t="s">
        <v>147</v>
      </c>
      <c r="D394" s="34" t="s">
        <v>94</v>
      </c>
      <c r="E394" s="260">
        <v>8.3833048545290459E-2</v>
      </c>
      <c r="F394" s="235">
        <v>1</v>
      </c>
      <c r="G394" s="40" t="s">
        <v>171</v>
      </c>
      <c r="H394" s="29">
        <v>2</v>
      </c>
      <c r="I394" s="9">
        <v>2</v>
      </c>
      <c r="J394" s="9">
        <v>2</v>
      </c>
      <c r="K394" s="9">
        <v>2</v>
      </c>
      <c r="L394" s="9">
        <v>1</v>
      </c>
      <c r="M394" s="9">
        <v>2</v>
      </c>
      <c r="N394" s="186">
        <f t="shared" si="23"/>
        <v>0.38795788889711302</v>
      </c>
      <c r="O394" s="160">
        <f t="shared" si="24"/>
        <v>0.38795788889711302</v>
      </c>
      <c r="P394" s="63"/>
    </row>
    <row r="395" spans="1:16" hidden="1">
      <c r="A395" s="152" t="s">
        <v>223</v>
      </c>
      <c r="B395" s="34" t="s">
        <v>187</v>
      </c>
      <c r="C395" s="40" t="s">
        <v>147</v>
      </c>
      <c r="D395" s="34" t="s">
        <v>147</v>
      </c>
      <c r="E395" s="260">
        <v>0</v>
      </c>
      <c r="F395" s="235">
        <v>2</v>
      </c>
      <c r="G395" s="40" t="s">
        <v>165</v>
      </c>
      <c r="H395" s="29"/>
      <c r="I395" s="9"/>
      <c r="J395" s="9"/>
      <c r="K395" s="9"/>
      <c r="L395" s="9"/>
      <c r="M395" s="9"/>
      <c r="N395" s="186" t="str">
        <f t="shared" si="23"/>
        <v/>
      </c>
      <c r="O395" s="160" t="str">
        <f t="shared" si="24"/>
        <v/>
      </c>
      <c r="P395" s="63"/>
    </row>
    <row r="396" spans="1:16" hidden="1">
      <c r="A396" s="152" t="s">
        <v>223</v>
      </c>
      <c r="B396" s="34" t="s">
        <v>187</v>
      </c>
      <c r="C396" s="40" t="s">
        <v>147</v>
      </c>
      <c r="D396" s="34" t="s">
        <v>147</v>
      </c>
      <c r="E396" s="260">
        <v>1</v>
      </c>
      <c r="F396" s="235">
        <v>2</v>
      </c>
      <c r="G396" s="40" t="s">
        <v>165</v>
      </c>
      <c r="H396" s="29">
        <v>3</v>
      </c>
      <c r="I396" s="9"/>
      <c r="J396" s="9">
        <v>3</v>
      </c>
      <c r="K396" s="9">
        <v>3</v>
      </c>
      <c r="L396" s="9">
        <v>3</v>
      </c>
      <c r="M396" s="9">
        <v>3</v>
      </c>
      <c r="N396" s="186">
        <f t="shared" si="23"/>
        <v>1.2132328390150593</v>
      </c>
      <c r="O396" s="160" t="str">
        <f t="shared" si="24"/>
        <v/>
      </c>
      <c r="P396" s="63"/>
    </row>
    <row r="397" spans="1:16" hidden="1">
      <c r="A397" s="152" t="s">
        <v>219</v>
      </c>
      <c r="B397" s="34" t="s">
        <v>187</v>
      </c>
      <c r="C397" s="40" t="s">
        <v>147</v>
      </c>
      <c r="D397" s="34" t="s">
        <v>147</v>
      </c>
      <c r="E397" s="260" t="s">
        <v>158</v>
      </c>
      <c r="F397" s="235">
        <v>1</v>
      </c>
      <c r="G397" s="40"/>
      <c r="H397" s="29"/>
      <c r="I397" s="9"/>
      <c r="J397" s="9"/>
      <c r="K397" s="9"/>
      <c r="L397" s="9"/>
      <c r="M397" s="9"/>
      <c r="N397" s="186" t="str">
        <f t="shared" si="23"/>
        <v/>
      </c>
      <c r="O397" s="160" t="str">
        <f t="shared" si="24"/>
        <v/>
      </c>
      <c r="P397" s="63"/>
    </row>
    <row r="398" spans="1:16" hidden="1">
      <c r="A398" s="152" t="s">
        <v>151</v>
      </c>
      <c r="B398" s="34" t="s">
        <v>152</v>
      </c>
      <c r="C398" s="40" t="s">
        <v>147</v>
      </c>
      <c r="D398" s="34" t="s">
        <v>147</v>
      </c>
      <c r="E398" s="265">
        <v>0.1333</v>
      </c>
      <c r="F398" s="235">
        <v>1</v>
      </c>
      <c r="G398" s="40" t="s">
        <v>288</v>
      </c>
      <c r="H398" s="29">
        <v>2</v>
      </c>
      <c r="I398" s="9">
        <v>2</v>
      </c>
      <c r="J398" s="9">
        <v>2</v>
      </c>
      <c r="K398" s="9">
        <v>3</v>
      </c>
      <c r="L398" s="9">
        <v>1</v>
      </c>
      <c r="M398" s="9">
        <v>2</v>
      </c>
      <c r="N398" s="186">
        <v>0.50042652380814845</v>
      </c>
      <c r="O398" s="160">
        <v>0.50042652380814845</v>
      </c>
      <c r="P398" s="63"/>
    </row>
    <row r="399" spans="1:16" hidden="1">
      <c r="A399" s="152" t="s">
        <v>151</v>
      </c>
      <c r="B399" s="34" t="s">
        <v>152</v>
      </c>
      <c r="C399" s="40" t="s">
        <v>147</v>
      </c>
      <c r="D399" s="34" t="s">
        <v>147</v>
      </c>
      <c r="E399" s="265">
        <v>0.26669999999999999</v>
      </c>
      <c r="F399" s="235">
        <v>1</v>
      </c>
      <c r="G399" s="40" t="s">
        <v>288</v>
      </c>
      <c r="H399" s="29">
        <v>2</v>
      </c>
      <c r="I399" s="9">
        <v>2</v>
      </c>
      <c r="J399" s="9">
        <v>2</v>
      </c>
      <c r="K399" s="9">
        <v>3</v>
      </c>
      <c r="L399" s="9">
        <v>1</v>
      </c>
      <c r="M399" s="9">
        <v>2</v>
      </c>
      <c r="N399" s="186">
        <v>0.50042652380814845</v>
      </c>
      <c r="O399" s="160">
        <v>0.50042652380814845</v>
      </c>
      <c r="P399" s="63"/>
    </row>
    <row r="400" spans="1:16" hidden="1">
      <c r="A400" s="152" t="s">
        <v>151</v>
      </c>
      <c r="B400" s="34" t="s">
        <v>152</v>
      </c>
      <c r="C400" s="40" t="s">
        <v>147</v>
      </c>
      <c r="D400" s="34" t="s">
        <v>147</v>
      </c>
      <c r="E400" s="265">
        <v>0.2</v>
      </c>
      <c r="F400" s="235">
        <v>1</v>
      </c>
      <c r="G400" s="40" t="s">
        <v>289</v>
      </c>
      <c r="H400" s="29">
        <v>2</v>
      </c>
      <c r="I400" s="9">
        <v>2</v>
      </c>
      <c r="J400" s="9">
        <v>2</v>
      </c>
      <c r="K400" s="9">
        <v>3</v>
      </c>
      <c r="L400" s="9">
        <v>1</v>
      </c>
      <c r="M400" s="9">
        <v>2</v>
      </c>
      <c r="N400" s="186">
        <v>0.50042652380814845</v>
      </c>
      <c r="O400" s="160">
        <v>0.50042652380814845</v>
      </c>
      <c r="P400" s="63" t="s">
        <v>290</v>
      </c>
    </row>
    <row r="401" spans="1:16" hidden="1">
      <c r="A401" s="152" t="s">
        <v>257</v>
      </c>
      <c r="B401" s="34" t="s">
        <v>187</v>
      </c>
      <c r="C401" s="40" t="s">
        <v>147</v>
      </c>
      <c r="D401" s="34" t="s">
        <v>93</v>
      </c>
      <c r="E401" s="260">
        <v>6.9999999999999951E-2</v>
      </c>
      <c r="F401" s="235">
        <v>1</v>
      </c>
      <c r="G401" s="40" t="s">
        <v>291</v>
      </c>
      <c r="H401" s="29">
        <v>2</v>
      </c>
      <c r="I401" s="9">
        <v>2</v>
      </c>
      <c r="J401" s="9">
        <v>1</v>
      </c>
      <c r="K401" s="9">
        <v>3</v>
      </c>
      <c r="L401" s="9">
        <v>1</v>
      </c>
      <c r="M401" s="9">
        <v>3</v>
      </c>
      <c r="N401" s="186">
        <f t="shared" ref="N401:N414" si="25">IF( OR( ISBLANK(H401),ISBLANK(J401), ISBLANK(K401), ISBLANK(L401), ISBLANK(M401) ), "", 1.5*SQRT(   EXP(2.21*(H401-1)) + EXP(2.21*(J401-1)) + EXP(2.21*(K401-1)) + EXP(2.21*(L401-1)) + EXP(2.21*M401)   )/100*2.45 )</f>
        <v>1.0725046436742278</v>
      </c>
      <c r="O401" s="160">
        <f t="shared" ref="O401:O414" si="26">IF( OR( ISBLANK(I401),ISBLANK(J401), ISBLANK(K401), ISBLANK(L401), ISBLANK(M401) ), "", 1.5*SQRT( EXP(2.21*(I401-1)) + EXP(2.21*(J401-1)) + EXP(2.21*(K401-1)) + EXP(2.21*(L401-1)) + EXP(2.21*M401)   )/100*2.45 )</f>
        <v>1.0725046436742278</v>
      </c>
      <c r="P401" s="63" t="s">
        <v>292</v>
      </c>
    </row>
    <row r="402" spans="1:16" hidden="1">
      <c r="A402" s="152" t="s">
        <v>257</v>
      </c>
      <c r="B402" s="34" t="s">
        <v>187</v>
      </c>
      <c r="C402" s="40" t="s">
        <v>147</v>
      </c>
      <c r="D402" s="34" t="s">
        <v>94</v>
      </c>
      <c r="E402" s="260">
        <v>6.9999999999999951E-2</v>
      </c>
      <c r="F402" s="235">
        <v>1</v>
      </c>
      <c r="G402" s="40" t="s">
        <v>291</v>
      </c>
      <c r="H402" s="29">
        <v>2</v>
      </c>
      <c r="I402" s="9">
        <v>2</v>
      </c>
      <c r="J402" s="9">
        <v>1</v>
      </c>
      <c r="K402" s="9">
        <v>3</v>
      </c>
      <c r="L402" s="9">
        <v>1</v>
      </c>
      <c r="M402" s="9">
        <v>3</v>
      </c>
      <c r="N402" s="186">
        <f t="shared" si="25"/>
        <v>1.0725046436742278</v>
      </c>
      <c r="O402" s="160">
        <f t="shared" si="26"/>
        <v>1.0725046436742278</v>
      </c>
      <c r="P402" s="63" t="s">
        <v>292</v>
      </c>
    </row>
    <row r="403" spans="1:16" hidden="1">
      <c r="A403" s="152" t="s">
        <v>257</v>
      </c>
      <c r="B403" s="34" t="s">
        <v>187</v>
      </c>
      <c r="C403" s="40" t="s">
        <v>147</v>
      </c>
      <c r="D403" s="34" t="s">
        <v>95</v>
      </c>
      <c r="E403" s="260">
        <v>6.9999999999999951E-2</v>
      </c>
      <c r="F403" s="235">
        <v>1</v>
      </c>
      <c r="G403" s="40" t="s">
        <v>291</v>
      </c>
      <c r="H403" s="29">
        <v>2</v>
      </c>
      <c r="I403" s="9">
        <v>2</v>
      </c>
      <c r="J403" s="9">
        <v>1</v>
      </c>
      <c r="K403" s="9">
        <v>3</v>
      </c>
      <c r="L403" s="9">
        <v>1</v>
      </c>
      <c r="M403" s="9">
        <v>3</v>
      </c>
      <c r="N403" s="186">
        <f t="shared" si="25"/>
        <v>1.0725046436742278</v>
      </c>
      <c r="O403" s="160">
        <f t="shared" si="26"/>
        <v>1.0725046436742278</v>
      </c>
      <c r="P403" s="63" t="s">
        <v>292</v>
      </c>
    </row>
    <row r="404" spans="1:16" hidden="1">
      <c r="A404" s="152" t="s">
        <v>257</v>
      </c>
      <c r="B404" s="34" t="s">
        <v>187</v>
      </c>
      <c r="C404" s="40" t="s">
        <v>147</v>
      </c>
      <c r="D404" s="34" t="s">
        <v>96</v>
      </c>
      <c r="E404" s="260">
        <v>6.9999999999999951E-2</v>
      </c>
      <c r="F404" s="235">
        <v>1</v>
      </c>
      <c r="G404" s="40" t="s">
        <v>291</v>
      </c>
      <c r="H404" s="29">
        <v>2</v>
      </c>
      <c r="I404" s="9">
        <v>2</v>
      </c>
      <c r="J404" s="9">
        <v>1</v>
      </c>
      <c r="K404" s="9">
        <v>3</v>
      </c>
      <c r="L404" s="9">
        <v>1</v>
      </c>
      <c r="M404" s="9">
        <v>3</v>
      </c>
      <c r="N404" s="186">
        <f t="shared" si="25"/>
        <v>1.0725046436742278</v>
      </c>
      <c r="O404" s="160">
        <f t="shared" si="26"/>
        <v>1.0725046436742278</v>
      </c>
      <c r="P404" s="63" t="s">
        <v>292</v>
      </c>
    </row>
    <row r="405" spans="1:16" hidden="1">
      <c r="A405" s="152" t="s">
        <v>257</v>
      </c>
      <c r="B405" s="34" t="s">
        <v>187</v>
      </c>
      <c r="C405" s="40" t="s">
        <v>147</v>
      </c>
      <c r="D405" s="34" t="s">
        <v>97</v>
      </c>
      <c r="E405" s="260">
        <v>6.9999999999999951E-2</v>
      </c>
      <c r="F405" s="235">
        <v>1</v>
      </c>
      <c r="G405" s="40" t="s">
        <v>291</v>
      </c>
      <c r="H405" s="29">
        <v>2</v>
      </c>
      <c r="I405" s="9">
        <v>2</v>
      </c>
      <c r="J405" s="9">
        <v>1</v>
      </c>
      <c r="K405" s="9">
        <v>3</v>
      </c>
      <c r="L405" s="9">
        <v>1</v>
      </c>
      <c r="M405" s="9">
        <v>3</v>
      </c>
      <c r="N405" s="186">
        <f t="shared" si="25"/>
        <v>1.0725046436742278</v>
      </c>
      <c r="O405" s="160">
        <f t="shared" si="26"/>
        <v>1.0725046436742278</v>
      </c>
      <c r="P405" s="63" t="s">
        <v>292</v>
      </c>
    </row>
    <row r="406" spans="1:16" hidden="1">
      <c r="A406" s="152" t="s">
        <v>257</v>
      </c>
      <c r="B406" s="34" t="s">
        <v>187</v>
      </c>
      <c r="C406" s="40" t="s">
        <v>147</v>
      </c>
      <c r="D406" s="34" t="s">
        <v>98</v>
      </c>
      <c r="E406" s="260">
        <v>6.9999999999999951E-2</v>
      </c>
      <c r="F406" s="235">
        <v>1</v>
      </c>
      <c r="G406" s="40" t="s">
        <v>291</v>
      </c>
      <c r="H406" s="29">
        <v>2</v>
      </c>
      <c r="I406" s="9">
        <v>2</v>
      </c>
      <c r="J406" s="9">
        <v>1</v>
      </c>
      <c r="K406" s="9">
        <v>3</v>
      </c>
      <c r="L406" s="9">
        <v>1</v>
      </c>
      <c r="M406" s="9">
        <v>3</v>
      </c>
      <c r="N406" s="186">
        <f t="shared" si="25"/>
        <v>1.0725046436742278</v>
      </c>
      <c r="O406" s="160">
        <f t="shared" si="26"/>
        <v>1.0725046436742278</v>
      </c>
      <c r="P406" s="63" t="s">
        <v>292</v>
      </c>
    </row>
    <row r="407" spans="1:16" hidden="1">
      <c r="A407" s="152" t="s">
        <v>257</v>
      </c>
      <c r="B407" s="34" t="s">
        <v>187</v>
      </c>
      <c r="C407" s="40" t="s">
        <v>147</v>
      </c>
      <c r="D407" s="34" t="s">
        <v>99</v>
      </c>
      <c r="E407" s="260">
        <v>6.9999999999999951E-2</v>
      </c>
      <c r="F407" s="235">
        <v>1</v>
      </c>
      <c r="G407" s="40" t="s">
        <v>291</v>
      </c>
      <c r="H407" s="29">
        <v>2</v>
      </c>
      <c r="I407" s="9">
        <v>2</v>
      </c>
      <c r="J407" s="9">
        <v>2</v>
      </c>
      <c r="K407" s="9">
        <v>1</v>
      </c>
      <c r="L407" s="9">
        <v>1</v>
      </c>
      <c r="M407" s="9">
        <v>2</v>
      </c>
      <c r="N407" s="186">
        <f t="shared" si="25"/>
        <v>0.37356464144298934</v>
      </c>
      <c r="O407" s="160">
        <f t="shared" si="26"/>
        <v>0.37356464144298934</v>
      </c>
      <c r="P407" s="63"/>
    </row>
    <row r="408" spans="1:16" hidden="1">
      <c r="A408" s="152" t="s">
        <v>293</v>
      </c>
      <c r="B408" s="34" t="s">
        <v>258</v>
      </c>
      <c r="C408" s="40" t="s">
        <v>147</v>
      </c>
      <c r="D408" s="34" t="s">
        <v>93</v>
      </c>
      <c r="E408" s="260">
        <v>0.16159999999999999</v>
      </c>
      <c r="F408" s="235">
        <v>1</v>
      </c>
      <c r="G408" s="40" t="s">
        <v>259</v>
      </c>
      <c r="H408" s="29">
        <v>1</v>
      </c>
      <c r="I408" s="9">
        <v>2</v>
      </c>
      <c r="J408" s="9">
        <v>2</v>
      </c>
      <c r="K408" s="9">
        <v>3</v>
      </c>
      <c r="L408" s="9">
        <v>1</v>
      </c>
      <c r="M408" s="9">
        <v>1</v>
      </c>
      <c r="N408" s="186">
        <f t="shared" si="25"/>
        <v>0.37356464144298934</v>
      </c>
      <c r="O408" s="160">
        <f t="shared" si="26"/>
        <v>0.38795788889711302</v>
      </c>
      <c r="P408" s="63" t="s">
        <v>260</v>
      </c>
    </row>
    <row r="409" spans="1:16" hidden="1">
      <c r="A409" s="152" t="s">
        <v>293</v>
      </c>
      <c r="B409" s="34" t="s">
        <v>258</v>
      </c>
      <c r="C409" s="40" t="s">
        <v>147</v>
      </c>
      <c r="D409" s="34" t="s">
        <v>94</v>
      </c>
      <c r="E409" s="260">
        <v>0.16159999999999999</v>
      </c>
      <c r="F409" s="235">
        <v>1</v>
      </c>
      <c r="G409" s="40" t="s">
        <v>259</v>
      </c>
      <c r="H409" s="29">
        <v>1</v>
      </c>
      <c r="I409" s="9">
        <v>2</v>
      </c>
      <c r="J409" s="9">
        <v>2</v>
      </c>
      <c r="K409" s="9">
        <v>3</v>
      </c>
      <c r="L409" s="9">
        <v>1</v>
      </c>
      <c r="M409" s="9">
        <v>1</v>
      </c>
      <c r="N409" s="186">
        <f t="shared" si="25"/>
        <v>0.37356464144298934</v>
      </c>
      <c r="O409" s="160">
        <f t="shared" si="26"/>
        <v>0.38795788889711302</v>
      </c>
      <c r="P409" s="63" t="s">
        <v>260</v>
      </c>
    </row>
    <row r="410" spans="1:16" hidden="1">
      <c r="A410" s="152" t="s">
        <v>293</v>
      </c>
      <c r="B410" s="34" t="s">
        <v>258</v>
      </c>
      <c r="C410" s="40" t="s">
        <v>147</v>
      </c>
      <c r="D410" s="34" t="s">
        <v>95</v>
      </c>
      <c r="E410" s="260">
        <v>0.16159999999999999</v>
      </c>
      <c r="F410" s="235">
        <v>1</v>
      </c>
      <c r="G410" s="40" t="s">
        <v>259</v>
      </c>
      <c r="H410" s="29">
        <v>1</v>
      </c>
      <c r="I410" s="9">
        <v>2</v>
      </c>
      <c r="J410" s="9">
        <v>2</v>
      </c>
      <c r="K410" s="9">
        <v>3</v>
      </c>
      <c r="L410" s="9">
        <v>1</v>
      </c>
      <c r="M410" s="9">
        <v>1</v>
      </c>
      <c r="N410" s="186">
        <f t="shared" si="25"/>
        <v>0.37356464144298934</v>
      </c>
      <c r="O410" s="160">
        <f t="shared" si="26"/>
        <v>0.38795788889711302</v>
      </c>
      <c r="P410" s="63" t="s">
        <v>260</v>
      </c>
    </row>
    <row r="411" spans="1:16" hidden="1">
      <c r="A411" s="152" t="s">
        <v>293</v>
      </c>
      <c r="B411" s="34" t="s">
        <v>258</v>
      </c>
      <c r="C411" s="40" t="s">
        <v>147</v>
      </c>
      <c r="D411" s="34" t="s">
        <v>96</v>
      </c>
      <c r="E411" s="260">
        <v>0.16159999999999999</v>
      </c>
      <c r="F411" s="235">
        <v>1</v>
      </c>
      <c r="G411" s="40" t="s">
        <v>259</v>
      </c>
      <c r="H411" s="29">
        <v>1</v>
      </c>
      <c r="I411" s="9">
        <v>2</v>
      </c>
      <c r="J411" s="9">
        <v>2</v>
      </c>
      <c r="K411" s="9">
        <v>3</v>
      </c>
      <c r="L411" s="9">
        <v>1</v>
      </c>
      <c r="M411" s="9">
        <v>1</v>
      </c>
      <c r="N411" s="186">
        <f t="shared" si="25"/>
        <v>0.37356464144298934</v>
      </c>
      <c r="O411" s="160">
        <f t="shared" si="26"/>
        <v>0.38795788889711302</v>
      </c>
      <c r="P411" s="63" t="s">
        <v>260</v>
      </c>
    </row>
    <row r="412" spans="1:16" hidden="1">
      <c r="A412" s="152" t="s">
        <v>293</v>
      </c>
      <c r="B412" s="34" t="s">
        <v>258</v>
      </c>
      <c r="C412" s="40" t="s">
        <v>147</v>
      </c>
      <c r="D412" s="34" t="s">
        <v>97</v>
      </c>
      <c r="E412" s="260">
        <v>0.16159999999999999</v>
      </c>
      <c r="F412" s="235">
        <v>1</v>
      </c>
      <c r="G412" s="40" t="s">
        <v>259</v>
      </c>
      <c r="H412" s="29">
        <v>1</v>
      </c>
      <c r="I412" s="9">
        <v>2</v>
      </c>
      <c r="J412" s="9">
        <v>2</v>
      </c>
      <c r="K412" s="9">
        <v>3</v>
      </c>
      <c r="L412" s="9">
        <v>1</v>
      </c>
      <c r="M412" s="9">
        <v>1</v>
      </c>
      <c r="N412" s="186">
        <f t="shared" si="25"/>
        <v>0.37356464144298934</v>
      </c>
      <c r="O412" s="160">
        <f t="shared" si="26"/>
        <v>0.38795788889711302</v>
      </c>
      <c r="P412" s="63" t="s">
        <v>260</v>
      </c>
    </row>
    <row r="413" spans="1:16" hidden="1">
      <c r="A413" s="152" t="s">
        <v>293</v>
      </c>
      <c r="B413" s="34" t="s">
        <v>258</v>
      </c>
      <c r="C413" s="40" t="s">
        <v>147</v>
      </c>
      <c r="D413" s="34" t="s">
        <v>98</v>
      </c>
      <c r="E413" s="260">
        <v>0.16159999999999999</v>
      </c>
      <c r="F413" s="235">
        <v>1</v>
      </c>
      <c r="G413" s="40" t="s">
        <v>259</v>
      </c>
      <c r="H413" s="29">
        <v>1</v>
      </c>
      <c r="I413" s="9">
        <v>2</v>
      </c>
      <c r="J413" s="9">
        <v>2</v>
      </c>
      <c r="K413" s="9">
        <v>3</v>
      </c>
      <c r="L413" s="9">
        <v>1</v>
      </c>
      <c r="M413" s="9">
        <v>1</v>
      </c>
      <c r="N413" s="186">
        <f t="shared" si="25"/>
        <v>0.37356464144298934</v>
      </c>
      <c r="O413" s="160">
        <f t="shared" si="26"/>
        <v>0.38795788889711302</v>
      </c>
      <c r="P413" s="63" t="s">
        <v>260</v>
      </c>
    </row>
    <row r="414" spans="1:16" hidden="1">
      <c r="A414" s="152" t="s">
        <v>293</v>
      </c>
      <c r="B414" s="34" t="s">
        <v>258</v>
      </c>
      <c r="C414" s="40" t="s">
        <v>147</v>
      </c>
      <c r="D414" s="34" t="s">
        <v>99</v>
      </c>
      <c r="E414" s="260">
        <v>0.16159999999999999</v>
      </c>
      <c r="F414" s="235">
        <v>1</v>
      </c>
      <c r="G414" s="40" t="s">
        <v>259</v>
      </c>
      <c r="H414" s="29">
        <v>1</v>
      </c>
      <c r="I414" s="9">
        <v>2</v>
      </c>
      <c r="J414" s="9">
        <v>2</v>
      </c>
      <c r="K414" s="9">
        <v>1</v>
      </c>
      <c r="L414" s="9">
        <v>1</v>
      </c>
      <c r="M414" s="9">
        <v>1</v>
      </c>
      <c r="N414" s="186">
        <f t="shared" si="25"/>
        <v>0.16933510251023262</v>
      </c>
      <c r="O414" s="160">
        <f t="shared" si="26"/>
        <v>0.19908580854301616</v>
      </c>
      <c r="P414" s="63"/>
    </row>
    <row r="415" spans="1:16" hidden="1">
      <c r="A415" s="152" t="s">
        <v>151</v>
      </c>
      <c r="B415" s="34" t="s">
        <v>187</v>
      </c>
      <c r="C415" s="40" t="s">
        <v>147</v>
      </c>
      <c r="D415" s="34" t="s">
        <v>147</v>
      </c>
      <c r="E415" s="265" t="s">
        <v>158</v>
      </c>
      <c r="F415" s="235">
        <v>1</v>
      </c>
      <c r="G415" s="40">
        <v>0</v>
      </c>
      <c r="H415" s="29"/>
      <c r="I415" s="9"/>
      <c r="J415" s="9"/>
      <c r="K415" s="9"/>
      <c r="L415" s="9"/>
      <c r="M415" s="9"/>
      <c r="N415" s="186" t="s">
        <v>262</v>
      </c>
      <c r="O415" s="160" t="s">
        <v>262</v>
      </c>
      <c r="P415" s="63"/>
    </row>
    <row r="416" spans="1:16" hidden="1">
      <c r="A416" s="152" t="s">
        <v>151</v>
      </c>
      <c r="B416" s="34" t="s">
        <v>192</v>
      </c>
      <c r="C416" s="40" t="s">
        <v>147</v>
      </c>
      <c r="D416" s="34" t="s">
        <v>147</v>
      </c>
      <c r="E416" s="265">
        <v>0</v>
      </c>
      <c r="F416" s="235">
        <v>1</v>
      </c>
      <c r="G416" s="40">
        <v>0</v>
      </c>
      <c r="H416" s="29"/>
      <c r="I416" s="9"/>
      <c r="J416" s="9"/>
      <c r="K416" s="9"/>
      <c r="L416" s="9"/>
      <c r="M416" s="9"/>
      <c r="N416" s="186" t="s">
        <v>262</v>
      </c>
      <c r="O416" s="160" t="s">
        <v>262</v>
      </c>
      <c r="P416" s="63"/>
    </row>
    <row r="417" spans="1:16" hidden="1">
      <c r="A417" s="152" t="s">
        <v>294</v>
      </c>
      <c r="B417" s="34" t="s">
        <v>187</v>
      </c>
      <c r="C417" s="40" t="s">
        <v>188</v>
      </c>
      <c r="D417" s="34" t="s">
        <v>147</v>
      </c>
      <c r="E417" s="260">
        <v>1</v>
      </c>
      <c r="F417" s="235">
        <v>2</v>
      </c>
      <c r="G417" s="40" t="s">
        <v>295</v>
      </c>
      <c r="H417" s="848"/>
      <c r="I417" s="849"/>
      <c r="J417" s="849"/>
      <c r="K417" s="849"/>
      <c r="L417" s="849"/>
      <c r="M417" s="849"/>
      <c r="N417" s="186" t="str">
        <f t="shared" ref="N417:N427" si="27">IF( OR( ISBLANK(H417),ISBLANK(J417), ISBLANK(K417), ISBLANK(L417), ISBLANK(M417) ), "", 1.5*SQRT(   EXP(2.21*(H417-1)) + EXP(2.21*(J417-1)) + EXP(2.21*(K417-1)) + EXP(2.21*(L417-1)) + EXP(2.21*M417)   )/100*2.45 )</f>
        <v/>
      </c>
      <c r="O417" s="160" t="str">
        <f t="shared" ref="O417:O427" si="28">IF( OR( ISBLANK(I417),ISBLANK(J417), ISBLANK(K417), ISBLANK(L417), ISBLANK(M417) ), "", 1.5*SQRT( EXP(2.21*(I417-1)) + EXP(2.21*(J417-1)) + EXP(2.21*(K417-1)) + EXP(2.21*(L417-1)) + EXP(2.21*M417)   )/100*2.45 )</f>
        <v/>
      </c>
      <c r="P417" s="859"/>
    </row>
    <row r="418" spans="1:16" hidden="1">
      <c r="A418" s="152" t="s">
        <v>296</v>
      </c>
      <c r="B418" s="34" t="s">
        <v>187</v>
      </c>
      <c r="C418" s="40" t="s">
        <v>188</v>
      </c>
      <c r="D418" s="34" t="s">
        <v>147</v>
      </c>
      <c r="E418" s="260">
        <v>1</v>
      </c>
      <c r="F418" s="235">
        <v>2</v>
      </c>
      <c r="G418" s="40" t="s">
        <v>295</v>
      </c>
      <c r="H418" s="29"/>
      <c r="I418" s="9"/>
      <c r="J418" s="9"/>
      <c r="K418" s="9"/>
      <c r="L418" s="9"/>
      <c r="M418" s="9"/>
      <c r="N418" s="186" t="str">
        <f t="shared" si="27"/>
        <v/>
      </c>
      <c r="O418" s="160" t="str">
        <f t="shared" si="28"/>
        <v/>
      </c>
      <c r="P418" s="63"/>
    </row>
    <row r="419" spans="1:16" hidden="1">
      <c r="A419" s="152" t="s">
        <v>297</v>
      </c>
      <c r="B419" s="34" t="s">
        <v>187</v>
      </c>
      <c r="C419" s="40" t="s">
        <v>147</v>
      </c>
      <c r="D419" s="34" t="s">
        <v>147</v>
      </c>
      <c r="E419" s="260">
        <v>1</v>
      </c>
      <c r="F419" s="235">
        <v>2</v>
      </c>
      <c r="G419" s="40" t="s">
        <v>165</v>
      </c>
      <c r="H419" s="29"/>
      <c r="I419" s="9"/>
      <c r="J419" s="9"/>
      <c r="K419" s="9"/>
      <c r="L419" s="9"/>
      <c r="M419" s="9"/>
      <c r="N419" s="186" t="str">
        <f t="shared" si="27"/>
        <v/>
      </c>
      <c r="O419" s="160" t="str">
        <f t="shared" si="28"/>
        <v/>
      </c>
      <c r="P419" s="63" t="s">
        <v>298</v>
      </c>
    </row>
    <row r="420" spans="1:16" hidden="1">
      <c r="A420" s="152" t="s">
        <v>299</v>
      </c>
      <c r="B420" s="34" t="s">
        <v>187</v>
      </c>
      <c r="C420" s="40" t="s">
        <v>147</v>
      </c>
      <c r="D420" s="34" t="s">
        <v>147</v>
      </c>
      <c r="E420" s="260">
        <v>0.83616504854368934</v>
      </c>
      <c r="F420" s="235">
        <v>2</v>
      </c>
      <c r="G420" s="40" t="s">
        <v>300</v>
      </c>
      <c r="H420" s="29">
        <v>2</v>
      </c>
      <c r="I420" s="9"/>
      <c r="J420" s="9">
        <v>2</v>
      </c>
      <c r="K420" s="9">
        <v>3</v>
      </c>
      <c r="L420" s="9">
        <v>3</v>
      </c>
      <c r="M420" s="9">
        <v>1</v>
      </c>
      <c r="N420" s="186">
        <f t="shared" si="27"/>
        <v>0.51126068492676302</v>
      </c>
      <c r="O420" s="160" t="str">
        <f t="shared" si="28"/>
        <v/>
      </c>
      <c r="P420" s="63" t="s">
        <v>301</v>
      </c>
    </row>
    <row r="421" spans="1:16" hidden="1">
      <c r="A421" s="152" t="s">
        <v>299</v>
      </c>
      <c r="B421" s="34" t="s">
        <v>187</v>
      </c>
      <c r="C421" s="40" t="s">
        <v>147</v>
      </c>
      <c r="D421" s="34" t="s">
        <v>147</v>
      </c>
      <c r="E421" s="260">
        <v>0.97</v>
      </c>
      <c r="F421" s="235">
        <v>2</v>
      </c>
      <c r="G421" s="40" t="s">
        <v>302</v>
      </c>
      <c r="H421" s="29">
        <v>2</v>
      </c>
      <c r="I421" s="9"/>
      <c r="J421" s="9">
        <v>2</v>
      </c>
      <c r="K421" s="9">
        <v>3</v>
      </c>
      <c r="L421" s="9">
        <v>3</v>
      </c>
      <c r="M421" s="9">
        <v>1</v>
      </c>
      <c r="N421" s="186">
        <f t="shared" si="27"/>
        <v>0.51126068492676302</v>
      </c>
      <c r="O421" s="160" t="str">
        <f t="shared" si="28"/>
        <v/>
      </c>
      <c r="P421" s="63" t="s">
        <v>303</v>
      </c>
    </row>
    <row r="422" spans="1:16" hidden="1">
      <c r="A422" s="152" t="s">
        <v>299</v>
      </c>
      <c r="B422" s="34" t="s">
        <v>187</v>
      </c>
      <c r="C422" s="40" t="s">
        <v>147</v>
      </c>
      <c r="D422" s="34" t="s">
        <v>147</v>
      </c>
      <c r="E422" s="260">
        <v>0</v>
      </c>
      <c r="F422" s="235">
        <v>2</v>
      </c>
      <c r="G422" s="40" t="s">
        <v>304</v>
      </c>
      <c r="H422" s="29"/>
      <c r="I422" s="9"/>
      <c r="J422" s="9"/>
      <c r="K422" s="9"/>
      <c r="L422" s="9"/>
      <c r="M422" s="9"/>
      <c r="N422" s="186" t="str">
        <f t="shared" si="27"/>
        <v/>
      </c>
      <c r="O422" s="160" t="str">
        <f t="shared" si="28"/>
        <v/>
      </c>
      <c r="P422" s="63"/>
    </row>
    <row r="423" spans="1:16" hidden="1">
      <c r="A423" s="152" t="s">
        <v>299</v>
      </c>
      <c r="B423" s="34" t="s">
        <v>187</v>
      </c>
      <c r="C423" s="40" t="s">
        <v>147</v>
      </c>
      <c r="D423" s="34" t="s">
        <v>147</v>
      </c>
      <c r="E423" s="260">
        <v>0.61</v>
      </c>
      <c r="F423" s="235">
        <v>2</v>
      </c>
      <c r="G423" s="40" t="s">
        <v>305</v>
      </c>
      <c r="H423" s="29">
        <v>1</v>
      </c>
      <c r="I423" s="9"/>
      <c r="J423" s="9">
        <v>2</v>
      </c>
      <c r="K423" s="9">
        <v>3</v>
      </c>
      <c r="L423" s="9">
        <v>3</v>
      </c>
      <c r="M423" s="9">
        <v>1</v>
      </c>
      <c r="N423" s="186">
        <f t="shared" si="27"/>
        <v>0.50042652380814845</v>
      </c>
      <c r="O423" s="160" t="str">
        <f t="shared" si="28"/>
        <v/>
      </c>
      <c r="P423" s="63"/>
    </row>
    <row r="424" spans="1:16" hidden="1">
      <c r="A424" s="152" t="s">
        <v>299</v>
      </c>
      <c r="B424" s="34" t="s">
        <v>187</v>
      </c>
      <c r="C424" s="40" t="s">
        <v>147</v>
      </c>
      <c r="D424" s="34" t="s">
        <v>147</v>
      </c>
      <c r="E424" s="260">
        <v>0.39473684210526327</v>
      </c>
      <c r="F424" s="235">
        <v>2</v>
      </c>
      <c r="G424" s="40" t="s">
        <v>306</v>
      </c>
      <c r="H424" s="29">
        <v>2</v>
      </c>
      <c r="I424" s="9"/>
      <c r="J424" s="9">
        <v>2</v>
      </c>
      <c r="K424" s="9">
        <v>3</v>
      </c>
      <c r="L424" s="9">
        <v>3</v>
      </c>
      <c r="M424" s="9">
        <v>1</v>
      </c>
      <c r="N424" s="186">
        <f t="shared" si="27"/>
        <v>0.51126068492676302</v>
      </c>
      <c r="O424" s="160" t="str">
        <f t="shared" si="28"/>
        <v/>
      </c>
      <c r="P424" s="63" t="s">
        <v>307</v>
      </c>
    </row>
    <row r="425" spans="1:16" hidden="1">
      <c r="A425" s="152" t="s">
        <v>299</v>
      </c>
      <c r="B425" s="34" t="s">
        <v>187</v>
      </c>
      <c r="C425" s="40" t="s">
        <v>147</v>
      </c>
      <c r="D425" s="34" t="s">
        <v>147</v>
      </c>
      <c r="E425" s="169">
        <v>1</v>
      </c>
      <c r="F425" s="235">
        <v>2</v>
      </c>
      <c r="G425" s="40" t="s">
        <v>308</v>
      </c>
      <c r="H425" s="29"/>
      <c r="I425" s="9"/>
      <c r="J425" s="9"/>
      <c r="K425" s="9"/>
      <c r="L425" s="9"/>
      <c r="M425" s="9"/>
      <c r="N425" s="186" t="str">
        <f t="shared" si="27"/>
        <v/>
      </c>
      <c r="O425" s="160" t="str">
        <f t="shared" si="28"/>
        <v/>
      </c>
      <c r="P425" s="63"/>
    </row>
    <row r="426" spans="1:16" hidden="1">
      <c r="A426" s="152" t="s">
        <v>222</v>
      </c>
      <c r="B426" s="34" t="s">
        <v>187</v>
      </c>
      <c r="C426" s="40" t="s">
        <v>147</v>
      </c>
      <c r="D426" s="34" t="s">
        <v>147</v>
      </c>
      <c r="E426" s="260">
        <v>0.8</v>
      </c>
      <c r="F426" s="235">
        <v>2</v>
      </c>
      <c r="G426" s="40" t="s">
        <v>165</v>
      </c>
      <c r="H426" s="29">
        <v>3</v>
      </c>
      <c r="I426" s="9"/>
      <c r="J426" s="9">
        <v>3</v>
      </c>
      <c r="K426" s="9">
        <v>3</v>
      </c>
      <c r="L426" s="9">
        <v>3</v>
      </c>
      <c r="M426" s="9">
        <v>3</v>
      </c>
      <c r="N426" s="186">
        <f t="shared" si="27"/>
        <v>1.2132328390150593</v>
      </c>
      <c r="O426" s="160" t="str">
        <f t="shared" si="28"/>
        <v/>
      </c>
      <c r="P426" s="63" t="s">
        <v>309</v>
      </c>
    </row>
    <row r="427" spans="1:16" hidden="1">
      <c r="A427" s="152" t="s">
        <v>228</v>
      </c>
      <c r="B427" s="34" t="s">
        <v>187</v>
      </c>
      <c r="C427" s="40" t="s">
        <v>147</v>
      </c>
      <c r="D427" s="34" t="s">
        <v>147</v>
      </c>
      <c r="E427" s="260">
        <v>0</v>
      </c>
      <c r="F427" s="235">
        <v>2</v>
      </c>
      <c r="G427" s="40"/>
      <c r="H427" s="29"/>
      <c r="I427" s="9"/>
      <c r="J427" s="9"/>
      <c r="K427" s="9"/>
      <c r="L427" s="9"/>
      <c r="M427" s="9"/>
      <c r="N427" s="186" t="str">
        <f t="shared" si="27"/>
        <v/>
      </c>
      <c r="O427" s="160" t="str">
        <f t="shared" si="28"/>
        <v/>
      </c>
      <c r="P427" s="63" t="s">
        <v>310</v>
      </c>
    </row>
    <row r="428" spans="1:16" hidden="1">
      <c r="A428" s="152" t="s">
        <v>151</v>
      </c>
      <c r="B428" s="34" t="s">
        <v>264</v>
      </c>
      <c r="C428" s="40" t="s">
        <v>147</v>
      </c>
      <c r="D428" s="34" t="s">
        <v>147</v>
      </c>
      <c r="E428" s="265">
        <v>1E-4</v>
      </c>
      <c r="F428" s="235">
        <v>2</v>
      </c>
      <c r="G428" s="40" t="s">
        <v>165</v>
      </c>
      <c r="H428" s="29">
        <v>1</v>
      </c>
      <c r="I428" s="9">
        <v>2</v>
      </c>
      <c r="J428" s="9">
        <v>1</v>
      </c>
      <c r="K428" s="9">
        <v>1</v>
      </c>
      <c r="L428" s="9">
        <v>1</v>
      </c>
      <c r="M428" s="9">
        <v>3</v>
      </c>
      <c r="N428" s="186">
        <v>1.0141150152164344</v>
      </c>
      <c r="O428" s="160">
        <v>1.0195048044558224</v>
      </c>
      <c r="P428" s="63"/>
    </row>
    <row r="429" spans="1:16" hidden="1">
      <c r="A429" s="152" t="s">
        <v>280</v>
      </c>
      <c r="B429" s="34" t="s">
        <v>311</v>
      </c>
      <c r="C429" s="40" t="s">
        <v>147</v>
      </c>
      <c r="D429" s="34" t="s">
        <v>147</v>
      </c>
      <c r="E429" s="871">
        <v>0.01</v>
      </c>
      <c r="F429" s="34">
        <v>2</v>
      </c>
      <c r="G429" s="40" t="s">
        <v>312</v>
      </c>
      <c r="H429" s="29">
        <v>2</v>
      </c>
      <c r="I429" s="9">
        <v>2</v>
      </c>
      <c r="J429" s="9">
        <v>2</v>
      </c>
      <c r="K429" s="9">
        <v>2</v>
      </c>
      <c r="L429" s="9">
        <v>1</v>
      </c>
      <c r="M429" s="9">
        <v>1</v>
      </c>
      <c r="N429" s="186">
        <f t="shared" ref="N429:N460" si="29">IF( OR( ISBLANK(H429),ISBLANK(J429), ISBLANK(K429), ISBLANK(L429), ISBLANK(M429) ), "", 1.5*SQRT(   EXP(2.21*(H429-1)) + EXP(2.21*(J429-1)) + EXP(2.21*(K429-1)) + EXP(2.21*(L429-1)) + EXP(2.21*M429)   )/100*2.45 )</f>
        <v>0.2249354160293616</v>
      </c>
      <c r="O429" s="160">
        <f t="shared" ref="O429:O460" si="30">IF( OR( ISBLANK(I429),ISBLANK(J429), ISBLANK(K429), ISBLANK(L429), ISBLANK(M429) ), "", 1.5*SQRT( EXP(2.21*(I429-1)) + EXP(2.21*(J429-1)) + EXP(2.21*(K429-1)) + EXP(2.21*(L429-1)) + EXP(2.21*M429)   )/100*2.45 )</f>
        <v>0.2249354160293616</v>
      </c>
      <c r="P429" s="858"/>
    </row>
    <row r="430" spans="1:16" hidden="1">
      <c r="A430" s="152" t="s">
        <v>293</v>
      </c>
      <c r="B430" s="34" t="s">
        <v>187</v>
      </c>
      <c r="C430" s="40" t="s">
        <v>147</v>
      </c>
      <c r="D430" s="34" t="s">
        <v>93</v>
      </c>
      <c r="E430" s="260">
        <v>7.5999999999999998E-2</v>
      </c>
      <c r="F430" s="235">
        <v>1</v>
      </c>
      <c r="G430" s="40" t="s">
        <v>313</v>
      </c>
      <c r="H430" s="29">
        <v>2</v>
      </c>
      <c r="I430" s="9">
        <v>2</v>
      </c>
      <c r="J430" s="9">
        <v>3</v>
      </c>
      <c r="K430" s="9">
        <v>3</v>
      </c>
      <c r="L430" s="9">
        <v>1</v>
      </c>
      <c r="M430" s="9">
        <v>2</v>
      </c>
      <c r="N430" s="186">
        <f t="shared" si="29"/>
        <v>0.59189702474662764</v>
      </c>
      <c r="O430" s="160">
        <f t="shared" si="30"/>
        <v>0.59189702474662764</v>
      </c>
      <c r="P430" s="63"/>
    </row>
    <row r="431" spans="1:16" hidden="1">
      <c r="A431" s="152" t="s">
        <v>183</v>
      </c>
      <c r="B431" s="34" t="s">
        <v>187</v>
      </c>
      <c r="C431" s="40" t="s">
        <v>147</v>
      </c>
      <c r="D431" s="34" t="s">
        <v>147</v>
      </c>
      <c r="E431" s="260" t="s">
        <v>158</v>
      </c>
      <c r="F431" s="235">
        <v>1</v>
      </c>
      <c r="G431" s="40"/>
      <c r="H431" s="29"/>
      <c r="I431" s="9"/>
      <c r="J431" s="9"/>
      <c r="K431" s="9"/>
      <c r="L431" s="9"/>
      <c r="M431" s="9"/>
      <c r="N431" s="186" t="str">
        <f t="shared" si="29"/>
        <v/>
      </c>
      <c r="O431" s="160" t="str">
        <f t="shared" si="30"/>
        <v/>
      </c>
      <c r="P431" s="63"/>
    </row>
    <row r="432" spans="1:16" hidden="1">
      <c r="A432" s="152" t="s">
        <v>183</v>
      </c>
      <c r="B432" s="34" t="s">
        <v>187</v>
      </c>
      <c r="C432" s="40" t="s">
        <v>147</v>
      </c>
      <c r="D432" s="34" t="s">
        <v>147</v>
      </c>
      <c r="E432" s="40" t="s">
        <v>158</v>
      </c>
      <c r="F432" s="235">
        <v>1</v>
      </c>
      <c r="G432" s="40"/>
      <c r="H432" s="29"/>
      <c r="I432" s="9"/>
      <c r="J432" s="9"/>
      <c r="K432" s="9"/>
      <c r="L432" s="9"/>
      <c r="M432" s="9"/>
      <c r="N432" s="186" t="str">
        <f t="shared" si="29"/>
        <v/>
      </c>
      <c r="O432" s="160" t="str">
        <f t="shared" si="30"/>
        <v/>
      </c>
      <c r="P432" s="858"/>
    </row>
    <row r="433" spans="1:16" hidden="1">
      <c r="A433" s="152" t="s">
        <v>121</v>
      </c>
      <c r="B433" s="34" t="s">
        <v>254</v>
      </c>
      <c r="C433" s="40" t="s">
        <v>147</v>
      </c>
      <c r="D433" s="34" t="s">
        <v>95</v>
      </c>
      <c r="E433" s="260">
        <v>0</v>
      </c>
      <c r="F433" s="235">
        <v>1</v>
      </c>
      <c r="G433" s="40"/>
      <c r="H433" s="29"/>
      <c r="I433" s="9"/>
      <c r="J433" s="9"/>
      <c r="K433" s="9"/>
      <c r="L433" s="9"/>
      <c r="M433" s="9"/>
      <c r="N433" s="186" t="str">
        <f t="shared" si="29"/>
        <v/>
      </c>
      <c r="O433" s="160" t="str">
        <f t="shared" si="30"/>
        <v/>
      </c>
      <c r="P433" s="63"/>
    </row>
    <row r="434" spans="1:16" hidden="1">
      <c r="A434" s="152" t="s">
        <v>121</v>
      </c>
      <c r="B434" s="34" t="s">
        <v>254</v>
      </c>
      <c r="C434" s="40" t="s">
        <v>147</v>
      </c>
      <c r="D434" s="34" t="s">
        <v>96</v>
      </c>
      <c r="E434" s="260">
        <v>0</v>
      </c>
      <c r="F434" s="235">
        <v>1</v>
      </c>
      <c r="G434" s="40"/>
      <c r="H434" s="29"/>
      <c r="I434" s="9"/>
      <c r="J434" s="9"/>
      <c r="K434" s="9"/>
      <c r="L434" s="9"/>
      <c r="M434" s="9"/>
      <c r="N434" s="186" t="str">
        <f t="shared" si="29"/>
        <v/>
      </c>
      <c r="O434" s="160" t="str">
        <f t="shared" si="30"/>
        <v/>
      </c>
      <c r="P434" s="63"/>
    </row>
    <row r="435" spans="1:16" hidden="1">
      <c r="A435" s="152" t="s">
        <v>209</v>
      </c>
      <c r="B435" s="34" t="s">
        <v>241</v>
      </c>
      <c r="C435" s="40" t="s">
        <v>147</v>
      </c>
      <c r="D435" s="34" t="s">
        <v>147</v>
      </c>
      <c r="E435" s="260">
        <v>0.93</v>
      </c>
      <c r="F435" s="235">
        <v>2</v>
      </c>
      <c r="G435" s="40" t="s">
        <v>171</v>
      </c>
      <c r="H435" s="29">
        <v>2</v>
      </c>
      <c r="I435" s="9">
        <v>2</v>
      </c>
      <c r="J435" s="9">
        <v>2</v>
      </c>
      <c r="K435" s="9">
        <v>1</v>
      </c>
      <c r="L435" s="9">
        <v>2</v>
      </c>
      <c r="M435" s="9">
        <v>2</v>
      </c>
      <c r="N435" s="186">
        <f t="shared" si="29"/>
        <v>0.38795788889711302</v>
      </c>
      <c r="O435" s="160">
        <f t="shared" si="30"/>
        <v>0.38795788889711302</v>
      </c>
      <c r="P435" s="63"/>
    </row>
    <row r="436" spans="1:16" hidden="1">
      <c r="A436" s="152" t="s">
        <v>121</v>
      </c>
      <c r="B436" s="34" t="s">
        <v>254</v>
      </c>
      <c r="C436" s="40" t="s">
        <v>147</v>
      </c>
      <c r="D436" s="34" t="s">
        <v>97</v>
      </c>
      <c r="E436" s="260">
        <v>0</v>
      </c>
      <c r="F436" s="235">
        <v>1</v>
      </c>
      <c r="G436" s="40"/>
      <c r="H436" s="29"/>
      <c r="I436" s="9"/>
      <c r="J436" s="9"/>
      <c r="K436" s="9"/>
      <c r="L436" s="9"/>
      <c r="M436" s="9"/>
      <c r="N436" s="186" t="str">
        <f t="shared" si="29"/>
        <v/>
      </c>
      <c r="O436" s="160" t="str">
        <f t="shared" si="30"/>
        <v/>
      </c>
      <c r="P436" s="63"/>
    </row>
    <row r="437" spans="1:16" hidden="1">
      <c r="A437" s="152" t="s">
        <v>121</v>
      </c>
      <c r="B437" s="34" t="s">
        <v>254</v>
      </c>
      <c r="C437" s="40" t="s">
        <v>147</v>
      </c>
      <c r="D437" s="34" t="s">
        <v>98</v>
      </c>
      <c r="E437" s="260">
        <v>0</v>
      </c>
      <c r="F437" s="235">
        <v>1</v>
      </c>
      <c r="G437" s="40"/>
      <c r="H437" s="29"/>
      <c r="I437" s="9"/>
      <c r="J437" s="9"/>
      <c r="K437" s="9"/>
      <c r="L437" s="9"/>
      <c r="M437" s="9"/>
      <c r="N437" s="186" t="str">
        <f t="shared" si="29"/>
        <v/>
      </c>
      <c r="O437" s="160" t="str">
        <f t="shared" si="30"/>
        <v/>
      </c>
      <c r="P437" s="63"/>
    </row>
    <row r="438" spans="1:16" hidden="1">
      <c r="A438" s="152" t="s">
        <v>121</v>
      </c>
      <c r="B438" s="34" t="s">
        <v>254</v>
      </c>
      <c r="C438" s="40" t="s">
        <v>147</v>
      </c>
      <c r="D438" s="34" t="s">
        <v>99</v>
      </c>
      <c r="E438" s="260">
        <v>2.0260014591638925E-2</v>
      </c>
      <c r="F438" s="235">
        <v>1</v>
      </c>
      <c r="G438" s="40" t="s">
        <v>171</v>
      </c>
      <c r="H438" s="29">
        <v>2</v>
      </c>
      <c r="I438" s="9">
        <v>2</v>
      </c>
      <c r="J438" s="9">
        <v>2</v>
      </c>
      <c r="K438" s="9">
        <v>2</v>
      </c>
      <c r="L438" s="9">
        <v>1</v>
      </c>
      <c r="M438" s="9">
        <v>2</v>
      </c>
      <c r="N438" s="186">
        <f t="shared" si="29"/>
        <v>0.38795788889711302</v>
      </c>
      <c r="O438" s="160">
        <f t="shared" si="30"/>
        <v>0.38795788889711302</v>
      </c>
      <c r="P438" s="63"/>
    </row>
    <row r="439" spans="1:16" hidden="1">
      <c r="A439" s="152" t="s">
        <v>241</v>
      </c>
      <c r="B439" s="34" t="s">
        <v>314</v>
      </c>
      <c r="C439" s="40" t="s">
        <v>147</v>
      </c>
      <c r="D439" s="34" t="s">
        <v>147</v>
      </c>
      <c r="E439" s="260" t="s">
        <v>158</v>
      </c>
      <c r="F439" s="235">
        <v>1</v>
      </c>
      <c r="G439" s="40"/>
      <c r="H439" s="29"/>
      <c r="I439" s="9"/>
      <c r="J439" s="9"/>
      <c r="K439" s="9"/>
      <c r="L439" s="9"/>
      <c r="M439" s="9"/>
      <c r="N439" s="186" t="str">
        <f t="shared" si="29"/>
        <v/>
      </c>
      <c r="O439" s="160" t="str">
        <f t="shared" si="30"/>
        <v/>
      </c>
      <c r="P439" s="63"/>
    </row>
    <row r="440" spans="1:16" hidden="1">
      <c r="A440" s="152" t="s">
        <v>293</v>
      </c>
      <c r="B440" s="34" t="s">
        <v>187</v>
      </c>
      <c r="C440" s="40" t="s">
        <v>147</v>
      </c>
      <c r="D440" s="34" t="s">
        <v>94</v>
      </c>
      <c r="E440" s="260">
        <v>7.5999999999999998E-2</v>
      </c>
      <c r="F440" s="235">
        <v>1</v>
      </c>
      <c r="G440" s="40" t="s">
        <v>315</v>
      </c>
      <c r="H440" s="29">
        <v>2</v>
      </c>
      <c r="I440" s="9">
        <v>2</v>
      </c>
      <c r="J440" s="9">
        <v>3</v>
      </c>
      <c r="K440" s="9">
        <v>3</v>
      </c>
      <c r="L440" s="9">
        <v>1</v>
      </c>
      <c r="M440" s="9">
        <v>2</v>
      </c>
      <c r="N440" s="186">
        <f t="shared" si="29"/>
        <v>0.59189702474662764</v>
      </c>
      <c r="O440" s="160">
        <f t="shared" si="30"/>
        <v>0.59189702474662764</v>
      </c>
      <c r="P440" s="63"/>
    </row>
    <row r="441" spans="1:16" hidden="1">
      <c r="A441" s="152" t="s">
        <v>293</v>
      </c>
      <c r="B441" s="34" t="s">
        <v>187</v>
      </c>
      <c r="C441" s="40" t="s">
        <v>147</v>
      </c>
      <c r="D441" s="34" t="s">
        <v>95</v>
      </c>
      <c r="E441" s="260">
        <v>7.5999999999999998E-2</v>
      </c>
      <c r="F441" s="235">
        <v>1</v>
      </c>
      <c r="G441" s="40" t="s">
        <v>316</v>
      </c>
      <c r="H441" s="29">
        <v>2</v>
      </c>
      <c r="I441" s="9">
        <v>2</v>
      </c>
      <c r="J441" s="9">
        <v>3</v>
      </c>
      <c r="K441" s="9">
        <v>3</v>
      </c>
      <c r="L441" s="9">
        <v>1</v>
      </c>
      <c r="M441" s="9">
        <v>2</v>
      </c>
      <c r="N441" s="186">
        <f t="shared" si="29"/>
        <v>0.59189702474662764</v>
      </c>
      <c r="O441" s="160">
        <f t="shared" si="30"/>
        <v>0.59189702474662764</v>
      </c>
      <c r="P441" s="63"/>
    </row>
    <row r="442" spans="1:16">
      <c r="A442" s="152" t="s">
        <v>269</v>
      </c>
      <c r="B442" s="34" t="s">
        <v>258</v>
      </c>
      <c r="C442" s="40" t="s">
        <v>188</v>
      </c>
      <c r="D442" s="69" t="s">
        <v>102</v>
      </c>
      <c r="E442" s="868">
        <v>1</v>
      </c>
      <c r="F442" s="34">
        <v>1</v>
      </c>
      <c r="G442" s="344" t="s">
        <v>119</v>
      </c>
      <c r="H442" s="29">
        <v>1</v>
      </c>
      <c r="I442" s="9"/>
      <c r="J442" s="9">
        <v>1</v>
      </c>
      <c r="K442" s="9">
        <v>1</v>
      </c>
      <c r="L442" s="9">
        <v>2</v>
      </c>
      <c r="M442" s="9">
        <v>2</v>
      </c>
      <c r="N442" s="186">
        <f t="shared" si="29"/>
        <v>0.35859414261160716</v>
      </c>
      <c r="O442" s="160" t="str">
        <f t="shared" si="30"/>
        <v/>
      </c>
      <c r="P442" s="63"/>
    </row>
    <row r="443" spans="1:16" hidden="1">
      <c r="A443" s="152" t="s">
        <v>293</v>
      </c>
      <c r="B443" s="34" t="s">
        <v>187</v>
      </c>
      <c r="C443" s="40" t="s">
        <v>147</v>
      </c>
      <c r="D443" s="34" t="s">
        <v>96</v>
      </c>
      <c r="E443" s="260">
        <v>7.5999999999999998E-2</v>
      </c>
      <c r="F443" s="235">
        <v>1</v>
      </c>
      <c r="G443" s="40" t="s">
        <v>317</v>
      </c>
      <c r="H443" s="29">
        <v>2</v>
      </c>
      <c r="I443" s="9">
        <v>2</v>
      </c>
      <c r="J443" s="9">
        <v>3</v>
      </c>
      <c r="K443" s="9">
        <v>3</v>
      </c>
      <c r="L443" s="9">
        <v>1</v>
      </c>
      <c r="M443" s="9">
        <v>2</v>
      </c>
      <c r="N443" s="186">
        <f t="shared" si="29"/>
        <v>0.59189702474662764</v>
      </c>
      <c r="O443" s="160">
        <f t="shared" si="30"/>
        <v>0.59189702474662764</v>
      </c>
      <c r="P443" s="63"/>
    </row>
    <row r="444" spans="1:16" hidden="1">
      <c r="A444" s="152" t="s">
        <v>293</v>
      </c>
      <c r="B444" s="34" t="s">
        <v>187</v>
      </c>
      <c r="C444" s="40" t="s">
        <v>147</v>
      </c>
      <c r="D444" s="34" t="s">
        <v>97</v>
      </c>
      <c r="E444" s="260">
        <v>7.5999999999999998E-2</v>
      </c>
      <c r="F444" s="235">
        <v>1</v>
      </c>
      <c r="G444" s="40" t="s">
        <v>318</v>
      </c>
      <c r="H444" s="29">
        <v>2</v>
      </c>
      <c r="I444" s="9">
        <v>2</v>
      </c>
      <c r="J444" s="9">
        <v>3</v>
      </c>
      <c r="K444" s="9">
        <v>3</v>
      </c>
      <c r="L444" s="9">
        <v>1</v>
      </c>
      <c r="M444" s="9">
        <v>2</v>
      </c>
      <c r="N444" s="186">
        <f t="shared" si="29"/>
        <v>0.59189702474662764</v>
      </c>
      <c r="O444" s="160">
        <f t="shared" si="30"/>
        <v>0.59189702474662764</v>
      </c>
      <c r="P444" s="63"/>
    </row>
    <row r="445" spans="1:16" hidden="1">
      <c r="A445" s="152" t="s">
        <v>37</v>
      </c>
      <c r="B445" s="34" t="s">
        <v>319</v>
      </c>
      <c r="C445" s="40" t="s">
        <v>147</v>
      </c>
      <c r="D445" s="34" t="s">
        <v>93</v>
      </c>
      <c r="E445" s="260">
        <f>Intentionally_produced_MPs!V127</f>
        <v>0</v>
      </c>
      <c r="F445" s="235">
        <v>1</v>
      </c>
      <c r="G445" s="40"/>
      <c r="H445" s="29"/>
      <c r="I445" s="9"/>
      <c r="J445" s="9"/>
      <c r="K445" s="9"/>
      <c r="L445" s="9"/>
      <c r="M445" s="9"/>
      <c r="N445" s="186" t="str">
        <f t="shared" si="29"/>
        <v/>
      </c>
      <c r="O445" s="160" t="str">
        <f t="shared" si="30"/>
        <v/>
      </c>
      <c r="P445" s="63"/>
    </row>
    <row r="446" spans="1:16" hidden="1">
      <c r="A446" s="152" t="s">
        <v>37</v>
      </c>
      <c r="B446" s="34" t="s">
        <v>319</v>
      </c>
      <c r="C446" s="40" t="s">
        <v>147</v>
      </c>
      <c r="D446" s="34" t="s">
        <v>94</v>
      </c>
      <c r="E446" s="260">
        <f>Intentionally_produced_MPs!V128</f>
        <v>0</v>
      </c>
      <c r="F446" s="235">
        <v>1</v>
      </c>
      <c r="G446" s="40"/>
      <c r="H446" s="29"/>
      <c r="I446" s="9"/>
      <c r="J446" s="9"/>
      <c r="K446" s="9"/>
      <c r="L446" s="9"/>
      <c r="M446" s="9"/>
      <c r="N446" s="186" t="str">
        <f t="shared" si="29"/>
        <v/>
      </c>
      <c r="O446" s="160" t="str">
        <f t="shared" si="30"/>
        <v/>
      </c>
      <c r="P446" s="63"/>
    </row>
    <row r="447" spans="1:16" hidden="1">
      <c r="A447" s="152" t="s">
        <v>37</v>
      </c>
      <c r="B447" s="34" t="s">
        <v>319</v>
      </c>
      <c r="C447" s="40" t="s">
        <v>147</v>
      </c>
      <c r="D447" s="34" t="s">
        <v>95</v>
      </c>
      <c r="E447" s="260">
        <f>Intentionally_produced_MPs!V129</f>
        <v>0</v>
      </c>
      <c r="F447" s="235">
        <v>1</v>
      </c>
      <c r="G447" s="40"/>
      <c r="H447" s="29"/>
      <c r="I447" s="9"/>
      <c r="J447" s="9"/>
      <c r="K447" s="9"/>
      <c r="L447" s="9"/>
      <c r="M447" s="9"/>
      <c r="N447" s="186" t="str">
        <f t="shared" si="29"/>
        <v/>
      </c>
      <c r="O447" s="160" t="str">
        <f t="shared" si="30"/>
        <v/>
      </c>
      <c r="P447" s="63"/>
    </row>
    <row r="448" spans="1:16" hidden="1">
      <c r="A448" s="152" t="s">
        <v>37</v>
      </c>
      <c r="B448" s="34" t="s">
        <v>319</v>
      </c>
      <c r="C448" s="40" t="s">
        <v>147</v>
      </c>
      <c r="D448" s="34" t="s">
        <v>96</v>
      </c>
      <c r="E448" s="260">
        <f>Intentionally_produced_MPs!V130</f>
        <v>0</v>
      </c>
      <c r="F448" s="235">
        <v>1</v>
      </c>
      <c r="G448" s="40"/>
      <c r="H448" s="29"/>
      <c r="I448" s="9"/>
      <c r="J448" s="9"/>
      <c r="K448" s="9"/>
      <c r="L448" s="9"/>
      <c r="M448" s="9"/>
      <c r="N448" s="186" t="str">
        <f t="shared" si="29"/>
        <v/>
      </c>
      <c r="O448" s="160" t="str">
        <f t="shared" si="30"/>
        <v/>
      </c>
      <c r="P448" s="63"/>
    </row>
    <row r="449" spans="1:16" hidden="1">
      <c r="A449" s="152" t="s">
        <v>37</v>
      </c>
      <c r="B449" s="34" t="s">
        <v>319</v>
      </c>
      <c r="C449" s="40" t="s">
        <v>147</v>
      </c>
      <c r="D449" s="34" t="s">
        <v>97</v>
      </c>
      <c r="E449" s="260">
        <f>Intentionally_produced_MPs!V131</f>
        <v>0</v>
      </c>
      <c r="F449" s="235">
        <v>1</v>
      </c>
      <c r="G449" s="40"/>
      <c r="H449" s="29"/>
      <c r="I449" s="9"/>
      <c r="J449" s="9"/>
      <c r="K449" s="9"/>
      <c r="L449" s="9"/>
      <c r="M449" s="9"/>
      <c r="N449" s="186" t="str">
        <f t="shared" si="29"/>
        <v/>
      </c>
      <c r="O449" s="160" t="str">
        <f t="shared" si="30"/>
        <v/>
      </c>
      <c r="P449" s="63"/>
    </row>
    <row r="450" spans="1:16" hidden="1">
      <c r="A450" s="152" t="s">
        <v>37</v>
      </c>
      <c r="B450" s="34" t="s">
        <v>319</v>
      </c>
      <c r="C450" s="40" t="s">
        <v>147</v>
      </c>
      <c r="D450" s="34" t="s">
        <v>98</v>
      </c>
      <c r="E450" s="260">
        <f>Intentionally_produced_MPs!V132</f>
        <v>0</v>
      </c>
      <c r="F450" s="235">
        <v>1</v>
      </c>
      <c r="G450" s="40"/>
      <c r="H450" s="29"/>
      <c r="I450" s="9"/>
      <c r="J450" s="9"/>
      <c r="K450" s="9"/>
      <c r="L450" s="9"/>
      <c r="M450" s="9"/>
      <c r="N450" s="186" t="str">
        <f t="shared" si="29"/>
        <v/>
      </c>
      <c r="O450" s="160" t="str">
        <f t="shared" si="30"/>
        <v/>
      </c>
      <c r="P450" s="63"/>
    </row>
    <row r="451" spans="1:16" hidden="1">
      <c r="A451" s="152" t="s">
        <v>37</v>
      </c>
      <c r="B451" s="34" t="s">
        <v>319</v>
      </c>
      <c r="C451" s="40" t="s">
        <v>147</v>
      </c>
      <c r="D451" s="34" t="s">
        <v>99</v>
      </c>
      <c r="E451" s="260">
        <f>Intentionally_produced_MPs!V133</f>
        <v>0</v>
      </c>
      <c r="F451" s="235">
        <v>1</v>
      </c>
      <c r="G451" s="40"/>
      <c r="H451" s="29"/>
      <c r="I451" s="9"/>
      <c r="J451" s="9"/>
      <c r="K451" s="9"/>
      <c r="L451" s="9"/>
      <c r="M451" s="9"/>
      <c r="N451" s="186" t="str">
        <f t="shared" si="29"/>
        <v/>
      </c>
      <c r="O451" s="160" t="str">
        <f t="shared" si="30"/>
        <v/>
      </c>
      <c r="P451" s="63"/>
    </row>
    <row r="452" spans="1:16" hidden="1">
      <c r="A452" s="152" t="s">
        <v>37</v>
      </c>
      <c r="B452" s="34" t="s">
        <v>319</v>
      </c>
      <c r="C452" s="40" t="s">
        <v>147</v>
      </c>
      <c r="D452" s="34" t="s">
        <v>100</v>
      </c>
      <c r="E452" s="260">
        <f>Intentionally_produced_MPs!V134</f>
        <v>1</v>
      </c>
      <c r="F452" s="235">
        <v>1</v>
      </c>
      <c r="G452" s="40" t="s">
        <v>320</v>
      </c>
      <c r="H452" s="29"/>
      <c r="I452" s="9"/>
      <c r="J452" s="9"/>
      <c r="K452" s="9"/>
      <c r="L452" s="9"/>
      <c r="M452" s="9"/>
      <c r="N452" s="186" t="str">
        <f t="shared" si="29"/>
        <v/>
      </c>
      <c r="O452" s="160" t="str">
        <f t="shared" si="30"/>
        <v/>
      </c>
      <c r="P452" s="63"/>
    </row>
    <row r="453" spans="1:16" hidden="1">
      <c r="A453" s="152" t="s">
        <v>37</v>
      </c>
      <c r="B453" s="34" t="s">
        <v>319</v>
      </c>
      <c r="C453" s="40" t="s">
        <v>147</v>
      </c>
      <c r="D453" s="34" t="s">
        <v>101</v>
      </c>
      <c r="E453" s="260">
        <f>Intentionally_produced_MPs!V135</f>
        <v>0</v>
      </c>
      <c r="F453" s="235">
        <v>1</v>
      </c>
      <c r="G453" s="40"/>
      <c r="H453" s="29"/>
      <c r="I453" s="9"/>
      <c r="J453" s="9"/>
      <c r="K453" s="9"/>
      <c r="L453" s="9"/>
      <c r="M453" s="9"/>
      <c r="N453" s="186" t="str">
        <f t="shared" si="29"/>
        <v/>
      </c>
      <c r="O453" s="160" t="str">
        <f t="shared" si="30"/>
        <v/>
      </c>
      <c r="P453" s="63"/>
    </row>
    <row r="454" spans="1:16" hidden="1">
      <c r="A454" s="152" t="s">
        <v>37</v>
      </c>
      <c r="B454" s="34" t="s">
        <v>319</v>
      </c>
      <c r="C454" s="40" t="s">
        <v>147</v>
      </c>
      <c r="D454" s="34" t="s">
        <v>102</v>
      </c>
      <c r="E454" s="260">
        <f>Intentionally_produced_MPs!V136</f>
        <v>0</v>
      </c>
      <c r="F454" s="235">
        <v>1</v>
      </c>
      <c r="G454" s="40"/>
      <c r="H454" s="29"/>
      <c r="I454" s="9"/>
      <c r="J454" s="9"/>
      <c r="K454" s="9"/>
      <c r="L454" s="9"/>
      <c r="M454" s="9"/>
      <c r="N454" s="186" t="str">
        <f t="shared" si="29"/>
        <v/>
      </c>
      <c r="O454" s="160" t="str">
        <f t="shared" si="30"/>
        <v/>
      </c>
      <c r="P454" s="63"/>
    </row>
    <row r="455" spans="1:16" hidden="1">
      <c r="A455" s="152" t="s">
        <v>37</v>
      </c>
      <c r="B455" s="34" t="s">
        <v>319</v>
      </c>
      <c r="C455" s="40" t="s">
        <v>147</v>
      </c>
      <c r="D455" s="34" t="s">
        <v>103</v>
      </c>
      <c r="E455" s="260">
        <f>Intentionally_produced_MPs!V137</f>
        <v>0</v>
      </c>
      <c r="F455" s="235">
        <v>1</v>
      </c>
      <c r="G455" s="40"/>
      <c r="H455" s="29"/>
      <c r="I455" s="9"/>
      <c r="J455" s="9"/>
      <c r="K455" s="9"/>
      <c r="L455" s="9"/>
      <c r="M455" s="9"/>
      <c r="N455" s="186" t="str">
        <f t="shared" si="29"/>
        <v/>
      </c>
      <c r="O455" s="160" t="str">
        <f t="shared" si="30"/>
        <v/>
      </c>
      <c r="P455" s="63"/>
    </row>
    <row r="456" spans="1:16" hidden="1">
      <c r="A456" s="152" t="s">
        <v>37</v>
      </c>
      <c r="B456" s="34" t="s">
        <v>319</v>
      </c>
      <c r="C456" s="40" t="s">
        <v>147</v>
      </c>
      <c r="D456" s="34" t="s">
        <v>104</v>
      </c>
      <c r="E456" s="260">
        <f>Intentionally_produced_MPs!V138</f>
        <v>0</v>
      </c>
      <c r="F456" s="235">
        <v>1</v>
      </c>
      <c r="G456" s="40"/>
      <c r="H456" s="29"/>
      <c r="I456" s="9"/>
      <c r="J456" s="9"/>
      <c r="K456" s="9"/>
      <c r="L456" s="9"/>
      <c r="M456" s="9"/>
      <c r="N456" s="186" t="str">
        <f t="shared" si="29"/>
        <v/>
      </c>
      <c r="O456" s="160" t="str">
        <f t="shared" si="30"/>
        <v/>
      </c>
      <c r="P456" s="63"/>
    </row>
    <row r="457" spans="1:16" hidden="1">
      <c r="A457" s="152" t="s">
        <v>37</v>
      </c>
      <c r="B457" s="34" t="s">
        <v>319</v>
      </c>
      <c r="C457" s="40" t="s">
        <v>147</v>
      </c>
      <c r="D457" s="34" t="s">
        <v>105</v>
      </c>
      <c r="E457" s="260">
        <f>Intentionally_produced_MPs!V139</f>
        <v>0</v>
      </c>
      <c r="F457" s="235">
        <v>1</v>
      </c>
      <c r="G457" s="40"/>
      <c r="H457" s="29"/>
      <c r="I457" s="9"/>
      <c r="J457" s="9"/>
      <c r="K457" s="9"/>
      <c r="L457" s="9"/>
      <c r="M457" s="9"/>
      <c r="N457" s="186" t="str">
        <f t="shared" si="29"/>
        <v/>
      </c>
      <c r="O457" s="160" t="str">
        <f t="shared" si="30"/>
        <v/>
      </c>
      <c r="P457" s="63"/>
    </row>
    <row r="458" spans="1:16" hidden="1">
      <c r="A458" s="152" t="s">
        <v>37</v>
      </c>
      <c r="B458" s="34" t="s">
        <v>319</v>
      </c>
      <c r="C458" s="40" t="s">
        <v>147</v>
      </c>
      <c r="D458" s="34" t="s">
        <v>106</v>
      </c>
      <c r="E458" s="260">
        <f>Intentionally_produced_MPs!V140</f>
        <v>0</v>
      </c>
      <c r="F458" s="235">
        <v>1</v>
      </c>
      <c r="G458" s="40"/>
      <c r="H458" s="29"/>
      <c r="I458" s="9"/>
      <c r="J458" s="9"/>
      <c r="K458" s="9"/>
      <c r="L458" s="9"/>
      <c r="M458" s="9"/>
      <c r="N458" s="186" t="str">
        <f t="shared" si="29"/>
        <v/>
      </c>
      <c r="O458" s="160" t="str">
        <f t="shared" si="30"/>
        <v/>
      </c>
      <c r="P458" s="63"/>
    </row>
    <row r="459" spans="1:16" hidden="1">
      <c r="A459" s="152" t="s">
        <v>319</v>
      </c>
      <c r="B459" s="34" t="s">
        <v>321</v>
      </c>
      <c r="C459" s="523" t="s">
        <v>147</v>
      </c>
      <c r="D459" s="37" t="s">
        <v>147</v>
      </c>
      <c r="E459" s="523" t="s">
        <v>158</v>
      </c>
      <c r="F459" s="37">
        <v>1</v>
      </c>
      <c r="G459" s="40"/>
      <c r="H459" s="29"/>
      <c r="I459" s="9"/>
      <c r="J459" s="9"/>
      <c r="K459" s="9"/>
      <c r="L459" s="9"/>
      <c r="M459" s="9"/>
      <c r="N459" s="186" t="str">
        <f t="shared" si="29"/>
        <v/>
      </c>
      <c r="O459" s="160" t="str">
        <f t="shared" si="30"/>
        <v/>
      </c>
      <c r="P459" s="63"/>
    </row>
    <row r="460" spans="1:16" hidden="1">
      <c r="A460" s="152" t="s">
        <v>319</v>
      </c>
      <c r="B460" s="34" t="s">
        <v>322</v>
      </c>
      <c r="C460" s="523" t="s">
        <v>147</v>
      </c>
      <c r="D460" s="37" t="s">
        <v>147</v>
      </c>
      <c r="E460" s="313">
        <v>0.11</v>
      </c>
      <c r="F460" s="37">
        <v>2</v>
      </c>
      <c r="G460" s="40" t="s">
        <v>323</v>
      </c>
      <c r="H460" s="29">
        <v>2</v>
      </c>
      <c r="I460" s="9">
        <v>2</v>
      </c>
      <c r="J460" s="9">
        <v>1</v>
      </c>
      <c r="K460" s="9">
        <v>1</v>
      </c>
      <c r="L460" s="9">
        <v>1</v>
      </c>
      <c r="M460" s="9">
        <v>1</v>
      </c>
      <c r="N460" s="186">
        <f t="shared" si="29"/>
        <v>0.16933510251023262</v>
      </c>
      <c r="O460" s="160">
        <f t="shared" si="30"/>
        <v>0.16933510251023262</v>
      </c>
      <c r="P460" s="63"/>
    </row>
    <row r="461" spans="1:16" hidden="1">
      <c r="A461" s="152" t="s">
        <v>37</v>
      </c>
      <c r="B461" s="34" t="s">
        <v>324</v>
      </c>
      <c r="C461" s="40" t="s">
        <v>147</v>
      </c>
      <c r="D461" s="34" t="s">
        <v>93</v>
      </c>
      <c r="E461" s="260">
        <f>Intentionally_produced_MPs!N127</f>
        <v>0</v>
      </c>
      <c r="F461" s="235">
        <v>1</v>
      </c>
      <c r="G461" s="40"/>
      <c r="H461" s="29"/>
      <c r="I461" s="9"/>
      <c r="J461" s="9"/>
      <c r="K461" s="9"/>
      <c r="L461" s="9"/>
      <c r="M461" s="9"/>
      <c r="N461" s="186" t="str">
        <f t="shared" ref="N461:N492" si="31">IF( OR( ISBLANK(H461),ISBLANK(J461), ISBLANK(K461), ISBLANK(L461), ISBLANK(M461) ), "", 1.5*SQRT(   EXP(2.21*(H461-1)) + EXP(2.21*(J461-1)) + EXP(2.21*(K461-1)) + EXP(2.21*(L461-1)) + EXP(2.21*M461)   )/100*2.45 )</f>
        <v/>
      </c>
      <c r="O461" s="160" t="str">
        <f t="shared" ref="O461:O492" si="32">IF( OR( ISBLANK(I461),ISBLANK(J461), ISBLANK(K461), ISBLANK(L461), ISBLANK(M461) ), "", 1.5*SQRT( EXP(2.21*(I461-1)) + EXP(2.21*(J461-1)) + EXP(2.21*(K461-1)) + EXP(2.21*(L461-1)) + EXP(2.21*M461)   )/100*2.45 )</f>
        <v/>
      </c>
      <c r="P461" s="63"/>
    </row>
    <row r="462" spans="1:16" hidden="1">
      <c r="A462" s="152" t="s">
        <v>37</v>
      </c>
      <c r="B462" s="34" t="s">
        <v>324</v>
      </c>
      <c r="C462" s="40" t="s">
        <v>147</v>
      </c>
      <c r="D462" s="34" t="s">
        <v>94</v>
      </c>
      <c r="E462" s="260">
        <f>Intentionally_produced_MPs!N128</f>
        <v>0</v>
      </c>
      <c r="F462" s="235">
        <v>1</v>
      </c>
      <c r="G462" s="40"/>
      <c r="H462" s="29"/>
      <c r="I462" s="9"/>
      <c r="J462" s="9"/>
      <c r="K462" s="9"/>
      <c r="L462" s="9"/>
      <c r="M462" s="9"/>
      <c r="N462" s="186" t="str">
        <f t="shared" si="31"/>
        <v/>
      </c>
      <c r="O462" s="160" t="str">
        <f t="shared" si="32"/>
        <v/>
      </c>
      <c r="P462" s="63"/>
    </row>
    <row r="463" spans="1:16" hidden="1">
      <c r="A463" s="152" t="s">
        <v>37</v>
      </c>
      <c r="B463" s="34" t="s">
        <v>324</v>
      </c>
      <c r="C463" s="40" t="s">
        <v>147</v>
      </c>
      <c r="D463" s="34" t="s">
        <v>95</v>
      </c>
      <c r="E463" s="260">
        <f>Intentionally_produced_MPs!N129</f>
        <v>0</v>
      </c>
      <c r="F463" s="235">
        <v>1</v>
      </c>
      <c r="G463" s="40"/>
      <c r="H463" s="29"/>
      <c r="I463" s="9"/>
      <c r="J463" s="9"/>
      <c r="K463" s="9"/>
      <c r="L463" s="9"/>
      <c r="M463" s="9"/>
      <c r="N463" s="186" t="str">
        <f t="shared" si="31"/>
        <v/>
      </c>
      <c r="O463" s="160" t="str">
        <f t="shared" si="32"/>
        <v/>
      </c>
      <c r="P463" s="63"/>
    </row>
    <row r="464" spans="1:16" hidden="1">
      <c r="A464" s="152" t="s">
        <v>37</v>
      </c>
      <c r="B464" s="34" t="s">
        <v>324</v>
      </c>
      <c r="C464" s="40" t="s">
        <v>147</v>
      </c>
      <c r="D464" s="34" t="s">
        <v>96</v>
      </c>
      <c r="E464" s="260">
        <f>Intentionally_produced_MPs!N130</f>
        <v>0</v>
      </c>
      <c r="F464" s="235">
        <v>1</v>
      </c>
      <c r="G464" s="40"/>
      <c r="H464" s="29"/>
      <c r="I464" s="9"/>
      <c r="J464" s="9"/>
      <c r="K464" s="9"/>
      <c r="L464" s="9"/>
      <c r="M464" s="9"/>
      <c r="N464" s="186" t="str">
        <f t="shared" si="31"/>
        <v/>
      </c>
      <c r="O464" s="160" t="str">
        <f t="shared" si="32"/>
        <v/>
      </c>
      <c r="P464" s="63"/>
    </row>
    <row r="465" spans="1:16" hidden="1">
      <c r="A465" s="152" t="s">
        <v>37</v>
      </c>
      <c r="B465" s="34" t="s">
        <v>324</v>
      </c>
      <c r="C465" s="40" t="s">
        <v>147</v>
      </c>
      <c r="D465" s="34" t="s">
        <v>97</v>
      </c>
      <c r="E465" s="260">
        <f>Intentionally_produced_MPs!N131</f>
        <v>0</v>
      </c>
      <c r="F465" s="235">
        <v>1</v>
      </c>
      <c r="G465" s="40"/>
      <c r="H465" s="29"/>
      <c r="I465" s="9"/>
      <c r="J465" s="9"/>
      <c r="K465" s="9"/>
      <c r="L465" s="9"/>
      <c r="M465" s="9"/>
      <c r="N465" s="186" t="str">
        <f t="shared" si="31"/>
        <v/>
      </c>
      <c r="O465" s="160" t="str">
        <f t="shared" si="32"/>
        <v/>
      </c>
      <c r="P465" s="63"/>
    </row>
    <row r="466" spans="1:16" hidden="1">
      <c r="A466" s="152" t="s">
        <v>37</v>
      </c>
      <c r="B466" s="34" t="s">
        <v>324</v>
      </c>
      <c r="C466" s="40" t="s">
        <v>147</v>
      </c>
      <c r="D466" s="34" t="s">
        <v>98</v>
      </c>
      <c r="E466" s="260">
        <f>Intentionally_produced_MPs!N132</f>
        <v>0</v>
      </c>
      <c r="F466" s="235">
        <v>1</v>
      </c>
      <c r="G466" s="40"/>
      <c r="H466" s="29"/>
      <c r="I466" s="9"/>
      <c r="J466" s="9"/>
      <c r="K466" s="9"/>
      <c r="L466" s="9"/>
      <c r="M466" s="9"/>
      <c r="N466" s="186" t="str">
        <f t="shared" si="31"/>
        <v/>
      </c>
      <c r="O466" s="160" t="str">
        <f t="shared" si="32"/>
        <v/>
      </c>
      <c r="P466" s="63"/>
    </row>
    <row r="467" spans="1:16" hidden="1">
      <c r="A467" s="152" t="s">
        <v>37</v>
      </c>
      <c r="B467" s="34" t="s">
        <v>324</v>
      </c>
      <c r="C467" s="40" t="s">
        <v>147</v>
      </c>
      <c r="D467" s="34" t="s">
        <v>99</v>
      </c>
      <c r="E467" s="260">
        <f>Intentionally_produced_MPs!N133</f>
        <v>0</v>
      </c>
      <c r="F467" s="235">
        <v>1</v>
      </c>
      <c r="G467" s="40"/>
      <c r="H467" s="29"/>
      <c r="I467" s="9"/>
      <c r="J467" s="9"/>
      <c r="K467" s="9"/>
      <c r="L467" s="9"/>
      <c r="M467" s="9"/>
      <c r="N467" s="186" t="str">
        <f t="shared" si="31"/>
        <v/>
      </c>
      <c r="O467" s="160" t="str">
        <f t="shared" si="32"/>
        <v/>
      </c>
      <c r="P467" s="63"/>
    </row>
    <row r="468" spans="1:16" hidden="1">
      <c r="A468" s="152" t="s">
        <v>37</v>
      </c>
      <c r="B468" s="34" t="s">
        <v>324</v>
      </c>
      <c r="C468" s="40" t="s">
        <v>147</v>
      </c>
      <c r="D468" s="34" t="s">
        <v>100</v>
      </c>
      <c r="E468" s="260">
        <f>Intentionally_produced_MPs!N134</f>
        <v>0</v>
      </c>
      <c r="F468" s="235">
        <v>1</v>
      </c>
      <c r="G468" s="40"/>
      <c r="H468" s="29"/>
      <c r="I468" s="9"/>
      <c r="J468" s="9"/>
      <c r="K468" s="9"/>
      <c r="L468" s="9"/>
      <c r="M468" s="9"/>
      <c r="N468" s="186" t="str">
        <f t="shared" si="31"/>
        <v/>
      </c>
      <c r="O468" s="160" t="str">
        <f t="shared" si="32"/>
        <v/>
      </c>
      <c r="P468" s="63"/>
    </row>
    <row r="469" spans="1:16" hidden="1">
      <c r="A469" s="152" t="s">
        <v>37</v>
      </c>
      <c r="B469" s="34" t="s">
        <v>324</v>
      </c>
      <c r="C469" s="40" t="s">
        <v>147</v>
      </c>
      <c r="D469" s="34" t="s">
        <v>101</v>
      </c>
      <c r="E469" s="260">
        <f>Intentionally_produced_MPs!N135</f>
        <v>0</v>
      </c>
      <c r="F469" s="235">
        <v>1</v>
      </c>
      <c r="G469" s="40"/>
      <c r="H469" s="29"/>
      <c r="I469" s="9"/>
      <c r="J469" s="9"/>
      <c r="K469" s="9"/>
      <c r="L469" s="9"/>
      <c r="M469" s="9"/>
      <c r="N469" s="186" t="str">
        <f t="shared" si="31"/>
        <v/>
      </c>
      <c r="O469" s="160" t="str">
        <f t="shared" si="32"/>
        <v/>
      </c>
      <c r="P469" s="63"/>
    </row>
    <row r="470" spans="1:16" hidden="1">
      <c r="A470" s="152" t="s">
        <v>37</v>
      </c>
      <c r="B470" s="34" t="s">
        <v>324</v>
      </c>
      <c r="C470" s="40" t="s">
        <v>147</v>
      </c>
      <c r="D470" s="34" t="s">
        <v>102</v>
      </c>
      <c r="E470" s="260">
        <f>Intentionally_produced_MPs!N136</f>
        <v>0</v>
      </c>
      <c r="F470" s="235">
        <v>1</v>
      </c>
      <c r="G470" s="40"/>
      <c r="H470" s="29"/>
      <c r="I470" s="9"/>
      <c r="J470" s="9"/>
      <c r="K470" s="9"/>
      <c r="L470" s="9"/>
      <c r="M470" s="9"/>
      <c r="N470" s="186" t="str">
        <f t="shared" si="31"/>
        <v/>
      </c>
      <c r="O470" s="160" t="str">
        <f t="shared" si="32"/>
        <v/>
      </c>
      <c r="P470" s="63"/>
    </row>
    <row r="471" spans="1:16" hidden="1">
      <c r="A471" s="152" t="s">
        <v>37</v>
      </c>
      <c r="B471" s="34" t="s">
        <v>324</v>
      </c>
      <c r="C471" s="40" t="s">
        <v>147</v>
      </c>
      <c r="D471" s="34" t="s">
        <v>103</v>
      </c>
      <c r="E471" s="260">
        <f>Intentionally_produced_MPs!N137</f>
        <v>0</v>
      </c>
      <c r="F471" s="235">
        <v>1</v>
      </c>
      <c r="G471" s="40"/>
      <c r="H471" s="29"/>
      <c r="I471" s="9"/>
      <c r="J471" s="9"/>
      <c r="K471" s="9"/>
      <c r="L471" s="9"/>
      <c r="M471" s="9"/>
      <c r="N471" s="186" t="str">
        <f t="shared" si="31"/>
        <v/>
      </c>
      <c r="O471" s="160" t="str">
        <f t="shared" si="32"/>
        <v/>
      </c>
      <c r="P471" s="63"/>
    </row>
    <row r="472" spans="1:16" hidden="1">
      <c r="A472" s="152" t="s">
        <v>37</v>
      </c>
      <c r="B472" s="34" t="s">
        <v>324</v>
      </c>
      <c r="C472" s="40" t="s">
        <v>147</v>
      </c>
      <c r="D472" s="34" t="s">
        <v>104</v>
      </c>
      <c r="E472" s="260">
        <f>Intentionally_produced_MPs!N138</f>
        <v>0</v>
      </c>
      <c r="F472" s="235">
        <v>1</v>
      </c>
      <c r="G472" s="40"/>
      <c r="H472" s="29"/>
      <c r="I472" s="9"/>
      <c r="J472" s="9"/>
      <c r="K472" s="9"/>
      <c r="L472" s="9"/>
      <c r="M472" s="9"/>
      <c r="N472" s="186" t="str">
        <f t="shared" si="31"/>
        <v/>
      </c>
      <c r="O472" s="160" t="str">
        <f t="shared" si="32"/>
        <v/>
      </c>
      <c r="P472" s="63"/>
    </row>
    <row r="473" spans="1:16" hidden="1">
      <c r="A473" s="152" t="s">
        <v>37</v>
      </c>
      <c r="B473" s="34" t="s">
        <v>324</v>
      </c>
      <c r="C473" s="40" t="s">
        <v>147</v>
      </c>
      <c r="D473" s="34" t="s">
        <v>105</v>
      </c>
      <c r="E473" s="260">
        <f>Intentionally_produced_MPs!N139</f>
        <v>0</v>
      </c>
      <c r="F473" s="235">
        <v>1</v>
      </c>
      <c r="G473" s="40"/>
      <c r="H473" s="29"/>
      <c r="I473" s="9"/>
      <c r="J473" s="9"/>
      <c r="K473" s="9"/>
      <c r="L473" s="9"/>
      <c r="M473" s="9"/>
      <c r="N473" s="186" t="str">
        <f t="shared" si="31"/>
        <v/>
      </c>
      <c r="O473" s="160" t="str">
        <f t="shared" si="32"/>
        <v/>
      </c>
      <c r="P473" s="63"/>
    </row>
    <row r="474" spans="1:16" hidden="1">
      <c r="A474" s="152" t="s">
        <v>37</v>
      </c>
      <c r="B474" s="34" t="s">
        <v>324</v>
      </c>
      <c r="C474" s="40" t="s">
        <v>147</v>
      </c>
      <c r="D474" s="34" t="s">
        <v>106</v>
      </c>
      <c r="E474" s="260">
        <f>Intentionally_produced_MPs!N140</f>
        <v>6.6532165485482164E-3</v>
      </c>
      <c r="F474" s="235">
        <v>1</v>
      </c>
      <c r="G474" s="40"/>
      <c r="H474" s="29">
        <v>3</v>
      </c>
      <c r="I474" s="9">
        <v>2</v>
      </c>
      <c r="J474" s="9">
        <v>3</v>
      </c>
      <c r="K474" s="9">
        <v>3</v>
      </c>
      <c r="L474" s="9">
        <v>3</v>
      </c>
      <c r="M474" s="9">
        <v>3</v>
      </c>
      <c r="N474" s="186">
        <f t="shared" si="31"/>
        <v>1.2132328390150593</v>
      </c>
      <c r="O474" s="160">
        <f t="shared" si="32"/>
        <v>1.1713319510247036</v>
      </c>
      <c r="P474" s="63"/>
    </row>
    <row r="475" spans="1:16" hidden="1">
      <c r="A475" s="152" t="s">
        <v>183</v>
      </c>
      <c r="B475" s="34" t="s">
        <v>192</v>
      </c>
      <c r="C475" s="40" t="s">
        <v>147</v>
      </c>
      <c r="D475" s="34" t="s">
        <v>147</v>
      </c>
      <c r="E475" s="260">
        <v>0</v>
      </c>
      <c r="F475" s="235">
        <v>1</v>
      </c>
      <c r="G475" s="40" t="s">
        <v>165</v>
      </c>
      <c r="H475" s="29"/>
      <c r="I475" s="9"/>
      <c r="J475" s="9"/>
      <c r="K475" s="9"/>
      <c r="L475" s="9"/>
      <c r="M475" s="9"/>
      <c r="N475" s="186" t="str">
        <f t="shared" si="31"/>
        <v/>
      </c>
      <c r="O475" s="160" t="str">
        <f t="shared" si="32"/>
        <v/>
      </c>
      <c r="P475" s="63"/>
    </row>
    <row r="476" spans="1:16" hidden="1">
      <c r="A476" s="152" t="s">
        <v>183</v>
      </c>
      <c r="B476" s="34" t="s">
        <v>192</v>
      </c>
      <c r="C476" s="40" t="s">
        <v>147</v>
      </c>
      <c r="D476" s="34" t="s">
        <v>147</v>
      </c>
      <c r="E476" s="40">
        <v>0</v>
      </c>
      <c r="F476" s="235">
        <v>1</v>
      </c>
      <c r="G476" s="40" t="s">
        <v>165</v>
      </c>
      <c r="H476" s="29"/>
      <c r="I476" s="9"/>
      <c r="J476" s="9"/>
      <c r="K476" s="9"/>
      <c r="L476" s="9"/>
      <c r="M476" s="9"/>
      <c r="N476" s="186" t="str">
        <f t="shared" si="31"/>
        <v/>
      </c>
      <c r="O476" s="160" t="str">
        <f t="shared" si="32"/>
        <v/>
      </c>
      <c r="P476" s="858"/>
    </row>
    <row r="477" spans="1:16" hidden="1">
      <c r="A477" s="152" t="s">
        <v>183</v>
      </c>
      <c r="B477" s="34" t="s">
        <v>325</v>
      </c>
      <c r="C477" s="40" t="s">
        <v>147</v>
      </c>
      <c r="D477" s="34" t="s">
        <v>147</v>
      </c>
      <c r="E477" s="260">
        <v>1.2999999999999999E-3</v>
      </c>
      <c r="F477" s="235">
        <v>2</v>
      </c>
      <c r="G477" s="40" t="s">
        <v>185</v>
      </c>
      <c r="H477" s="29">
        <v>2</v>
      </c>
      <c r="I477" s="9">
        <v>2</v>
      </c>
      <c r="J477" s="9">
        <v>2</v>
      </c>
      <c r="K477" s="9">
        <v>3</v>
      </c>
      <c r="L477" s="9">
        <v>2</v>
      </c>
      <c r="M477" s="9">
        <v>2</v>
      </c>
      <c r="N477" s="186">
        <f t="shared" si="31"/>
        <v>0.51126068492676302</v>
      </c>
      <c r="O477" s="160">
        <f t="shared" si="32"/>
        <v>0.51126068492676302</v>
      </c>
      <c r="P477" s="63"/>
    </row>
    <row r="478" spans="1:16" hidden="1">
      <c r="A478" s="152" t="s">
        <v>293</v>
      </c>
      <c r="B478" s="34" t="s">
        <v>187</v>
      </c>
      <c r="C478" s="40" t="s">
        <v>147</v>
      </c>
      <c r="D478" s="34" t="s">
        <v>98</v>
      </c>
      <c r="E478" s="260">
        <v>7.5999999999999998E-2</v>
      </c>
      <c r="F478" s="235">
        <v>1</v>
      </c>
      <c r="G478" s="40" t="s">
        <v>326</v>
      </c>
      <c r="H478" s="29">
        <v>2</v>
      </c>
      <c r="I478" s="9">
        <v>2</v>
      </c>
      <c r="J478" s="9">
        <v>3</v>
      </c>
      <c r="K478" s="9">
        <v>3</v>
      </c>
      <c r="L478" s="9">
        <v>1</v>
      </c>
      <c r="M478" s="9">
        <v>2</v>
      </c>
      <c r="N478" s="186">
        <f t="shared" si="31"/>
        <v>0.59189702474662764</v>
      </c>
      <c r="O478" s="160">
        <f t="shared" si="32"/>
        <v>0.59189702474662764</v>
      </c>
      <c r="P478" s="63"/>
    </row>
    <row r="479" spans="1:16" hidden="1">
      <c r="A479" s="152" t="s">
        <v>183</v>
      </c>
      <c r="B479" s="34" t="s">
        <v>325</v>
      </c>
      <c r="C479" s="40" t="s">
        <v>147</v>
      </c>
      <c r="D479" s="34" t="s">
        <v>147</v>
      </c>
      <c r="E479" s="260">
        <v>1.47E-2</v>
      </c>
      <c r="F479" s="235">
        <v>2</v>
      </c>
      <c r="G479" s="40" t="s">
        <v>327</v>
      </c>
      <c r="H479" s="29">
        <v>2</v>
      </c>
      <c r="I479" s="9">
        <v>2</v>
      </c>
      <c r="J479" s="9">
        <v>2</v>
      </c>
      <c r="K479" s="9">
        <v>3</v>
      </c>
      <c r="L479" s="9">
        <v>2</v>
      </c>
      <c r="M479" s="9">
        <v>2</v>
      </c>
      <c r="N479" s="186">
        <f t="shared" si="31"/>
        <v>0.51126068492676302</v>
      </c>
      <c r="O479" s="160">
        <f t="shared" si="32"/>
        <v>0.51126068492676302</v>
      </c>
      <c r="P479" s="63"/>
    </row>
    <row r="480" spans="1:16" hidden="1">
      <c r="A480" s="152" t="s">
        <v>183</v>
      </c>
      <c r="B480" s="34" t="s">
        <v>325</v>
      </c>
      <c r="C480" s="40" t="s">
        <v>147</v>
      </c>
      <c r="D480" s="34" t="s">
        <v>147</v>
      </c>
      <c r="E480" s="40">
        <v>1.2999999999999999E-3</v>
      </c>
      <c r="F480" s="235">
        <v>2</v>
      </c>
      <c r="G480" s="40" t="s">
        <v>328</v>
      </c>
      <c r="H480" s="29">
        <v>2</v>
      </c>
      <c r="I480" s="9">
        <v>2</v>
      </c>
      <c r="J480" s="9">
        <v>2</v>
      </c>
      <c r="K480" s="9">
        <v>3</v>
      </c>
      <c r="L480" s="9">
        <v>2</v>
      </c>
      <c r="M480" s="9">
        <v>2</v>
      </c>
      <c r="N480" s="186">
        <f t="shared" si="31"/>
        <v>0.51126068492676302</v>
      </c>
      <c r="O480" s="160">
        <f t="shared" si="32"/>
        <v>0.51126068492676302</v>
      </c>
      <c r="P480" s="858"/>
    </row>
    <row r="481" spans="1:868" hidden="1">
      <c r="A481" s="152" t="s">
        <v>183</v>
      </c>
      <c r="B481" s="34" t="s">
        <v>325</v>
      </c>
      <c r="C481" s="40" t="s">
        <v>147</v>
      </c>
      <c r="D481" s="34" t="s">
        <v>147</v>
      </c>
      <c r="E481" s="40">
        <v>1.47E-2</v>
      </c>
      <c r="F481" s="235">
        <v>2</v>
      </c>
      <c r="G481" s="40" t="s">
        <v>329</v>
      </c>
      <c r="H481" s="29">
        <v>2</v>
      </c>
      <c r="I481" s="9">
        <v>2</v>
      </c>
      <c r="J481" s="9">
        <v>2</v>
      </c>
      <c r="K481" s="9">
        <v>3</v>
      </c>
      <c r="L481" s="9">
        <v>2</v>
      </c>
      <c r="M481" s="9">
        <v>2</v>
      </c>
      <c r="N481" s="186">
        <f t="shared" si="31"/>
        <v>0.51126068492676302</v>
      </c>
      <c r="O481" s="160">
        <f t="shared" si="32"/>
        <v>0.51126068492676302</v>
      </c>
      <c r="P481" s="858"/>
    </row>
    <row r="482" spans="1:868" hidden="1">
      <c r="A482" s="873" t="s">
        <v>236</v>
      </c>
      <c r="B482" s="874" t="s">
        <v>187</v>
      </c>
      <c r="C482" s="875" t="s">
        <v>190</v>
      </c>
      <c r="D482" s="874" t="s">
        <v>147</v>
      </c>
      <c r="E482" s="876" t="s">
        <v>158</v>
      </c>
      <c r="F482" s="877">
        <v>1</v>
      </c>
      <c r="G482" s="875"/>
      <c r="H482" s="841"/>
      <c r="I482" s="656"/>
      <c r="J482" s="656"/>
      <c r="K482" s="656" t="str">
        <f>IF( OR( ISBLANK(#REF!),ISBLANK(G482), ISBLANK(#REF!), ISBLANK(H482), ISBLANK(J482) ), "", 1.5*SQRT(   EXP(2.21*(#REF!-1)) + EXP(2.21*(G482-1)) + EXP(2.21*(#REF!-1)) + EXP(2.21*(H482-1)) + EXP(2.21*J482)   )/100 )</f>
        <v/>
      </c>
      <c r="L482" s="656" t="s">
        <v>262</v>
      </c>
      <c r="M482" s="656"/>
      <c r="N482" s="850" t="str">
        <f t="shared" si="31"/>
        <v/>
      </c>
      <c r="O482" s="851" t="str">
        <f t="shared" si="32"/>
        <v/>
      </c>
      <c r="P482" s="858"/>
    </row>
    <row r="483" spans="1:868" hidden="1">
      <c r="A483" s="873" t="s">
        <v>236</v>
      </c>
      <c r="B483" s="874" t="s">
        <v>187</v>
      </c>
      <c r="C483" s="875" t="s">
        <v>188</v>
      </c>
      <c r="D483" s="874" t="s">
        <v>147</v>
      </c>
      <c r="E483" s="876" t="s">
        <v>158</v>
      </c>
      <c r="F483" s="877">
        <v>1</v>
      </c>
      <c r="G483" s="875"/>
      <c r="H483" s="841"/>
      <c r="I483" s="656"/>
      <c r="J483" s="656"/>
      <c r="K483" s="656" t="str">
        <f>IF( OR( ISBLANK(#REF!),ISBLANK(G483), ISBLANK(#REF!), ISBLANK(H483), ISBLANK(J483) ), "", 1.5*SQRT(   EXP(2.21*(#REF!-1)) + EXP(2.21*(G483-1)) + EXP(2.21*(#REF!-1)) + EXP(2.21*(H483-1)) + EXP(2.21*J483)   )/100 )</f>
        <v/>
      </c>
      <c r="L483" s="656" t="s">
        <v>262</v>
      </c>
      <c r="M483" s="656"/>
      <c r="N483" s="850" t="str">
        <f t="shared" si="31"/>
        <v/>
      </c>
      <c r="O483" s="851" t="str">
        <f t="shared" si="32"/>
        <v/>
      </c>
      <c r="P483" s="858"/>
    </row>
    <row r="484" spans="1:868" hidden="1">
      <c r="A484" s="873" t="s">
        <v>236</v>
      </c>
      <c r="B484" s="874" t="s">
        <v>192</v>
      </c>
      <c r="C484" s="875" t="s">
        <v>190</v>
      </c>
      <c r="D484" s="874" t="s">
        <v>147</v>
      </c>
      <c r="E484" s="876">
        <v>0</v>
      </c>
      <c r="F484" s="877">
        <v>2</v>
      </c>
      <c r="G484" s="875" t="s">
        <v>330</v>
      </c>
      <c r="H484" s="841"/>
      <c r="I484" s="656"/>
      <c r="J484" s="656"/>
      <c r="K484" s="656"/>
      <c r="L484" s="656"/>
      <c r="M484" s="656"/>
      <c r="N484" s="850" t="str">
        <f t="shared" si="31"/>
        <v/>
      </c>
      <c r="O484" s="851" t="str">
        <f t="shared" si="32"/>
        <v/>
      </c>
      <c r="P484" s="858"/>
    </row>
    <row r="485" spans="1:868" hidden="1">
      <c r="A485" s="152" t="s">
        <v>293</v>
      </c>
      <c r="B485" s="34" t="s">
        <v>187</v>
      </c>
      <c r="C485" s="40" t="s">
        <v>147</v>
      </c>
      <c r="D485" s="34" t="s">
        <v>99</v>
      </c>
      <c r="E485" s="260">
        <v>0.03</v>
      </c>
      <c r="F485" s="235">
        <v>1</v>
      </c>
      <c r="G485" s="40" t="s">
        <v>268</v>
      </c>
      <c r="H485" s="29">
        <v>1</v>
      </c>
      <c r="I485" s="9">
        <v>2</v>
      </c>
      <c r="J485" s="9">
        <v>3</v>
      </c>
      <c r="K485" s="9">
        <v>1</v>
      </c>
      <c r="L485" s="9">
        <v>1</v>
      </c>
      <c r="M485" s="9">
        <v>2</v>
      </c>
      <c r="N485" s="186">
        <f t="shared" si="31"/>
        <v>0.47802211380704585</v>
      </c>
      <c r="O485" s="160">
        <f t="shared" si="32"/>
        <v>0.48935255543384243</v>
      </c>
      <c r="P485" s="63"/>
    </row>
    <row r="486" spans="1:868" hidden="1">
      <c r="A486" s="873" t="s">
        <v>236</v>
      </c>
      <c r="B486" s="874" t="s">
        <v>192</v>
      </c>
      <c r="C486" s="875" t="s">
        <v>190</v>
      </c>
      <c r="D486" s="874" t="s">
        <v>147</v>
      </c>
      <c r="E486" s="876">
        <f>1-E484</f>
        <v>1</v>
      </c>
      <c r="F486" s="877">
        <v>2</v>
      </c>
      <c r="G486" s="875" t="s">
        <v>331</v>
      </c>
      <c r="H486" s="841"/>
      <c r="I486" s="656"/>
      <c r="J486" s="656"/>
      <c r="K486" s="656"/>
      <c r="L486" s="656"/>
      <c r="M486" s="656"/>
      <c r="N486" s="850" t="str">
        <f t="shared" si="31"/>
        <v/>
      </c>
      <c r="O486" s="851" t="str">
        <f t="shared" si="32"/>
        <v/>
      </c>
      <c r="P486" s="858"/>
    </row>
    <row r="487" spans="1:868" hidden="1">
      <c r="A487" s="152" t="s">
        <v>121</v>
      </c>
      <c r="B487" s="34" t="s">
        <v>254</v>
      </c>
      <c r="C487" s="40" t="s">
        <v>147</v>
      </c>
      <c r="D487" s="34" t="s">
        <v>103</v>
      </c>
      <c r="E487" s="260">
        <v>0</v>
      </c>
      <c r="F487" s="235">
        <v>1</v>
      </c>
      <c r="G487" s="40"/>
      <c r="H487" s="29"/>
      <c r="I487" s="9"/>
      <c r="J487" s="9"/>
      <c r="K487" s="9"/>
      <c r="L487" s="9"/>
      <c r="M487" s="9"/>
      <c r="N487" s="186" t="str">
        <f t="shared" si="31"/>
        <v/>
      </c>
      <c r="O487" s="160" t="str">
        <f t="shared" si="32"/>
        <v/>
      </c>
      <c r="P487" s="63"/>
    </row>
    <row r="488" spans="1:868" hidden="1">
      <c r="A488" s="152" t="s">
        <v>121</v>
      </c>
      <c r="B488" s="34" t="s">
        <v>254</v>
      </c>
      <c r="C488" s="40" t="s">
        <v>147</v>
      </c>
      <c r="D488" s="34" t="s">
        <v>107</v>
      </c>
      <c r="E488" s="260">
        <v>0</v>
      </c>
      <c r="F488" s="235">
        <v>1</v>
      </c>
      <c r="G488" s="40"/>
      <c r="H488" s="29"/>
      <c r="I488" s="9"/>
      <c r="J488" s="9"/>
      <c r="K488" s="9"/>
      <c r="L488" s="9"/>
      <c r="M488" s="9"/>
      <c r="N488" s="186" t="str">
        <f t="shared" si="31"/>
        <v/>
      </c>
      <c r="O488" s="160" t="str">
        <f t="shared" si="32"/>
        <v/>
      </c>
      <c r="P488" s="63"/>
    </row>
    <row r="489" spans="1:868" hidden="1">
      <c r="A489" s="152" t="s">
        <v>217</v>
      </c>
      <c r="B489" s="34" t="s">
        <v>332</v>
      </c>
      <c r="C489" s="40" t="s">
        <v>147</v>
      </c>
      <c r="D489" s="34" t="s">
        <v>147</v>
      </c>
      <c r="E489" s="260">
        <v>0.33</v>
      </c>
      <c r="F489" s="235">
        <v>2</v>
      </c>
      <c r="G489" s="40" t="s">
        <v>333</v>
      </c>
      <c r="H489" s="29">
        <v>2</v>
      </c>
      <c r="I489" s="9"/>
      <c r="J489" s="9">
        <v>1</v>
      </c>
      <c r="K489" s="9">
        <v>3</v>
      </c>
      <c r="L489" s="9">
        <v>1</v>
      </c>
      <c r="M489" s="9">
        <v>2</v>
      </c>
      <c r="N489" s="186">
        <f t="shared" si="31"/>
        <v>0.48935255543384243</v>
      </c>
      <c r="O489" s="160" t="str">
        <f t="shared" si="32"/>
        <v/>
      </c>
      <c r="P489" s="63"/>
    </row>
    <row r="490" spans="1:868" hidden="1">
      <c r="A490" s="152" t="s">
        <v>334</v>
      </c>
      <c r="B490" s="34" t="s">
        <v>332</v>
      </c>
      <c r="C490" s="40" t="s">
        <v>147</v>
      </c>
      <c r="D490" s="34" t="s">
        <v>147</v>
      </c>
      <c r="E490" s="260">
        <v>0.15</v>
      </c>
      <c r="F490" s="235">
        <v>2</v>
      </c>
      <c r="G490" s="40" t="s">
        <v>335</v>
      </c>
      <c r="H490" s="29">
        <v>2</v>
      </c>
      <c r="I490" s="9"/>
      <c r="J490" s="9">
        <v>3</v>
      </c>
      <c r="K490" s="9">
        <v>3</v>
      </c>
      <c r="L490" s="9">
        <v>1</v>
      </c>
      <c r="M490" s="9">
        <v>2</v>
      </c>
      <c r="N490" s="186">
        <f t="shared" si="31"/>
        <v>0.59189702474662764</v>
      </c>
      <c r="O490" s="160" t="str">
        <f t="shared" si="32"/>
        <v/>
      </c>
      <c r="P490" s="63"/>
    </row>
    <row r="491" spans="1:868" hidden="1">
      <c r="A491" s="152" t="s">
        <v>217</v>
      </c>
      <c r="B491" s="34" t="s">
        <v>336</v>
      </c>
      <c r="C491" s="40" t="s">
        <v>147</v>
      </c>
      <c r="D491" s="34" t="s">
        <v>147</v>
      </c>
      <c r="E491" s="260">
        <v>0.16</v>
      </c>
      <c r="F491" s="235">
        <v>2</v>
      </c>
      <c r="G491" s="40" t="s">
        <v>333</v>
      </c>
      <c r="H491" s="29">
        <v>2</v>
      </c>
      <c r="I491" s="9"/>
      <c r="J491" s="9">
        <v>1</v>
      </c>
      <c r="K491" s="9">
        <v>3</v>
      </c>
      <c r="L491" s="9">
        <v>1</v>
      </c>
      <c r="M491" s="9">
        <v>2</v>
      </c>
      <c r="N491" s="186">
        <f t="shared" si="31"/>
        <v>0.48935255543384243</v>
      </c>
      <c r="O491" s="160" t="str">
        <f t="shared" si="32"/>
        <v/>
      </c>
      <c r="P491" s="63"/>
    </row>
    <row r="492" spans="1:868" hidden="1">
      <c r="A492" s="152" t="s">
        <v>248</v>
      </c>
      <c r="B492" s="34" t="s">
        <v>336</v>
      </c>
      <c r="C492" s="40" t="s">
        <v>147</v>
      </c>
      <c r="D492" s="34" t="s">
        <v>147</v>
      </c>
      <c r="E492" s="260">
        <v>1.2999999999999999E-3</v>
      </c>
      <c r="F492" s="235">
        <v>2</v>
      </c>
      <c r="G492" s="40" t="s">
        <v>185</v>
      </c>
      <c r="H492" s="29">
        <v>1</v>
      </c>
      <c r="I492" s="9"/>
      <c r="J492" s="9">
        <v>1</v>
      </c>
      <c r="K492" s="9">
        <v>1</v>
      </c>
      <c r="L492" s="9">
        <v>1</v>
      </c>
      <c r="M492" s="9">
        <v>3</v>
      </c>
      <c r="N492" s="186">
        <f t="shared" si="31"/>
        <v>1.0141150152164344</v>
      </c>
      <c r="O492" s="160" t="str">
        <f t="shared" si="32"/>
        <v/>
      </c>
      <c r="P492" s="63"/>
    </row>
    <row r="493" spans="1:868" hidden="1">
      <c r="A493" s="152" t="s">
        <v>248</v>
      </c>
      <c r="B493" s="34" t="s">
        <v>336</v>
      </c>
      <c r="C493" s="40" t="s">
        <v>147</v>
      </c>
      <c r="D493" s="34" t="s">
        <v>147</v>
      </c>
      <c r="E493" s="260">
        <v>1.47E-2</v>
      </c>
      <c r="F493" s="235">
        <v>2</v>
      </c>
      <c r="G493" s="40" t="s">
        <v>327</v>
      </c>
      <c r="H493" s="29">
        <v>1</v>
      </c>
      <c r="I493" s="9"/>
      <c r="J493" s="9">
        <v>1</v>
      </c>
      <c r="K493" s="9">
        <v>1</v>
      </c>
      <c r="L493" s="9">
        <v>1</v>
      </c>
      <c r="M493" s="9">
        <v>3</v>
      </c>
      <c r="N493" s="186">
        <f t="shared" ref="N493:N524" si="33">IF( OR( ISBLANK(H493),ISBLANK(J493), ISBLANK(K493), ISBLANK(L493), ISBLANK(M493) ), "", 1.5*SQRT(   EXP(2.21*(H493-1)) + EXP(2.21*(J493-1)) + EXP(2.21*(K493-1)) + EXP(2.21*(L493-1)) + EXP(2.21*M493)   )/100*2.45 )</f>
        <v>1.0141150152164344</v>
      </c>
      <c r="O493" s="160" t="str">
        <f t="shared" ref="O493:O524" si="34">IF( OR( ISBLANK(I493),ISBLANK(J493), ISBLANK(K493), ISBLANK(L493), ISBLANK(M493) ), "", 1.5*SQRT( EXP(2.21*(I493-1)) + EXP(2.21*(J493-1)) + EXP(2.21*(K493-1)) + EXP(2.21*(L493-1)) + EXP(2.21*M493)   )/100*2.45 )</f>
        <v/>
      </c>
      <c r="P493" s="63"/>
    </row>
    <row r="494" spans="1:868" hidden="1">
      <c r="A494" s="152" t="s">
        <v>337</v>
      </c>
      <c r="B494" s="34" t="s">
        <v>336</v>
      </c>
      <c r="C494" s="40" t="s">
        <v>147</v>
      </c>
      <c r="D494" s="34" t="s">
        <v>147</v>
      </c>
      <c r="E494" s="260">
        <v>0.5</v>
      </c>
      <c r="F494" s="235">
        <v>2</v>
      </c>
      <c r="G494" s="40" t="s">
        <v>338</v>
      </c>
      <c r="H494" s="29">
        <v>2</v>
      </c>
      <c r="I494" s="9"/>
      <c r="J494" s="9">
        <v>1</v>
      </c>
      <c r="K494" s="9">
        <v>3</v>
      </c>
      <c r="L494" s="9">
        <v>2</v>
      </c>
      <c r="M494" s="9">
        <v>2</v>
      </c>
      <c r="N494" s="186">
        <f t="shared" si="33"/>
        <v>0.50042652380814845</v>
      </c>
      <c r="O494" s="160" t="str">
        <f t="shared" si="34"/>
        <v/>
      </c>
      <c r="P494" s="63" t="s">
        <v>339</v>
      </c>
    </row>
    <row r="495" spans="1:868" s="852" customFormat="1" hidden="1">
      <c r="A495" s="152" t="s">
        <v>337</v>
      </c>
      <c r="B495" s="34" t="s">
        <v>336</v>
      </c>
      <c r="C495" s="40" t="s">
        <v>147</v>
      </c>
      <c r="D495" s="34" t="s">
        <v>147</v>
      </c>
      <c r="E495" s="260">
        <v>0.85</v>
      </c>
      <c r="F495" s="235">
        <v>2</v>
      </c>
      <c r="G495" s="40" t="s">
        <v>340</v>
      </c>
      <c r="H495" s="29">
        <v>2</v>
      </c>
      <c r="I495" s="9"/>
      <c r="J495" s="9">
        <v>2</v>
      </c>
      <c r="K495" s="9">
        <v>3</v>
      </c>
      <c r="L495" s="9">
        <v>2</v>
      </c>
      <c r="M495" s="9">
        <v>2</v>
      </c>
      <c r="N495" s="186">
        <f t="shared" si="33"/>
        <v>0.51126068492676302</v>
      </c>
      <c r="O495" s="160" t="str">
        <f t="shared" si="34"/>
        <v/>
      </c>
      <c r="P495" s="63" t="s">
        <v>341</v>
      </c>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c r="BR495" s="16"/>
      <c r="BS495" s="16"/>
      <c r="BT495" s="16"/>
      <c r="BU495" s="16"/>
      <c r="BV495" s="16"/>
      <c r="BW495" s="16"/>
      <c r="BX495" s="16"/>
      <c r="BY495" s="16"/>
      <c r="BZ495" s="16"/>
      <c r="CA495" s="16"/>
      <c r="CB495" s="16"/>
      <c r="CC495" s="16"/>
      <c r="CD495" s="16"/>
      <c r="CE495" s="16"/>
      <c r="CF495" s="16"/>
      <c r="CG495" s="16"/>
      <c r="CH495" s="16"/>
      <c r="CI495" s="16"/>
      <c r="CJ495" s="16"/>
      <c r="CK495" s="16"/>
      <c r="CL495" s="16"/>
      <c r="CM495" s="16"/>
      <c r="CN495" s="16"/>
      <c r="CO495" s="16"/>
      <c r="CP495" s="16"/>
      <c r="CQ495" s="16"/>
      <c r="CR495" s="16"/>
      <c r="CS495" s="16"/>
      <c r="CT495" s="16"/>
      <c r="CU495" s="16"/>
      <c r="CV495" s="16"/>
      <c r="CW495" s="16"/>
      <c r="CX495" s="16"/>
      <c r="CY495" s="16"/>
      <c r="CZ495" s="16"/>
      <c r="DA495" s="16"/>
      <c r="DB495" s="16"/>
      <c r="DC495" s="16"/>
      <c r="DD495" s="16"/>
      <c r="DE495" s="16"/>
      <c r="DF495" s="16"/>
      <c r="DG495" s="16"/>
      <c r="DH495" s="16"/>
      <c r="DI495" s="16"/>
      <c r="DJ495" s="16"/>
      <c r="DK495" s="16"/>
      <c r="DL495" s="16"/>
      <c r="DM495" s="16"/>
      <c r="DN495" s="16"/>
      <c r="DO495" s="16"/>
      <c r="DP495" s="16"/>
      <c r="DQ495" s="16"/>
      <c r="DR495" s="16"/>
      <c r="DS495" s="16"/>
      <c r="DT495" s="16"/>
      <c r="DU495" s="16"/>
      <c r="DV495" s="16"/>
      <c r="DW495" s="16"/>
      <c r="DX495" s="16"/>
      <c r="DY495" s="16"/>
      <c r="DZ495" s="16"/>
      <c r="EA495" s="16"/>
      <c r="EB495" s="16"/>
      <c r="EC495" s="16"/>
      <c r="ED495" s="16"/>
      <c r="EE495" s="16"/>
      <c r="EF495" s="16"/>
      <c r="EG495" s="16"/>
      <c r="EH495" s="16"/>
      <c r="EI495" s="16"/>
      <c r="EJ495" s="16"/>
      <c r="EK495" s="16"/>
      <c r="EL495" s="16"/>
      <c r="EM495" s="16"/>
      <c r="EN495" s="16"/>
      <c r="EO495" s="16"/>
      <c r="EP495" s="16"/>
      <c r="EQ495" s="16"/>
      <c r="ER495" s="16"/>
      <c r="ES495" s="16"/>
      <c r="ET495" s="16"/>
      <c r="EU495" s="16"/>
      <c r="EV495" s="16"/>
      <c r="EW495" s="16"/>
      <c r="EX495" s="16"/>
      <c r="EY495" s="16"/>
      <c r="EZ495" s="16"/>
      <c r="FA495" s="16"/>
      <c r="FB495" s="16"/>
      <c r="FC495" s="16"/>
      <c r="FD495" s="16"/>
      <c r="FE495" s="16"/>
      <c r="FF495" s="16"/>
      <c r="FG495" s="16"/>
      <c r="FH495" s="16"/>
      <c r="FI495" s="16"/>
      <c r="FJ495" s="16"/>
      <c r="FK495" s="16"/>
      <c r="FL495" s="16"/>
      <c r="FM495" s="16"/>
      <c r="FN495" s="16"/>
      <c r="FO495" s="16"/>
      <c r="FP495" s="16"/>
      <c r="FQ495" s="16"/>
      <c r="FR495" s="16"/>
      <c r="FS495" s="16"/>
      <c r="FT495" s="16"/>
      <c r="FU495" s="16"/>
      <c r="FV495" s="16"/>
      <c r="FW495" s="16"/>
      <c r="FX495" s="16"/>
      <c r="FY495" s="16"/>
      <c r="FZ495" s="16"/>
      <c r="GA495" s="16"/>
      <c r="GB495" s="16"/>
      <c r="GC495" s="16"/>
      <c r="GD495" s="16"/>
      <c r="GE495" s="16"/>
      <c r="GF495" s="16"/>
      <c r="GG495" s="16"/>
      <c r="GH495" s="16"/>
      <c r="GI495" s="16"/>
      <c r="GJ495" s="16"/>
      <c r="GK495" s="16"/>
      <c r="GL495" s="16"/>
      <c r="GM495" s="16"/>
      <c r="GN495" s="16"/>
      <c r="GO495" s="16"/>
      <c r="GP495" s="16"/>
      <c r="GQ495" s="16"/>
      <c r="GR495" s="16"/>
      <c r="GS495" s="16"/>
      <c r="GT495" s="16"/>
      <c r="GU495" s="16"/>
      <c r="GV495" s="16"/>
      <c r="GW495" s="16"/>
      <c r="GX495" s="16"/>
      <c r="GY495" s="16"/>
      <c r="GZ495" s="16"/>
      <c r="HA495" s="16"/>
      <c r="HB495" s="16"/>
      <c r="HC495" s="16"/>
      <c r="HD495" s="16"/>
      <c r="HE495" s="16"/>
      <c r="HF495" s="16"/>
      <c r="HG495" s="16"/>
      <c r="HH495" s="16"/>
      <c r="HI495" s="16"/>
      <c r="HJ495" s="16"/>
      <c r="HK495" s="16"/>
      <c r="HL495" s="16"/>
      <c r="HM495" s="16"/>
      <c r="HN495" s="16"/>
      <c r="HO495" s="16"/>
      <c r="HP495" s="16"/>
      <c r="HQ495" s="16"/>
      <c r="HR495" s="16"/>
      <c r="HS495" s="16"/>
      <c r="HT495" s="16"/>
      <c r="HU495" s="16"/>
      <c r="HV495" s="16"/>
      <c r="HW495" s="16"/>
      <c r="HX495" s="16"/>
      <c r="HY495" s="16"/>
      <c r="HZ495" s="16"/>
      <c r="IA495" s="16"/>
      <c r="IB495" s="16"/>
      <c r="IC495" s="16"/>
      <c r="ID495" s="16"/>
      <c r="IE495" s="16"/>
      <c r="IF495" s="16"/>
      <c r="IG495" s="16"/>
      <c r="IH495" s="16"/>
      <c r="II495" s="16"/>
      <c r="IJ495" s="16"/>
      <c r="IK495" s="16"/>
      <c r="IL495" s="16"/>
      <c r="IM495" s="16"/>
      <c r="IN495" s="16"/>
      <c r="IO495" s="16"/>
      <c r="IP495" s="16"/>
      <c r="IQ495" s="16"/>
      <c r="IR495" s="16"/>
      <c r="IS495" s="16"/>
      <c r="IT495" s="16"/>
      <c r="IU495" s="16"/>
      <c r="IV495" s="16"/>
      <c r="IW495" s="16"/>
      <c r="IX495" s="16"/>
      <c r="IY495" s="16"/>
      <c r="IZ495" s="16"/>
      <c r="JA495" s="16"/>
      <c r="JB495" s="16"/>
      <c r="JC495" s="16"/>
      <c r="JD495" s="16"/>
      <c r="JE495" s="16"/>
      <c r="JF495" s="16"/>
      <c r="JG495" s="16"/>
      <c r="JH495" s="16"/>
      <c r="JI495" s="16"/>
      <c r="JJ495" s="16"/>
      <c r="JK495" s="16"/>
      <c r="JL495" s="16"/>
      <c r="JM495" s="16"/>
      <c r="JN495" s="16"/>
      <c r="JO495" s="16"/>
      <c r="JP495" s="16"/>
      <c r="JQ495" s="16"/>
      <c r="JR495" s="16"/>
      <c r="JS495" s="16"/>
      <c r="JT495" s="16"/>
      <c r="JU495" s="16"/>
      <c r="JV495" s="16"/>
      <c r="JW495" s="16"/>
      <c r="JX495" s="16"/>
      <c r="JY495" s="16"/>
      <c r="JZ495" s="16"/>
      <c r="KA495" s="16"/>
      <c r="KB495" s="16"/>
      <c r="KC495" s="16"/>
      <c r="KD495" s="16"/>
      <c r="KE495" s="16"/>
      <c r="KF495" s="16"/>
      <c r="KG495" s="16"/>
      <c r="KH495" s="16"/>
      <c r="KI495" s="16"/>
      <c r="KJ495" s="16"/>
      <c r="KK495" s="16"/>
      <c r="KL495" s="16"/>
      <c r="KM495" s="16"/>
      <c r="KN495" s="16"/>
      <c r="KO495" s="16"/>
      <c r="KP495" s="16"/>
      <c r="KQ495" s="16"/>
      <c r="KR495" s="16"/>
      <c r="KS495" s="16"/>
      <c r="KT495" s="16"/>
      <c r="KU495" s="16"/>
      <c r="KV495" s="16"/>
      <c r="KW495" s="16"/>
      <c r="KX495" s="16"/>
      <c r="KY495" s="16"/>
      <c r="KZ495" s="16"/>
      <c r="LA495" s="16"/>
      <c r="LB495" s="16"/>
      <c r="LC495" s="16"/>
      <c r="LD495" s="16"/>
      <c r="LE495" s="16"/>
      <c r="LF495" s="16"/>
      <c r="LG495" s="16"/>
      <c r="LH495" s="16"/>
      <c r="LI495" s="16"/>
      <c r="LJ495" s="16"/>
      <c r="LK495" s="16"/>
      <c r="LL495" s="16"/>
      <c r="LM495" s="16"/>
      <c r="LN495" s="16"/>
      <c r="LO495" s="16"/>
      <c r="LP495" s="16"/>
      <c r="LQ495" s="16"/>
      <c r="LR495" s="16"/>
      <c r="LS495" s="16"/>
      <c r="LT495" s="16"/>
      <c r="LU495" s="16"/>
      <c r="LV495" s="16"/>
      <c r="LW495" s="16"/>
      <c r="LX495" s="16"/>
      <c r="LY495" s="16"/>
      <c r="LZ495" s="16"/>
      <c r="MA495" s="16"/>
      <c r="MB495" s="16"/>
      <c r="MC495" s="16"/>
      <c r="MD495" s="16"/>
      <c r="ME495" s="16"/>
      <c r="MF495" s="16"/>
      <c r="MG495" s="16"/>
      <c r="MH495" s="16"/>
      <c r="MI495" s="16"/>
      <c r="MJ495" s="16"/>
      <c r="MK495" s="16"/>
      <c r="ML495" s="16"/>
      <c r="MM495" s="16"/>
      <c r="MN495" s="16"/>
      <c r="MO495" s="16"/>
      <c r="MP495" s="16"/>
      <c r="MQ495" s="16"/>
      <c r="MR495" s="16"/>
      <c r="MS495" s="16"/>
      <c r="MT495" s="16"/>
      <c r="MU495" s="16"/>
      <c r="MV495" s="16"/>
      <c r="MW495" s="16"/>
      <c r="MX495" s="16"/>
      <c r="MY495" s="16"/>
      <c r="MZ495" s="16"/>
      <c r="NA495" s="16"/>
      <c r="NB495" s="16"/>
      <c r="NC495" s="16"/>
      <c r="ND495" s="16"/>
      <c r="NE495" s="16"/>
      <c r="NF495" s="16"/>
      <c r="NG495" s="16"/>
      <c r="NH495" s="16"/>
      <c r="NI495" s="16"/>
      <c r="NJ495" s="16"/>
      <c r="NK495" s="16"/>
      <c r="NL495" s="16"/>
      <c r="NM495" s="16"/>
      <c r="NN495" s="16"/>
      <c r="NO495" s="16"/>
      <c r="NP495" s="16"/>
      <c r="NQ495" s="16"/>
      <c r="NR495" s="16"/>
      <c r="NS495" s="16"/>
      <c r="NT495" s="16"/>
      <c r="NU495" s="16"/>
      <c r="NV495" s="16"/>
      <c r="NW495" s="16"/>
      <c r="NX495" s="16"/>
      <c r="NY495" s="16"/>
      <c r="NZ495" s="16"/>
      <c r="OA495" s="16"/>
      <c r="OB495" s="16"/>
      <c r="OC495" s="16"/>
      <c r="OD495" s="16"/>
      <c r="OE495" s="16"/>
      <c r="OF495" s="16"/>
      <c r="OG495" s="16"/>
      <c r="OH495" s="16"/>
      <c r="OI495" s="16"/>
      <c r="OJ495" s="16"/>
      <c r="OK495" s="16"/>
      <c r="OL495" s="16"/>
      <c r="OM495" s="16"/>
      <c r="ON495" s="16"/>
      <c r="OO495" s="16"/>
      <c r="OP495" s="16"/>
      <c r="OQ495" s="16"/>
      <c r="OR495" s="16"/>
      <c r="OS495" s="16"/>
      <c r="OT495" s="16"/>
      <c r="OU495" s="16"/>
      <c r="OV495" s="16"/>
      <c r="OW495" s="16"/>
      <c r="OX495" s="16"/>
      <c r="OY495" s="16"/>
      <c r="OZ495" s="16"/>
      <c r="PA495" s="16"/>
      <c r="PB495" s="16"/>
      <c r="PC495" s="16"/>
      <c r="PD495" s="16"/>
      <c r="PE495" s="16"/>
      <c r="PF495" s="16"/>
      <c r="PG495" s="16"/>
      <c r="PH495" s="16"/>
      <c r="PI495" s="16"/>
      <c r="PJ495" s="16"/>
      <c r="PK495" s="16"/>
      <c r="PL495" s="16"/>
      <c r="PM495" s="16"/>
      <c r="PN495" s="16"/>
      <c r="PO495" s="16"/>
      <c r="PP495" s="16"/>
      <c r="PQ495" s="16"/>
      <c r="PR495" s="16"/>
      <c r="PS495" s="16"/>
      <c r="PT495" s="16"/>
      <c r="PU495" s="16"/>
      <c r="PV495" s="16"/>
      <c r="PW495" s="16"/>
      <c r="PX495" s="16"/>
      <c r="PY495" s="16"/>
      <c r="PZ495" s="16"/>
      <c r="QA495" s="16"/>
      <c r="QB495" s="16"/>
      <c r="QC495" s="16"/>
      <c r="QD495" s="16"/>
      <c r="QE495" s="16"/>
      <c r="QF495" s="16"/>
      <c r="QG495" s="16"/>
      <c r="QH495" s="16"/>
      <c r="QI495" s="16"/>
      <c r="QJ495" s="16"/>
      <c r="QK495" s="16"/>
      <c r="QL495" s="16"/>
      <c r="QM495" s="16"/>
      <c r="QN495" s="16"/>
      <c r="QO495" s="16"/>
      <c r="QP495" s="16"/>
      <c r="QQ495" s="16"/>
      <c r="QR495" s="16"/>
      <c r="QS495" s="16"/>
      <c r="QT495" s="16"/>
      <c r="QU495" s="16"/>
      <c r="QV495" s="16"/>
      <c r="QW495" s="16"/>
      <c r="QX495" s="16"/>
      <c r="QY495" s="16"/>
      <c r="QZ495" s="16"/>
      <c r="RA495" s="16"/>
      <c r="RB495" s="16"/>
      <c r="RC495" s="16"/>
      <c r="RD495" s="16"/>
      <c r="RE495" s="16"/>
      <c r="RF495" s="16"/>
      <c r="RG495" s="16"/>
      <c r="RH495" s="16"/>
      <c r="RI495" s="16"/>
      <c r="RJ495" s="16"/>
      <c r="RK495" s="16"/>
      <c r="RL495" s="16"/>
      <c r="RM495" s="16"/>
      <c r="RN495" s="16"/>
      <c r="RO495" s="16"/>
      <c r="RP495" s="16"/>
      <c r="RQ495" s="16"/>
      <c r="RR495" s="16"/>
      <c r="RS495" s="16"/>
      <c r="RT495" s="16"/>
      <c r="RU495" s="16"/>
      <c r="RV495" s="16"/>
      <c r="RW495" s="16"/>
      <c r="RX495" s="16"/>
      <c r="RY495" s="16"/>
      <c r="RZ495" s="16"/>
      <c r="SA495" s="16"/>
      <c r="SB495" s="16"/>
      <c r="SC495" s="16"/>
      <c r="SD495" s="16"/>
      <c r="SE495" s="16"/>
      <c r="SF495" s="16"/>
      <c r="SG495" s="16"/>
      <c r="SH495" s="16"/>
      <c r="SI495" s="16"/>
      <c r="SJ495" s="16"/>
      <c r="SK495" s="16"/>
      <c r="SL495" s="16"/>
      <c r="SM495" s="16"/>
      <c r="SN495" s="16"/>
      <c r="SO495" s="16"/>
      <c r="SP495" s="16"/>
      <c r="SQ495" s="16"/>
      <c r="SR495" s="16"/>
      <c r="SS495" s="16"/>
      <c r="ST495" s="16"/>
      <c r="SU495" s="16"/>
      <c r="SV495" s="16"/>
      <c r="SW495" s="16"/>
      <c r="SX495" s="16"/>
      <c r="SY495" s="16"/>
      <c r="SZ495" s="16"/>
      <c r="TA495" s="16"/>
      <c r="TB495" s="16"/>
      <c r="TC495" s="16"/>
      <c r="TD495" s="16"/>
      <c r="TE495" s="16"/>
      <c r="TF495" s="16"/>
      <c r="TG495" s="16"/>
      <c r="TH495" s="16"/>
      <c r="TI495" s="16"/>
      <c r="TJ495" s="16"/>
      <c r="TK495" s="16"/>
      <c r="TL495" s="16"/>
      <c r="TM495" s="16"/>
      <c r="TN495" s="16"/>
      <c r="TO495" s="16"/>
      <c r="TP495" s="16"/>
      <c r="TQ495" s="16"/>
      <c r="TR495" s="16"/>
      <c r="TS495" s="16"/>
      <c r="TT495" s="16"/>
      <c r="TU495" s="16"/>
      <c r="TV495" s="16"/>
      <c r="TW495" s="16"/>
      <c r="TX495" s="16"/>
      <c r="TY495" s="16"/>
      <c r="TZ495" s="16"/>
      <c r="UA495" s="16"/>
      <c r="UB495" s="16"/>
      <c r="UC495" s="16"/>
      <c r="UD495" s="16"/>
      <c r="UE495" s="16"/>
      <c r="UF495" s="16"/>
      <c r="UG495" s="16"/>
      <c r="UH495" s="16"/>
      <c r="UI495" s="16"/>
      <c r="UJ495" s="16"/>
      <c r="UK495" s="16"/>
      <c r="UL495" s="16"/>
      <c r="UM495" s="16"/>
      <c r="UN495" s="16"/>
      <c r="UO495" s="16"/>
      <c r="UP495" s="16"/>
      <c r="UQ495" s="16"/>
      <c r="UR495" s="16"/>
      <c r="US495" s="16"/>
      <c r="UT495" s="16"/>
      <c r="UU495" s="16"/>
      <c r="UV495" s="16"/>
      <c r="UW495" s="16"/>
      <c r="UX495" s="16"/>
      <c r="UY495" s="16"/>
      <c r="UZ495" s="16"/>
      <c r="VA495" s="16"/>
      <c r="VB495" s="16"/>
      <c r="VC495" s="16"/>
      <c r="VD495" s="16"/>
      <c r="VE495" s="16"/>
      <c r="VF495" s="16"/>
      <c r="VG495" s="16"/>
      <c r="VH495" s="16"/>
      <c r="VI495" s="16"/>
      <c r="VJ495" s="16"/>
      <c r="VK495" s="16"/>
      <c r="VL495" s="16"/>
      <c r="VM495" s="16"/>
      <c r="VN495" s="16"/>
      <c r="VO495" s="16"/>
      <c r="VP495" s="16"/>
      <c r="VQ495" s="16"/>
      <c r="VR495" s="16"/>
      <c r="VS495" s="16"/>
      <c r="VT495" s="16"/>
      <c r="VU495" s="16"/>
      <c r="VV495" s="16"/>
      <c r="VW495" s="16"/>
      <c r="VX495" s="16"/>
      <c r="VY495" s="16"/>
      <c r="VZ495" s="16"/>
      <c r="WA495" s="16"/>
      <c r="WB495" s="16"/>
      <c r="WC495" s="16"/>
      <c r="WD495" s="16"/>
      <c r="WE495" s="16"/>
      <c r="WF495" s="16"/>
      <c r="WG495" s="16"/>
      <c r="WH495" s="16"/>
      <c r="WI495" s="16"/>
      <c r="WJ495" s="16"/>
      <c r="WK495" s="16"/>
      <c r="WL495" s="16"/>
      <c r="WM495" s="16"/>
      <c r="WN495" s="16"/>
      <c r="WO495" s="16"/>
      <c r="WP495" s="16"/>
      <c r="WQ495" s="16"/>
      <c r="WR495" s="16"/>
      <c r="WS495" s="16"/>
      <c r="WT495" s="16"/>
      <c r="WU495" s="16"/>
      <c r="WV495" s="16"/>
      <c r="WW495" s="16"/>
      <c r="WX495" s="16"/>
      <c r="WY495" s="16"/>
      <c r="WZ495" s="16"/>
      <c r="XA495" s="16"/>
      <c r="XB495" s="16"/>
      <c r="XC495" s="16"/>
      <c r="XD495" s="16"/>
      <c r="XE495" s="16"/>
      <c r="XF495" s="16"/>
      <c r="XG495" s="16"/>
      <c r="XH495" s="16"/>
      <c r="XI495" s="16"/>
      <c r="XJ495" s="16"/>
      <c r="XK495" s="16"/>
      <c r="XL495" s="16"/>
      <c r="XM495" s="16"/>
      <c r="XN495" s="16"/>
      <c r="XO495" s="16"/>
      <c r="XP495" s="16"/>
      <c r="XQ495" s="16"/>
      <c r="XR495" s="16"/>
      <c r="XS495" s="16"/>
      <c r="XT495" s="16"/>
      <c r="XU495" s="16"/>
      <c r="XV495" s="16"/>
      <c r="XW495" s="16"/>
      <c r="XX495" s="16"/>
      <c r="XY495" s="16"/>
      <c r="XZ495" s="16"/>
      <c r="YA495" s="16"/>
      <c r="YB495" s="16"/>
      <c r="YC495" s="16"/>
      <c r="YD495" s="16"/>
      <c r="YE495" s="16"/>
      <c r="YF495" s="16"/>
      <c r="YG495" s="16"/>
      <c r="YH495" s="16"/>
      <c r="YI495" s="16"/>
      <c r="YJ495" s="16"/>
      <c r="YK495" s="16"/>
      <c r="YL495" s="16"/>
      <c r="YM495" s="16"/>
      <c r="YN495" s="16"/>
      <c r="YO495" s="16"/>
      <c r="YP495" s="16"/>
      <c r="YQ495" s="16"/>
      <c r="YR495" s="16"/>
      <c r="YS495" s="16"/>
      <c r="YT495" s="16"/>
      <c r="YU495" s="16"/>
      <c r="YV495" s="16"/>
      <c r="YW495" s="16"/>
      <c r="YX495" s="16"/>
      <c r="YY495" s="16"/>
      <c r="YZ495" s="16"/>
      <c r="ZA495" s="16"/>
      <c r="ZB495" s="16"/>
      <c r="ZC495" s="16"/>
      <c r="ZD495" s="16"/>
      <c r="ZE495" s="16"/>
      <c r="ZF495" s="16"/>
      <c r="ZG495" s="16"/>
      <c r="ZH495" s="16"/>
      <c r="ZI495" s="16"/>
      <c r="ZJ495" s="16"/>
      <c r="ZK495" s="16"/>
      <c r="ZL495" s="16"/>
      <c r="ZM495" s="16"/>
      <c r="ZN495" s="16"/>
      <c r="ZO495" s="16"/>
      <c r="ZP495" s="16"/>
      <c r="ZQ495" s="16"/>
      <c r="ZR495" s="16"/>
      <c r="ZS495" s="16"/>
      <c r="ZT495" s="16"/>
      <c r="ZU495" s="16"/>
      <c r="ZV495" s="16"/>
      <c r="ZW495" s="16"/>
      <c r="ZX495" s="16"/>
      <c r="ZY495" s="16"/>
      <c r="ZZ495" s="16"/>
      <c r="AAA495" s="16"/>
      <c r="AAB495" s="16"/>
      <c r="AAC495" s="16"/>
      <c r="AAD495" s="16"/>
      <c r="AAE495" s="16"/>
      <c r="AAF495" s="16"/>
      <c r="AAG495" s="16"/>
      <c r="AAH495" s="16"/>
      <c r="AAI495" s="16"/>
      <c r="AAJ495" s="16"/>
      <c r="AAK495" s="16"/>
      <c r="AAL495" s="16"/>
      <c r="AAM495" s="16"/>
      <c r="AAN495" s="16"/>
      <c r="AAO495" s="16"/>
      <c r="AAP495" s="16"/>
      <c r="AAQ495" s="16"/>
      <c r="AAR495" s="16"/>
      <c r="AAS495" s="16"/>
      <c r="AAT495" s="16"/>
      <c r="AAU495" s="16"/>
      <c r="AAV495" s="16"/>
      <c r="AAW495" s="16"/>
      <c r="AAX495" s="16"/>
      <c r="AAY495" s="16"/>
      <c r="AAZ495" s="16"/>
      <c r="ABA495" s="16"/>
      <c r="ABB495" s="16"/>
      <c r="ABC495" s="16"/>
      <c r="ABD495" s="16"/>
      <c r="ABE495" s="16"/>
      <c r="ABF495" s="16"/>
      <c r="ABG495" s="16"/>
      <c r="ABH495" s="16"/>
      <c r="ABI495" s="16"/>
      <c r="ABJ495" s="16"/>
      <c r="ABK495" s="16"/>
      <c r="ABL495" s="16"/>
      <c r="ABM495" s="16"/>
      <c r="ABN495" s="16"/>
      <c r="ABO495" s="16"/>
      <c r="ABP495" s="16"/>
      <c r="ABQ495" s="16"/>
      <c r="ABR495" s="16"/>
      <c r="ABS495" s="16"/>
      <c r="ABT495" s="16"/>
      <c r="ABU495" s="16"/>
      <c r="ABV495" s="16"/>
      <c r="ABW495" s="16"/>
      <c r="ABX495" s="16"/>
      <c r="ABY495" s="16"/>
      <c r="ABZ495" s="16"/>
      <c r="ACA495" s="16"/>
      <c r="ACB495" s="16"/>
      <c r="ACC495" s="16"/>
      <c r="ACD495" s="16"/>
      <c r="ACE495" s="16"/>
      <c r="ACF495" s="16"/>
      <c r="ACG495" s="16"/>
      <c r="ACH495" s="16"/>
      <c r="ACI495" s="16"/>
      <c r="ACJ495" s="16"/>
      <c r="ACK495" s="16"/>
      <c r="ACL495" s="16"/>
      <c r="ACM495" s="16"/>
      <c r="ACN495" s="16"/>
      <c r="ACO495" s="16"/>
      <c r="ACP495" s="16"/>
      <c r="ACQ495" s="16"/>
      <c r="ACR495" s="16"/>
      <c r="ACS495" s="16"/>
      <c r="ACT495" s="16"/>
      <c r="ACU495" s="16"/>
      <c r="ACV495" s="16"/>
      <c r="ACW495" s="16"/>
      <c r="ACX495" s="16"/>
      <c r="ACY495" s="16"/>
      <c r="ACZ495" s="16"/>
      <c r="ADA495" s="16"/>
      <c r="ADB495" s="16"/>
      <c r="ADC495" s="16"/>
      <c r="ADD495" s="16"/>
      <c r="ADE495" s="16"/>
      <c r="ADF495" s="16"/>
      <c r="ADG495" s="16"/>
      <c r="ADH495" s="16"/>
      <c r="ADI495" s="16"/>
      <c r="ADJ495" s="16"/>
      <c r="ADK495" s="16"/>
      <c r="ADL495" s="16"/>
      <c r="ADM495" s="16"/>
      <c r="ADN495" s="16"/>
      <c r="ADO495" s="16"/>
      <c r="ADP495" s="16"/>
      <c r="ADQ495" s="16"/>
      <c r="ADR495" s="16"/>
      <c r="ADS495" s="16"/>
      <c r="ADT495" s="16"/>
      <c r="ADU495" s="16"/>
      <c r="ADV495" s="16"/>
      <c r="ADW495" s="16"/>
      <c r="ADX495" s="16"/>
      <c r="ADY495" s="16"/>
      <c r="ADZ495" s="16"/>
      <c r="AEA495" s="16"/>
      <c r="AEB495" s="16"/>
      <c r="AEC495" s="16"/>
      <c r="AED495" s="16"/>
      <c r="AEE495" s="16"/>
      <c r="AEF495" s="16"/>
      <c r="AEG495" s="16"/>
      <c r="AEH495" s="16"/>
      <c r="AEI495" s="16"/>
      <c r="AEJ495" s="16"/>
      <c r="AEK495" s="16"/>
      <c r="AEL495" s="16"/>
      <c r="AEM495" s="16"/>
      <c r="AEN495" s="16"/>
      <c r="AEO495" s="16"/>
      <c r="AEP495" s="16"/>
      <c r="AEQ495" s="16"/>
      <c r="AER495" s="16"/>
      <c r="AES495" s="16"/>
      <c r="AET495" s="16"/>
      <c r="AEU495" s="16"/>
      <c r="AEV495" s="16"/>
      <c r="AEW495" s="16"/>
      <c r="AEX495" s="16"/>
      <c r="AEY495" s="16"/>
      <c r="AEZ495" s="16"/>
      <c r="AFA495" s="16"/>
      <c r="AFB495" s="16"/>
      <c r="AFC495" s="16"/>
      <c r="AFD495" s="16"/>
      <c r="AFE495" s="16"/>
      <c r="AFF495" s="16"/>
      <c r="AFG495" s="16"/>
      <c r="AFH495" s="16"/>
      <c r="AFI495" s="16"/>
      <c r="AFJ495" s="16"/>
      <c r="AFK495" s="16"/>
      <c r="AFL495" s="16"/>
      <c r="AFM495" s="16"/>
      <c r="AFN495" s="16"/>
      <c r="AFO495" s="16"/>
      <c r="AFP495" s="16"/>
      <c r="AFQ495" s="16"/>
      <c r="AFR495" s="16"/>
      <c r="AFS495" s="16"/>
      <c r="AFT495" s="16"/>
      <c r="AFU495" s="16"/>
      <c r="AFV495" s="16"/>
      <c r="AFW495" s="16"/>
      <c r="AFX495" s="16"/>
      <c r="AFY495" s="16"/>
      <c r="AFZ495" s="16"/>
      <c r="AGA495" s="16"/>
      <c r="AGB495" s="16"/>
      <c r="AGC495" s="16"/>
      <c r="AGD495" s="16"/>
      <c r="AGE495" s="16"/>
      <c r="AGF495" s="16"/>
      <c r="AGG495" s="16"/>
      <c r="AGH495" s="16"/>
      <c r="AGI495" s="16"/>
      <c r="AGJ495" s="16"/>
    </row>
    <row r="496" spans="1:868" hidden="1">
      <c r="A496" s="152" t="s">
        <v>249</v>
      </c>
      <c r="B496" s="34" t="s">
        <v>336</v>
      </c>
      <c r="C496" s="40" t="s">
        <v>147</v>
      </c>
      <c r="D496" s="34" t="s">
        <v>147</v>
      </c>
      <c r="E496" s="260">
        <v>1.2999999999999999E-3</v>
      </c>
      <c r="F496" s="235">
        <v>2</v>
      </c>
      <c r="G496" s="40" t="s">
        <v>185</v>
      </c>
      <c r="H496" s="29">
        <v>1</v>
      </c>
      <c r="I496" s="9"/>
      <c r="J496" s="9">
        <v>1</v>
      </c>
      <c r="K496" s="9">
        <v>1</v>
      </c>
      <c r="L496" s="9">
        <v>1</v>
      </c>
      <c r="M496" s="9">
        <v>3</v>
      </c>
      <c r="N496" s="186">
        <f t="shared" si="33"/>
        <v>1.0141150152164344</v>
      </c>
      <c r="O496" s="160" t="str">
        <f t="shared" si="34"/>
        <v/>
      </c>
      <c r="P496" s="63"/>
    </row>
    <row r="497" spans="1:16" hidden="1">
      <c r="A497" s="152" t="s">
        <v>249</v>
      </c>
      <c r="B497" s="34" t="s">
        <v>336</v>
      </c>
      <c r="C497" s="40" t="s">
        <v>147</v>
      </c>
      <c r="D497" s="34" t="s">
        <v>147</v>
      </c>
      <c r="E497" s="260">
        <v>1.47E-2</v>
      </c>
      <c r="F497" s="235">
        <v>2</v>
      </c>
      <c r="G497" s="40" t="s">
        <v>327</v>
      </c>
      <c r="H497" s="29">
        <v>1</v>
      </c>
      <c r="I497" s="9"/>
      <c r="J497" s="9">
        <v>1</v>
      </c>
      <c r="K497" s="9">
        <v>1</v>
      </c>
      <c r="L497" s="9">
        <v>1</v>
      </c>
      <c r="M497" s="9">
        <v>3</v>
      </c>
      <c r="N497" s="186">
        <f t="shared" si="33"/>
        <v>1.0141150152164344</v>
      </c>
      <c r="O497" s="160" t="str">
        <f t="shared" si="34"/>
        <v/>
      </c>
      <c r="P497" s="63"/>
    </row>
    <row r="498" spans="1:16" hidden="1">
      <c r="A498" s="152" t="s">
        <v>250</v>
      </c>
      <c r="B498" s="34" t="s">
        <v>336</v>
      </c>
      <c r="C498" s="40" t="s">
        <v>147</v>
      </c>
      <c r="D498" s="34" t="s">
        <v>147</v>
      </c>
      <c r="E498" s="260">
        <v>1.2999999999999999E-3</v>
      </c>
      <c r="F498" s="235">
        <v>2</v>
      </c>
      <c r="G498" s="40" t="s">
        <v>185</v>
      </c>
      <c r="H498" s="29">
        <v>1</v>
      </c>
      <c r="I498" s="9"/>
      <c r="J498" s="9">
        <v>1</v>
      </c>
      <c r="K498" s="9">
        <v>1</v>
      </c>
      <c r="L498" s="9">
        <v>1</v>
      </c>
      <c r="M498" s="9">
        <v>3</v>
      </c>
      <c r="N498" s="186">
        <f t="shared" si="33"/>
        <v>1.0141150152164344</v>
      </c>
      <c r="O498" s="160" t="str">
        <f t="shared" si="34"/>
        <v/>
      </c>
      <c r="P498" s="63"/>
    </row>
    <row r="499" spans="1:16" hidden="1">
      <c r="A499" s="152" t="s">
        <v>250</v>
      </c>
      <c r="B499" s="34" t="s">
        <v>336</v>
      </c>
      <c r="C499" s="40" t="s">
        <v>147</v>
      </c>
      <c r="D499" s="34" t="s">
        <v>147</v>
      </c>
      <c r="E499" s="260">
        <v>1.47E-2</v>
      </c>
      <c r="F499" s="235">
        <v>2</v>
      </c>
      <c r="G499" s="40" t="s">
        <v>327</v>
      </c>
      <c r="H499" s="29">
        <v>1</v>
      </c>
      <c r="I499" s="9"/>
      <c r="J499" s="9">
        <v>1</v>
      </c>
      <c r="K499" s="9">
        <v>1</v>
      </c>
      <c r="L499" s="9">
        <v>1</v>
      </c>
      <c r="M499" s="9">
        <v>3</v>
      </c>
      <c r="N499" s="186">
        <f t="shared" si="33"/>
        <v>1.0141150152164344</v>
      </c>
      <c r="O499" s="160" t="str">
        <f t="shared" si="34"/>
        <v/>
      </c>
      <c r="P499" s="63"/>
    </row>
    <row r="500" spans="1:16" hidden="1">
      <c r="A500" s="152" t="s">
        <v>191</v>
      </c>
      <c r="B500" s="34" t="s">
        <v>336</v>
      </c>
      <c r="C500" s="40" t="s">
        <v>147</v>
      </c>
      <c r="D500" s="34" t="s">
        <v>147</v>
      </c>
      <c r="E500" s="40">
        <v>1.2999999999999999E-3</v>
      </c>
      <c r="F500" s="235">
        <v>2</v>
      </c>
      <c r="G500" s="40" t="s">
        <v>328</v>
      </c>
      <c r="H500" s="29">
        <v>2</v>
      </c>
      <c r="I500" s="9"/>
      <c r="J500" s="9">
        <v>2</v>
      </c>
      <c r="K500" s="9">
        <v>3</v>
      </c>
      <c r="L500" s="9">
        <v>2</v>
      </c>
      <c r="M500" s="9">
        <v>2</v>
      </c>
      <c r="N500" s="186">
        <f t="shared" si="33"/>
        <v>0.51126068492676302</v>
      </c>
      <c r="O500" s="160" t="str">
        <f t="shared" si="34"/>
        <v/>
      </c>
      <c r="P500" s="858"/>
    </row>
    <row r="501" spans="1:16" hidden="1">
      <c r="A501" s="152" t="s">
        <v>191</v>
      </c>
      <c r="B501" s="34" t="s">
        <v>336</v>
      </c>
      <c r="C501" s="40" t="s">
        <v>147</v>
      </c>
      <c r="D501" s="34" t="s">
        <v>147</v>
      </c>
      <c r="E501" s="40">
        <v>1.47E-2</v>
      </c>
      <c r="F501" s="235">
        <v>2</v>
      </c>
      <c r="G501" s="40" t="s">
        <v>329</v>
      </c>
      <c r="H501" s="29">
        <v>2</v>
      </c>
      <c r="I501" s="9"/>
      <c r="J501" s="9">
        <v>2</v>
      </c>
      <c r="K501" s="9">
        <v>3</v>
      </c>
      <c r="L501" s="9">
        <v>2</v>
      </c>
      <c r="M501" s="9">
        <v>2</v>
      </c>
      <c r="N501" s="186">
        <f t="shared" si="33"/>
        <v>0.51126068492676302</v>
      </c>
      <c r="O501" s="160" t="str">
        <f t="shared" si="34"/>
        <v/>
      </c>
      <c r="P501" s="858"/>
    </row>
    <row r="502" spans="1:16" hidden="1">
      <c r="A502" s="152" t="s">
        <v>217</v>
      </c>
      <c r="B502" s="34" t="s">
        <v>325</v>
      </c>
      <c r="C502" s="40" t="s">
        <v>147</v>
      </c>
      <c r="D502" s="34" t="s">
        <v>147</v>
      </c>
      <c r="E502" s="260">
        <v>0.51</v>
      </c>
      <c r="F502" s="235">
        <v>2</v>
      </c>
      <c r="G502" s="40" t="s">
        <v>333</v>
      </c>
      <c r="H502" s="29">
        <v>2</v>
      </c>
      <c r="I502" s="9"/>
      <c r="J502" s="9">
        <v>1</v>
      </c>
      <c r="K502" s="9">
        <v>3</v>
      </c>
      <c r="L502" s="9">
        <v>1</v>
      </c>
      <c r="M502" s="9">
        <v>2</v>
      </c>
      <c r="N502" s="186">
        <f t="shared" si="33"/>
        <v>0.48935255543384243</v>
      </c>
      <c r="O502" s="160" t="str">
        <f t="shared" si="34"/>
        <v/>
      </c>
      <c r="P502" s="63"/>
    </row>
    <row r="503" spans="1:16" hidden="1">
      <c r="A503" s="873" t="s">
        <v>236</v>
      </c>
      <c r="B503" s="874" t="s">
        <v>192</v>
      </c>
      <c r="C503" s="875" t="s">
        <v>188</v>
      </c>
      <c r="D503" s="874" t="s">
        <v>147</v>
      </c>
      <c r="E503" s="876">
        <v>0</v>
      </c>
      <c r="F503" s="877">
        <v>2</v>
      </c>
      <c r="G503" s="875" t="s">
        <v>342</v>
      </c>
      <c r="H503" s="841"/>
      <c r="I503" s="656"/>
      <c r="J503" s="656"/>
      <c r="K503" s="656"/>
      <c r="L503" s="656"/>
      <c r="M503" s="656"/>
      <c r="N503" s="850" t="str">
        <f t="shared" si="33"/>
        <v/>
      </c>
      <c r="O503" s="851" t="str">
        <f t="shared" si="34"/>
        <v/>
      </c>
      <c r="P503" s="858"/>
    </row>
    <row r="504" spans="1:16" hidden="1">
      <c r="A504" s="152" t="s">
        <v>236</v>
      </c>
      <c r="B504" s="34" t="s">
        <v>184</v>
      </c>
      <c r="C504" s="40" t="s">
        <v>147</v>
      </c>
      <c r="D504" s="34" t="s">
        <v>147</v>
      </c>
      <c r="E504" s="260">
        <v>1E-4</v>
      </c>
      <c r="F504" s="235">
        <v>3</v>
      </c>
      <c r="G504" s="40" t="s">
        <v>343</v>
      </c>
      <c r="H504" s="29">
        <v>2</v>
      </c>
      <c r="I504" s="9">
        <v>2</v>
      </c>
      <c r="J504" s="9">
        <v>1</v>
      </c>
      <c r="K504" s="9">
        <v>1</v>
      </c>
      <c r="L504" s="9">
        <v>1</v>
      </c>
      <c r="M504" s="9">
        <v>3</v>
      </c>
      <c r="N504" s="186">
        <f t="shared" si="33"/>
        <v>1.0195048044558224</v>
      </c>
      <c r="O504" s="160">
        <f t="shared" si="34"/>
        <v>1.0195048044558224</v>
      </c>
      <c r="P504" s="63"/>
    </row>
    <row r="505" spans="1:16" hidden="1">
      <c r="A505" s="873" t="s">
        <v>344</v>
      </c>
      <c r="B505" s="874" t="s">
        <v>187</v>
      </c>
      <c r="C505" s="875" t="s">
        <v>190</v>
      </c>
      <c r="D505" s="874" t="s">
        <v>147</v>
      </c>
      <c r="E505" s="876" t="s">
        <v>158</v>
      </c>
      <c r="F505" s="877">
        <v>1</v>
      </c>
      <c r="G505" s="875"/>
      <c r="H505" s="841"/>
      <c r="I505" s="656"/>
      <c r="J505" s="656"/>
      <c r="K505" s="656" t="str">
        <f>IF( OR( ISBLANK(#REF!),ISBLANK(G505), ISBLANK(#REF!), ISBLANK(H505), ISBLANK(J505) ), "", 1.5*SQRT(   EXP(2.21*(#REF!-1)) + EXP(2.21*(G505-1)) + EXP(2.21*(#REF!-1)) + EXP(2.21*(H505-1)) + EXP(2.21*J505)   )/100 )</f>
        <v/>
      </c>
      <c r="L505" s="656" t="s">
        <v>262</v>
      </c>
      <c r="M505" s="656"/>
      <c r="N505" s="850" t="str">
        <f t="shared" si="33"/>
        <v/>
      </c>
      <c r="O505" s="851" t="str">
        <f t="shared" si="34"/>
        <v/>
      </c>
      <c r="P505" s="858"/>
    </row>
    <row r="506" spans="1:16" hidden="1">
      <c r="A506" s="873" t="s">
        <v>344</v>
      </c>
      <c r="B506" s="874" t="s">
        <v>187</v>
      </c>
      <c r="C506" s="875" t="s">
        <v>188</v>
      </c>
      <c r="D506" s="874" t="s">
        <v>147</v>
      </c>
      <c r="E506" s="876" t="s">
        <v>158</v>
      </c>
      <c r="F506" s="877">
        <v>1</v>
      </c>
      <c r="G506" s="875"/>
      <c r="H506" s="841"/>
      <c r="I506" s="656"/>
      <c r="J506" s="656"/>
      <c r="K506" s="656" t="str">
        <f>IF( OR( ISBLANK(#REF!),ISBLANK(G506), ISBLANK(#REF!), ISBLANK(H506), ISBLANK(J506) ), "", 1.5*SQRT(   EXP(2.21*(#REF!-1)) + EXP(2.21*(G506-1)) + EXP(2.21*(#REF!-1)) + EXP(2.21*(H506-1)) + EXP(2.21*J506)   )/100 )</f>
        <v/>
      </c>
      <c r="L506" s="656" t="s">
        <v>262</v>
      </c>
      <c r="M506" s="656"/>
      <c r="N506" s="850" t="str">
        <f t="shared" si="33"/>
        <v/>
      </c>
      <c r="O506" s="851" t="str">
        <f t="shared" si="34"/>
        <v/>
      </c>
      <c r="P506" s="858"/>
    </row>
    <row r="507" spans="1:16" hidden="1">
      <c r="A507" s="152" t="s">
        <v>345</v>
      </c>
      <c r="B507" s="34" t="s">
        <v>325</v>
      </c>
      <c r="C507" s="40" t="s">
        <v>147</v>
      </c>
      <c r="D507" s="34" t="s">
        <v>147</v>
      </c>
      <c r="E507" s="260">
        <v>0.41463414634146339</v>
      </c>
      <c r="F507" s="235">
        <v>2</v>
      </c>
      <c r="G507" s="40" t="s">
        <v>346</v>
      </c>
      <c r="H507" s="29">
        <v>2</v>
      </c>
      <c r="I507" s="9"/>
      <c r="J507" s="9">
        <v>3</v>
      </c>
      <c r="K507" s="9">
        <v>3</v>
      </c>
      <c r="L507" s="9">
        <v>1</v>
      </c>
      <c r="M507" s="9">
        <v>2</v>
      </c>
      <c r="N507" s="186">
        <f t="shared" si="33"/>
        <v>0.59189702474662764</v>
      </c>
      <c r="O507" s="160" t="str">
        <f t="shared" si="34"/>
        <v/>
      </c>
      <c r="P507" s="63"/>
    </row>
    <row r="508" spans="1:16" hidden="1">
      <c r="A508" s="152" t="s">
        <v>345</v>
      </c>
      <c r="B508" s="34" t="s">
        <v>325</v>
      </c>
      <c r="C508" s="40" t="s">
        <v>147</v>
      </c>
      <c r="D508" s="34" t="s">
        <v>147</v>
      </c>
      <c r="E508" s="260">
        <v>0.70487804878048776</v>
      </c>
      <c r="F508" s="235">
        <v>2</v>
      </c>
      <c r="G508" s="40" t="s">
        <v>346</v>
      </c>
      <c r="H508" s="29">
        <v>2</v>
      </c>
      <c r="I508" s="9"/>
      <c r="J508" s="9">
        <v>3</v>
      </c>
      <c r="K508" s="9">
        <v>3</v>
      </c>
      <c r="L508" s="9">
        <v>1</v>
      </c>
      <c r="M508" s="9">
        <v>2</v>
      </c>
      <c r="N508" s="186">
        <f t="shared" si="33"/>
        <v>0.59189702474662764</v>
      </c>
      <c r="O508" s="160" t="str">
        <f t="shared" si="34"/>
        <v/>
      </c>
      <c r="P508" s="63"/>
    </row>
    <row r="509" spans="1:16" hidden="1">
      <c r="A509" s="152" t="s">
        <v>121</v>
      </c>
      <c r="B509" s="34" t="s">
        <v>347</v>
      </c>
      <c r="C509" s="40" t="s">
        <v>147</v>
      </c>
      <c r="D509" s="34" t="s">
        <v>93</v>
      </c>
      <c r="E509" s="260">
        <v>0</v>
      </c>
      <c r="F509" s="235">
        <v>1</v>
      </c>
      <c r="G509" s="40"/>
      <c r="H509" s="29"/>
      <c r="I509" s="9"/>
      <c r="J509" s="9"/>
      <c r="K509" s="9"/>
      <c r="L509" s="9"/>
      <c r="M509" s="9"/>
      <c r="N509" s="186" t="str">
        <f t="shared" si="33"/>
        <v/>
      </c>
      <c r="O509" s="160" t="str">
        <f t="shared" si="34"/>
        <v/>
      </c>
      <c r="P509" s="63"/>
    </row>
    <row r="510" spans="1:16" hidden="1">
      <c r="A510" s="152" t="s">
        <v>121</v>
      </c>
      <c r="B510" s="34" t="s">
        <v>347</v>
      </c>
      <c r="C510" s="40" t="s">
        <v>147</v>
      </c>
      <c r="D510" s="34" t="s">
        <v>94</v>
      </c>
      <c r="E510" s="260">
        <v>0.39167899730176692</v>
      </c>
      <c r="F510" s="235">
        <v>1</v>
      </c>
      <c r="G510" s="40" t="s">
        <v>171</v>
      </c>
      <c r="H510" s="29">
        <v>2</v>
      </c>
      <c r="I510" s="9">
        <v>2</v>
      </c>
      <c r="J510" s="9">
        <v>2</v>
      </c>
      <c r="K510" s="9">
        <v>2</v>
      </c>
      <c r="L510" s="9">
        <v>1</v>
      </c>
      <c r="M510" s="9">
        <v>2</v>
      </c>
      <c r="N510" s="186">
        <f t="shared" si="33"/>
        <v>0.38795788889711302</v>
      </c>
      <c r="O510" s="160">
        <f t="shared" si="34"/>
        <v>0.38795788889711302</v>
      </c>
      <c r="P510" s="63"/>
    </row>
    <row r="511" spans="1:16" hidden="1">
      <c r="A511" s="152" t="s">
        <v>121</v>
      </c>
      <c r="B511" s="34" t="s">
        <v>347</v>
      </c>
      <c r="C511" s="40" t="s">
        <v>147</v>
      </c>
      <c r="D511" s="34" t="s">
        <v>95</v>
      </c>
      <c r="E511" s="260">
        <v>0</v>
      </c>
      <c r="F511" s="235">
        <v>1</v>
      </c>
      <c r="G511" s="40"/>
      <c r="H511" s="29"/>
      <c r="I511" s="9"/>
      <c r="J511" s="9"/>
      <c r="K511" s="9"/>
      <c r="L511" s="9"/>
      <c r="M511" s="9"/>
      <c r="N511" s="186" t="str">
        <f t="shared" si="33"/>
        <v/>
      </c>
      <c r="O511" s="160" t="str">
        <f t="shared" si="34"/>
        <v/>
      </c>
      <c r="P511" s="63"/>
    </row>
    <row r="512" spans="1:16" hidden="1">
      <c r="A512" s="152" t="s">
        <v>121</v>
      </c>
      <c r="B512" s="34" t="s">
        <v>347</v>
      </c>
      <c r="C512" s="40" t="s">
        <v>147</v>
      </c>
      <c r="D512" s="34" t="s">
        <v>96</v>
      </c>
      <c r="E512" s="260">
        <v>0</v>
      </c>
      <c r="F512" s="235">
        <v>1</v>
      </c>
      <c r="G512" s="40"/>
      <c r="H512" s="29"/>
      <c r="I512" s="9"/>
      <c r="J512" s="9"/>
      <c r="K512" s="9"/>
      <c r="L512" s="9"/>
      <c r="M512" s="9"/>
      <c r="N512" s="186" t="str">
        <f t="shared" si="33"/>
        <v/>
      </c>
      <c r="O512" s="160" t="str">
        <f t="shared" si="34"/>
        <v/>
      </c>
      <c r="P512" s="63"/>
    </row>
    <row r="513" spans="1:16" hidden="1">
      <c r="A513" s="152" t="s">
        <v>121</v>
      </c>
      <c r="B513" s="34" t="s">
        <v>347</v>
      </c>
      <c r="C513" s="40" t="s">
        <v>147</v>
      </c>
      <c r="D513" s="34" t="s">
        <v>97</v>
      </c>
      <c r="E513" s="260">
        <v>0</v>
      </c>
      <c r="F513" s="235">
        <v>1</v>
      </c>
      <c r="G513" s="40"/>
      <c r="H513" s="29"/>
      <c r="I513" s="9"/>
      <c r="J513" s="9"/>
      <c r="K513" s="9"/>
      <c r="L513" s="9"/>
      <c r="M513" s="9"/>
      <c r="N513" s="186" t="str">
        <f t="shared" si="33"/>
        <v/>
      </c>
      <c r="O513" s="160" t="str">
        <f t="shared" si="34"/>
        <v/>
      </c>
      <c r="P513" s="63"/>
    </row>
    <row r="514" spans="1:16" hidden="1">
      <c r="A514" s="152" t="s">
        <v>121</v>
      </c>
      <c r="B514" s="34" t="s">
        <v>347</v>
      </c>
      <c r="C514" s="40" t="s">
        <v>147</v>
      </c>
      <c r="D514" s="34" t="s">
        <v>98</v>
      </c>
      <c r="E514" s="260">
        <v>0</v>
      </c>
      <c r="F514" s="235">
        <v>1</v>
      </c>
      <c r="G514" s="40"/>
      <c r="H514" s="29"/>
      <c r="I514" s="9"/>
      <c r="J514" s="9"/>
      <c r="K514" s="9"/>
      <c r="L514" s="9"/>
      <c r="M514" s="9"/>
      <c r="N514" s="186" t="str">
        <f t="shared" si="33"/>
        <v/>
      </c>
      <c r="O514" s="160" t="str">
        <f t="shared" si="34"/>
        <v/>
      </c>
      <c r="P514" s="63"/>
    </row>
    <row r="515" spans="1:16" hidden="1">
      <c r="A515" s="152" t="s">
        <v>121</v>
      </c>
      <c r="B515" s="34" t="s">
        <v>347</v>
      </c>
      <c r="C515" s="40" t="s">
        <v>147</v>
      </c>
      <c r="D515" s="34" t="s">
        <v>99</v>
      </c>
      <c r="E515" s="260">
        <v>9.4657445223231051E-2</v>
      </c>
      <c r="F515" s="235">
        <v>1</v>
      </c>
      <c r="G515" s="40" t="s">
        <v>171</v>
      </c>
      <c r="H515" s="29">
        <v>2</v>
      </c>
      <c r="I515" s="9">
        <v>2</v>
      </c>
      <c r="J515" s="9">
        <v>2</v>
      </c>
      <c r="K515" s="9">
        <v>2</v>
      </c>
      <c r="L515" s="9">
        <v>1</v>
      </c>
      <c r="M515" s="9">
        <v>2</v>
      </c>
      <c r="N515" s="186">
        <f t="shared" si="33"/>
        <v>0.38795788889711302</v>
      </c>
      <c r="O515" s="160">
        <f t="shared" si="34"/>
        <v>0.38795788889711302</v>
      </c>
      <c r="P515" s="63"/>
    </row>
    <row r="516" spans="1:16" hidden="1">
      <c r="A516" s="152" t="s">
        <v>121</v>
      </c>
      <c r="B516" s="34" t="s">
        <v>347</v>
      </c>
      <c r="C516" s="40" t="s">
        <v>147</v>
      </c>
      <c r="D516" s="34" t="s">
        <v>103</v>
      </c>
      <c r="E516" s="260">
        <v>0</v>
      </c>
      <c r="F516" s="235">
        <v>1</v>
      </c>
      <c r="G516" s="40"/>
      <c r="H516" s="29"/>
      <c r="I516" s="9"/>
      <c r="J516" s="9"/>
      <c r="K516" s="9"/>
      <c r="L516" s="9"/>
      <c r="M516" s="9"/>
      <c r="N516" s="186" t="str">
        <f t="shared" si="33"/>
        <v/>
      </c>
      <c r="O516" s="160" t="str">
        <f t="shared" si="34"/>
        <v/>
      </c>
      <c r="P516" s="63"/>
    </row>
    <row r="517" spans="1:16" hidden="1">
      <c r="A517" s="152" t="s">
        <v>121</v>
      </c>
      <c r="B517" s="34" t="s">
        <v>347</v>
      </c>
      <c r="C517" s="40" t="s">
        <v>147</v>
      </c>
      <c r="D517" s="34" t="s">
        <v>107</v>
      </c>
      <c r="E517" s="260">
        <v>0</v>
      </c>
      <c r="F517" s="235">
        <v>1</v>
      </c>
      <c r="G517" s="40"/>
      <c r="H517" s="29"/>
      <c r="I517" s="9"/>
      <c r="J517" s="9"/>
      <c r="K517" s="9"/>
      <c r="L517" s="9"/>
      <c r="M517" s="9"/>
      <c r="N517" s="186" t="str">
        <f t="shared" si="33"/>
        <v/>
      </c>
      <c r="O517" s="160" t="str">
        <f t="shared" si="34"/>
        <v/>
      </c>
      <c r="P517" s="63"/>
    </row>
    <row r="518" spans="1:16" hidden="1">
      <c r="A518" s="152" t="s">
        <v>37</v>
      </c>
      <c r="B518" s="34" t="s">
        <v>348</v>
      </c>
      <c r="C518" s="40" t="s">
        <v>147</v>
      </c>
      <c r="D518" s="34" t="s">
        <v>93</v>
      </c>
      <c r="E518" s="260">
        <f>Intentionally_produced_MPs!P127</f>
        <v>0</v>
      </c>
      <c r="F518" s="235">
        <v>1</v>
      </c>
      <c r="G518" s="40"/>
      <c r="H518" s="29"/>
      <c r="I518" s="9"/>
      <c r="J518" s="9"/>
      <c r="K518" s="9"/>
      <c r="L518" s="9"/>
      <c r="M518" s="9"/>
      <c r="N518" s="186" t="str">
        <f t="shared" si="33"/>
        <v/>
      </c>
      <c r="O518" s="160" t="str">
        <f t="shared" si="34"/>
        <v/>
      </c>
      <c r="P518" s="63"/>
    </row>
    <row r="519" spans="1:16" hidden="1">
      <c r="A519" s="152" t="s">
        <v>37</v>
      </c>
      <c r="B519" s="34" t="s">
        <v>348</v>
      </c>
      <c r="C519" s="40" t="s">
        <v>147</v>
      </c>
      <c r="D519" s="34" t="s">
        <v>94</v>
      </c>
      <c r="E519" s="260">
        <f>Intentionally_produced_MPs!P128</f>
        <v>0</v>
      </c>
      <c r="F519" s="235">
        <v>1</v>
      </c>
      <c r="G519" s="40"/>
      <c r="H519" s="29"/>
      <c r="I519" s="9"/>
      <c r="J519" s="9"/>
      <c r="K519" s="9"/>
      <c r="L519" s="9"/>
      <c r="M519" s="9"/>
      <c r="N519" s="186" t="str">
        <f t="shared" si="33"/>
        <v/>
      </c>
      <c r="O519" s="160" t="str">
        <f t="shared" si="34"/>
        <v/>
      </c>
      <c r="P519" s="63"/>
    </row>
    <row r="520" spans="1:16" hidden="1">
      <c r="A520" s="152" t="s">
        <v>37</v>
      </c>
      <c r="B520" s="34" t="s">
        <v>348</v>
      </c>
      <c r="C520" s="40" t="s">
        <v>147</v>
      </c>
      <c r="D520" s="34" t="s">
        <v>95</v>
      </c>
      <c r="E520" s="260">
        <f>Intentionally_produced_MPs!P129</f>
        <v>0</v>
      </c>
      <c r="F520" s="235">
        <v>1</v>
      </c>
      <c r="G520" s="40"/>
      <c r="H520" s="29"/>
      <c r="I520" s="9"/>
      <c r="J520" s="9"/>
      <c r="K520" s="9"/>
      <c r="L520" s="9"/>
      <c r="M520" s="9"/>
      <c r="N520" s="186" t="str">
        <f t="shared" si="33"/>
        <v/>
      </c>
      <c r="O520" s="160" t="str">
        <f t="shared" si="34"/>
        <v/>
      </c>
      <c r="P520" s="63"/>
    </row>
    <row r="521" spans="1:16" hidden="1">
      <c r="A521" s="152" t="s">
        <v>37</v>
      </c>
      <c r="B521" s="34" t="s">
        <v>348</v>
      </c>
      <c r="C521" s="40" t="s">
        <v>147</v>
      </c>
      <c r="D521" s="34" t="s">
        <v>96</v>
      </c>
      <c r="E521" s="260">
        <f>Intentionally_produced_MPs!P130</f>
        <v>0</v>
      </c>
      <c r="F521" s="235">
        <v>1</v>
      </c>
      <c r="G521" s="40"/>
      <c r="H521" s="29"/>
      <c r="I521" s="9"/>
      <c r="J521" s="9"/>
      <c r="K521" s="9"/>
      <c r="L521" s="9"/>
      <c r="M521" s="9"/>
      <c r="N521" s="186" t="str">
        <f t="shared" si="33"/>
        <v/>
      </c>
      <c r="O521" s="160" t="str">
        <f t="shared" si="34"/>
        <v/>
      </c>
      <c r="P521" s="63"/>
    </row>
    <row r="522" spans="1:16" hidden="1">
      <c r="A522" s="152" t="s">
        <v>37</v>
      </c>
      <c r="B522" s="34" t="s">
        <v>348</v>
      </c>
      <c r="C522" s="40" t="s">
        <v>147</v>
      </c>
      <c r="D522" s="34" t="s">
        <v>97</v>
      </c>
      <c r="E522" s="260">
        <f>Intentionally_produced_MPs!P131</f>
        <v>0</v>
      </c>
      <c r="F522" s="235">
        <v>1</v>
      </c>
      <c r="G522" s="40"/>
      <c r="H522" s="29"/>
      <c r="I522" s="9"/>
      <c r="J522" s="9"/>
      <c r="K522" s="9"/>
      <c r="L522" s="9"/>
      <c r="M522" s="9"/>
      <c r="N522" s="186" t="str">
        <f t="shared" si="33"/>
        <v/>
      </c>
      <c r="O522" s="160" t="str">
        <f t="shared" si="34"/>
        <v/>
      </c>
      <c r="P522" s="63"/>
    </row>
    <row r="523" spans="1:16" hidden="1">
      <c r="A523" s="152" t="s">
        <v>37</v>
      </c>
      <c r="B523" s="34" t="s">
        <v>348</v>
      </c>
      <c r="C523" s="40" t="s">
        <v>147</v>
      </c>
      <c r="D523" s="34" t="s">
        <v>98</v>
      </c>
      <c r="E523" s="260">
        <f>Intentionally_produced_MPs!P132</f>
        <v>0</v>
      </c>
      <c r="F523" s="235">
        <v>1</v>
      </c>
      <c r="G523" s="40"/>
      <c r="H523" s="29"/>
      <c r="I523" s="9"/>
      <c r="J523" s="9"/>
      <c r="K523" s="9"/>
      <c r="L523" s="9"/>
      <c r="M523" s="9"/>
      <c r="N523" s="186" t="str">
        <f t="shared" si="33"/>
        <v/>
      </c>
      <c r="O523" s="160" t="str">
        <f t="shared" si="34"/>
        <v/>
      </c>
      <c r="P523" s="63"/>
    </row>
    <row r="524" spans="1:16" hidden="1">
      <c r="A524" s="152" t="s">
        <v>37</v>
      </c>
      <c r="B524" s="34" t="s">
        <v>348</v>
      </c>
      <c r="C524" s="40" t="s">
        <v>147</v>
      </c>
      <c r="D524" s="34" t="s">
        <v>99</v>
      </c>
      <c r="E524" s="260">
        <f>Intentionally_produced_MPs!P133</f>
        <v>0</v>
      </c>
      <c r="F524" s="235">
        <v>1</v>
      </c>
      <c r="G524" s="40"/>
      <c r="H524" s="29"/>
      <c r="I524" s="9"/>
      <c r="J524" s="9"/>
      <c r="K524" s="9"/>
      <c r="L524" s="9"/>
      <c r="M524" s="9"/>
      <c r="N524" s="186" t="str">
        <f t="shared" si="33"/>
        <v/>
      </c>
      <c r="O524" s="160" t="str">
        <f t="shared" si="34"/>
        <v/>
      </c>
      <c r="P524" s="63"/>
    </row>
    <row r="525" spans="1:16" hidden="1">
      <c r="A525" s="152" t="s">
        <v>37</v>
      </c>
      <c r="B525" s="34" t="s">
        <v>348</v>
      </c>
      <c r="C525" s="40" t="s">
        <v>147</v>
      </c>
      <c r="D525" s="34" t="s">
        <v>100</v>
      </c>
      <c r="E525" s="260">
        <f>Intentionally_produced_MPs!P134</f>
        <v>0</v>
      </c>
      <c r="F525" s="235">
        <v>1</v>
      </c>
      <c r="G525" s="40"/>
      <c r="H525" s="29"/>
      <c r="I525" s="9"/>
      <c r="J525" s="9"/>
      <c r="K525" s="9"/>
      <c r="L525" s="9"/>
      <c r="M525" s="9"/>
      <c r="N525" s="186" t="str">
        <f t="shared" ref="N525:N556" si="35">IF( OR( ISBLANK(H525),ISBLANK(J525), ISBLANK(K525), ISBLANK(L525), ISBLANK(M525) ), "", 1.5*SQRT(   EXP(2.21*(H525-1)) + EXP(2.21*(J525-1)) + EXP(2.21*(K525-1)) + EXP(2.21*(L525-1)) + EXP(2.21*M525)   )/100*2.45 )</f>
        <v/>
      </c>
      <c r="O525" s="160" t="str">
        <f t="shared" ref="O525:O556" si="36">IF( OR( ISBLANK(I525),ISBLANK(J525), ISBLANK(K525), ISBLANK(L525), ISBLANK(M525) ), "", 1.5*SQRT( EXP(2.21*(I525-1)) + EXP(2.21*(J525-1)) + EXP(2.21*(K525-1)) + EXP(2.21*(L525-1)) + EXP(2.21*M525)   )/100*2.45 )</f>
        <v/>
      </c>
      <c r="P525" s="63"/>
    </row>
    <row r="526" spans="1:16" hidden="1">
      <c r="A526" s="152" t="s">
        <v>37</v>
      </c>
      <c r="B526" s="34" t="s">
        <v>348</v>
      </c>
      <c r="C526" s="40" t="s">
        <v>147</v>
      </c>
      <c r="D526" s="34" t="s">
        <v>101</v>
      </c>
      <c r="E526" s="260">
        <f>Intentionally_produced_MPs!P135</f>
        <v>0</v>
      </c>
      <c r="F526" s="235">
        <v>1</v>
      </c>
      <c r="G526" s="40"/>
      <c r="H526" s="29"/>
      <c r="I526" s="9"/>
      <c r="J526" s="9"/>
      <c r="K526" s="9"/>
      <c r="L526" s="9"/>
      <c r="M526" s="9"/>
      <c r="N526" s="186" t="str">
        <f t="shared" si="35"/>
        <v/>
      </c>
      <c r="O526" s="160" t="str">
        <f t="shared" si="36"/>
        <v/>
      </c>
      <c r="P526" s="63"/>
    </row>
    <row r="527" spans="1:16" hidden="1">
      <c r="A527" s="152" t="s">
        <v>37</v>
      </c>
      <c r="B527" s="34" t="s">
        <v>348</v>
      </c>
      <c r="C527" s="40" t="s">
        <v>147</v>
      </c>
      <c r="D527" s="34" t="s">
        <v>102</v>
      </c>
      <c r="E527" s="260">
        <f>Intentionally_produced_MPs!P136</f>
        <v>0</v>
      </c>
      <c r="F527" s="235">
        <v>1</v>
      </c>
      <c r="G527" s="40"/>
      <c r="H527" s="29"/>
      <c r="I527" s="9"/>
      <c r="J527" s="9"/>
      <c r="K527" s="9"/>
      <c r="L527" s="9"/>
      <c r="M527" s="9"/>
      <c r="N527" s="186" t="str">
        <f t="shared" si="35"/>
        <v/>
      </c>
      <c r="O527" s="160" t="str">
        <f t="shared" si="36"/>
        <v/>
      </c>
      <c r="P527" s="63"/>
    </row>
    <row r="528" spans="1:16" hidden="1">
      <c r="A528" s="152" t="s">
        <v>37</v>
      </c>
      <c r="B528" s="34" t="s">
        <v>348</v>
      </c>
      <c r="C528" s="40" t="s">
        <v>147</v>
      </c>
      <c r="D528" s="34" t="s">
        <v>103</v>
      </c>
      <c r="E528" s="260">
        <f>Intentionally_produced_MPs!P137</f>
        <v>0</v>
      </c>
      <c r="F528" s="235">
        <v>1</v>
      </c>
      <c r="G528" s="40"/>
      <c r="H528" s="29"/>
      <c r="I528" s="9"/>
      <c r="J528" s="9"/>
      <c r="K528" s="9"/>
      <c r="L528" s="9"/>
      <c r="M528" s="9"/>
      <c r="N528" s="186" t="str">
        <f t="shared" si="35"/>
        <v/>
      </c>
      <c r="O528" s="160" t="str">
        <f t="shared" si="36"/>
        <v/>
      </c>
      <c r="P528" s="63"/>
    </row>
    <row r="529" spans="1:16" hidden="1">
      <c r="A529" s="152" t="s">
        <v>37</v>
      </c>
      <c r="B529" s="34" t="s">
        <v>348</v>
      </c>
      <c r="C529" s="40" t="s">
        <v>147</v>
      </c>
      <c r="D529" s="34" t="s">
        <v>104</v>
      </c>
      <c r="E529" s="260">
        <f>Intentionally_produced_MPs!P138</f>
        <v>0</v>
      </c>
      <c r="F529" s="235">
        <v>1</v>
      </c>
      <c r="G529" s="40"/>
      <c r="H529" s="29"/>
      <c r="I529" s="9"/>
      <c r="J529" s="9"/>
      <c r="K529" s="9"/>
      <c r="L529" s="9"/>
      <c r="M529" s="9"/>
      <c r="N529" s="186" t="str">
        <f t="shared" si="35"/>
        <v/>
      </c>
      <c r="O529" s="160" t="str">
        <f t="shared" si="36"/>
        <v/>
      </c>
      <c r="P529" s="63"/>
    </row>
    <row r="530" spans="1:16" hidden="1">
      <c r="A530" s="152" t="s">
        <v>37</v>
      </c>
      <c r="B530" s="34" t="s">
        <v>348</v>
      </c>
      <c r="C530" s="40" t="s">
        <v>147</v>
      </c>
      <c r="D530" s="34" t="s">
        <v>105</v>
      </c>
      <c r="E530" s="260">
        <f>Intentionally_produced_MPs!P139</f>
        <v>0</v>
      </c>
      <c r="F530" s="235">
        <v>1</v>
      </c>
      <c r="G530" s="40"/>
      <c r="H530" s="29"/>
      <c r="I530" s="9"/>
      <c r="J530" s="9"/>
      <c r="K530" s="9"/>
      <c r="L530" s="9"/>
      <c r="M530" s="9"/>
      <c r="N530" s="186" t="str">
        <f t="shared" si="35"/>
        <v/>
      </c>
      <c r="O530" s="160" t="str">
        <f t="shared" si="36"/>
        <v/>
      </c>
      <c r="P530" s="63"/>
    </row>
    <row r="531" spans="1:16" hidden="1">
      <c r="A531" s="152" t="s">
        <v>37</v>
      </c>
      <c r="B531" s="34" t="s">
        <v>348</v>
      </c>
      <c r="C531" s="40" t="s">
        <v>147</v>
      </c>
      <c r="D531" s="34" t="s">
        <v>106</v>
      </c>
      <c r="E531" s="260">
        <f>Intentionally_produced_MPs!P140</f>
        <v>0.14573018486415787</v>
      </c>
      <c r="F531" s="235">
        <v>1</v>
      </c>
      <c r="G531" s="40"/>
      <c r="H531" s="29">
        <v>3</v>
      </c>
      <c r="I531" s="9">
        <v>2</v>
      </c>
      <c r="J531" s="9">
        <v>3</v>
      </c>
      <c r="K531" s="9">
        <v>3</v>
      </c>
      <c r="L531" s="9">
        <v>3</v>
      </c>
      <c r="M531" s="9">
        <v>3</v>
      </c>
      <c r="N531" s="186">
        <f t="shared" si="35"/>
        <v>1.2132328390150593</v>
      </c>
      <c r="O531" s="160">
        <f t="shared" si="36"/>
        <v>1.1713319510247036</v>
      </c>
      <c r="P531" s="63"/>
    </row>
    <row r="532" spans="1:16" hidden="1">
      <c r="A532" s="152" t="s">
        <v>332</v>
      </c>
      <c r="B532" s="34" t="s">
        <v>236</v>
      </c>
      <c r="C532" s="40" t="s">
        <v>147</v>
      </c>
      <c r="D532" s="34" t="s">
        <v>147</v>
      </c>
      <c r="E532" s="260">
        <v>0.1</v>
      </c>
      <c r="F532" s="235">
        <v>1</v>
      </c>
      <c r="G532" s="40" t="s">
        <v>349</v>
      </c>
      <c r="H532" s="29"/>
      <c r="I532" s="9"/>
      <c r="J532" s="9"/>
      <c r="K532" s="9"/>
      <c r="L532" s="9"/>
      <c r="M532" s="9"/>
      <c r="N532" s="186" t="str">
        <f t="shared" si="35"/>
        <v/>
      </c>
      <c r="O532" s="160" t="str">
        <f t="shared" si="36"/>
        <v/>
      </c>
      <c r="P532" s="63" t="s">
        <v>350</v>
      </c>
    </row>
    <row r="533" spans="1:16" hidden="1">
      <c r="A533" s="152" t="s">
        <v>332</v>
      </c>
      <c r="B533" s="34" t="s">
        <v>236</v>
      </c>
      <c r="C533" s="40" t="s">
        <v>147</v>
      </c>
      <c r="D533" s="34" t="s">
        <v>147</v>
      </c>
      <c r="E533" s="260">
        <v>0.9</v>
      </c>
      <c r="F533" s="235">
        <v>1</v>
      </c>
      <c r="G533" s="40" t="s">
        <v>351</v>
      </c>
      <c r="H533" s="29"/>
      <c r="I533" s="9"/>
      <c r="J533" s="9"/>
      <c r="K533" s="9"/>
      <c r="L533" s="9"/>
      <c r="M533" s="9"/>
      <c r="N533" s="186" t="str">
        <f t="shared" si="35"/>
        <v/>
      </c>
      <c r="O533" s="160" t="str">
        <f t="shared" si="36"/>
        <v/>
      </c>
      <c r="P533" s="63" t="s">
        <v>350</v>
      </c>
    </row>
    <row r="534" spans="1:16" hidden="1">
      <c r="A534" s="152" t="s">
        <v>213</v>
      </c>
      <c r="B534" s="34" t="s">
        <v>236</v>
      </c>
      <c r="C534" s="40" t="s">
        <v>147</v>
      </c>
      <c r="D534" s="34" t="s">
        <v>147</v>
      </c>
      <c r="E534" s="260" t="s">
        <v>158</v>
      </c>
      <c r="F534" s="235">
        <v>1</v>
      </c>
      <c r="G534" s="40"/>
      <c r="H534" s="29"/>
      <c r="I534" s="9"/>
      <c r="J534" s="9"/>
      <c r="K534" s="9" t="str">
        <f>IF( OR( ISBLANK(#REF!),ISBLANK(G534), ISBLANK(#REF!), ISBLANK(H534), ISBLANK(J534) ), "", 1.5*SQRT(   EXP(2.21*(#REF!-1)) + EXP(2.21*(G534-1)) + EXP(2.21*(#REF!-1)) + EXP(2.21*(H534-1)) + EXP(2.21*J534)   )/100 )</f>
        <v/>
      </c>
      <c r="L534" s="9" t="str">
        <f>IF( OR( ISBLANK(E534),ISBLANK(G534), ISBLANK(#REF!), ISBLANK(H534), ISBLANK(J534) ), "", 1.5*SQRT(   EXP(2.21*(E534-1)) + EXP(2.21*(G534-1)) + EXP(2.21*(#REF!-1)) + EXP(2.21*(H534-1)) + EXP(2.21*J534)   )/100 )</f>
        <v/>
      </c>
      <c r="M534" s="9"/>
      <c r="N534" s="186" t="str">
        <f t="shared" si="35"/>
        <v/>
      </c>
      <c r="O534" s="160" t="str">
        <f t="shared" si="36"/>
        <v/>
      </c>
      <c r="P534" s="63"/>
    </row>
    <row r="535" spans="1:16" hidden="1">
      <c r="A535" s="152" t="s">
        <v>214</v>
      </c>
      <c r="B535" s="34" t="s">
        <v>236</v>
      </c>
      <c r="C535" s="40" t="s">
        <v>147</v>
      </c>
      <c r="D535" s="34" t="s">
        <v>147</v>
      </c>
      <c r="E535" s="260" t="s">
        <v>158</v>
      </c>
      <c r="F535" s="235">
        <v>1</v>
      </c>
      <c r="G535" s="40"/>
      <c r="H535" s="29"/>
      <c r="I535" s="9"/>
      <c r="J535" s="9"/>
      <c r="K535" s="9" t="str">
        <f>IF( OR( ISBLANK(#REF!),ISBLANK(G535), ISBLANK(#REF!), ISBLANK(H535), ISBLANK(J535) ), "", 1.5*SQRT(   EXP(2.21*(#REF!-1)) + EXP(2.21*(G535-1)) + EXP(2.21*(#REF!-1)) + EXP(2.21*(H535-1)) + EXP(2.21*J535)   )/100 )</f>
        <v/>
      </c>
      <c r="L535" s="9" t="str">
        <f>IF( OR( ISBLANK(E535),ISBLANK(G535), ISBLANK(#REF!), ISBLANK(H535), ISBLANK(J535) ), "", 1.5*SQRT(   EXP(2.21*(E535-1)) + EXP(2.21*(G535-1)) + EXP(2.21*(#REF!-1)) + EXP(2.21*(H535-1)) + EXP(2.21*J535)   )/100 )</f>
        <v/>
      </c>
      <c r="M535" s="9"/>
      <c r="N535" s="186" t="str">
        <f t="shared" si="35"/>
        <v/>
      </c>
      <c r="O535" s="160" t="str">
        <f t="shared" si="36"/>
        <v/>
      </c>
      <c r="P535" s="63"/>
    </row>
    <row r="536" spans="1:16" hidden="1">
      <c r="A536" s="152" t="s">
        <v>215</v>
      </c>
      <c r="B536" s="34" t="s">
        <v>236</v>
      </c>
      <c r="C536" s="40" t="s">
        <v>147</v>
      </c>
      <c r="D536" s="34" t="s">
        <v>147</v>
      </c>
      <c r="E536" s="260" t="s">
        <v>158</v>
      </c>
      <c r="F536" s="235">
        <v>1</v>
      </c>
      <c r="G536" s="40"/>
      <c r="H536" s="29"/>
      <c r="I536" s="9"/>
      <c r="J536" s="9"/>
      <c r="K536" s="9" t="str">
        <f>IF( OR( ISBLANK(#REF!),ISBLANK(G536), ISBLANK(#REF!), ISBLANK(H536), ISBLANK(J536) ), "", 1.5*SQRT(   EXP(2.21*(#REF!-1)) + EXP(2.21*(G536-1)) + EXP(2.21*(#REF!-1)) + EXP(2.21*(H536-1)) + EXP(2.21*J536)   )/100 )</f>
        <v/>
      </c>
      <c r="L536" s="9" t="str">
        <f>IF( OR( ISBLANK(E536),ISBLANK(G536), ISBLANK(#REF!), ISBLANK(H536), ISBLANK(J536) ), "", 1.5*SQRT(   EXP(2.21*(E536-1)) + EXP(2.21*(G536-1)) + EXP(2.21*(#REF!-1)) + EXP(2.21*(H536-1)) + EXP(2.21*J536)   )/100 )</f>
        <v/>
      </c>
      <c r="M536" s="9"/>
      <c r="N536" s="186" t="str">
        <f t="shared" si="35"/>
        <v/>
      </c>
      <c r="O536" s="160" t="str">
        <f t="shared" si="36"/>
        <v/>
      </c>
      <c r="P536" s="63"/>
    </row>
    <row r="537" spans="1:16" hidden="1">
      <c r="A537" s="152" t="s">
        <v>314</v>
      </c>
      <c r="B537" s="34" t="s">
        <v>236</v>
      </c>
      <c r="C537" s="40" t="s">
        <v>147</v>
      </c>
      <c r="D537" s="34" t="s">
        <v>147</v>
      </c>
      <c r="E537" s="260" t="s">
        <v>158</v>
      </c>
      <c r="F537" s="235">
        <v>1</v>
      </c>
      <c r="G537" s="40"/>
      <c r="H537" s="29"/>
      <c r="I537" s="9"/>
      <c r="J537" s="9"/>
      <c r="K537" s="9"/>
      <c r="L537" s="9"/>
      <c r="M537" s="9"/>
      <c r="N537" s="186" t="str">
        <f t="shared" si="35"/>
        <v/>
      </c>
      <c r="O537" s="160" t="str">
        <f t="shared" si="36"/>
        <v/>
      </c>
      <c r="P537" s="63"/>
    </row>
    <row r="538" spans="1:16" hidden="1">
      <c r="A538" s="152" t="s">
        <v>332</v>
      </c>
      <c r="B538" s="34" t="s">
        <v>352</v>
      </c>
      <c r="C538" s="40" t="s">
        <v>147</v>
      </c>
      <c r="D538" s="34" t="s">
        <v>147</v>
      </c>
      <c r="E538" s="260" t="s">
        <v>158</v>
      </c>
      <c r="F538" s="235">
        <v>1</v>
      </c>
      <c r="G538" s="40" t="s">
        <v>353</v>
      </c>
      <c r="H538" s="29"/>
      <c r="I538" s="9"/>
      <c r="J538" s="9"/>
      <c r="K538" s="9"/>
      <c r="L538" s="9"/>
      <c r="M538" s="9"/>
      <c r="N538" s="186" t="str">
        <f t="shared" si="35"/>
        <v/>
      </c>
      <c r="O538" s="160" t="str">
        <f t="shared" si="36"/>
        <v/>
      </c>
      <c r="P538" s="63" t="s">
        <v>350</v>
      </c>
    </row>
    <row r="539" spans="1:16" hidden="1">
      <c r="A539" s="152" t="s">
        <v>332</v>
      </c>
      <c r="B539" s="34" t="s">
        <v>275</v>
      </c>
      <c r="C539" s="40" t="s">
        <v>147</v>
      </c>
      <c r="D539" s="34" t="s">
        <v>147</v>
      </c>
      <c r="E539" s="260">
        <v>1.0200000000000001E-3</v>
      </c>
      <c r="F539" s="235">
        <v>2</v>
      </c>
      <c r="G539" s="40" t="s">
        <v>354</v>
      </c>
      <c r="H539" s="29">
        <v>2</v>
      </c>
      <c r="I539" s="9"/>
      <c r="J539" s="9">
        <v>3</v>
      </c>
      <c r="K539" s="9">
        <v>3</v>
      </c>
      <c r="L539" s="9">
        <v>3</v>
      </c>
      <c r="M539" s="9">
        <v>2</v>
      </c>
      <c r="N539" s="186">
        <f t="shared" si="35"/>
        <v>0.67913051197703389</v>
      </c>
      <c r="O539" s="160" t="str">
        <f t="shared" si="36"/>
        <v/>
      </c>
      <c r="P539" s="63" t="s">
        <v>355</v>
      </c>
    </row>
    <row r="540" spans="1:16" hidden="1">
      <c r="A540" s="152" t="s">
        <v>336</v>
      </c>
      <c r="B540" s="34" t="s">
        <v>236</v>
      </c>
      <c r="C540" s="40" t="s">
        <v>147</v>
      </c>
      <c r="D540" s="34" t="s">
        <v>147</v>
      </c>
      <c r="E540" s="260" t="s">
        <v>158</v>
      </c>
      <c r="F540" s="235">
        <v>1</v>
      </c>
      <c r="G540" s="40"/>
      <c r="H540" s="29"/>
      <c r="I540" s="9"/>
      <c r="J540" s="9"/>
      <c r="K540" s="9"/>
      <c r="L540" s="9"/>
      <c r="M540" s="9"/>
      <c r="N540" s="186" t="str">
        <f t="shared" si="35"/>
        <v/>
      </c>
      <c r="O540" s="160" t="str">
        <f t="shared" si="36"/>
        <v/>
      </c>
      <c r="P540" s="63"/>
    </row>
    <row r="541" spans="1:16" hidden="1">
      <c r="A541" s="152" t="s">
        <v>248</v>
      </c>
      <c r="B541" s="34" t="s">
        <v>236</v>
      </c>
      <c r="C541" s="40" t="s">
        <v>147</v>
      </c>
      <c r="D541" s="34" t="s">
        <v>147</v>
      </c>
      <c r="E541" s="260" t="s">
        <v>158</v>
      </c>
      <c r="F541" s="235">
        <v>1</v>
      </c>
      <c r="G541" s="40"/>
      <c r="H541" s="29"/>
      <c r="I541" s="9"/>
      <c r="J541" s="9"/>
      <c r="K541" s="9"/>
      <c r="L541" s="9"/>
      <c r="M541" s="9"/>
      <c r="N541" s="186" t="str">
        <f t="shared" si="35"/>
        <v/>
      </c>
      <c r="O541" s="160" t="str">
        <f t="shared" si="36"/>
        <v/>
      </c>
      <c r="P541" s="63"/>
    </row>
    <row r="542" spans="1:16" hidden="1">
      <c r="A542" s="152" t="s">
        <v>334</v>
      </c>
      <c r="B542" s="34" t="s">
        <v>236</v>
      </c>
      <c r="C542" s="40" t="s">
        <v>147</v>
      </c>
      <c r="D542" s="34" t="s">
        <v>147</v>
      </c>
      <c r="E542" s="260" t="s">
        <v>158</v>
      </c>
      <c r="F542" s="235">
        <v>1</v>
      </c>
      <c r="G542" s="40"/>
      <c r="H542" s="29"/>
      <c r="I542" s="9"/>
      <c r="J542" s="9"/>
      <c r="K542" s="9"/>
      <c r="L542" s="9"/>
      <c r="M542" s="9"/>
      <c r="N542" s="186" t="str">
        <f t="shared" si="35"/>
        <v/>
      </c>
      <c r="O542" s="160" t="str">
        <f t="shared" si="36"/>
        <v/>
      </c>
      <c r="P542" s="63"/>
    </row>
    <row r="543" spans="1:16" hidden="1">
      <c r="A543" s="152" t="s">
        <v>337</v>
      </c>
      <c r="B543" s="34" t="s">
        <v>236</v>
      </c>
      <c r="C543" s="40" t="s">
        <v>147</v>
      </c>
      <c r="D543" s="34" t="s">
        <v>147</v>
      </c>
      <c r="E543" s="260" t="s">
        <v>158</v>
      </c>
      <c r="F543" s="235">
        <v>1</v>
      </c>
      <c r="G543" s="40"/>
      <c r="H543" s="29"/>
      <c r="I543" s="9"/>
      <c r="J543" s="9"/>
      <c r="K543" s="9"/>
      <c r="L543" s="9"/>
      <c r="M543" s="9"/>
      <c r="N543" s="186" t="str">
        <f t="shared" si="35"/>
        <v/>
      </c>
      <c r="O543" s="160" t="str">
        <f t="shared" si="36"/>
        <v/>
      </c>
      <c r="P543" s="63"/>
    </row>
    <row r="544" spans="1:16" hidden="1">
      <c r="A544" s="152" t="s">
        <v>345</v>
      </c>
      <c r="B544" s="34" t="s">
        <v>236</v>
      </c>
      <c r="C544" s="40" t="s">
        <v>147</v>
      </c>
      <c r="D544" s="34" t="s">
        <v>147</v>
      </c>
      <c r="E544" s="260" t="s">
        <v>158</v>
      </c>
      <c r="F544" s="235">
        <v>1</v>
      </c>
      <c r="G544" s="40"/>
      <c r="H544" s="29"/>
      <c r="I544" s="9"/>
      <c r="J544" s="9"/>
      <c r="K544" s="9"/>
      <c r="L544" s="9"/>
      <c r="M544" s="9"/>
      <c r="N544" s="186" t="str">
        <f t="shared" si="35"/>
        <v/>
      </c>
      <c r="O544" s="160" t="str">
        <f t="shared" si="36"/>
        <v/>
      </c>
      <c r="P544" s="63"/>
    </row>
    <row r="545" spans="1:16" hidden="1">
      <c r="A545" s="152" t="s">
        <v>216</v>
      </c>
      <c r="B545" s="34" t="s">
        <v>236</v>
      </c>
      <c r="C545" s="40" t="s">
        <v>147</v>
      </c>
      <c r="D545" s="34" t="s">
        <v>147</v>
      </c>
      <c r="E545" s="260" t="s">
        <v>158</v>
      </c>
      <c r="F545" s="235">
        <v>1</v>
      </c>
      <c r="G545" s="40"/>
      <c r="H545" s="29"/>
      <c r="I545" s="9"/>
      <c r="J545" s="9"/>
      <c r="K545" s="9" t="str">
        <f>IF( OR( ISBLANK(#REF!),ISBLANK(G545), ISBLANK(#REF!), ISBLANK(H545), ISBLANK(J545) ), "", 1.5*SQRT(   EXP(2.21*(#REF!-1)) + EXP(2.21*(G545-1)) + EXP(2.21*(#REF!-1)) + EXP(2.21*(H545-1)) + EXP(2.21*J545)   )/100 )</f>
        <v/>
      </c>
      <c r="L545" s="9" t="str">
        <f>IF( OR( ISBLANK(E545),ISBLANK(G545), ISBLANK(#REF!), ISBLANK(H545), ISBLANK(J545) ), "", 1.5*SQRT(   EXP(2.21*(E545-1)) + EXP(2.21*(G545-1)) + EXP(2.21*(#REF!-1)) + EXP(2.21*(H545-1)) + EXP(2.21*J545)   )/100 )</f>
        <v/>
      </c>
      <c r="M545" s="9"/>
      <c r="N545" s="186" t="str">
        <f t="shared" si="35"/>
        <v/>
      </c>
      <c r="O545" s="160" t="str">
        <f t="shared" si="36"/>
        <v/>
      </c>
      <c r="P545" s="63"/>
    </row>
    <row r="546" spans="1:16" hidden="1">
      <c r="A546" s="152" t="s">
        <v>249</v>
      </c>
      <c r="B546" s="34" t="s">
        <v>236</v>
      </c>
      <c r="C546" s="40" t="s">
        <v>147</v>
      </c>
      <c r="D546" s="34" t="s">
        <v>147</v>
      </c>
      <c r="E546" s="260" t="s">
        <v>158</v>
      </c>
      <c r="F546" s="235">
        <v>1</v>
      </c>
      <c r="G546" s="40"/>
      <c r="H546" s="29"/>
      <c r="I546" s="9"/>
      <c r="J546" s="9"/>
      <c r="K546" s="9"/>
      <c r="L546" s="9"/>
      <c r="M546" s="9"/>
      <c r="N546" s="186" t="str">
        <f t="shared" si="35"/>
        <v/>
      </c>
      <c r="O546" s="160" t="str">
        <f t="shared" si="36"/>
        <v/>
      </c>
      <c r="P546" s="63"/>
    </row>
    <row r="547" spans="1:16" hidden="1">
      <c r="A547" s="152" t="s">
        <v>250</v>
      </c>
      <c r="B547" s="34" t="s">
        <v>236</v>
      </c>
      <c r="C547" s="40" t="s">
        <v>147</v>
      </c>
      <c r="D547" s="34" t="s">
        <v>147</v>
      </c>
      <c r="E547" s="260" t="s">
        <v>158</v>
      </c>
      <c r="F547" s="235">
        <v>1</v>
      </c>
      <c r="G547" s="40"/>
      <c r="H547" s="29"/>
      <c r="I547" s="9"/>
      <c r="J547" s="9"/>
      <c r="K547" s="9"/>
      <c r="L547" s="9"/>
      <c r="M547" s="9"/>
      <c r="N547" s="186" t="str">
        <f t="shared" si="35"/>
        <v/>
      </c>
      <c r="O547" s="160" t="str">
        <f t="shared" si="36"/>
        <v/>
      </c>
      <c r="P547" s="63"/>
    </row>
    <row r="548" spans="1:16" hidden="1">
      <c r="A548" s="292" t="s">
        <v>202</v>
      </c>
      <c r="B548" s="55" t="s">
        <v>236</v>
      </c>
      <c r="C548" s="265" t="s">
        <v>147</v>
      </c>
      <c r="D548" s="55" t="s">
        <v>147</v>
      </c>
      <c r="E548" s="260" t="s">
        <v>158</v>
      </c>
      <c r="F548" s="235">
        <v>1</v>
      </c>
      <c r="G548" s="265" t="s">
        <v>237</v>
      </c>
      <c r="H548" s="29">
        <v>1</v>
      </c>
      <c r="I548" s="9">
        <v>2</v>
      </c>
      <c r="J548" s="9">
        <v>2</v>
      </c>
      <c r="K548" s="9">
        <v>1</v>
      </c>
      <c r="L548" s="9">
        <v>2</v>
      </c>
      <c r="M548" s="9">
        <v>2</v>
      </c>
      <c r="N548" s="186">
        <f t="shared" si="35"/>
        <v>0.37356464144298934</v>
      </c>
      <c r="O548" s="160">
        <f t="shared" si="36"/>
        <v>0.38795788889711302</v>
      </c>
      <c r="P548" s="63"/>
    </row>
    <row r="549" spans="1:16" hidden="1">
      <c r="A549" s="292" t="s">
        <v>356</v>
      </c>
      <c r="B549" s="55" t="s">
        <v>236</v>
      </c>
      <c r="C549" s="265" t="s">
        <v>147</v>
      </c>
      <c r="D549" s="55" t="s">
        <v>147</v>
      </c>
      <c r="E549" s="260">
        <v>1</v>
      </c>
      <c r="F549" s="235">
        <v>1</v>
      </c>
      <c r="G549" s="265" t="s">
        <v>171</v>
      </c>
      <c r="H549" s="29"/>
      <c r="I549" s="9"/>
      <c r="J549" s="9"/>
      <c r="K549" s="9"/>
      <c r="L549" s="9"/>
      <c r="M549" s="9"/>
      <c r="N549" s="186" t="str">
        <f t="shared" si="35"/>
        <v/>
      </c>
      <c r="O549" s="160" t="str">
        <f t="shared" si="36"/>
        <v/>
      </c>
      <c r="P549" s="63"/>
    </row>
    <row r="550" spans="1:16" hidden="1">
      <c r="A550" s="152" t="s">
        <v>247</v>
      </c>
      <c r="B550" s="55" t="s">
        <v>236</v>
      </c>
      <c r="C550" s="265" t="s">
        <v>147</v>
      </c>
      <c r="D550" s="55" t="s">
        <v>147</v>
      </c>
      <c r="E550" s="260" t="s">
        <v>158</v>
      </c>
      <c r="F550" s="235">
        <v>1</v>
      </c>
      <c r="G550" s="265" t="s">
        <v>357</v>
      </c>
      <c r="H550" s="29"/>
      <c r="I550" s="9"/>
      <c r="J550" s="9"/>
      <c r="K550" s="9"/>
      <c r="L550" s="9"/>
      <c r="M550" s="9"/>
      <c r="N550" s="186" t="str">
        <f t="shared" si="35"/>
        <v/>
      </c>
      <c r="O550" s="160" t="str">
        <f t="shared" si="36"/>
        <v/>
      </c>
      <c r="P550" s="63"/>
    </row>
    <row r="551" spans="1:16" hidden="1">
      <c r="A551" s="292" t="s">
        <v>358</v>
      </c>
      <c r="B551" s="55" t="s">
        <v>186</v>
      </c>
      <c r="C551" s="265" t="s">
        <v>147</v>
      </c>
      <c r="D551" s="55" t="s">
        <v>147</v>
      </c>
      <c r="E551" s="260" t="s">
        <v>158</v>
      </c>
      <c r="F551" s="235">
        <v>1</v>
      </c>
      <c r="G551" s="265" t="s">
        <v>171</v>
      </c>
      <c r="H551" s="29"/>
      <c r="I551" s="9"/>
      <c r="J551" s="9"/>
      <c r="K551" s="9"/>
      <c r="L551" s="9"/>
      <c r="M551" s="9"/>
      <c r="N551" s="186" t="str">
        <f t="shared" si="35"/>
        <v/>
      </c>
      <c r="O551" s="160" t="str">
        <f t="shared" si="36"/>
        <v/>
      </c>
      <c r="P551" s="63"/>
    </row>
    <row r="552" spans="1:16" hidden="1">
      <c r="A552" s="292" t="s">
        <v>358</v>
      </c>
      <c r="B552" s="55" t="s">
        <v>258</v>
      </c>
      <c r="C552" s="265" t="s">
        <v>147</v>
      </c>
      <c r="D552" s="55" t="s">
        <v>147</v>
      </c>
      <c r="E552" s="260">
        <v>0.53527000000000002</v>
      </c>
      <c r="F552" s="235">
        <v>1</v>
      </c>
      <c r="G552" s="265" t="s">
        <v>171</v>
      </c>
      <c r="H552" s="29">
        <v>2</v>
      </c>
      <c r="I552" s="9">
        <v>2</v>
      </c>
      <c r="J552" s="9">
        <v>1</v>
      </c>
      <c r="K552" s="9">
        <v>1</v>
      </c>
      <c r="L552" s="9">
        <v>1</v>
      </c>
      <c r="M552" s="9">
        <v>2</v>
      </c>
      <c r="N552" s="186">
        <f t="shared" si="35"/>
        <v>0.35859414261160716</v>
      </c>
      <c r="O552" s="160">
        <f t="shared" si="36"/>
        <v>0.35859414261160716</v>
      </c>
      <c r="P552" s="860" t="s">
        <v>359</v>
      </c>
    </row>
    <row r="553" spans="1:16" hidden="1">
      <c r="A553" s="292" t="s">
        <v>252</v>
      </c>
      <c r="B553" s="55" t="s">
        <v>236</v>
      </c>
      <c r="C553" s="265" t="s">
        <v>147</v>
      </c>
      <c r="D553" s="55" t="s">
        <v>147</v>
      </c>
      <c r="E553" s="260" t="s">
        <v>158</v>
      </c>
      <c r="F553" s="235">
        <v>1</v>
      </c>
      <c r="G553" s="265" t="s">
        <v>357</v>
      </c>
      <c r="H553" s="29"/>
      <c r="I553" s="9"/>
      <c r="J553" s="9"/>
      <c r="K553" s="9"/>
      <c r="L553" s="9"/>
      <c r="M553" s="9"/>
      <c r="N553" s="186" t="str">
        <f t="shared" si="35"/>
        <v/>
      </c>
      <c r="O553" s="160" t="str">
        <f t="shared" si="36"/>
        <v/>
      </c>
      <c r="P553" s="63"/>
    </row>
    <row r="554" spans="1:16" hidden="1">
      <c r="A554" s="292" t="s">
        <v>253</v>
      </c>
      <c r="B554" s="55" t="s">
        <v>236</v>
      </c>
      <c r="C554" s="265" t="s">
        <v>147</v>
      </c>
      <c r="D554" s="55" t="s">
        <v>147</v>
      </c>
      <c r="E554" s="260" t="s">
        <v>158</v>
      </c>
      <c r="F554" s="235">
        <v>1</v>
      </c>
      <c r="G554" s="265" t="s">
        <v>357</v>
      </c>
      <c r="H554" s="29"/>
      <c r="I554" s="9"/>
      <c r="J554" s="9"/>
      <c r="K554" s="9"/>
      <c r="L554" s="9"/>
      <c r="M554" s="9"/>
      <c r="N554" s="186" t="str">
        <f t="shared" si="35"/>
        <v/>
      </c>
      <c r="O554" s="160" t="str">
        <f t="shared" si="36"/>
        <v/>
      </c>
      <c r="P554" s="63"/>
    </row>
    <row r="555" spans="1:16" hidden="1">
      <c r="A555" s="292" t="s">
        <v>254</v>
      </c>
      <c r="B555" s="55" t="s">
        <v>236</v>
      </c>
      <c r="C555" s="265" t="s">
        <v>147</v>
      </c>
      <c r="D555" s="55" t="s">
        <v>147</v>
      </c>
      <c r="E555" s="260" t="s">
        <v>158</v>
      </c>
      <c r="F555" s="235">
        <v>1</v>
      </c>
      <c r="G555" s="265" t="s">
        <v>357</v>
      </c>
      <c r="H555" s="29"/>
      <c r="I555" s="9"/>
      <c r="J555" s="9"/>
      <c r="K555" s="9"/>
      <c r="L555" s="9"/>
      <c r="M555" s="9"/>
      <c r="N555" s="186" t="str">
        <f t="shared" si="35"/>
        <v/>
      </c>
      <c r="O555" s="160" t="str">
        <f t="shared" si="36"/>
        <v/>
      </c>
      <c r="P555" s="63"/>
    </row>
    <row r="556" spans="1:16" hidden="1">
      <c r="A556" s="292" t="s">
        <v>360</v>
      </c>
      <c r="B556" s="55" t="s">
        <v>217</v>
      </c>
      <c r="C556" s="265" t="s">
        <v>147</v>
      </c>
      <c r="D556" s="55" t="s">
        <v>147</v>
      </c>
      <c r="E556" s="260">
        <v>2.7E-4</v>
      </c>
      <c r="F556" s="235">
        <v>2</v>
      </c>
      <c r="G556" s="265" t="s">
        <v>171</v>
      </c>
      <c r="H556" s="29">
        <v>2</v>
      </c>
      <c r="I556" s="9">
        <v>2</v>
      </c>
      <c r="J556" s="9">
        <v>2</v>
      </c>
      <c r="K556" s="9">
        <v>3</v>
      </c>
      <c r="L556" s="9">
        <v>3</v>
      </c>
      <c r="M556" s="9">
        <v>3</v>
      </c>
      <c r="N556" s="186">
        <f t="shared" si="35"/>
        <v>1.1278755061256258</v>
      </c>
      <c r="O556" s="160">
        <f t="shared" si="36"/>
        <v>1.1278755061256258</v>
      </c>
      <c r="P556" s="63"/>
    </row>
    <row r="557" spans="1:16" hidden="1">
      <c r="A557" s="292" t="s">
        <v>360</v>
      </c>
      <c r="B557" s="55" t="s">
        <v>236</v>
      </c>
      <c r="C557" s="265" t="s">
        <v>147</v>
      </c>
      <c r="D557" s="55" t="s">
        <v>147</v>
      </c>
      <c r="E557" s="260" t="s">
        <v>158</v>
      </c>
      <c r="F557" s="235">
        <v>1</v>
      </c>
      <c r="G557" s="265" t="s">
        <v>171</v>
      </c>
      <c r="H557" s="29"/>
      <c r="I557" s="9"/>
      <c r="J557" s="9"/>
      <c r="K557" s="9"/>
      <c r="L557" s="9"/>
      <c r="M557" s="9"/>
      <c r="N557" s="186" t="str">
        <f t="shared" ref="N557:N566" si="37">IF( OR( ISBLANK(H557),ISBLANK(J557), ISBLANK(K557), ISBLANK(L557), ISBLANK(M557) ), "", 1.5*SQRT(   EXP(2.21*(H557-1)) + EXP(2.21*(J557-1)) + EXP(2.21*(K557-1)) + EXP(2.21*(L557-1)) + EXP(2.21*M557)   )/100*2.45 )</f>
        <v/>
      </c>
      <c r="O557" s="160" t="str">
        <f t="shared" ref="O557:O566" si="38">IF( OR( ISBLANK(I557),ISBLANK(J557), ISBLANK(K557), ISBLANK(L557), ISBLANK(M557) ), "", 1.5*SQRT( EXP(2.21*(I557-1)) + EXP(2.21*(J557-1)) + EXP(2.21*(K557-1)) + EXP(2.21*(L557-1)) + EXP(2.21*M557)   )/100*2.45 )</f>
        <v/>
      </c>
      <c r="P557" s="63"/>
    </row>
    <row r="558" spans="1:16" hidden="1">
      <c r="A558" s="292" t="s">
        <v>347</v>
      </c>
      <c r="B558" s="55" t="s">
        <v>236</v>
      </c>
      <c r="C558" s="265" t="s">
        <v>147</v>
      </c>
      <c r="D558" s="55" t="s">
        <v>147</v>
      </c>
      <c r="E558" s="260" t="s">
        <v>158</v>
      </c>
      <c r="F558" s="235">
        <v>1</v>
      </c>
      <c r="G558" s="265" t="s">
        <v>357</v>
      </c>
      <c r="H558" s="29"/>
      <c r="I558" s="9"/>
      <c r="J558" s="9"/>
      <c r="K558" s="9"/>
      <c r="L558" s="9"/>
      <c r="M558" s="9"/>
      <c r="N558" s="186" t="str">
        <f t="shared" si="37"/>
        <v/>
      </c>
      <c r="O558" s="160" t="str">
        <f t="shared" si="38"/>
        <v/>
      </c>
      <c r="P558" s="63"/>
    </row>
    <row r="559" spans="1:16" hidden="1">
      <c r="A559" s="152" t="s">
        <v>240</v>
      </c>
      <c r="B559" s="34" t="s">
        <v>344</v>
      </c>
      <c r="C559" s="40" t="s">
        <v>147</v>
      </c>
      <c r="D559" s="34" t="s">
        <v>147</v>
      </c>
      <c r="E559" s="260">
        <v>0.05</v>
      </c>
      <c r="F559" s="235">
        <v>2</v>
      </c>
      <c r="G559" s="40" t="s">
        <v>361</v>
      </c>
      <c r="H559" s="29">
        <v>1</v>
      </c>
      <c r="I559" s="9">
        <v>1</v>
      </c>
      <c r="J559" s="9">
        <v>2</v>
      </c>
      <c r="K559" s="9">
        <v>3</v>
      </c>
      <c r="L559" s="9">
        <v>1</v>
      </c>
      <c r="M559" s="9">
        <v>3</v>
      </c>
      <c r="N559" s="186">
        <f t="shared" si="37"/>
        <v>1.0725046436742278</v>
      </c>
      <c r="O559" s="160">
        <f t="shared" si="38"/>
        <v>1.0725046436742278</v>
      </c>
      <c r="P559" s="63" t="s">
        <v>362</v>
      </c>
    </row>
    <row r="560" spans="1:16" hidden="1">
      <c r="A560" s="152" t="s">
        <v>322</v>
      </c>
      <c r="B560" s="34" t="s">
        <v>344</v>
      </c>
      <c r="C560" s="523" t="s">
        <v>147</v>
      </c>
      <c r="D560" s="37" t="s">
        <v>147</v>
      </c>
      <c r="E560" s="313">
        <v>0.4</v>
      </c>
      <c r="F560" s="37">
        <v>1</v>
      </c>
      <c r="G560" s="40" t="s">
        <v>363</v>
      </c>
      <c r="H560" s="29">
        <v>2</v>
      </c>
      <c r="I560" s="9">
        <v>2</v>
      </c>
      <c r="J560" s="9">
        <v>1</v>
      </c>
      <c r="K560" s="9">
        <v>1</v>
      </c>
      <c r="L560" s="9">
        <v>1</v>
      </c>
      <c r="M560" s="9">
        <v>1</v>
      </c>
      <c r="N560" s="186">
        <f t="shared" si="37"/>
        <v>0.16933510251023262</v>
      </c>
      <c r="O560" s="160">
        <f t="shared" si="38"/>
        <v>0.16933510251023262</v>
      </c>
      <c r="P560" s="63"/>
    </row>
    <row r="561" spans="1:16" hidden="1">
      <c r="A561" s="152" t="s">
        <v>321</v>
      </c>
      <c r="B561" s="34" t="s">
        <v>344</v>
      </c>
      <c r="C561" s="523" t="s">
        <v>147</v>
      </c>
      <c r="D561" s="37" t="s">
        <v>147</v>
      </c>
      <c r="E561" s="523">
        <v>1</v>
      </c>
      <c r="F561" s="37">
        <v>1</v>
      </c>
      <c r="G561" s="523"/>
      <c r="H561" s="29"/>
      <c r="I561" s="9"/>
      <c r="J561" s="9"/>
      <c r="K561" s="9"/>
      <c r="L561" s="9"/>
      <c r="M561" s="9"/>
      <c r="N561" s="186" t="str">
        <f t="shared" si="37"/>
        <v/>
      </c>
      <c r="O561" s="160" t="str">
        <f t="shared" si="38"/>
        <v/>
      </c>
      <c r="P561" s="63"/>
    </row>
    <row r="562" spans="1:16" hidden="1">
      <c r="A562" s="152" t="s">
        <v>278</v>
      </c>
      <c r="B562" s="34" t="s">
        <v>344</v>
      </c>
      <c r="C562" s="40" t="s">
        <v>147</v>
      </c>
      <c r="D562" s="34" t="s">
        <v>147</v>
      </c>
      <c r="E562" s="260">
        <v>0.05</v>
      </c>
      <c r="F562" s="235">
        <v>2</v>
      </c>
      <c r="G562" s="40" t="s">
        <v>361</v>
      </c>
      <c r="H562" s="29">
        <v>1</v>
      </c>
      <c r="I562" s="9">
        <v>1</v>
      </c>
      <c r="J562" s="9">
        <v>2</v>
      </c>
      <c r="K562" s="9">
        <v>3</v>
      </c>
      <c r="L562" s="9">
        <v>1</v>
      </c>
      <c r="M562" s="9">
        <v>3</v>
      </c>
      <c r="N562" s="186">
        <f t="shared" si="37"/>
        <v>1.0725046436742278</v>
      </c>
      <c r="O562" s="160">
        <f t="shared" si="38"/>
        <v>1.0725046436742278</v>
      </c>
      <c r="P562" s="63" t="s">
        <v>362</v>
      </c>
    </row>
    <row r="563" spans="1:16" hidden="1">
      <c r="A563" s="152" t="s">
        <v>324</v>
      </c>
      <c r="B563" s="34" t="s">
        <v>344</v>
      </c>
      <c r="C563" s="40" t="s">
        <v>147</v>
      </c>
      <c r="D563" s="34" t="s">
        <v>147</v>
      </c>
      <c r="E563" s="260">
        <v>0.05</v>
      </c>
      <c r="F563" s="235">
        <v>2</v>
      </c>
      <c r="G563" s="40" t="s">
        <v>361</v>
      </c>
      <c r="H563" s="29">
        <v>1</v>
      </c>
      <c r="I563" s="9">
        <v>1</v>
      </c>
      <c r="J563" s="9">
        <v>2</v>
      </c>
      <c r="K563" s="9">
        <v>3</v>
      </c>
      <c r="L563" s="9">
        <v>3</v>
      </c>
      <c r="M563" s="9">
        <v>3</v>
      </c>
      <c r="N563" s="186">
        <f t="shared" si="37"/>
        <v>1.123005955058592</v>
      </c>
      <c r="O563" s="160">
        <f t="shared" si="38"/>
        <v>1.123005955058592</v>
      </c>
      <c r="P563" s="63" t="s">
        <v>362</v>
      </c>
    </row>
    <row r="564" spans="1:16" hidden="1">
      <c r="A564" s="152" t="s">
        <v>348</v>
      </c>
      <c r="B564" s="34" t="s">
        <v>344</v>
      </c>
      <c r="C564" s="40" t="s">
        <v>147</v>
      </c>
      <c r="D564" s="34" t="s">
        <v>147</v>
      </c>
      <c r="E564" s="260">
        <v>0.05</v>
      </c>
      <c r="F564" s="235">
        <v>2</v>
      </c>
      <c r="G564" s="40" t="s">
        <v>361</v>
      </c>
      <c r="H564" s="29">
        <v>1</v>
      </c>
      <c r="I564" s="9">
        <v>1</v>
      </c>
      <c r="J564" s="9">
        <v>2</v>
      </c>
      <c r="K564" s="9">
        <v>3</v>
      </c>
      <c r="L564" s="9">
        <v>3</v>
      </c>
      <c r="M564" s="9">
        <v>3</v>
      </c>
      <c r="N564" s="186">
        <f t="shared" si="37"/>
        <v>1.123005955058592</v>
      </c>
      <c r="O564" s="160">
        <f t="shared" si="38"/>
        <v>1.123005955058592</v>
      </c>
      <c r="P564" s="63" t="s">
        <v>362</v>
      </c>
    </row>
    <row r="565" spans="1:16" hidden="1">
      <c r="A565" s="152" t="s">
        <v>364</v>
      </c>
      <c r="B565" s="34" t="s">
        <v>344</v>
      </c>
      <c r="C565" s="40" t="s">
        <v>147</v>
      </c>
      <c r="D565" s="34" t="s">
        <v>147</v>
      </c>
      <c r="E565" s="260">
        <v>0.05</v>
      </c>
      <c r="F565" s="235">
        <v>1</v>
      </c>
      <c r="G565" s="40" t="s">
        <v>361</v>
      </c>
      <c r="H565" s="29">
        <v>2</v>
      </c>
      <c r="I565" s="9">
        <v>1</v>
      </c>
      <c r="J565" s="9">
        <v>2</v>
      </c>
      <c r="K565" s="9">
        <v>3</v>
      </c>
      <c r="L565" s="9">
        <v>1</v>
      </c>
      <c r="M565" s="9">
        <v>3</v>
      </c>
      <c r="N565" s="186">
        <f t="shared" si="37"/>
        <v>1.0776024280428556</v>
      </c>
      <c r="O565" s="160">
        <f t="shared" si="38"/>
        <v>1.0725046436742278</v>
      </c>
      <c r="P565" s="63" t="s">
        <v>362</v>
      </c>
    </row>
    <row r="566" spans="1:16" hidden="1">
      <c r="A566" s="292" t="s">
        <v>251</v>
      </c>
      <c r="B566" s="55" t="s">
        <v>236</v>
      </c>
      <c r="C566" s="265" t="s">
        <v>147</v>
      </c>
      <c r="D566" s="55" t="s">
        <v>147</v>
      </c>
      <c r="E566" s="260" t="s">
        <v>158</v>
      </c>
      <c r="F566" s="235">
        <v>1</v>
      </c>
      <c r="G566" s="265" t="s">
        <v>171</v>
      </c>
      <c r="H566" s="29"/>
      <c r="I566" s="9"/>
      <c r="J566" s="9"/>
      <c r="K566" s="9"/>
      <c r="L566" s="9"/>
      <c r="M566" s="9"/>
      <c r="N566" s="186" t="str">
        <f t="shared" si="37"/>
        <v/>
      </c>
      <c r="O566" s="160" t="str">
        <f t="shared" si="38"/>
        <v/>
      </c>
      <c r="P566" s="63"/>
    </row>
    <row r="567" spans="1:16" hidden="1">
      <c r="A567" s="292" t="s">
        <v>365</v>
      </c>
      <c r="B567" s="55" t="s">
        <v>255</v>
      </c>
      <c r="C567" s="265" t="s">
        <v>147</v>
      </c>
      <c r="D567" s="55" t="s">
        <v>147</v>
      </c>
      <c r="E567" s="260" t="s">
        <v>158</v>
      </c>
      <c r="F567" s="235">
        <v>1</v>
      </c>
      <c r="G567" s="265"/>
      <c r="H567" s="29"/>
      <c r="I567" s="9"/>
      <c r="J567" s="9"/>
      <c r="K567" s="9"/>
      <c r="L567" s="9"/>
      <c r="M567" s="9"/>
      <c r="N567" s="186"/>
      <c r="O567" s="160"/>
      <c r="P567" s="63"/>
    </row>
    <row r="568" spans="1:16" hidden="1">
      <c r="A568" s="292" t="s">
        <v>365</v>
      </c>
      <c r="B568" s="55" t="s">
        <v>366</v>
      </c>
      <c r="C568" s="265" t="s">
        <v>147</v>
      </c>
      <c r="D568" s="55" t="s">
        <v>147</v>
      </c>
      <c r="E568" s="260">
        <v>8.6E-3</v>
      </c>
      <c r="F568" s="235">
        <v>2</v>
      </c>
      <c r="G568" s="265" t="s">
        <v>171</v>
      </c>
      <c r="H568" s="29">
        <v>2</v>
      </c>
      <c r="I568" s="9">
        <v>2</v>
      </c>
      <c r="J568" s="9">
        <v>3</v>
      </c>
      <c r="K568" s="9">
        <v>1</v>
      </c>
      <c r="L568" s="9">
        <v>1</v>
      </c>
      <c r="M568" s="9">
        <v>1</v>
      </c>
      <c r="N568" s="186">
        <f t="shared" ref="N568:N631" si="39">IF( OR( ISBLANK(H568),ISBLANK(J568), ISBLANK(K568), ISBLANK(L568), ISBLANK(M568) ), "", 1.5*SQRT(   EXP(2.21*(H568-1)) + EXP(2.21*(J568-1)) + EXP(2.21*(K568-1)) + EXP(2.21*(L568-1)) + EXP(2.21*M568)   )/100*2.45 )</f>
        <v>0.37356464144298934</v>
      </c>
      <c r="O568" s="160">
        <f t="shared" ref="O568:O631" si="40">IF( OR( ISBLANK(I568),ISBLANK(J568), ISBLANK(K568), ISBLANK(L568), ISBLANK(M568) ), "", 1.5*SQRT( EXP(2.21*(I568-1)) + EXP(2.21*(J568-1)) + EXP(2.21*(K568-1)) + EXP(2.21*(L568-1)) + EXP(2.21*M568)   )/100*2.45 )</f>
        <v>0.37356464144298934</v>
      </c>
      <c r="P568" s="63" t="s">
        <v>367</v>
      </c>
    </row>
    <row r="569" spans="1:16" hidden="1">
      <c r="A569" s="292" t="s">
        <v>365</v>
      </c>
      <c r="B569" s="55" t="s">
        <v>366</v>
      </c>
      <c r="C569" s="265" t="s">
        <v>147</v>
      </c>
      <c r="D569" s="55" t="s">
        <v>147</v>
      </c>
      <c r="E569" s="260">
        <v>1.2999999999999999E-2</v>
      </c>
      <c r="F569" s="235">
        <v>2</v>
      </c>
      <c r="G569" s="265" t="s">
        <v>171</v>
      </c>
      <c r="H569" s="29">
        <v>2</v>
      </c>
      <c r="I569" s="9">
        <v>2</v>
      </c>
      <c r="J569" s="9">
        <v>3</v>
      </c>
      <c r="K569" s="9">
        <v>1</v>
      </c>
      <c r="L569" s="9">
        <v>1</v>
      </c>
      <c r="M569" s="9">
        <v>1</v>
      </c>
      <c r="N569" s="186">
        <f t="shared" si="39"/>
        <v>0.37356464144298934</v>
      </c>
      <c r="O569" s="160">
        <f t="shared" si="40"/>
        <v>0.37356464144298934</v>
      </c>
      <c r="P569" s="63" t="s">
        <v>368</v>
      </c>
    </row>
    <row r="570" spans="1:16" hidden="1">
      <c r="A570" s="292" t="s">
        <v>347</v>
      </c>
      <c r="B570" s="55" t="s">
        <v>217</v>
      </c>
      <c r="C570" s="265" t="s">
        <v>147</v>
      </c>
      <c r="D570" s="55" t="s">
        <v>147</v>
      </c>
      <c r="E570" s="260">
        <v>2.7E-4</v>
      </c>
      <c r="F570" s="235">
        <v>2</v>
      </c>
      <c r="G570" s="265" t="s">
        <v>171</v>
      </c>
      <c r="H570" s="29">
        <v>2</v>
      </c>
      <c r="I570" s="9">
        <v>2</v>
      </c>
      <c r="J570" s="9">
        <v>2</v>
      </c>
      <c r="K570" s="9">
        <v>3</v>
      </c>
      <c r="L570" s="9">
        <v>3</v>
      </c>
      <c r="M570" s="9">
        <v>3</v>
      </c>
      <c r="N570" s="186">
        <f t="shared" si="39"/>
        <v>1.1278755061256258</v>
      </c>
      <c r="O570" s="160">
        <f t="shared" si="40"/>
        <v>1.1278755061256258</v>
      </c>
      <c r="P570" s="63"/>
    </row>
    <row r="571" spans="1:16" hidden="1">
      <c r="A571" s="292" t="s">
        <v>255</v>
      </c>
      <c r="B571" s="55" t="s">
        <v>236</v>
      </c>
      <c r="C571" s="265" t="s">
        <v>147</v>
      </c>
      <c r="D571" s="55" t="s">
        <v>147</v>
      </c>
      <c r="E571" s="260" t="s">
        <v>158</v>
      </c>
      <c r="F571" s="235">
        <v>1</v>
      </c>
      <c r="G571" s="265"/>
      <c r="H571" s="29">
        <v>1</v>
      </c>
      <c r="I571" s="9">
        <v>2</v>
      </c>
      <c r="J571" s="9">
        <v>2</v>
      </c>
      <c r="K571" s="9">
        <v>2</v>
      </c>
      <c r="L571" s="9">
        <v>1</v>
      </c>
      <c r="M571" s="9">
        <v>2</v>
      </c>
      <c r="N571" s="186">
        <f t="shared" si="39"/>
        <v>0.37356464144298934</v>
      </c>
      <c r="O571" s="160">
        <f t="shared" si="40"/>
        <v>0.38795788889711302</v>
      </c>
      <c r="P571" s="63"/>
    </row>
    <row r="572" spans="1:16" hidden="1">
      <c r="A572" s="292" t="s">
        <v>255</v>
      </c>
      <c r="B572" s="55" t="s">
        <v>238</v>
      </c>
      <c r="C572" s="265" t="s">
        <v>147</v>
      </c>
      <c r="D572" s="55" t="s">
        <v>147</v>
      </c>
      <c r="E572" s="260">
        <v>0.44587958</v>
      </c>
      <c r="F572" s="235">
        <v>2</v>
      </c>
      <c r="G572" s="265" t="s">
        <v>237</v>
      </c>
      <c r="H572" s="29">
        <v>1</v>
      </c>
      <c r="I572" s="9">
        <v>2</v>
      </c>
      <c r="J572" s="9">
        <v>2</v>
      </c>
      <c r="K572" s="9">
        <v>2</v>
      </c>
      <c r="L572" s="9">
        <v>1</v>
      </c>
      <c r="M572" s="9">
        <v>2</v>
      </c>
      <c r="N572" s="186">
        <f t="shared" si="39"/>
        <v>0.37356464144298934</v>
      </c>
      <c r="O572" s="160">
        <f t="shared" si="40"/>
        <v>0.38795788889711302</v>
      </c>
      <c r="P572" s="63"/>
    </row>
    <row r="573" spans="1:16" hidden="1">
      <c r="A573" s="292" t="s">
        <v>366</v>
      </c>
      <c r="B573" s="55" t="s">
        <v>241</v>
      </c>
      <c r="C573" s="265" t="s">
        <v>147</v>
      </c>
      <c r="D573" s="55" t="s">
        <v>147</v>
      </c>
      <c r="E573" s="260">
        <v>1</v>
      </c>
      <c r="F573" s="235">
        <v>2</v>
      </c>
      <c r="G573" s="265"/>
      <c r="H573" s="29"/>
      <c r="I573" s="9"/>
      <c r="J573" s="9"/>
      <c r="K573" s="9"/>
      <c r="L573" s="9"/>
      <c r="M573" s="9"/>
      <c r="N573" s="186" t="str">
        <f t="shared" si="39"/>
        <v/>
      </c>
      <c r="O573" s="160" t="str">
        <f t="shared" si="40"/>
        <v/>
      </c>
      <c r="P573" s="63"/>
    </row>
    <row r="574" spans="1:16" hidden="1">
      <c r="A574" s="152" t="s">
        <v>130</v>
      </c>
      <c r="B574" s="34" t="s">
        <v>160</v>
      </c>
      <c r="C574" s="40" t="s">
        <v>147</v>
      </c>
      <c r="D574" s="34" t="s">
        <v>93</v>
      </c>
      <c r="E574" s="260">
        <v>0</v>
      </c>
      <c r="F574" s="235">
        <v>1</v>
      </c>
      <c r="G574" s="40"/>
      <c r="H574" s="29"/>
      <c r="I574" s="9"/>
      <c r="J574" s="9"/>
      <c r="K574" s="9"/>
      <c r="L574" s="9"/>
      <c r="M574" s="9"/>
      <c r="N574" s="186" t="str">
        <f t="shared" si="39"/>
        <v/>
      </c>
      <c r="O574" s="160" t="str">
        <f t="shared" si="40"/>
        <v/>
      </c>
      <c r="P574" s="63"/>
    </row>
    <row r="575" spans="1:16" hidden="1">
      <c r="A575" s="152" t="s">
        <v>336</v>
      </c>
      <c r="B575" s="34" t="s">
        <v>184</v>
      </c>
      <c r="C575" s="40" t="s">
        <v>147</v>
      </c>
      <c r="D575" s="34" t="s">
        <v>147</v>
      </c>
      <c r="E575" s="260">
        <v>1.17E-2</v>
      </c>
      <c r="F575" s="235">
        <v>2</v>
      </c>
      <c r="G575" s="40" t="s">
        <v>354</v>
      </c>
      <c r="H575" s="29">
        <v>2</v>
      </c>
      <c r="I575" s="9"/>
      <c r="J575" s="9">
        <v>3</v>
      </c>
      <c r="K575" s="9">
        <v>3</v>
      </c>
      <c r="L575" s="9">
        <v>3</v>
      </c>
      <c r="M575" s="9">
        <v>2</v>
      </c>
      <c r="N575" s="186">
        <f t="shared" si="39"/>
        <v>0.67913051197703389</v>
      </c>
      <c r="O575" s="160" t="str">
        <f t="shared" si="40"/>
        <v/>
      </c>
      <c r="P575" s="63" t="s">
        <v>369</v>
      </c>
    </row>
    <row r="576" spans="1:16" hidden="1">
      <c r="A576" s="292" t="s">
        <v>370</v>
      </c>
      <c r="B576" s="55" t="s">
        <v>371</v>
      </c>
      <c r="C576" s="265" t="s">
        <v>147</v>
      </c>
      <c r="D576" s="55" t="s">
        <v>147</v>
      </c>
      <c r="E576" s="260">
        <v>0.24038461538461536</v>
      </c>
      <c r="F576" s="235">
        <v>2</v>
      </c>
      <c r="G576" s="265" t="s">
        <v>171</v>
      </c>
      <c r="H576" s="29">
        <v>2</v>
      </c>
      <c r="I576" s="9">
        <v>2</v>
      </c>
      <c r="J576" s="9">
        <v>1</v>
      </c>
      <c r="K576" s="9">
        <v>1</v>
      </c>
      <c r="L576" s="9">
        <v>1</v>
      </c>
      <c r="M576" s="9">
        <v>3</v>
      </c>
      <c r="N576" s="186">
        <f t="shared" si="39"/>
        <v>1.0195048044558224</v>
      </c>
      <c r="O576" s="160">
        <f t="shared" si="40"/>
        <v>1.0195048044558224</v>
      </c>
      <c r="P576" s="63" t="s">
        <v>367</v>
      </c>
    </row>
    <row r="577" spans="1:16" hidden="1">
      <c r="A577" s="292" t="s">
        <v>370</v>
      </c>
      <c r="B577" s="55" t="s">
        <v>371</v>
      </c>
      <c r="C577" s="265" t="s">
        <v>147</v>
      </c>
      <c r="D577" s="55" t="s">
        <v>147</v>
      </c>
      <c r="E577" s="260">
        <v>0.13440860215053765</v>
      </c>
      <c r="F577" s="235">
        <v>2</v>
      </c>
      <c r="G577" s="265" t="s">
        <v>171</v>
      </c>
      <c r="H577" s="29">
        <v>2</v>
      </c>
      <c r="I577" s="9">
        <v>2</v>
      </c>
      <c r="J577" s="9">
        <v>1</v>
      </c>
      <c r="K577" s="9">
        <v>1</v>
      </c>
      <c r="L577" s="9">
        <v>1</v>
      </c>
      <c r="M577" s="9">
        <v>3</v>
      </c>
      <c r="N577" s="186">
        <f t="shared" si="39"/>
        <v>1.0195048044558224</v>
      </c>
      <c r="O577" s="160">
        <f t="shared" si="40"/>
        <v>1.0195048044558224</v>
      </c>
      <c r="P577" s="63" t="s">
        <v>368</v>
      </c>
    </row>
    <row r="578" spans="1:16" hidden="1">
      <c r="A578" s="152" t="s">
        <v>39</v>
      </c>
      <c r="B578" s="34" t="s">
        <v>248</v>
      </c>
      <c r="C578" s="40" t="s">
        <v>147</v>
      </c>
      <c r="D578" s="34" t="s">
        <v>93</v>
      </c>
      <c r="E578" s="260">
        <v>5.33E-2</v>
      </c>
      <c r="F578" s="235">
        <v>1</v>
      </c>
      <c r="G578" s="40" t="s">
        <v>148</v>
      </c>
      <c r="H578" s="29">
        <v>2</v>
      </c>
      <c r="I578" s="9">
        <v>2</v>
      </c>
      <c r="J578" s="9">
        <v>2</v>
      </c>
      <c r="K578" s="9">
        <v>1</v>
      </c>
      <c r="L578" s="9">
        <v>1</v>
      </c>
      <c r="M578" s="9">
        <v>2</v>
      </c>
      <c r="N578" s="186">
        <f t="shared" si="39"/>
        <v>0.37356464144298934</v>
      </c>
      <c r="O578" s="160">
        <f t="shared" si="40"/>
        <v>0.37356464144298934</v>
      </c>
      <c r="P578" s="63"/>
    </row>
    <row r="579" spans="1:16" hidden="1">
      <c r="A579" s="152" t="s">
        <v>39</v>
      </c>
      <c r="B579" s="34" t="s">
        <v>248</v>
      </c>
      <c r="C579" s="40" t="s">
        <v>147</v>
      </c>
      <c r="D579" s="34" t="s">
        <v>94</v>
      </c>
      <c r="E579" s="260">
        <v>0</v>
      </c>
      <c r="F579" s="235">
        <v>1</v>
      </c>
      <c r="G579" s="40" t="s">
        <v>148</v>
      </c>
      <c r="H579" s="29"/>
      <c r="I579" s="9"/>
      <c r="J579" s="9"/>
      <c r="K579" s="9"/>
      <c r="L579" s="9"/>
      <c r="M579" s="9"/>
      <c r="N579" s="186" t="str">
        <f t="shared" si="39"/>
        <v/>
      </c>
      <c r="O579" s="160" t="str">
        <f t="shared" si="40"/>
        <v/>
      </c>
      <c r="P579" s="63"/>
    </row>
    <row r="580" spans="1:16" hidden="1">
      <c r="A580" s="152" t="s">
        <v>39</v>
      </c>
      <c r="B580" s="34" t="s">
        <v>248</v>
      </c>
      <c r="C580" s="40" t="s">
        <v>147</v>
      </c>
      <c r="D580" s="34" t="s">
        <v>95</v>
      </c>
      <c r="E580" s="260">
        <v>2.58E-2</v>
      </c>
      <c r="F580" s="235">
        <v>1</v>
      </c>
      <c r="G580" s="40" t="s">
        <v>148</v>
      </c>
      <c r="H580" s="29">
        <v>2</v>
      </c>
      <c r="I580" s="9">
        <v>2</v>
      </c>
      <c r="J580" s="9">
        <v>2</v>
      </c>
      <c r="K580" s="9">
        <v>1</v>
      </c>
      <c r="L580" s="9">
        <v>1</v>
      </c>
      <c r="M580" s="9">
        <v>2</v>
      </c>
      <c r="N580" s="186">
        <f t="shared" si="39"/>
        <v>0.37356464144298934</v>
      </c>
      <c r="O580" s="160">
        <f t="shared" si="40"/>
        <v>0.37356464144298934</v>
      </c>
      <c r="P580" s="63"/>
    </row>
    <row r="581" spans="1:16" hidden="1">
      <c r="A581" s="152" t="s">
        <v>39</v>
      </c>
      <c r="B581" s="34" t="s">
        <v>248</v>
      </c>
      <c r="C581" s="40" t="s">
        <v>147</v>
      </c>
      <c r="D581" s="34" t="s">
        <v>96</v>
      </c>
      <c r="E581" s="260">
        <v>0</v>
      </c>
      <c r="F581" s="235">
        <v>1</v>
      </c>
      <c r="G581" s="40" t="s">
        <v>148</v>
      </c>
      <c r="H581" s="29"/>
      <c r="I581" s="9"/>
      <c r="J581" s="9"/>
      <c r="K581" s="9"/>
      <c r="L581" s="9"/>
      <c r="M581" s="9"/>
      <c r="N581" s="186" t="str">
        <f t="shared" si="39"/>
        <v/>
      </c>
      <c r="O581" s="160" t="str">
        <f t="shared" si="40"/>
        <v/>
      </c>
      <c r="P581" s="63"/>
    </row>
    <row r="582" spans="1:16" hidden="1">
      <c r="A582" s="152" t="s">
        <v>39</v>
      </c>
      <c r="B582" s="34" t="s">
        <v>248</v>
      </c>
      <c r="C582" s="40" t="s">
        <v>147</v>
      </c>
      <c r="D582" s="34" t="s">
        <v>97</v>
      </c>
      <c r="E582" s="260">
        <v>0</v>
      </c>
      <c r="F582" s="235">
        <v>1</v>
      </c>
      <c r="G582" s="40" t="s">
        <v>148</v>
      </c>
      <c r="H582" s="29"/>
      <c r="I582" s="9"/>
      <c r="J582" s="9"/>
      <c r="K582" s="9"/>
      <c r="L582" s="9"/>
      <c r="M582" s="9"/>
      <c r="N582" s="186" t="str">
        <f t="shared" si="39"/>
        <v/>
      </c>
      <c r="O582" s="160" t="str">
        <f t="shared" si="40"/>
        <v/>
      </c>
      <c r="P582" s="63"/>
    </row>
    <row r="583" spans="1:16" hidden="1">
      <c r="A583" s="152" t="s">
        <v>39</v>
      </c>
      <c r="B583" s="34" t="s">
        <v>248</v>
      </c>
      <c r="C583" s="40" t="s">
        <v>147</v>
      </c>
      <c r="D583" s="34" t="s">
        <v>98</v>
      </c>
      <c r="E583" s="260">
        <v>0</v>
      </c>
      <c r="F583" s="235">
        <v>1</v>
      </c>
      <c r="G583" s="40" t="s">
        <v>148</v>
      </c>
      <c r="H583" s="29"/>
      <c r="I583" s="9"/>
      <c r="J583" s="9"/>
      <c r="K583" s="9"/>
      <c r="L583" s="9"/>
      <c r="M583" s="9"/>
      <c r="N583" s="186" t="str">
        <f t="shared" si="39"/>
        <v/>
      </c>
      <c r="O583" s="160" t="str">
        <f t="shared" si="40"/>
        <v/>
      </c>
      <c r="P583" s="63"/>
    </row>
    <row r="584" spans="1:16" hidden="1">
      <c r="A584" s="152" t="s">
        <v>39</v>
      </c>
      <c r="B584" s="34" t="s">
        <v>248</v>
      </c>
      <c r="C584" s="40" t="s">
        <v>147</v>
      </c>
      <c r="D584" s="34" t="s">
        <v>99</v>
      </c>
      <c r="E584" s="260">
        <v>0</v>
      </c>
      <c r="F584" s="235">
        <v>1</v>
      </c>
      <c r="G584" s="40" t="s">
        <v>148</v>
      </c>
      <c r="H584" s="29"/>
      <c r="I584" s="9"/>
      <c r="J584" s="9"/>
      <c r="K584" s="9"/>
      <c r="L584" s="9"/>
      <c r="M584" s="9"/>
      <c r="N584" s="186" t="str">
        <f t="shared" si="39"/>
        <v/>
      </c>
      <c r="O584" s="160" t="str">
        <f t="shared" si="40"/>
        <v/>
      </c>
      <c r="P584" s="63"/>
    </row>
    <row r="585" spans="1:16" hidden="1">
      <c r="A585" s="152" t="s">
        <v>39</v>
      </c>
      <c r="B585" s="34" t="s">
        <v>248</v>
      </c>
      <c r="C585" s="40" t="s">
        <v>147</v>
      </c>
      <c r="D585" s="34" t="s">
        <v>106</v>
      </c>
      <c r="E585" s="260">
        <v>0</v>
      </c>
      <c r="F585" s="235">
        <v>1</v>
      </c>
      <c r="G585" s="40" t="s">
        <v>149</v>
      </c>
      <c r="H585" s="29"/>
      <c r="I585" s="9"/>
      <c r="J585" s="9"/>
      <c r="K585" s="9"/>
      <c r="L585" s="9"/>
      <c r="M585" s="9"/>
      <c r="N585" s="186" t="str">
        <f t="shared" si="39"/>
        <v/>
      </c>
      <c r="O585" s="160" t="str">
        <f t="shared" si="40"/>
        <v/>
      </c>
      <c r="P585" s="63"/>
    </row>
    <row r="586" spans="1:16" hidden="1">
      <c r="A586" s="152" t="s">
        <v>37</v>
      </c>
      <c r="B586" s="34" t="s">
        <v>372</v>
      </c>
      <c r="C586" s="40" t="s">
        <v>147</v>
      </c>
      <c r="D586" s="34" t="s">
        <v>93</v>
      </c>
      <c r="E586" s="260">
        <f>Intentionally_produced_MPs!T127</f>
        <v>0</v>
      </c>
      <c r="F586" s="235">
        <v>1</v>
      </c>
      <c r="G586" s="40"/>
      <c r="H586" s="29"/>
      <c r="I586" s="9"/>
      <c r="J586" s="9"/>
      <c r="K586" s="9"/>
      <c r="L586" s="9"/>
      <c r="M586" s="9"/>
      <c r="N586" s="186" t="str">
        <f t="shared" si="39"/>
        <v/>
      </c>
      <c r="O586" s="160" t="str">
        <f t="shared" si="40"/>
        <v/>
      </c>
      <c r="P586" s="63"/>
    </row>
    <row r="587" spans="1:16" hidden="1">
      <c r="A587" s="152" t="s">
        <v>37</v>
      </c>
      <c r="B587" s="34" t="s">
        <v>372</v>
      </c>
      <c r="C587" s="40" t="s">
        <v>147</v>
      </c>
      <c r="D587" s="34" t="s">
        <v>94</v>
      </c>
      <c r="E587" s="260">
        <f>Intentionally_produced_MPs!T128</f>
        <v>0</v>
      </c>
      <c r="F587" s="235">
        <v>1</v>
      </c>
      <c r="G587" s="40"/>
      <c r="H587" s="29"/>
      <c r="I587" s="9"/>
      <c r="J587" s="9"/>
      <c r="K587" s="9"/>
      <c r="L587" s="9"/>
      <c r="M587" s="9"/>
      <c r="N587" s="186" t="str">
        <f t="shared" si="39"/>
        <v/>
      </c>
      <c r="O587" s="160" t="str">
        <f t="shared" si="40"/>
        <v/>
      </c>
      <c r="P587" s="63"/>
    </row>
    <row r="588" spans="1:16" hidden="1">
      <c r="A588" s="152" t="s">
        <v>37</v>
      </c>
      <c r="B588" s="34" t="s">
        <v>372</v>
      </c>
      <c r="C588" s="40" t="s">
        <v>147</v>
      </c>
      <c r="D588" s="34" t="s">
        <v>95</v>
      </c>
      <c r="E588" s="260">
        <f>Intentionally_produced_MPs!T129</f>
        <v>0</v>
      </c>
      <c r="F588" s="235">
        <v>1</v>
      </c>
      <c r="G588" s="40"/>
      <c r="H588" s="29"/>
      <c r="I588" s="9"/>
      <c r="J588" s="9"/>
      <c r="K588" s="9"/>
      <c r="L588" s="9"/>
      <c r="M588" s="9"/>
      <c r="N588" s="186" t="str">
        <f t="shared" si="39"/>
        <v/>
      </c>
      <c r="O588" s="160" t="str">
        <f t="shared" si="40"/>
        <v/>
      </c>
      <c r="P588" s="63"/>
    </row>
    <row r="589" spans="1:16" hidden="1">
      <c r="A589" s="152" t="s">
        <v>37</v>
      </c>
      <c r="B589" s="34" t="s">
        <v>372</v>
      </c>
      <c r="C589" s="40" t="s">
        <v>147</v>
      </c>
      <c r="D589" s="34" t="s">
        <v>96</v>
      </c>
      <c r="E589" s="260">
        <f>Intentionally_produced_MPs!T130</f>
        <v>0</v>
      </c>
      <c r="F589" s="235">
        <v>1</v>
      </c>
      <c r="G589" s="40"/>
      <c r="H589" s="29"/>
      <c r="I589" s="9"/>
      <c r="J589" s="9"/>
      <c r="K589" s="9"/>
      <c r="L589" s="9"/>
      <c r="M589" s="9"/>
      <c r="N589" s="186" t="str">
        <f t="shared" si="39"/>
        <v/>
      </c>
      <c r="O589" s="160" t="str">
        <f t="shared" si="40"/>
        <v/>
      </c>
      <c r="P589" s="63"/>
    </row>
    <row r="590" spans="1:16" hidden="1">
      <c r="A590" s="152" t="s">
        <v>37</v>
      </c>
      <c r="B590" s="34" t="s">
        <v>372</v>
      </c>
      <c r="C590" s="40" t="s">
        <v>147</v>
      </c>
      <c r="D590" s="34" t="s">
        <v>97</v>
      </c>
      <c r="E590" s="260">
        <f>Intentionally_produced_MPs!T131</f>
        <v>0</v>
      </c>
      <c r="F590" s="235">
        <v>1</v>
      </c>
      <c r="G590" s="40"/>
      <c r="H590" s="29"/>
      <c r="I590" s="9"/>
      <c r="J590" s="9"/>
      <c r="K590" s="9"/>
      <c r="L590" s="9"/>
      <c r="M590" s="9"/>
      <c r="N590" s="186" t="str">
        <f t="shared" si="39"/>
        <v/>
      </c>
      <c r="O590" s="160" t="str">
        <f t="shared" si="40"/>
        <v/>
      </c>
      <c r="P590" s="63"/>
    </row>
    <row r="591" spans="1:16" hidden="1">
      <c r="A591" s="152" t="s">
        <v>37</v>
      </c>
      <c r="B591" s="34" t="s">
        <v>372</v>
      </c>
      <c r="C591" s="40" t="s">
        <v>147</v>
      </c>
      <c r="D591" s="34" t="s">
        <v>98</v>
      </c>
      <c r="E591" s="260">
        <f>Intentionally_produced_MPs!T132</f>
        <v>0</v>
      </c>
      <c r="F591" s="235">
        <v>1</v>
      </c>
      <c r="G591" s="40"/>
      <c r="H591" s="29"/>
      <c r="I591" s="9"/>
      <c r="J591" s="9"/>
      <c r="K591" s="9"/>
      <c r="L591" s="9"/>
      <c r="M591" s="9"/>
      <c r="N591" s="186" t="str">
        <f t="shared" si="39"/>
        <v/>
      </c>
      <c r="O591" s="160" t="str">
        <f t="shared" si="40"/>
        <v/>
      </c>
      <c r="P591" s="63"/>
    </row>
    <row r="592" spans="1:16" hidden="1">
      <c r="A592" s="152" t="s">
        <v>37</v>
      </c>
      <c r="B592" s="34" t="s">
        <v>372</v>
      </c>
      <c r="C592" s="40" t="s">
        <v>147</v>
      </c>
      <c r="D592" s="34" t="s">
        <v>99</v>
      </c>
      <c r="E592" s="260">
        <f>Intentionally_produced_MPs!T133</f>
        <v>0</v>
      </c>
      <c r="F592" s="235">
        <v>1</v>
      </c>
      <c r="G592" s="40"/>
      <c r="H592" s="29"/>
      <c r="I592" s="9"/>
      <c r="J592" s="9"/>
      <c r="K592" s="9"/>
      <c r="L592" s="9"/>
      <c r="M592" s="9"/>
      <c r="N592" s="186" t="str">
        <f t="shared" si="39"/>
        <v/>
      </c>
      <c r="O592" s="160" t="str">
        <f t="shared" si="40"/>
        <v/>
      </c>
      <c r="P592" s="63"/>
    </row>
    <row r="593" spans="1:16" hidden="1">
      <c r="A593" s="152" t="s">
        <v>37</v>
      </c>
      <c r="B593" s="34" t="s">
        <v>372</v>
      </c>
      <c r="C593" s="40" t="s">
        <v>147</v>
      </c>
      <c r="D593" s="34" t="s">
        <v>100</v>
      </c>
      <c r="E593" s="260">
        <f>Intentionally_produced_MPs!T134</f>
        <v>0</v>
      </c>
      <c r="F593" s="235">
        <v>1</v>
      </c>
      <c r="G593" s="40"/>
      <c r="H593" s="29"/>
      <c r="I593" s="9"/>
      <c r="J593" s="9"/>
      <c r="K593" s="9"/>
      <c r="L593" s="9"/>
      <c r="M593" s="9"/>
      <c r="N593" s="186" t="str">
        <f t="shared" si="39"/>
        <v/>
      </c>
      <c r="O593" s="160" t="str">
        <f t="shared" si="40"/>
        <v/>
      </c>
      <c r="P593" s="63"/>
    </row>
    <row r="594" spans="1:16" hidden="1">
      <c r="A594" s="152" t="s">
        <v>37</v>
      </c>
      <c r="B594" s="34" t="s">
        <v>372</v>
      </c>
      <c r="C594" s="40" t="s">
        <v>147</v>
      </c>
      <c r="D594" s="34" t="s">
        <v>101</v>
      </c>
      <c r="E594" s="260">
        <f>Intentionally_produced_MPs!T135</f>
        <v>0</v>
      </c>
      <c r="F594" s="235">
        <v>1</v>
      </c>
      <c r="G594" s="40"/>
      <c r="H594" s="29"/>
      <c r="I594" s="9"/>
      <c r="J594" s="9"/>
      <c r="K594" s="9"/>
      <c r="L594" s="9"/>
      <c r="M594" s="9"/>
      <c r="N594" s="186" t="str">
        <f t="shared" si="39"/>
        <v/>
      </c>
      <c r="O594" s="160" t="str">
        <f t="shared" si="40"/>
        <v/>
      </c>
      <c r="P594" s="63"/>
    </row>
    <row r="595" spans="1:16" hidden="1">
      <c r="A595" s="152" t="s">
        <v>37</v>
      </c>
      <c r="B595" s="34" t="s">
        <v>372</v>
      </c>
      <c r="C595" s="40" t="s">
        <v>147</v>
      </c>
      <c r="D595" s="34" t="s">
        <v>102</v>
      </c>
      <c r="E595" s="260">
        <f>Intentionally_produced_MPs!T136</f>
        <v>0</v>
      </c>
      <c r="F595" s="235">
        <v>1</v>
      </c>
      <c r="G595" s="40"/>
      <c r="H595" s="29"/>
      <c r="I595" s="9"/>
      <c r="J595" s="9"/>
      <c r="K595" s="9"/>
      <c r="L595" s="9"/>
      <c r="M595" s="9"/>
      <c r="N595" s="186" t="str">
        <f t="shared" si="39"/>
        <v/>
      </c>
      <c r="O595" s="160" t="str">
        <f t="shared" si="40"/>
        <v/>
      </c>
      <c r="P595" s="63"/>
    </row>
    <row r="596" spans="1:16" hidden="1">
      <c r="A596" s="152" t="s">
        <v>37</v>
      </c>
      <c r="B596" s="34" t="s">
        <v>372</v>
      </c>
      <c r="C596" s="40" t="s">
        <v>147</v>
      </c>
      <c r="D596" s="34" t="s">
        <v>103</v>
      </c>
      <c r="E596" s="260">
        <f>Intentionally_produced_MPs!T137</f>
        <v>0</v>
      </c>
      <c r="F596" s="235">
        <v>1</v>
      </c>
      <c r="G596" s="40"/>
      <c r="H596" s="29"/>
      <c r="I596" s="9"/>
      <c r="J596" s="9"/>
      <c r="K596" s="9"/>
      <c r="L596" s="9"/>
      <c r="M596" s="9"/>
      <c r="N596" s="186" t="str">
        <f t="shared" si="39"/>
        <v/>
      </c>
      <c r="O596" s="160" t="str">
        <f t="shared" si="40"/>
        <v/>
      </c>
      <c r="P596" s="63"/>
    </row>
    <row r="597" spans="1:16" hidden="1">
      <c r="A597" s="152" t="s">
        <v>37</v>
      </c>
      <c r="B597" s="34" t="s">
        <v>372</v>
      </c>
      <c r="C597" s="40" t="s">
        <v>147</v>
      </c>
      <c r="D597" s="34" t="s">
        <v>104</v>
      </c>
      <c r="E597" s="260">
        <f>Intentionally_produced_MPs!T138</f>
        <v>0</v>
      </c>
      <c r="F597" s="235">
        <v>1</v>
      </c>
      <c r="G597" s="40"/>
      <c r="H597" s="29"/>
      <c r="I597" s="9"/>
      <c r="J597" s="9"/>
      <c r="K597" s="9"/>
      <c r="L597" s="9"/>
      <c r="M597" s="9"/>
      <c r="N597" s="186" t="str">
        <f t="shared" si="39"/>
        <v/>
      </c>
      <c r="O597" s="160" t="str">
        <f t="shared" si="40"/>
        <v/>
      </c>
      <c r="P597" s="63"/>
    </row>
    <row r="598" spans="1:16" hidden="1">
      <c r="A598" s="152" t="s">
        <v>37</v>
      </c>
      <c r="B598" s="34" t="s">
        <v>372</v>
      </c>
      <c r="C598" s="40" t="s">
        <v>147</v>
      </c>
      <c r="D598" s="34" t="s">
        <v>105</v>
      </c>
      <c r="E598" s="260">
        <f>Intentionally_produced_MPs!T139</f>
        <v>0</v>
      </c>
      <c r="F598" s="235">
        <v>1</v>
      </c>
      <c r="G598" s="40"/>
      <c r="H598" s="29"/>
      <c r="I598" s="9"/>
      <c r="J598" s="9"/>
      <c r="K598" s="9"/>
      <c r="L598" s="9"/>
      <c r="M598" s="9"/>
      <c r="N598" s="186" t="str">
        <f t="shared" si="39"/>
        <v/>
      </c>
      <c r="O598" s="160" t="str">
        <f t="shared" si="40"/>
        <v/>
      </c>
      <c r="P598" s="63"/>
    </row>
    <row r="599" spans="1:16" hidden="1">
      <c r="A599" s="152" t="s">
        <v>37</v>
      </c>
      <c r="B599" s="34" t="s">
        <v>372</v>
      </c>
      <c r="C599" s="40" t="s">
        <v>147</v>
      </c>
      <c r="D599" s="34" t="s">
        <v>106</v>
      </c>
      <c r="E599" s="260">
        <f>Intentionally_produced_MPs!T140</f>
        <v>0.3578389480384554</v>
      </c>
      <c r="F599" s="235">
        <v>1</v>
      </c>
      <c r="G599" s="40"/>
      <c r="H599" s="29">
        <v>3</v>
      </c>
      <c r="I599" s="9">
        <v>2</v>
      </c>
      <c r="J599" s="9">
        <v>3</v>
      </c>
      <c r="K599" s="9">
        <v>3</v>
      </c>
      <c r="L599" s="9">
        <v>3</v>
      </c>
      <c r="M599" s="9">
        <v>3</v>
      </c>
      <c r="N599" s="186">
        <f t="shared" si="39"/>
        <v>1.2132328390150593</v>
      </c>
      <c r="O599" s="160">
        <f t="shared" si="40"/>
        <v>1.1713319510247036</v>
      </c>
      <c r="P599" s="63"/>
    </row>
    <row r="600" spans="1:16" hidden="1">
      <c r="A600" s="152" t="s">
        <v>373</v>
      </c>
      <c r="B600" s="34" t="s">
        <v>374</v>
      </c>
      <c r="C600" s="40" t="s">
        <v>147</v>
      </c>
      <c r="D600" s="34" t="s">
        <v>147</v>
      </c>
      <c r="E600" s="260">
        <v>0.03</v>
      </c>
      <c r="F600" s="235">
        <v>2</v>
      </c>
      <c r="G600" s="40" t="s">
        <v>375</v>
      </c>
      <c r="H600" s="29">
        <v>2</v>
      </c>
      <c r="I600" s="9">
        <v>2</v>
      </c>
      <c r="J600" s="9">
        <v>2</v>
      </c>
      <c r="K600" s="9">
        <v>1</v>
      </c>
      <c r="L600" s="9">
        <v>1</v>
      </c>
      <c r="M600" s="9">
        <v>2</v>
      </c>
      <c r="N600" s="186">
        <f t="shared" si="39"/>
        <v>0.37356464144298934</v>
      </c>
      <c r="O600" s="160">
        <f t="shared" si="40"/>
        <v>0.37356464144298934</v>
      </c>
      <c r="P600" s="63" t="s">
        <v>376</v>
      </c>
    </row>
    <row r="601" spans="1:16" hidden="1">
      <c r="A601" s="152" t="s">
        <v>245</v>
      </c>
      <c r="B601" s="34" t="s">
        <v>377</v>
      </c>
      <c r="C601" s="40" t="s">
        <v>147</v>
      </c>
      <c r="D601" s="34" t="s">
        <v>147</v>
      </c>
      <c r="E601" s="260">
        <v>0.03</v>
      </c>
      <c r="F601" s="235">
        <v>2</v>
      </c>
      <c r="G601" s="40" t="s">
        <v>375</v>
      </c>
      <c r="H601" s="29">
        <v>2</v>
      </c>
      <c r="I601" s="9">
        <v>2</v>
      </c>
      <c r="J601" s="9">
        <v>2</v>
      </c>
      <c r="K601" s="9">
        <v>1</v>
      </c>
      <c r="L601" s="9">
        <v>1</v>
      </c>
      <c r="M601" s="9">
        <v>2</v>
      </c>
      <c r="N601" s="186">
        <f t="shared" si="39"/>
        <v>0.37356464144298934</v>
      </c>
      <c r="O601" s="160">
        <f t="shared" si="40"/>
        <v>0.37356464144298934</v>
      </c>
      <c r="P601" s="63" t="s">
        <v>376</v>
      </c>
    </row>
    <row r="602" spans="1:16" hidden="1">
      <c r="A602" s="152" t="s">
        <v>213</v>
      </c>
      <c r="B602" s="34" t="s">
        <v>378</v>
      </c>
      <c r="C602" s="40" t="s">
        <v>147</v>
      </c>
      <c r="D602" s="34" t="s">
        <v>93</v>
      </c>
      <c r="E602" s="260">
        <v>0.13950000000000001</v>
      </c>
      <c r="F602" s="235">
        <v>2</v>
      </c>
      <c r="G602" s="40" t="s">
        <v>379</v>
      </c>
      <c r="H602" s="29">
        <v>2</v>
      </c>
      <c r="I602" s="9">
        <v>2</v>
      </c>
      <c r="J602" s="9">
        <v>2</v>
      </c>
      <c r="K602" s="9">
        <v>1</v>
      </c>
      <c r="L602" s="9">
        <v>1</v>
      </c>
      <c r="M602" s="9">
        <v>2</v>
      </c>
      <c r="N602" s="186">
        <f t="shared" si="39"/>
        <v>0.37356464144298934</v>
      </c>
      <c r="O602" s="160">
        <f t="shared" si="40"/>
        <v>0.37356464144298934</v>
      </c>
      <c r="P602" s="63"/>
    </row>
    <row r="603" spans="1:16" hidden="1">
      <c r="A603" s="152" t="s">
        <v>213</v>
      </c>
      <c r="B603" s="34" t="s">
        <v>378</v>
      </c>
      <c r="C603" s="40" t="s">
        <v>147</v>
      </c>
      <c r="D603" s="34" t="s">
        <v>94</v>
      </c>
      <c r="E603" s="260">
        <v>0.24110000000000001</v>
      </c>
      <c r="F603" s="235">
        <v>2</v>
      </c>
      <c r="G603" s="40" t="s">
        <v>379</v>
      </c>
      <c r="H603" s="29">
        <v>2</v>
      </c>
      <c r="I603" s="9">
        <v>2</v>
      </c>
      <c r="J603" s="9">
        <v>2</v>
      </c>
      <c r="K603" s="9">
        <v>1</v>
      </c>
      <c r="L603" s="9">
        <v>1</v>
      </c>
      <c r="M603" s="9">
        <v>2</v>
      </c>
      <c r="N603" s="186">
        <f t="shared" si="39"/>
        <v>0.37356464144298934</v>
      </c>
      <c r="O603" s="160">
        <f t="shared" si="40"/>
        <v>0.37356464144298934</v>
      </c>
      <c r="P603" s="63"/>
    </row>
    <row r="604" spans="1:16" hidden="1">
      <c r="A604" s="152" t="s">
        <v>213</v>
      </c>
      <c r="B604" s="34" t="s">
        <v>378</v>
      </c>
      <c r="C604" s="40" t="s">
        <v>147</v>
      </c>
      <c r="D604" s="34" t="s">
        <v>95</v>
      </c>
      <c r="E604" s="260">
        <v>0.17499999999999999</v>
      </c>
      <c r="F604" s="235">
        <v>2</v>
      </c>
      <c r="G604" s="40" t="s">
        <v>379</v>
      </c>
      <c r="H604" s="29">
        <v>2</v>
      </c>
      <c r="I604" s="9">
        <v>2</v>
      </c>
      <c r="J604" s="9">
        <v>2</v>
      </c>
      <c r="K604" s="9">
        <v>1</v>
      </c>
      <c r="L604" s="9">
        <v>1</v>
      </c>
      <c r="M604" s="9">
        <v>2</v>
      </c>
      <c r="N604" s="186">
        <f t="shared" si="39"/>
        <v>0.37356464144298934</v>
      </c>
      <c r="O604" s="160">
        <f t="shared" si="40"/>
        <v>0.37356464144298934</v>
      </c>
      <c r="P604" s="63"/>
    </row>
    <row r="605" spans="1:16" hidden="1">
      <c r="A605" s="152" t="s">
        <v>213</v>
      </c>
      <c r="B605" s="34" t="s">
        <v>378</v>
      </c>
      <c r="C605" s="40" t="s">
        <v>147</v>
      </c>
      <c r="D605" s="34" t="s">
        <v>96</v>
      </c>
      <c r="E605" s="260">
        <v>0.22220000000000001</v>
      </c>
      <c r="F605" s="235">
        <v>2</v>
      </c>
      <c r="G605" s="40" t="s">
        <v>379</v>
      </c>
      <c r="H605" s="29">
        <v>2</v>
      </c>
      <c r="I605" s="9">
        <v>2</v>
      </c>
      <c r="J605" s="9">
        <v>2</v>
      </c>
      <c r="K605" s="9">
        <v>1</v>
      </c>
      <c r="L605" s="9">
        <v>1</v>
      </c>
      <c r="M605" s="9">
        <v>2</v>
      </c>
      <c r="N605" s="186">
        <f t="shared" si="39"/>
        <v>0.37356464144298934</v>
      </c>
      <c r="O605" s="160">
        <f t="shared" si="40"/>
        <v>0.37356464144298934</v>
      </c>
      <c r="P605" s="63"/>
    </row>
    <row r="606" spans="1:16" hidden="1">
      <c r="A606" s="152" t="s">
        <v>213</v>
      </c>
      <c r="B606" s="34" t="s">
        <v>378</v>
      </c>
      <c r="C606" s="40" t="s">
        <v>147</v>
      </c>
      <c r="D606" s="34" t="s">
        <v>97</v>
      </c>
      <c r="E606" s="260">
        <v>0.22220000000000001</v>
      </c>
      <c r="F606" s="235">
        <v>2</v>
      </c>
      <c r="G606" s="40" t="s">
        <v>379</v>
      </c>
      <c r="H606" s="29">
        <v>2</v>
      </c>
      <c r="I606" s="9">
        <v>2</v>
      </c>
      <c r="J606" s="9">
        <v>2</v>
      </c>
      <c r="K606" s="9">
        <v>1</v>
      </c>
      <c r="L606" s="9">
        <v>1</v>
      </c>
      <c r="M606" s="9">
        <v>2</v>
      </c>
      <c r="N606" s="186">
        <f t="shared" si="39"/>
        <v>0.37356464144298934</v>
      </c>
      <c r="O606" s="160">
        <f t="shared" si="40"/>
        <v>0.37356464144298934</v>
      </c>
      <c r="P606" s="63"/>
    </row>
    <row r="607" spans="1:16" hidden="1">
      <c r="A607" s="152" t="s">
        <v>213</v>
      </c>
      <c r="B607" s="34" t="s">
        <v>378</v>
      </c>
      <c r="C607" s="40" t="s">
        <v>147</v>
      </c>
      <c r="D607" s="34" t="s">
        <v>98</v>
      </c>
      <c r="E607" s="260">
        <v>0</v>
      </c>
      <c r="F607" s="235">
        <v>2</v>
      </c>
      <c r="G607" s="40" t="s">
        <v>379</v>
      </c>
      <c r="H607" s="29"/>
      <c r="I607" s="9"/>
      <c r="J607" s="9"/>
      <c r="K607" s="9"/>
      <c r="L607" s="9"/>
      <c r="M607" s="9"/>
      <c r="N607" s="186" t="str">
        <f t="shared" si="39"/>
        <v/>
      </c>
      <c r="O607" s="160" t="str">
        <f t="shared" si="40"/>
        <v/>
      </c>
      <c r="P607" s="63"/>
    </row>
    <row r="608" spans="1:16" hidden="1">
      <c r="A608" s="152" t="s">
        <v>213</v>
      </c>
      <c r="B608" s="34" t="s">
        <v>378</v>
      </c>
      <c r="C608" s="40" t="s">
        <v>147</v>
      </c>
      <c r="D608" s="34" t="s">
        <v>99</v>
      </c>
      <c r="E608" s="260">
        <v>0.22220000000000001</v>
      </c>
      <c r="F608" s="235">
        <v>2</v>
      </c>
      <c r="G608" s="40" t="s">
        <v>379</v>
      </c>
      <c r="H608" s="29">
        <v>2</v>
      </c>
      <c r="I608" s="9">
        <v>2</v>
      </c>
      <c r="J608" s="9">
        <v>2</v>
      </c>
      <c r="K608" s="9">
        <v>1</v>
      </c>
      <c r="L608" s="9">
        <v>1</v>
      </c>
      <c r="M608" s="9">
        <v>2</v>
      </c>
      <c r="N608" s="186">
        <f t="shared" si="39"/>
        <v>0.37356464144298934</v>
      </c>
      <c r="O608" s="160">
        <f t="shared" si="40"/>
        <v>0.37356464144298934</v>
      </c>
      <c r="P608" s="63"/>
    </row>
    <row r="609" spans="1:16" hidden="1">
      <c r="A609" s="152" t="s">
        <v>214</v>
      </c>
      <c r="B609" s="34" t="s">
        <v>378</v>
      </c>
      <c r="C609" s="40" t="s">
        <v>147</v>
      </c>
      <c r="D609" s="34" t="s">
        <v>93</v>
      </c>
      <c r="E609" s="260">
        <v>0</v>
      </c>
      <c r="F609" s="235">
        <v>2</v>
      </c>
      <c r="G609" s="40" t="s">
        <v>379</v>
      </c>
      <c r="H609" s="29"/>
      <c r="I609" s="9"/>
      <c r="J609" s="9"/>
      <c r="K609" s="9"/>
      <c r="L609" s="9"/>
      <c r="M609" s="9"/>
      <c r="N609" s="186" t="str">
        <f t="shared" si="39"/>
        <v/>
      </c>
      <c r="O609" s="160" t="str">
        <f t="shared" si="40"/>
        <v/>
      </c>
      <c r="P609" s="63"/>
    </row>
    <row r="610" spans="1:16" hidden="1">
      <c r="A610" s="152" t="s">
        <v>214</v>
      </c>
      <c r="B610" s="34" t="s">
        <v>378</v>
      </c>
      <c r="C610" s="40" t="s">
        <v>147</v>
      </c>
      <c r="D610" s="34" t="s">
        <v>94</v>
      </c>
      <c r="E610" s="260">
        <v>0</v>
      </c>
      <c r="F610" s="235">
        <v>2</v>
      </c>
      <c r="G610" s="40" t="s">
        <v>379</v>
      </c>
      <c r="H610" s="29"/>
      <c r="I610" s="9"/>
      <c r="J610" s="9"/>
      <c r="K610" s="9"/>
      <c r="L610" s="9"/>
      <c r="M610" s="9"/>
      <c r="N610" s="186" t="str">
        <f t="shared" si="39"/>
        <v/>
      </c>
      <c r="O610" s="160" t="str">
        <f t="shared" si="40"/>
        <v/>
      </c>
      <c r="P610" s="63"/>
    </row>
    <row r="611" spans="1:16" hidden="1">
      <c r="A611" s="152" t="s">
        <v>214</v>
      </c>
      <c r="B611" s="34" t="s">
        <v>378</v>
      </c>
      <c r="C611" s="40" t="s">
        <v>147</v>
      </c>
      <c r="D611" s="34" t="s">
        <v>95</v>
      </c>
      <c r="E611" s="260">
        <v>0</v>
      </c>
      <c r="F611" s="235">
        <v>2</v>
      </c>
      <c r="G611" s="40" t="s">
        <v>379</v>
      </c>
      <c r="H611" s="29"/>
      <c r="I611" s="9"/>
      <c r="J611" s="9"/>
      <c r="K611" s="9"/>
      <c r="L611" s="9"/>
      <c r="M611" s="9"/>
      <c r="N611" s="186" t="str">
        <f t="shared" si="39"/>
        <v/>
      </c>
      <c r="O611" s="160" t="str">
        <f t="shared" si="40"/>
        <v/>
      </c>
      <c r="P611" s="63"/>
    </row>
    <row r="612" spans="1:16" hidden="1">
      <c r="A612" s="152" t="s">
        <v>214</v>
      </c>
      <c r="B612" s="34" t="s">
        <v>378</v>
      </c>
      <c r="C612" s="40" t="s">
        <v>147</v>
      </c>
      <c r="D612" s="34" t="s">
        <v>96</v>
      </c>
      <c r="E612" s="260">
        <v>0.35439999999999999</v>
      </c>
      <c r="F612" s="235">
        <v>2</v>
      </c>
      <c r="G612" s="40" t="s">
        <v>379</v>
      </c>
      <c r="H612" s="29">
        <v>2</v>
      </c>
      <c r="I612" s="9">
        <v>2</v>
      </c>
      <c r="J612" s="9">
        <v>2</v>
      </c>
      <c r="K612" s="9">
        <v>1</v>
      </c>
      <c r="L612" s="9">
        <v>1</v>
      </c>
      <c r="M612" s="9">
        <v>2</v>
      </c>
      <c r="N612" s="186">
        <f t="shared" si="39"/>
        <v>0.37356464144298934</v>
      </c>
      <c r="O612" s="160">
        <f t="shared" si="40"/>
        <v>0.37356464144298934</v>
      </c>
      <c r="P612" s="63"/>
    </row>
    <row r="613" spans="1:16" hidden="1">
      <c r="A613" s="152" t="s">
        <v>214</v>
      </c>
      <c r="B613" s="34" t="s">
        <v>378</v>
      </c>
      <c r="C613" s="40" t="s">
        <v>147</v>
      </c>
      <c r="D613" s="34" t="s">
        <v>97</v>
      </c>
      <c r="E613" s="260">
        <v>0</v>
      </c>
      <c r="F613" s="235">
        <v>2</v>
      </c>
      <c r="G613" s="40" t="s">
        <v>379</v>
      </c>
      <c r="H613" s="29"/>
      <c r="I613" s="9"/>
      <c r="J613" s="9"/>
      <c r="K613" s="9"/>
      <c r="L613" s="9"/>
      <c r="M613" s="9"/>
      <c r="N613" s="186" t="str">
        <f t="shared" si="39"/>
        <v/>
      </c>
      <c r="O613" s="160" t="str">
        <f t="shared" si="40"/>
        <v/>
      </c>
      <c r="P613" s="63"/>
    </row>
    <row r="614" spans="1:16" hidden="1">
      <c r="A614" s="152" t="s">
        <v>214</v>
      </c>
      <c r="B614" s="34" t="s">
        <v>378</v>
      </c>
      <c r="C614" s="40" t="s">
        <v>147</v>
      </c>
      <c r="D614" s="34" t="s">
        <v>98</v>
      </c>
      <c r="E614" s="260">
        <v>0</v>
      </c>
      <c r="F614" s="235">
        <v>2</v>
      </c>
      <c r="G614" s="40" t="s">
        <v>379</v>
      </c>
      <c r="H614" s="29"/>
      <c r="I614" s="9"/>
      <c r="J614" s="9"/>
      <c r="K614" s="9"/>
      <c r="L614" s="9"/>
      <c r="M614" s="9"/>
      <c r="N614" s="186" t="str">
        <f t="shared" si="39"/>
        <v/>
      </c>
      <c r="O614" s="160" t="str">
        <f t="shared" si="40"/>
        <v/>
      </c>
      <c r="P614" s="63"/>
    </row>
    <row r="615" spans="1:16" hidden="1">
      <c r="A615" s="152" t="s">
        <v>214</v>
      </c>
      <c r="B615" s="34" t="s">
        <v>378</v>
      </c>
      <c r="C615" s="40" t="s">
        <v>147</v>
      </c>
      <c r="D615" s="34" t="s">
        <v>99</v>
      </c>
      <c r="E615" s="260">
        <v>0.35439999999999999</v>
      </c>
      <c r="F615" s="235">
        <v>2</v>
      </c>
      <c r="G615" s="40" t="s">
        <v>379</v>
      </c>
      <c r="H615" s="29">
        <v>2</v>
      </c>
      <c r="I615" s="9">
        <v>2</v>
      </c>
      <c r="J615" s="9">
        <v>2</v>
      </c>
      <c r="K615" s="9">
        <v>1</v>
      </c>
      <c r="L615" s="9">
        <v>1</v>
      </c>
      <c r="M615" s="9">
        <v>2</v>
      </c>
      <c r="N615" s="186">
        <f t="shared" si="39"/>
        <v>0.37356464144298934</v>
      </c>
      <c r="O615" s="160">
        <f t="shared" si="40"/>
        <v>0.37356464144298934</v>
      </c>
      <c r="P615" s="63"/>
    </row>
    <row r="616" spans="1:16" hidden="1">
      <c r="A616" s="152" t="s">
        <v>215</v>
      </c>
      <c r="B616" s="34" t="s">
        <v>378</v>
      </c>
      <c r="C616" s="40" t="s">
        <v>147</v>
      </c>
      <c r="D616" s="34" t="s">
        <v>93</v>
      </c>
      <c r="E616" s="260">
        <v>0.1017</v>
      </c>
      <c r="F616" s="235">
        <v>2</v>
      </c>
      <c r="G616" s="40" t="s">
        <v>379</v>
      </c>
      <c r="H616" s="29">
        <v>2</v>
      </c>
      <c r="I616" s="9">
        <v>2</v>
      </c>
      <c r="J616" s="9">
        <v>2</v>
      </c>
      <c r="K616" s="9">
        <v>1</v>
      </c>
      <c r="L616" s="9">
        <v>1</v>
      </c>
      <c r="M616" s="9">
        <v>2</v>
      </c>
      <c r="N616" s="186">
        <f t="shared" si="39"/>
        <v>0.37356464144298934</v>
      </c>
      <c r="O616" s="160">
        <f t="shared" si="40"/>
        <v>0.37356464144298934</v>
      </c>
      <c r="P616" s="63"/>
    </row>
    <row r="617" spans="1:16" hidden="1">
      <c r="A617" s="152" t="s">
        <v>215</v>
      </c>
      <c r="B617" s="34" t="s">
        <v>378</v>
      </c>
      <c r="C617" s="40" t="s">
        <v>147</v>
      </c>
      <c r="D617" s="34" t="s">
        <v>94</v>
      </c>
      <c r="E617" s="260">
        <v>0.28570000000000001</v>
      </c>
      <c r="F617" s="235">
        <v>2</v>
      </c>
      <c r="G617" s="40" t="s">
        <v>379</v>
      </c>
      <c r="H617" s="29">
        <v>2</v>
      </c>
      <c r="I617" s="9">
        <v>2</v>
      </c>
      <c r="J617" s="9">
        <v>2</v>
      </c>
      <c r="K617" s="9">
        <v>1</v>
      </c>
      <c r="L617" s="9">
        <v>1</v>
      </c>
      <c r="M617" s="9">
        <v>2</v>
      </c>
      <c r="N617" s="186">
        <f t="shared" si="39"/>
        <v>0.37356464144298934</v>
      </c>
      <c r="O617" s="160">
        <f t="shared" si="40"/>
        <v>0.37356464144298934</v>
      </c>
      <c r="P617" s="63"/>
    </row>
    <row r="618" spans="1:16" hidden="1">
      <c r="A618" s="152" t="s">
        <v>215</v>
      </c>
      <c r="B618" s="34" t="s">
        <v>378</v>
      </c>
      <c r="C618" s="40" t="s">
        <v>147</v>
      </c>
      <c r="D618" s="34" t="s">
        <v>95</v>
      </c>
      <c r="E618" s="260">
        <v>0.18840000000000001</v>
      </c>
      <c r="F618" s="235">
        <v>2</v>
      </c>
      <c r="G618" s="40" t="s">
        <v>379</v>
      </c>
      <c r="H618" s="29">
        <v>2</v>
      </c>
      <c r="I618" s="9">
        <v>2</v>
      </c>
      <c r="J618" s="9">
        <v>2</v>
      </c>
      <c r="K618" s="9">
        <v>1</v>
      </c>
      <c r="L618" s="9">
        <v>1</v>
      </c>
      <c r="M618" s="9">
        <v>2</v>
      </c>
      <c r="N618" s="186">
        <f t="shared" si="39"/>
        <v>0.37356464144298934</v>
      </c>
      <c r="O618" s="160">
        <f t="shared" si="40"/>
        <v>0.37356464144298934</v>
      </c>
      <c r="P618" s="63"/>
    </row>
    <row r="619" spans="1:16" hidden="1">
      <c r="A619" s="152" t="s">
        <v>215</v>
      </c>
      <c r="B619" s="34" t="s">
        <v>378</v>
      </c>
      <c r="C619" s="40" t="s">
        <v>147</v>
      </c>
      <c r="D619" s="34" t="s">
        <v>96</v>
      </c>
      <c r="E619" s="260">
        <v>0.2</v>
      </c>
      <c r="F619" s="235">
        <v>2</v>
      </c>
      <c r="G619" s="40" t="s">
        <v>379</v>
      </c>
      <c r="H619" s="29">
        <v>2</v>
      </c>
      <c r="I619" s="9">
        <v>2</v>
      </c>
      <c r="J619" s="9">
        <v>2</v>
      </c>
      <c r="K619" s="9">
        <v>1</v>
      </c>
      <c r="L619" s="9">
        <v>1</v>
      </c>
      <c r="M619" s="9">
        <v>2</v>
      </c>
      <c r="N619" s="186">
        <f t="shared" si="39"/>
        <v>0.37356464144298934</v>
      </c>
      <c r="O619" s="160">
        <f t="shared" si="40"/>
        <v>0.37356464144298934</v>
      </c>
      <c r="P619" s="63"/>
    </row>
    <row r="620" spans="1:16" hidden="1">
      <c r="A620" s="152" t="s">
        <v>215</v>
      </c>
      <c r="B620" s="34" t="s">
        <v>378</v>
      </c>
      <c r="C620" s="40" t="s">
        <v>147</v>
      </c>
      <c r="D620" s="34" t="s">
        <v>97</v>
      </c>
      <c r="E620" s="260">
        <v>0.2</v>
      </c>
      <c r="F620" s="235">
        <v>2</v>
      </c>
      <c r="G620" s="40" t="s">
        <v>379</v>
      </c>
      <c r="H620" s="29">
        <v>2</v>
      </c>
      <c r="I620" s="9">
        <v>2</v>
      </c>
      <c r="J620" s="9">
        <v>2</v>
      </c>
      <c r="K620" s="9">
        <v>1</v>
      </c>
      <c r="L620" s="9">
        <v>1</v>
      </c>
      <c r="M620" s="9">
        <v>2</v>
      </c>
      <c r="N620" s="186">
        <f t="shared" si="39"/>
        <v>0.37356464144298934</v>
      </c>
      <c r="O620" s="160">
        <f t="shared" si="40"/>
        <v>0.37356464144298934</v>
      </c>
      <c r="P620" s="63"/>
    </row>
    <row r="621" spans="1:16" hidden="1">
      <c r="A621" s="152" t="s">
        <v>215</v>
      </c>
      <c r="B621" s="34" t="s">
        <v>378</v>
      </c>
      <c r="C621" s="40" t="s">
        <v>147</v>
      </c>
      <c r="D621" s="34" t="s">
        <v>98</v>
      </c>
      <c r="E621" s="260">
        <v>0.2</v>
      </c>
      <c r="F621" s="235">
        <v>2</v>
      </c>
      <c r="G621" s="40" t="s">
        <v>379</v>
      </c>
      <c r="H621" s="29">
        <v>2</v>
      </c>
      <c r="I621" s="9">
        <v>2</v>
      </c>
      <c r="J621" s="9">
        <v>2</v>
      </c>
      <c r="K621" s="9">
        <v>1</v>
      </c>
      <c r="L621" s="9">
        <v>1</v>
      </c>
      <c r="M621" s="9">
        <v>2</v>
      </c>
      <c r="N621" s="186">
        <f t="shared" si="39"/>
        <v>0.37356464144298934</v>
      </c>
      <c r="O621" s="160">
        <f t="shared" si="40"/>
        <v>0.37356464144298934</v>
      </c>
      <c r="P621" s="63"/>
    </row>
    <row r="622" spans="1:16" hidden="1">
      <c r="A622" s="152" t="s">
        <v>215</v>
      </c>
      <c r="B622" s="34" t="s">
        <v>378</v>
      </c>
      <c r="C622" s="40" t="s">
        <v>147</v>
      </c>
      <c r="D622" s="34" t="s">
        <v>99</v>
      </c>
      <c r="E622" s="260">
        <v>0.2</v>
      </c>
      <c r="F622" s="235">
        <v>2</v>
      </c>
      <c r="G622" s="40" t="s">
        <v>379</v>
      </c>
      <c r="H622" s="29">
        <v>2</v>
      </c>
      <c r="I622" s="9">
        <v>2</v>
      </c>
      <c r="J622" s="9">
        <v>2</v>
      </c>
      <c r="K622" s="9">
        <v>1</v>
      </c>
      <c r="L622" s="9">
        <v>1</v>
      </c>
      <c r="M622" s="9">
        <v>2</v>
      </c>
      <c r="N622" s="186">
        <f t="shared" si="39"/>
        <v>0.37356464144298934</v>
      </c>
      <c r="O622" s="160">
        <f t="shared" si="40"/>
        <v>0.37356464144298934</v>
      </c>
      <c r="P622" s="63"/>
    </row>
    <row r="623" spans="1:16" hidden="1">
      <c r="A623" s="152" t="s">
        <v>216</v>
      </c>
      <c r="B623" s="34" t="s">
        <v>378</v>
      </c>
      <c r="C623" s="40" t="s">
        <v>147</v>
      </c>
      <c r="D623" s="34" t="s">
        <v>93</v>
      </c>
      <c r="E623" s="260">
        <v>0</v>
      </c>
      <c r="F623" s="235">
        <v>2</v>
      </c>
      <c r="G623" s="40" t="s">
        <v>379</v>
      </c>
      <c r="H623" s="29"/>
      <c r="I623" s="9"/>
      <c r="J623" s="9"/>
      <c r="K623" s="9"/>
      <c r="L623" s="9"/>
      <c r="M623" s="9"/>
      <c r="N623" s="186" t="str">
        <f t="shared" si="39"/>
        <v/>
      </c>
      <c r="O623" s="160" t="str">
        <f t="shared" si="40"/>
        <v/>
      </c>
      <c r="P623" s="63"/>
    </row>
    <row r="624" spans="1:16" hidden="1">
      <c r="A624" s="152" t="s">
        <v>216</v>
      </c>
      <c r="B624" s="34" t="s">
        <v>378</v>
      </c>
      <c r="C624" s="40" t="s">
        <v>147</v>
      </c>
      <c r="D624" s="34" t="s">
        <v>94</v>
      </c>
      <c r="E624" s="260">
        <v>0.1176</v>
      </c>
      <c r="F624" s="235">
        <v>2</v>
      </c>
      <c r="G624" s="40" t="s">
        <v>379</v>
      </c>
      <c r="H624" s="29">
        <v>2</v>
      </c>
      <c r="I624" s="9"/>
      <c r="J624" s="9">
        <v>2</v>
      </c>
      <c r="K624" s="9">
        <v>1</v>
      </c>
      <c r="L624" s="9">
        <v>1</v>
      </c>
      <c r="M624" s="9">
        <v>2</v>
      </c>
      <c r="N624" s="186">
        <f t="shared" si="39"/>
        <v>0.37356464144298934</v>
      </c>
      <c r="O624" s="160" t="str">
        <f t="shared" si="40"/>
        <v/>
      </c>
      <c r="P624" s="63"/>
    </row>
    <row r="625" spans="1:16" hidden="1">
      <c r="A625" s="152" t="s">
        <v>216</v>
      </c>
      <c r="B625" s="34" t="s">
        <v>378</v>
      </c>
      <c r="C625" s="40" t="s">
        <v>147</v>
      </c>
      <c r="D625" s="34" t="s">
        <v>95</v>
      </c>
      <c r="E625" s="260">
        <v>0.05</v>
      </c>
      <c r="F625" s="235">
        <v>2</v>
      </c>
      <c r="G625" s="40" t="s">
        <v>379</v>
      </c>
      <c r="H625" s="29">
        <v>2</v>
      </c>
      <c r="I625" s="9"/>
      <c r="J625" s="9">
        <v>2</v>
      </c>
      <c r="K625" s="9">
        <v>1</v>
      </c>
      <c r="L625" s="9">
        <v>1</v>
      </c>
      <c r="M625" s="9">
        <v>2</v>
      </c>
      <c r="N625" s="186">
        <f t="shared" si="39"/>
        <v>0.37356464144298934</v>
      </c>
      <c r="O625" s="160" t="str">
        <f t="shared" si="40"/>
        <v/>
      </c>
      <c r="P625" s="63"/>
    </row>
    <row r="626" spans="1:16" hidden="1">
      <c r="A626" s="152" t="s">
        <v>216</v>
      </c>
      <c r="B626" s="34" t="s">
        <v>378</v>
      </c>
      <c r="C626" s="40" t="s">
        <v>147</v>
      </c>
      <c r="D626" s="34" t="s">
        <v>96</v>
      </c>
      <c r="E626" s="260">
        <v>5.5E-2</v>
      </c>
      <c r="F626" s="235">
        <v>2</v>
      </c>
      <c r="G626" s="40" t="s">
        <v>379</v>
      </c>
      <c r="H626" s="29">
        <v>2</v>
      </c>
      <c r="I626" s="9"/>
      <c r="J626" s="9">
        <v>2</v>
      </c>
      <c r="K626" s="9">
        <v>1</v>
      </c>
      <c r="L626" s="9">
        <v>1</v>
      </c>
      <c r="M626" s="9">
        <v>2</v>
      </c>
      <c r="N626" s="186">
        <f t="shared" si="39"/>
        <v>0.37356464144298934</v>
      </c>
      <c r="O626" s="160" t="str">
        <f t="shared" si="40"/>
        <v/>
      </c>
      <c r="P626" s="63"/>
    </row>
    <row r="627" spans="1:16" hidden="1">
      <c r="A627" s="152" t="s">
        <v>216</v>
      </c>
      <c r="B627" s="34" t="s">
        <v>378</v>
      </c>
      <c r="C627" s="40" t="s">
        <v>147</v>
      </c>
      <c r="D627" s="34" t="s">
        <v>97</v>
      </c>
      <c r="E627" s="260">
        <v>5.5E-2</v>
      </c>
      <c r="F627" s="235">
        <v>2</v>
      </c>
      <c r="G627" s="40" t="s">
        <v>379</v>
      </c>
      <c r="H627" s="29">
        <v>2</v>
      </c>
      <c r="I627" s="9"/>
      <c r="J627" s="9">
        <v>2</v>
      </c>
      <c r="K627" s="9">
        <v>1</v>
      </c>
      <c r="L627" s="9">
        <v>1</v>
      </c>
      <c r="M627" s="9">
        <v>2</v>
      </c>
      <c r="N627" s="186">
        <f t="shared" si="39"/>
        <v>0.37356464144298934</v>
      </c>
      <c r="O627" s="160" t="str">
        <f t="shared" si="40"/>
        <v/>
      </c>
      <c r="P627" s="63"/>
    </row>
    <row r="628" spans="1:16" hidden="1">
      <c r="A628" s="152" t="s">
        <v>216</v>
      </c>
      <c r="B628" s="34" t="s">
        <v>378</v>
      </c>
      <c r="C628" s="40" t="s">
        <v>147</v>
      </c>
      <c r="D628" s="34" t="s">
        <v>98</v>
      </c>
      <c r="E628" s="260">
        <v>7.4999999999999997E-2</v>
      </c>
      <c r="F628" s="235">
        <v>2</v>
      </c>
      <c r="G628" s="40" t="s">
        <v>379</v>
      </c>
      <c r="H628" s="29">
        <v>2</v>
      </c>
      <c r="I628" s="9"/>
      <c r="J628" s="9">
        <v>2</v>
      </c>
      <c r="K628" s="9">
        <v>1</v>
      </c>
      <c r="L628" s="9">
        <v>1</v>
      </c>
      <c r="M628" s="9">
        <v>2</v>
      </c>
      <c r="N628" s="186">
        <f t="shared" si="39"/>
        <v>0.37356464144298934</v>
      </c>
      <c r="O628" s="160" t="str">
        <f t="shared" si="40"/>
        <v/>
      </c>
      <c r="P628" s="63"/>
    </row>
    <row r="629" spans="1:16" hidden="1">
      <c r="A629" s="152" t="s">
        <v>216</v>
      </c>
      <c r="B629" s="34" t="s">
        <v>378</v>
      </c>
      <c r="C629" s="40" t="s">
        <v>147</v>
      </c>
      <c r="D629" s="34" t="s">
        <v>99</v>
      </c>
      <c r="E629" s="260">
        <v>8.2299999999999998E-2</v>
      </c>
      <c r="F629" s="235">
        <v>2</v>
      </c>
      <c r="G629" s="40" t="s">
        <v>379</v>
      </c>
      <c r="H629" s="29">
        <v>2</v>
      </c>
      <c r="I629" s="9"/>
      <c r="J629" s="9">
        <v>2</v>
      </c>
      <c r="K629" s="9">
        <v>1</v>
      </c>
      <c r="L629" s="9">
        <v>1</v>
      </c>
      <c r="M629" s="9">
        <v>2</v>
      </c>
      <c r="N629" s="186">
        <f t="shared" si="39"/>
        <v>0.37356464144298934</v>
      </c>
      <c r="O629" s="160" t="str">
        <f t="shared" si="40"/>
        <v/>
      </c>
      <c r="P629" s="63"/>
    </row>
    <row r="630" spans="1:16" hidden="1">
      <c r="A630" s="152" t="s">
        <v>378</v>
      </c>
      <c r="B630" s="34" t="s">
        <v>334</v>
      </c>
      <c r="C630" s="40" t="s">
        <v>147</v>
      </c>
      <c r="D630" s="34" t="s">
        <v>147</v>
      </c>
      <c r="E630" s="260">
        <v>0.1045625</v>
      </c>
      <c r="F630" s="235">
        <v>2</v>
      </c>
      <c r="G630" s="40" t="s">
        <v>380</v>
      </c>
      <c r="H630" s="29">
        <v>1</v>
      </c>
      <c r="I630" s="9"/>
      <c r="J630" s="9">
        <v>1</v>
      </c>
      <c r="K630" s="9">
        <v>3</v>
      </c>
      <c r="L630" s="9">
        <v>1</v>
      </c>
      <c r="M630" s="9">
        <v>2</v>
      </c>
      <c r="N630" s="186">
        <f t="shared" si="39"/>
        <v>0.47802211380704585</v>
      </c>
      <c r="O630" s="160" t="str">
        <f t="shared" si="40"/>
        <v/>
      </c>
      <c r="P630" s="63"/>
    </row>
    <row r="631" spans="1:16" hidden="1">
      <c r="A631" s="152" t="s">
        <v>378</v>
      </c>
      <c r="B631" s="34" t="s">
        <v>337</v>
      </c>
      <c r="C631" s="40" t="s">
        <v>147</v>
      </c>
      <c r="D631" s="34" t="s">
        <v>147</v>
      </c>
      <c r="E631" s="260" t="s">
        <v>158</v>
      </c>
      <c r="F631" s="235">
        <v>1</v>
      </c>
      <c r="G631" s="40"/>
      <c r="H631" s="29"/>
      <c r="I631" s="9"/>
      <c r="J631" s="9"/>
      <c r="K631" s="9"/>
      <c r="L631" s="9"/>
      <c r="M631" s="9"/>
      <c r="N631" s="186" t="str">
        <f t="shared" si="39"/>
        <v/>
      </c>
      <c r="O631" s="160" t="str">
        <f t="shared" si="40"/>
        <v/>
      </c>
      <c r="P631" s="63"/>
    </row>
    <row r="632" spans="1:16" hidden="1">
      <c r="A632" s="152" t="s">
        <v>378</v>
      </c>
      <c r="B632" s="34" t="s">
        <v>345</v>
      </c>
      <c r="C632" s="40" t="s">
        <v>147</v>
      </c>
      <c r="D632" s="34" t="s">
        <v>147</v>
      </c>
      <c r="E632" s="260">
        <v>0.25313000000000002</v>
      </c>
      <c r="F632" s="235">
        <v>2</v>
      </c>
      <c r="G632" s="40" t="s">
        <v>381</v>
      </c>
      <c r="H632" s="29">
        <v>1</v>
      </c>
      <c r="I632" s="9"/>
      <c r="J632" s="9">
        <v>1</v>
      </c>
      <c r="K632" s="9">
        <v>3</v>
      </c>
      <c r="L632" s="9">
        <v>3</v>
      </c>
      <c r="M632" s="9">
        <v>2</v>
      </c>
      <c r="N632" s="186">
        <f t="shared" ref="N632:N695" si="41">IF( OR( ISBLANK(H632),ISBLANK(J632), ISBLANK(K632), ISBLANK(L632), ISBLANK(M632) ), "", 1.5*SQRT(   EXP(2.21*(H632-1)) + EXP(2.21*(J632-1)) + EXP(2.21*(K632-1)) + EXP(2.21*(L632-1)) + EXP(2.21*M632)   )/100*2.45 )</f>
        <v>0.58256442191643876</v>
      </c>
      <c r="O632" s="160" t="str">
        <f t="shared" ref="O632:O695" si="42">IF( OR( ISBLANK(I632),ISBLANK(J632), ISBLANK(K632), ISBLANK(L632), ISBLANK(M632) ), "", 1.5*SQRT( EXP(2.21*(I632-1)) + EXP(2.21*(J632-1)) + EXP(2.21*(K632-1)) + EXP(2.21*(L632-1)) + EXP(2.21*M632)   )/100*2.45 )</f>
        <v/>
      </c>
      <c r="P632" s="63" t="s">
        <v>382</v>
      </c>
    </row>
    <row r="633" spans="1:16" hidden="1">
      <c r="A633" s="152" t="s">
        <v>39</v>
      </c>
      <c r="B633" s="34" t="s">
        <v>216</v>
      </c>
      <c r="C633" s="40" t="s">
        <v>147</v>
      </c>
      <c r="D633" s="34" t="s">
        <v>93</v>
      </c>
      <c r="E633" s="260">
        <v>1.41E-2</v>
      </c>
      <c r="F633" s="235">
        <v>1</v>
      </c>
      <c r="G633" s="40" t="s">
        <v>148</v>
      </c>
      <c r="H633" s="29">
        <v>2</v>
      </c>
      <c r="I633" s="9">
        <v>2</v>
      </c>
      <c r="J633" s="9">
        <v>2</v>
      </c>
      <c r="K633" s="9">
        <v>1</v>
      </c>
      <c r="L633" s="9">
        <v>1</v>
      </c>
      <c r="M633" s="9">
        <v>2</v>
      </c>
      <c r="N633" s="186">
        <f t="shared" si="41"/>
        <v>0.37356464144298934</v>
      </c>
      <c r="O633" s="160">
        <f t="shared" si="42"/>
        <v>0.37356464144298934</v>
      </c>
      <c r="P633" s="63"/>
    </row>
    <row r="634" spans="1:16" hidden="1">
      <c r="A634" s="152" t="s">
        <v>39</v>
      </c>
      <c r="B634" s="34" t="s">
        <v>216</v>
      </c>
      <c r="C634" s="40" t="s">
        <v>147</v>
      </c>
      <c r="D634" s="34" t="s">
        <v>94</v>
      </c>
      <c r="E634" s="260">
        <v>8.3099999999999993E-2</v>
      </c>
      <c r="F634" s="235">
        <v>1</v>
      </c>
      <c r="G634" s="40" t="s">
        <v>148</v>
      </c>
      <c r="H634" s="29">
        <v>2</v>
      </c>
      <c r="I634" s="9">
        <v>2</v>
      </c>
      <c r="J634" s="9">
        <v>2</v>
      </c>
      <c r="K634" s="9">
        <v>1</v>
      </c>
      <c r="L634" s="9">
        <v>1</v>
      </c>
      <c r="M634" s="9">
        <v>2</v>
      </c>
      <c r="N634" s="186">
        <f t="shared" si="41"/>
        <v>0.37356464144298934</v>
      </c>
      <c r="O634" s="160">
        <f t="shared" si="42"/>
        <v>0.37356464144298934</v>
      </c>
      <c r="P634" s="63"/>
    </row>
    <row r="635" spans="1:16" hidden="1">
      <c r="A635" s="152" t="s">
        <v>39</v>
      </c>
      <c r="B635" s="34" t="s">
        <v>216</v>
      </c>
      <c r="C635" s="40" t="s">
        <v>147</v>
      </c>
      <c r="D635" s="34" t="s">
        <v>95</v>
      </c>
      <c r="E635" s="260">
        <v>0.38140000000000002</v>
      </c>
      <c r="F635" s="235">
        <v>1</v>
      </c>
      <c r="G635" s="40" t="s">
        <v>148</v>
      </c>
      <c r="H635" s="29">
        <v>2</v>
      </c>
      <c r="I635" s="9">
        <v>2</v>
      </c>
      <c r="J635" s="9">
        <v>2</v>
      </c>
      <c r="K635" s="9">
        <v>1</v>
      </c>
      <c r="L635" s="9">
        <v>1</v>
      </c>
      <c r="M635" s="9">
        <v>2</v>
      </c>
      <c r="N635" s="186">
        <f t="shared" si="41"/>
        <v>0.37356464144298934</v>
      </c>
      <c r="O635" s="160">
        <f t="shared" si="42"/>
        <v>0.37356464144298934</v>
      </c>
      <c r="P635" s="63"/>
    </row>
    <row r="636" spans="1:16" hidden="1">
      <c r="A636" s="152" t="s">
        <v>39</v>
      </c>
      <c r="B636" s="34" t="s">
        <v>216</v>
      </c>
      <c r="C636" s="40" t="s">
        <v>147</v>
      </c>
      <c r="D636" s="34" t="s">
        <v>96</v>
      </c>
      <c r="E636" s="260">
        <v>0.79759999999999998</v>
      </c>
      <c r="F636" s="235">
        <v>1</v>
      </c>
      <c r="G636" s="40" t="s">
        <v>148</v>
      </c>
      <c r="H636" s="29">
        <v>2</v>
      </c>
      <c r="I636" s="9">
        <v>2</v>
      </c>
      <c r="J636" s="9">
        <v>2</v>
      </c>
      <c r="K636" s="9">
        <v>1</v>
      </c>
      <c r="L636" s="9">
        <v>1</v>
      </c>
      <c r="M636" s="9">
        <v>2</v>
      </c>
      <c r="N636" s="186">
        <f t="shared" si="41"/>
        <v>0.37356464144298934</v>
      </c>
      <c r="O636" s="160">
        <f t="shared" si="42"/>
        <v>0.37356464144298934</v>
      </c>
      <c r="P636" s="63"/>
    </row>
    <row r="637" spans="1:16" hidden="1">
      <c r="A637" s="152" t="s">
        <v>39</v>
      </c>
      <c r="B637" s="34" t="s">
        <v>216</v>
      </c>
      <c r="C637" s="40" t="s">
        <v>147</v>
      </c>
      <c r="D637" s="34" t="s">
        <v>97</v>
      </c>
      <c r="E637" s="260">
        <v>0</v>
      </c>
      <c r="F637" s="235">
        <v>1</v>
      </c>
      <c r="G637" s="40" t="s">
        <v>148</v>
      </c>
      <c r="H637" s="29"/>
      <c r="I637" s="9"/>
      <c r="J637" s="9"/>
      <c r="K637" s="9"/>
      <c r="L637" s="9"/>
      <c r="M637" s="9"/>
      <c r="N637" s="186" t="str">
        <f t="shared" si="41"/>
        <v/>
      </c>
      <c r="O637" s="160" t="str">
        <f t="shared" si="42"/>
        <v/>
      </c>
      <c r="P637" s="63"/>
    </row>
    <row r="638" spans="1:16" hidden="1">
      <c r="A638" s="152" t="s">
        <v>39</v>
      </c>
      <c r="B638" s="34" t="s">
        <v>216</v>
      </c>
      <c r="C638" s="40" t="s">
        <v>147</v>
      </c>
      <c r="D638" s="34" t="s">
        <v>98</v>
      </c>
      <c r="E638" s="260">
        <v>0.45450000000000002</v>
      </c>
      <c r="F638" s="235">
        <v>1</v>
      </c>
      <c r="G638" s="40" t="s">
        <v>148</v>
      </c>
      <c r="H638" s="29">
        <v>2</v>
      </c>
      <c r="I638" s="9">
        <v>2</v>
      </c>
      <c r="J638" s="9">
        <v>2</v>
      </c>
      <c r="K638" s="9">
        <v>1</v>
      </c>
      <c r="L638" s="9">
        <v>1</v>
      </c>
      <c r="M638" s="9">
        <v>2</v>
      </c>
      <c r="N638" s="186">
        <f t="shared" si="41"/>
        <v>0.37356464144298934</v>
      </c>
      <c r="O638" s="160">
        <f t="shared" si="42"/>
        <v>0.37356464144298934</v>
      </c>
      <c r="P638" s="63"/>
    </row>
    <row r="639" spans="1:16" hidden="1">
      <c r="A639" s="152" t="s">
        <v>39</v>
      </c>
      <c r="B639" s="34" t="s">
        <v>216</v>
      </c>
      <c r="C639" s="40" t="s">
        <v>147</v>
      </c>
      <c r="D639" s="34" t="s">
        <v>99</v>
      </c>
      <c r="E639" s="260">
        <v>0.44280000000000003</v>
      </c>
      <c r="F639" s="235">
        <v>2</v>
      </c>
      <c r="G639" s="40" t="s">
        <v>148</v>
      </c>
      <c r="H639" s="29">
        <v>2</v>
      </c>
      <c r="I639" s="9">
        <v>2</v>
      </c>
      <c r="J639" s="9">
        <v>2</v>
      </c>
      <c r="K639" s="9">
        <v>1</v>
      </c>
      <c r="L639" s="9">
        <v>1</v>
      </c>
      <c r="M639" s="9">
        <v>2</v>
      </c>
      <c r="N639" s="186">
        <f t="shared" si="41"/>
        <v>0.37356464144298934</v>
      </c>
      <c r="O639" s="160">
        <f t="shared" si="42"/>
        <v>0.37356464144298934</v>
      </c>
      <c r="P639" s="63" t="s">
        <v>239</v>
      </c>
    </row>
    <row r="640" spans="1:16" hidden="1">
      <c r="A640" s="152" t="s">
        <v>39</v>
      </c>
      <c r="B640" s="34" t="s">
        <v>216</v>
      </c>
      <c r="C640" s="40" t="s">
        <v>147</v>
      </c>
      <c r="D640" s="34" t="s">
        <v>106</v>
      </c>
      <c r="E640" s="260">
        <v>0.20723549488054607</v>
      </c>
      <c r="F640" s="235">
        <v>1</v>
      </c>
      <c r="G640" s="40" t="s">
        <v>149</v>
      </c>
      <c r="H640" s="29">
        <v>2</v>
      </c>
      <c r="I640" s="9">
        <v>1</v>
      </c>
      <c r="J640" s="9">
        <v>2</v>
      </c>
      <c r="K640" s="9">
        <v>2</v>
      </c>
      <c r="L640" s="9">
        <v>1</v>
      </c>
      <c r="M640" s="9">
        <v>2</v>
      </c>
      <c r="N640" s="186">
        <f t="shared" si="41"/>
        <v>0.38795788889711302</v>
      </c>
      <c r="O640" s="160">
        <f t="shared" si="42"/>
        <v>0.37356464144298934</v>
      </c>
      <c r="P640" s="63"/>
    </row>
    <row r="641" spans="1:16" hidden="1">
      <c r="A641" s="152" t="s">
        <v>39</v>
      </c>
      <c r="B641" s="34" t="s">
        <v>249</v>
      </c>
      <c r="C641" s="40" t="s">
        <v>147</v>
      </c>
      <c r="D641" s="34" t="s">
        <v>93</v>
      </c>
      <c r="E641" s="260">
        <v>0.65669999999999995</v>
      </c>
      <c r="F641" s="235">
        <v>1</v>
      </c>
      <c r="G641" s="40" t="s">
        <v>148</v>
      </c>
      <c r="H641" s="29">
        <v>2</v>
      </c>
      <c r="I641" s="9">
        <v>2</v>
      </c>
      <c r="J641" s="9">
        <v>2</v>
      </c>
      <c r="K641" s="9">
        <v>1</v>
      </c>
      <c r="L641" s="9">
        <v>1</v>
      </c>
      <c r="M641" s="9">
        <v>2</v>
      </c>
      <c r="N641" s="186">
        <f t="shared" si="41"/>
        <v>0.37356464144298934</v>
      </c>
      <c r="O641" s="160">
        <f t="shared" si="42"/>
        <v>0.37356464144298934</v>
      </c>
      <c r="P641" s="63"/>
    </row>
    <row r="642" spans="1:16" hidden="1">
      <c r="A642" s="152" t="s">
        <v>39</v>
      </c>
      <c r="B642" s="34" t="s">
        <v>249</v>
      </c>
      <c r="C642" s="40" t="s">
        <v>147</v>
      </c>
      <c r="D642" s="34" t="s">
        <v>94</v>
      </c>
      <c r="E642" s="260">
        <v>1.2200000000000001E-2</v>
      </c>
      <c r="F642" s="235">
        <v>1</v>
      </c>
      <c r="G642" s="40" t="s">
        <v>148</v>
      </c>
      <c r="H642" s="29">
        <v>2</v>
      </c>
      <c r="I642" s="9">
        <v>2</v>
      </c>
      <c r="J642" s="9">
        <v>2</v>
      </c>
      <c r="K642" s="9">
        <v>1</v>
      </c>
      <c r="L642" s="9">
        <v>1</v>
      </c>
      <c r="M642" s="9">
        <v>2</v>
      </c>
      <c r="N642" s="186">
        <f t="shared" si="41"/>
        <v>0.37356464144298934</v>
      </c>
      <c r="O642" s="160">
        <f t="shared" si="42"/>
        <v>0.37356464144298934</v>
      </c>
      <c r="P642" s="63"/>
    </row>
    <row r="643" spans="1:16" hidden="1">
      <c r="A643" s="152" t="s">
        <v>39</v>
      </c>
      <c r="B643" s="34" t="s">
        <v>249</v>
      </c>
      <c r="C643" s="40" t="s">
        <v>147</v>
      </c>
      <c r="D643" s="34" t="s">
        <v>95</v>
      </c>
      <c r="E643" s="260">
        <v>6.9599999999999995E-2</v>
      </c>
      <c r="F643" s="235">
        <v>1</v>
      </c>
      <c r="G643" s="40" t="s">
        <v>148</v>
      </c>
      <c r="H643" s="29">
        <v>2</v>
      </c>
      <c r="I643" s="9">
        <v>2</v>
      </c>
      <c r="J643" s="9">
        <v>2</v>
      </c>
      <c r="K643" s="9">
        <v>1</v>
      </c>
      <c r="L643" s="9">
        <v>1</v>
      </c>
      <c r="M643" s="9">
        <v>2</v>
      </c>
      <c r="N643" s="186">
        <f t="shared" si="41"/>
        <v>0.37356464144298934</v>
      </c>
      <c r="O643" s="160">
        <f t="shared" si="42"/>
        <v>0.37356464144298934</v>
      </c>
      <c r="P643" s="63"/>
    </row>
    <row r="644" spans="1:16" hidden="1">
      <c r="A644" s="152" t="s">
        <v>39</v>
      </c>
      <c r="B644" s="34" t="s">
        <v>249</v>
      </c>
      <c r="C644" s="40" t="s">
        <v>147</v>
      </c>
      <c r="D644" s="34" t="s">
        <v>96</v>
      </c>
      <c r="E644" s="260">
        <v>3.5700000000000003E-2</v>
      </c>
      <c r="F644" s="235">
        <v>1</v>
      </c>
      <c r="G644" s="40" t="s">
        <v>148</v>
      </c>
      <c r="H644" s="29">
        <v>2</v>
      </c>
      <c r="I644" s="9">
        <v>2</v>
      </c>
      <c r="J644" s="9">
        <v>2</v>
      </c>
      <c r="K644" s="9">
        <v>1</v>
      </c>
      <c r="L644" s="9">
        <v>1</v>
      </c>
      <c r="M644" s="9">
        <v>2</v>
      </c>
      <c r="N644" s="186">
        <f t="shared" si="41"/>
        <v>0.37356464144298934</v>
      </c>
      <c r="O644" s="160">
        <f t="shared" si="42"/>
        <v>0.37356464144298934</v>
      </c>
      <c r="P644" s="63"/>
    </row>
    <row r="645" spans="1:16" hidden="1">
      <c r="A645" s="152" t="s">
        <v>39</v>
      </c>
      <c r="B645" s="34" t="s">
        <v>249</v>
      </c>
      <c r="C645" s="40" t="s">
        <v>147</v>
      </c>
      <c r="D645" s="34" t="s">
        <v>97</v>
      </c>
      <c r="E645" s="260">
        <v>0</v>
      </c>
      <c r="F645" s="235">
        <v>1</v>
      </c>
      <c r="G645" s="40" t="s">
        <v>148</v>
      </c>
      <c r="H645" s="29"/>
      <c r="I645" s="9"/>
      <c r="J645" s="9"/>
      <c r="K645" s="9"/>
      <c r="L645" s="9"/>
      <c r="M645" s="9"/>
      <c r="N645" s="186" t="str">
        <f t="shared" si="41"/>
        <v/>
      </c>
      <c r="O645" s="160" t="str">
        <f t="shared" si="42"/>
        <v/>
      </c>
      <c r="P645" s="63"/>
    </row>
    <row r="646" spans="1:16" hidden="1">
      <c r="A646" s="152" t="s">
        <v>39</v>
      </c>
      <c r="B646" s="34" t="s">
        <v>249</v>
      </c>
      <c r="C646" s="40" t="s">
        <v>147</v>
      </c>
      <c r="D646" s="34" t="s">
        <v>98</v>
      </c>
      <c r="E646" s="260">
        <v>7.9500000000000001E-2</v>
      </c>
      <c r="F646" s="235">
        <v>1</v>
      </c>
      <c r="G646" s="40" t="s">
        <v>148</v>
      </c>
      <c r="H646" s="29">
        <v>2</v>
      </c>
      <c r="I646" s="9">
        <v>2</v>
      </c>
      <c r="J646" s="9">
        <v>2</v>
      </c>
      <c r="K646" s="9">
        <v>1</v>
      </c>
      <c r="L646" s="9">
        <v>1</v>
      </c>
      <c r="M646" s="9">
        <v>2</v>
      </c>
      <c r="N646" s="186">
        <f t="shared" si="41"/>
        <v>0.37356464144298934</v>
      </c>
      <c r="O646" s="160">
        <f t="shared" si="42"/>
        <v>0.37356464144298934</v>
      </c>
      <c r="P646" s="63"/>
    </row>
    <row r="647" spans="1:16" hidden="1">
      <c r="A647" s="152" t="s">
        <v>39</v>
      </c>
      <c r="B647" s="34" t="s">
        <v>249</v>
      </c>
      <c r="C647" s="40" t="s">
        <v>147</v>
      </c>
      <c r="D647" s="34" t="s">
        <v>99</v>
      </c>
      <c r="E647" s="260">
        <v>0.01</v>
      </c>
      <c r="F647" s="235">
        <v>1</v>
      </c>
      <c r="G647" s="40" t="s">
        <v>148</v>
      </c>
      <c r="H647" s="29">
        <v>2</v>
      </c>
      <c r="I647" s="9">
        <v>2</v>
      </c>
      <c r="J647" s="9">
        <v>2</v>
      </c>
      <c r="K647" s="9">
        <v>1</v>
      </c>
      <c r="L647" s="9">
        <v>1</v>
      </c>
      <c r="M647" s="9">
        <v>2</v>
      </c>
      <c r="N647" s="186">
        <f t="shared" si="41"/>
        <v>0.37356464144298934</v>
      </c>
      <c r="O647" s="160">
        <f t="shared" si="42"/>
        <v>0.37356464144298934</v>
      </c>
      <c r="P647" s="63"/>
    </row>
    <row r="648" spans="1:16" hidden="1">
      <c r="A648" s="152" t="s">
        <v>39</v>
      </c>
      <c r="B648" s="34" t="s">
        <v>249</v>
      </c>
      <c r="C648" s="40" t="s">
        <v>147</v>
      </c>
      <c r="D648" s="34" t="s">
        <v>106</v>
      </c>
      <c r="E648" s="260">
        <v>0</v>
      </c>
      <c r="F648" s="235">
        <v>1</v>
      </c>
      <c r="G648" s="40" t="s">
        <v>149</v>
      </c>
      <c r="H648" s="29"/>
      <c r="I648" s="9"/>
      <c r="J648" s="9"/>
      <c r="K648" s="9"/>
      <c r="L648" s="9"/>
      <c r="M648" s="9"/>
      <c r="N648" s="186" t="str">
        <f t="shared" si="41"/>
        <v/>
      </c>
      <c r="O648" s="160" t="str">
        <f t="shared" si="42"/>
        <v/>
      </c>
      <c r="P648" s="63"/>
    </row>
    <row r="649" spans="1:16" hidden="1">
      <c r="A649" s="152" t="s">
        <v>39</v>
      </c>
      <c r="B649" s="34" t="s">
        <v>250</v>
      </c>
      <c r="C649" s="40" t="s">
        <v>147</v>
      </c>
      <c r="D649" s="34" t="s">
        <v>93</v>
      </c>
      <c r="E649" s="260">
        <v>0</v>
      </c>
      <c r="F649" s="235">
        <v>1</v>
      </c>
      <c r="G649" s="40" t="s">
        <v>148</v>
      </c>
      <c r="H649" s="29"/>
      <c r="I649" s="9"/>
      <c r="J649" s="9"/>
      <c r="K649" s="9"/>
      <c r="L649" s="9"/>
      <c r="M649" s="9"/>
      <c r="N649" s="186" t="str">
        <f t="shared" si="41"/>
        <v/>
      </c>
      <c r="O649" s="160" t="str">
        <f t="shared" si="42"/>
        <v/>
      </c>
      <c r="P649" s="63"/>
    </row>
    <row r="650" spans="1:16" hidden="1">
      <c r="A650" s="152" t="s">
        <v>39</v>
      </c>
      <c r="B650" s="34" t="s">
        <v>250</v>
      </c>
      <c r="C650" s="40" t="s">
        <v>147</v>
      </c>
      <c r="D650" s="34" t="s">
        <v>94</v>
      </c>
      <c r="E650" s="260">
        <v>0.1638</v>
      </c>
      <c r="F650" s="235">
        <v>1</v>
      </c>
      <c r="G650" s="40" t="s">
        <v>148</v>
      </c>
      <c r="H650" s="29">
        <v>2</v>
      </c>
      <c r="I650" s="9">
        <v>2</v>
      </c>
      <c r="J650" s="9">
        <v>2</v>
      </c>
      <c r="K650" s="9">
        <v>1</v>
      </c>
      <c r="L650" s="9">
        <v>1</v>
      </c>
      <c r="M650" s="9">
        <v>2</v>
      </c>
      <c r="N650" s="186">
        <f t="shared" si="41"/>
        <v>0.37356464144298934</v>
      </c>
      <c r="O650" s="160">
        <f t="shared" si="42"/>
        <v>0.37356464144298934</v>
      </c>
      <c r="P650" s="63"/>
    </row>
    <row r="651" spans="1:16" hidden="1">
      <c r="A651" s="152" t="s">
        <v>39</v>
      </c>
      <c r="B651" s="34" t="s">
        <v>250</v>
      </c>
      <c r="C651" s="40" t="s">
        <v>147</v>
      </c>
      <c r="D651" s="34" t="s">
        <v>95</v>
      </c>
      <c r="E651" s="260">
        <v>0.20619999999999999</v>
      </c>
      <c r="F651" s="235">
        <v>1</v>
      </c>
      <c r="G651" s="40" t="s">
        <v>148</v>
      </c>
      <c r="H651" s="29">
        <v>2</v>
      </c>
      <c r="I651" s="9">
        <v>2</v>
      </c>
      <c r="J651" s="9">
        <v>2</v>
      </c>
      <c r="K651" s="9">
        <v>1</v>
      </c>
      <c r="L651" s="9">
        <v>1</v>
      </c>
      <c r="M651" s="9">
        <v>2</v>
      </c>
      <c r="N651" s="186">
        <f t="shared" si="41"/>
        <v>0.37356464144298934</v>
      </c>
      <c r="O651" s="160">
        <f t="shared" si="42"/>
        <v>0.37356464144298934</v>
      </c>
      <c r="P651" s="63"/>
    </row>
    <row r="652" spans="1:16" hidden="1">
      <c r="A652" s="152" t="s">
        <v>39</v>
      </c>
      <c r="B652" s="34" t="s">
        <v>250</v>
      </c>
      <c r="C652" s="40" t="s">
        <v>147</v>
      </c>
      <c r="D652" s="34" t="s">
        <v>96</v>
      </c>
      <c r="E652" s="260">
        <v>0.15479999999999999</v>
      </c>
      <c r="F652" s="235">
        <v>1</v>
      </c>
      <c r="G652" s="40" t="s">
        <v>148</v>
      </c>
      <c r="H652" s="29">
        <v>2</v>
      </c>
      <c r="I652" s="9">
        <v>2</v>
      </c>
      <c r="J652" s="9">
        <v>2</v>
      </c>
      <c r="K652" s="9">
        <v>1</v>
      </c>
      <c r="L652" s="9">
        <v>1</v>
      </c>
      <c r="M652" s="9">
        <v>2</v>
      </c>
      <c r="N652" s="186">
        <f t="shared" si="41"/>
        <v>0.37356464144298934</v>
      </c>
      <c r="O652" s="160">
        <f t="shared" si="42"/>
        <v>0.37356464144298934</v>
      </c>
      <c r="P652" s="63"/>
    </row>
    <row r="653" spans="1:16" hidden="1">
      <c r="A653" s="152" t="s">
        <v>39</v>
      </c>
      <c r="B653" s="34" t="s">
        <v>250</v>
      </c>
      <c r="C653" s="40" t="s">
        <v>147</v>
      </c>
      <c r="D653" s="34" t="s">
        <v>97</v>
      </c>
      <c r="E653" s="260">
        <v>1</v>
      </c>
      <c r="F653" s="235">
        <v>1</v>
      </c>
      <c r="G653" s="40" t="s">
        <v>148</v>
      </c>
      <c r="H653" s="29"/>
      <c r="I653" s="9"/>
      <c r="J653" s="9"/>
      <c r="K653" s="9"/>
      <c r="L653" s="9"/>
      <c r="M653" s="9"/>
      <c r="N653" s="186" t="str">
        <f t="shared" si="41"/>
        <v/>
      </c>
      <c r="O653" s="160" t="str">
        <f t="shared" si="42"/>
        <v/>
      </c>
      <c r="P653" s="63"/>
    </row>
    <row r="654" spans="1:16" hidden="1">
      <c r="A654" s="152" t="s">
        <v>39</v>
      </c>
      <c r="B654" s="34" t="s">
        <v>250</v>
      </c>
      <c r="C654" s="40" t="s">
        <v>147</v>
      </c>
      <c r="D654" s="34" t="s">
        <v>98</v>
      </c>
      <c r="E654" s="260">
        <v>0.375</v>
      </c>
      <c r="F654" s="235">
        <v>1</v>
      </c>
      <c r="G654" s="40" t="s">
        <v>148</v>
      </c>
      <c r="H654" s="29">
        <v>2</v>
      </c>
      <c r="I654" s="9">
        <v>2</v>
      </c>
      <c r="J654" s="9">
        <v>2</v>
      </c>
      <c r="K654" s="9">
        <v>1</v>
      </c>
      <c r="L654" s="9">
        <v>1</v>
      </c>
      <c r="M654" s="9">
        <v>2</v>
      </c>
      <c r="N654" s="186">
        <f t="shared" si="41"/>
        <v>0.37356464144298934</v>
      </c>
      <c r="O654" s="160">
        <f t="shared" si="42"/>
        <v>0.37356464144298934</v>
      </c>
      <c r="P654" s="63"/>
    </row>
    <row r="655" spans="1:16" hidden="1">
      <c r="A655" s="152" t="s">
        <v>39</v>
      </c>
      <c r="B655" s="34" t="s">
        <v>250</v>
      </c>
      <c r="C655" s="40" t="s">
        <v>147</v>
      </c>
      <c r="D655" s="34" t="s">
        <v>99</v>
      </c>
      <c r="E655" s="260">
        <v>5.9700000000000003E-2</v>
      </c>
      <c r="F655" s="235">
        <v>1</v>
      </c>
      <c r="G655" s="40" t="s">
        <v>148</v>
      </c>
      <c r="H655" s="29">
        <v>2</v>
      </c>
      <c r="I655" s="9">
        <v>2</v>
      </c>
      <c r="J655" s="9">
        <v>2</v>
      </c>
      <c r="K655" s="9">
        <v>1</v>
      </c>
      <c r="L655" s="9">
        <v>1</v>
      </c>
      <c r="M655" s="9">
        <v>2</v>
      </c>
      <c r="N655" s="186">
        <f t="shared" si="41"/>
        <v>0.37356464144298934</v>
      </c>
      <c r="O655" s="160">
        <f t="shared" si="42"/>
        <v>0.37356464144298934</v>
      </c>
      <c r="P655" s="63"/>
    </row>
    <row r="656" spans="1:16" hidden="1">
      <c r="A656" s="152" t="s">
        <v>39</v>
      </c>
      <c r="B656" s="34" t="s">
        <v>250</v>
      </c>
      <c r="C656" s="40" t="s">
        <v>147</v>
      </c>
      <c r="D656" s="34" t="s">
        <v>106</v>
      </c>
      <c r="E656" s="260">
        <v>0.36860068259385664</v>
      </c>
      <c r="F656" s="235">
        <v>1</v>
      </c>
      <c r="G656" s="40" t="s">
        <v>149</v>
      </c>
      <c r="H656" s="29">
        <v>2</v>
      </c>
      <c r="I656" s="9">
        <v>1</v>
      </c>
      <c r="J656" s="9">
        <v>2</v>
      </c>
      <c r="K656" s="9">
        <v>2</v>
      </c>
      <c r="L656" s="9">
        <v>1</v>
      </c>
      <c r="M656" s="9">
        <v>2</v>
      </c>
      <c r="N656" s="186">
        <f t="shared" si="41"/>
        <v>0.38795788889711302</v>
      </c>
      <c r="O656" s="160">
        <f t="shared" si="42"/>
        <v>0.37356464144298934</v>
      </c>
      <c r="P656" s="63"/>
    </row>
    <row r="657" spans="1:16" hidden="1">
      <c r="A657" s="152" t="s">
        <v>130</v>
      </c>
      <c r="B657" s="34" t="s">
        <v>160</v>
      </c>
      <c r="C657" s="40" t="s">
        <v>147</v>
      </c>
      <c r="D657" s="34" t="s">
        <v>94</v>
      </c>
      <c r="E657" s="260">
        <v>0</v>
      </c>
      <c r="F657" s="235">
        <v>1</v>
      </c>
      <c r="G657" s="40"/>
      <c r="H657" s="29"/>
      <c r="I657" s="9"/>
      <c r="J657" s="9"/>
      <c r="K657" s="9"/>
      <c r="L657" s="9"/>
      <c r="M657" s="9"/>
      <c r="N657" s="186" t="str">
        <f t="shared" si="41"/>
        <v/>
      </c>
      <c r="O657" s="160" t="str">
        <f t="shared" si="42"/>
        <v/>
      </c>
      <c r="P657" s="63"/>
    </row>
    <row r="658" spans="1:16" hidden="1">
      <c r="A658" s="152" t="s">
        <v>130</v>
      </c>
      <c r="B658" s="34" t="s">
        <v>160</v>
      </c>
      <c r="C658" s="40" t="s">
        <v>147</v>
      </c>
      <c r="D658" s="34" t="s">
        <v>95</v>
      </c>
      <c r="E658" s="260">
        <v>0.14328135279788046</v>
      </c>
      <c r="F658" s="235">
        <v>1</v>
      </c>
      <c r="G658" s="40"/>
      <c r="H658" s="29">
        <v>3</v>
      </c>
      <c r="I658" s="9">
        <v>3</v>
      </c>
      <c r="J658" s="9">
        <v>2</v>
      </c>
      <c r="K658" s="9">
        <v>2</v>
      </c>
      <c r="L658" s="9">
        <v>1</v>
      </c>
      <c r="M658" s="9">
        <v>2</v>
      </c>
      <c r="N658" s="186">
        <f t="shared" si="41"/>
        <v>0.50042652380814845</v>
      </c>
      <c r="O658" s="160">
        <f t="shared" si="42"/>
        <v>0.50042652380814845</v>
      </c>
      <c r="P658" s="63"/>
    </row>
    <row r="659" spans="1:16" hidden="1">
      <c r="A659" s="152" t="s">
        <v>130</v>
      </c>
      <c r="B659" s="34" t="s">
        <v>160</v>
      </c>
      <c r="C659" s="40" t="s">
        <v>147</v>
      </c>
      <c r="D659" s="34" t="s">
        <v>96</v>
      </c>
      <c r="E659" s="260">
        <v>0</v>
      </c>
      <c r="F659" s="235">
        <v>1</v>
      </c>
      <c r="G659" s="40"/>
      <c r="H659" s="29"/>
      <c r="I659" s="9"/>
      <c r="J659" s="9"/>
      <c r="K659" s="9"/>
      <c r="L659" s="9"/>
      <c r="M659" s="9"/>
      <c r="N659" s="186" t="str">
        <f t="shared" si="41"/>
        <v/>
      </c>
      <c r="O659" s="160" t="str">
        <f t="shared" si="42"/>
        <v/>
      </c>
      <c r="P659" s="63"/>
    </row>
    <row r="660" spans="1:16" hidden="1">
      <c r="A660" s="152" t="s">
        <v>130</v>
      </c>
      <c r="B660" s="34" t="s">
        <v>160</v>
      </c>
      <c r="C660" s="40" t="s">
        <v>147</v>
      </c>
      <c r="D660" s="34" t="s">
        <v>97</v>
      </c>
      <c r="E660" s="260">
        <v>0</v>
      </c>
      <c r="F660" s="235">
        <v>1</v>
      </c>
      <c r="G660" s="40"/>
      <c r="H660" s="29"/>
      <c r="I660" s="9"/>
      <c r="J660" s="9"/>
      <c r="K660" s="9"/>
      <c r="L660" s="9"/>
      <c r="M660" s="9"/>
      <c r="N660" s="186" t="str">
        <f t="shared" si="41"/>
        <v/>
      </c>
      <c r="O660" s="160" t="str">
        <f t="shared" si="42"/>
        <v/>
      </c>
      <c r="P660" s="63"/>
    </row>
    <row r="661" spans="1:16" hidden="1">
      <c r="A661" s="152" t="s">
        <v>130</v>
      </c>
      <c r="B661" s="34" t="s">
        <v>160</v>
      </c>
      <c r="C661" s="40" t="s">
        <v>147</v>
      </c>
      <c r="D661" s="34" t="s">
        <v>98</v>
      </c>
      <c r="E661" s="260">
        <v>0</v>
      </c>
      <c r="F661" s="235">
        <v>1</v>
      </c>
      <c r="G661" s="40"/>
      <c r="H661" s="29"/>
      <c r="I661" s="9"/>
      <c r="J661" s="9"/>
      <c r="K661" s="9"/>
      <c r="L661" s="9"/>
      <c r="M661" s="9"/>
      <c r="N661" s="186" t="str">
        <f t="shared" si="41"/>
        <v/>
      </c>
      <c r="O661" s="160" t="str">
        <f t="shared" si="42"/>
        <v/>
      </c>
      <c r="P661" s="63"/>
    </row>
    <row r="662" spans="1:16" hidden="1">
      <c r="A662" s="152" t="s">
        <v>130</v>
      </c>
      <c r="B662" s="34" t="s">
        <v>160</v>
      </c>
      <c r="C662" s="40" t="s">
        <v>147</v>
      </c>
      <c r="D662" s="34" t="s">
        <v>99</v>
      </c>
      <c r="E662" s="260">
        <v>0.15050289033535363</v>
      </c>
      <c r="F662" s="235">
        <v>1</v>
      </c>
      <c r="G662" s="40"/>
      <c r="H662" s="29">
        <v>3</v>
      </c>
      <c r="I662" s="9">
        <v>3</v>
      </c>
      <c r="J662" s="9">
        <v>2</v>
      </c>
      <c r="K662" s="9">
        <v>2</v>
      </c>
      <c r="L662" s="9">
        <v>1</v>
      </c>
      <c r="M662" s="9">
        <v>2</v>
      </c>
      <c r="N662" s="186">
        <f t="shared" si="41"/>
        <v>0.50042652380814845</v>
      </c>
      <c r="O662" s="160">
        <f t="shared" si="42"/>
        <v>0.50042652380814845</v>
      </c>
      <c r="P662" s="63"/>
    </row>
    <row r="663" spans="1:16" hidden="1">
      <c r="A663" s="152" t="s">
        <v>130</v>
      </c>
      <c r="B663" s="34" t="s">
        <v>160</v>
      </c>
      <c r="C663" s="40" t="s">
        <v>147</v>
      </c>
      <c r="D663" s="34" t="s">
        <v>103</v>
      </c>
      <c r="E663" s="260">
        <v>0.11589508747504616</v>
      </c>
      <c r="F663" s="235">
        <v>1</v>
      </c>
      <c r="G663" s="40"/>
      <c r="H663" s="29">
        <v>3</v>
      </c>
      <c r="I663" s="9">
        <v>4</v>
      </c>
      <c r="J663" s="9">
        <v>2</v>
      </c>
      <c r="K663" s="9">
        <v>2</v>
      </c>
      <c r="L663" s="9">
        <v>1</v>
      </c>
      <c r="M663" s="9">
        <v>2</v>
      </c>
      <c r="N663" s="186">
        <f t="shared" si="41"/>
        <v>0.50042652380814845</v>
      </c>
      <c r="O663" s="160">
        <f t="shared" si="42"/>
        <v>1.0776024280428556</v>
      </c>
      <c r="P663" s="63"/>
    </row>
    <row r="664" spans="1:16" hidden="1">
      <c r="A664" s="152" t="s">
        <v>130</v>
      </c>
      <c r="B664" s="34" t="s">
        <v>160</v>
      </c>
      <c r="C664" s="40" t="s">
        <v>147</v>
      </c>
      <c r="D664" s="34" t="s">
        <v>107</v>
      </c>
      <c r="E664" s="260">
        <v>0</v>
      </c>
      <c r="F664" s="235">
        <v>1</v>
      </c>
      <c r="G664" s="40"/>
      <c r="H664" s="29"/>
      <c r="I664" s="9"/>
      <c r="J664" s="9"/>
      <c r="K664" s="9"/>
      <c r="L664" s="9"/>
      <c r="M664" s="9"/>
      <c r="N664" s="186" t="str">
        <f t="shared" si="41"/>
        <v/>
      </c>
      <c r="O664" s="160" t="str">
        <f t="shared" si="42"/>
        <v/>
      </c>
      <c r="P664" s="63"/>
    </row>
    <row r="665" spans="1:16" hidden="1">
      <c r="A665" s="152" t="s">
        <v>130</v>
      </c>
      <c r="B665" s="34" t="s">
        <v>178</v>
      </c>
      <c r="C665" s="40" t="s">
        <v>147</v>
      </c>
      <c r="D665" s="34" t="s">
        <v>93</v>
      </c>
      <c r="E665" s="260">
        <v>0</v>
      </c>
      <c r="F665" s="235">
        <v>1</v>
      </c>
      <c r="G665" s="40"/>
      <c r="H665" s="29"/>
      <c r="I665" s="9"/>
      <c r="J665" s="9"/>
      <c r="K665" s="9"/>
      <c r="L665" s="9"/>
      <c r="M665" s="9"/>
      <c r="N665" s="186" t="str">
        <f t="shared" si="41"/>
        <v/>
      </c>
      <c r="O665" s="160" t="str">
        <f t="shared" si="42"/>
        <v/>
      </c>
      <c r="P665" s="63"/>
    </row>
    <row r="666" spans="1:16" hidden="1">
      <c r="A666" s="152" t="s">
        <v>241</v>
      </c>
      <c r="B666" s="34" t="s">
        <v>244</v>
      </c>
      <c r="C666" s="40" t="s">
        <v>147</v>
      </c>
      <c r="D666" s="34" t="s">
        <v>147</v>
      </c>
      <c r="E666" s="260">
        <v>0.52205999999999997</v>
      </c>
      <c r="F666" s="235">
        <v>2</v>
      </c>
      <c r="G666" s="40" t="s">
        <v>383</v>
      </c>
      <c r="H666" s="29">
        <v>3</v>
      </c>
      <c r="I666" s="9"/>
      <c r="J666" s="9">
        <v>3</v>
      </c>
      <c r="K666" s="9">
        <v>3</v>
      </c>
      <c r="L666" s="9">
        <v>3</v>
      </c>
      <c r="M666" s="9">
        <v>3</v>
      </c>
      <c r="N666" s="186">
        <f t="shared" si="41"/>
        <v>1.2132328390150593</v>
      </c>
      <c r="O666" s="160" t="str">
        <f t="shared" si="42"/>
        <v/>
      </c>
      <c r="P666" s="63" t="s">
        <v>384</v>
      </c>
    </row>
    <row r="667" spans="1:16" hidden="1">
      <c r="A667" s="152" t="s">
        <v>241</v>
      </c>
      <c r="B667" s="34" t="s">
        <v>244</v>
      </c>
      <c r="C667" s="40" t="s">
        <v>147</v>
      </c>
      <c r="D667" s="34" t="s">
        <v>147</v>
      </c>
      <c r="E667" s="260">
        <v>0.19137000000000001</v>
      </c>
      <c r="F667" s="235">
        <v>2</v>
      </c>
      <c r="G667" s="40" t="s">
        <v>383</v>
      </c>
      <c r="H667" s="29">
        <v>3</v>
      </c>
      <c r="I667" s="9"/>
      <c r="J667" s="9">
        <v>3</v>
      </c>
      <c r="K667" s="9">
        <v>3</v>
      </c>
      <c r="L667" s="9">
        <v>3</v>
      </c>
      <c r="M667" s="9">
        <v>3</v>
      </c>
      <c r="N667" s="186">
        <f t="shared" si="41"/>
        <v>1.2132328390150593</v>
      </c>
      <c r="O667" s="160" t="str">
        <f t="shared" si="42"/>
        <v/>
      </c>
      <c r="P667" s="63" t="s">
        <v>385</v>
      </c>
    </row>
    <row r="668" spans="1:16" hidden="1">
      <c r="A668" s="152" t="s">
        <v>241</v>
      </c>
      <c r="B668" s="34" t="s">
        <v>244</v>
      </c>
      <c r="C668" s="40" t="s">
        <v>147</v>
      </c>
      <c r="D668" s="34" t="s">
        <v>147</v>
      </c>
      <c r="E668" s="260">
        <v>0.11433</v>
      </c>
      <c r="F668" s="235">
        <v>2</v>
      </c>
      <c r="G668" s="40" t="s">
        <v>383</v>
      </c>
      <c r="H668" s="29">
        <v>3</v>
      </c>
      <c r="I668" s="9"/>
      <c r="J668" s="9">
        <v>3</v>
      </c>
      <c r="K668" s="9">
        <v>3</v>
      </c>
      <c r="L668" s="9">
        <v>3</v>
      </c>
      <c r="M668" s="9">
        <v>3</v>
      </c>
      <c r="N668" s="186">
        <f t="shared" si="41"/>
        <v>1.2132328390150593</v>
      </c>
      <c r="O668" s="160" t="str">
        <f t="shared" si="42"/>
        <v/>
      </c>
      <c r="P668" s="63" t="s">
        <v>386</v>
      </c>
    </row>
    <row r="669" spans="1:16" hidden="1">
      <c r="A669" s="152" t="s">
        <v>241</v>
      </c>
      <c r="B669" s="34" t="s">
        <v>244</v>
      </c>
      <c r="C669" s="40" t="s">
        <v>147</v>
      </c>
      <c r="D669" s="34" t="s">
        <v>147</v>
      </c>
      <c r="E669" s="260">
        <v>0.25267000000000001</v>
      </c>
      <c r="F669" s="235">
        <v>2</v>
      </c>
      <c r="G669" s="40" t="s">
        <v>383</v>
      </c>
      <c r="H669" s="29">
        <v>3</v>
      </c>
      <c r="I669" s="9"/>
      <c r="J669" s="9">
        <v>3</v>
      </c>
      <c r="K669" s="9">
        <v>3</v>
      </c>
      <c r="L669" s="9">
        <v>3</v>
      </c>
      <c r="M669" s="9">
        <v>3</v>
      </c>
      <c r="N669" s="186">
        <f t="shared" si="41"/>
        <v>1.2132328390150593</v>
      </c>
      <c r="O669" s="160" t="str">
        <f t="shared" si="42"/>
        <v/>
      </c>
      <c r="P669" s="63" t="s">
        <v>387</v>
      </c>
    </row>
    <row r="670" spans="1:16" hidden="1">
      <c r="A670" s="152" t="s">
        <v>280</v>
      </c>
      <c r="B670" s="34" t="s">
        <v>311</v>
      </c>
      <c r="C670" s="40" t="s">
        <v>147</v>
      </c>
      <c r="D670" s="34" t="s">
        <v>147</v>
      </c>
      <c r="E670" s="871">
        <v>0.02</v>
      </c>
      <c r="F670" s="34">
        <v>2</v>
      </c>
      <c r="G670" s="40" t="s">
        <v>312</v>
      </c>
      <c r="H670" s="29">
        <v>2</v>
      </c>
      <c r="I670" s="9">
        <v>2</v>
      </c>
      <c r="J670" s="9">
        <v>2</v>
      </c>
      <c r="K670" s="9">
        <v>2</v>
      </c>
      <c r="L670" s="9">
        <v>1</v>
      </c>
      <c r="M670" s="9">
        <v>1</v>
      </c>
      <c r="N670" s="186">
        <f t="shared" si="41"/>
        <v>0.2249354160293616</v>
      </c>
      <c r="O670" s="160">
        <f t="shared" si="42"/>
        <v>0.2249354160293616</v>
      </c>
      <c r="P670" s="858"/>
    </row>
    <row r="671" spans="1:16" hidden="1">
      <c r="A671" s="152" t="s">
        <v>285</v>
      </c>
      <c r="B671" s="34" t="s">
        <v>388</v>
      </c>
      <c r="C671" s="40" t="s">
        <v>147</v>
      </c>
      <c r="D671" s="34" t="s">
        <v>147</v>
      </c>
      <c r="E671" s="871">
        <v>0.9</v>
      </c>
      <c r="F671" s="34">
        <v>1</v>
      </c>
      <c r="G671" s="40" t="s">
        <v>389</v>
      </c>
      <c r="H671" s="29">
        <v>1</v>
      </c>
      <c r="I671" s="9">
        <v>3</v>
      </c>
      <c r="J671" s="9">
        <v>2</v>
      </c>
      <c r="K671" s="9">
        <v>1</v>
      </c>
      <c r="L671" s="9">
        <v>1</v>
      </c>
      <c r="M671" s="9">
        <v>2</v>
      </c>
      <c r="N671" s="186">
        <f t="shared" si="41"/>
        <v>0.35859414261160716</v>
      </c>
      <c r="O671" s="160">
        <f t="shared" si="42"/>
        <v>0.48935255543384243</v>
      </c>
      <c r="P671" s="858"/>
    </row>
    <row r="672" spans="1:16" hidden="1">
      <c r="A672" s="152" t="s">
        <v>285</v>
      </c>
      <c r="B672" s="34" t="s">
        <v>271</v>
      </c>
      <c r="C672" s="40" t="s">
        <v>147</v>
      </c>
      <c r="D672" s="34" t="s">
        <v>147</v>
      </c>
      <c r="E672" s="871">
        <v>0.1</v>
      </c>
      <c r="F672" s="34">
        <v>1</v>
      </c>
      <c r="G672" s="40" t="s">
        <v>389</v>
      </c>
      <c r="H672" s="29">
        <v>1</v>
      </c>
      <c r="I672" s="9">
        <v>3</v>
      </c>
      <c r="J672" s="9">
        <v>2</v>
      </c>
      <c r="K672" s="9">
        <v>1</v>
      </c>
      <c r="L672" s="9">
        <v>1</v>
      </c>
      <c r="M672" s="9">
        <v>2</v>
      </c>
      <c r="N672" s="186">
        <f t="shared" si="41"/>
        <v>0.35859414261160716</v>
      </c>
      <c r="O672" s="160">
        <f t="shared" si="42"/>
        <v>0.48935255543384243</v>
      </c>
      <c r="P672" s="858"/>
    </row>
    <row r="673" spans="1:16" hidden="1">
      <c r="A673" s="152" t="s">
        <v>281</v>
      </c>
      <c r="B673" s="34" t="s">
        <v>390</v>
      </c>
      <c r="C673" s="40" t="s">
        <v>147</v>
      </c>
      <c r="D673" s="34" t="s">
        <v>147</v>
      </c>
      <c r="E673" s="871" t="s">
        <v>158</v>
      </c>
      <c r="F673" s="34">
        <v>1</v>
      </c>
      <c r="G673" s="40"/>
      <c r="H673" s="29"/>
      <c r="I673" s="9"/>
      <c r="J673" s="9"/>
      <c r="K673" s="9"/>
      <c r="L673" s="9"/>
      <c r="M673" s="9"/>
      <c r="N673" s="186" t="str">
        <f t="shared" si="41"/>
        <v/>
      </c>
      <c r="O673" s="160" t="str">
        <f t="shared" si="42"/>
        <v/>
      </c>
      <c r="P673" s="858"/>
    </row>
    <row r="674" spans="1:16" hidden="1">
      <c r="A674" s="152" t="s">
        <v>281</v>
      </c>
      <c r="B674" s="34" t="s">
        <v>244</v>
      </c>
      <c r="C674" s="40" t="s">
        <v>147</v>
      </c>
      <c r="D674" s="34" t="s">
        <v>147</v>
      </c>
      <c r="E674" s="871">
        <v>0.05</v>
      </c>
      <c r="F674" s="34">
        <v>2</v>
      </c>
      <c r="G674" s="40" t="s">
        <v>286</v>
      </c>
      <c r="H674" s="29">
        <v>1</v>
      </c>
      <c r="I674" s="9">
        <v>2</v>
      </c>
      <c r="J674" s="9">
        <v>1</v>
      </c>
      <c r="K674" s="9">
        <v>1</v>
      </c>
      <c r="L674" s="9">
        <v>2</v>
      </c>
      <c r="M674" s="9">
        <v>3</v>
      </c>
      <c r="N674" s="186">
        <f t="shared" si="41"/>
        <v>1.0195048044558224</v>
      </c>
      <c r="O674" s="160">
        <f t="shared" si="42"/>
        <v>1.0248662490928169</v>
      </c>
      <c r="P674" s="858"/>
    </row>
    <row r="675" spans="1:16" hidden="1">
      <c r="A675" s="152" t="s">
        <v>281</v>
      </c>
      <c r="B675" s="34" t="s">
        <v>244</v>
      </c>
      <c r="C675" s="40" t="s">
        <v>147</v>
      </c>
      <c r="D675" s="34" t="s">
        <v>147</v>
      </c>
      <c r="E675" s="871">
        <v>0.1</v>
      </c>
      <c r="F675" s="34">
        <v>2</v>
      </c>
      <c r="G675" s="872" t="s">
        <v>287</v>
      </c>
      <c r="H675" s="29">
        <v>1</v>
      </c>
      <c r="I675" s="9">
        <v>2</v>
      </c>
      <c r="J675" s="9">
        <v>2</v>
      </c>
      <c r="K675" s="9">
        <v>1</v>
      </c>
      <c r="L675" s="9">
        <v>2</v>
      </c>
      <c r="M675" s="9">
        <v>3</v>
      </c>
      <c r="N675" s="186">
        <f t="shared" si="41"/>
        <v>1.0248662490928169</v>
      </c>
      <c r="O675" s="160">
        <f t="shared" si="42"/>
        <v>1.0301997916669636</v>
      </c>
      <c r="P675" s="858"/>
    </row>
    <row r="676" spans="1:16" hidden="1">
      <c r="A676" s="152" t="s">
        <v>281</v>
      </c>
      <c r="B676" s="34" t="s">
        <v>311</v>
      </c>
      <c r="C676" s="40" t="s">
        <v>147</v>
      </c>
      <c r="D676" s="34" t="s">
        <v>147</v>
      </c>
      <c r="E676" s="871">
        <v>0.8</v>
      </c>
      <c r="F676" s="34">
        <v>2</v>
      </c>
      <c r="G676" s="40" t="s">
        <v>391</v>
      </c>
      <c r="H676" s="29">
        <v>1</v>
      </c>
      <c r="I676" s="9">
        <v>2</v>
      </c>
      <c r="J676" s="9">
        <v>1</v>
      </c>
      <c r="K676" s="9">
        <v>1</v>
      </c>
      <c r="L676" s="9">
        <v>3</v>
      </c>
      <c r="M676" s="9">
        <v>3</v>
      </c>
      <c r="N676" s="186">
        <f t="shared" si="41"/>
        <v>1.0673825127299523</v>
      </c>
      <c r="O676" s="160">
        <f t="shared" si="42"/>
        <v>1.0725046436742278</v>
      </c>
      <c r="P676" s="858"/>
    </row>
    <row r="677" spans="1:16" hidden="1">
      <c r="A677" s="152" t="s">
        <v>281</v>
      </c>
      <c r="B677" s="34" t="s">
        <v>311</v>
      </c>
      <c r="C677" s="40" t="s">
        <v>147</v>
      </c>
      <c r="D677" s="34" t="s">
        <v>147</v>
      </c>
      <c r="E677" s="871">
        <v>0.9</v>
      </c>
      <c r="F677" s="34">
        <v>2</v>
      </c>
      <c r="G677" s="40" t="s">
        <v>389</v>
      </c>
      <c r="H677" s="29">
        <v>1</v>
      </c>
      <c r="I677" s="9">
        <v>2</v>
      </c>
      <c r="J677" s="9">
        <v>1</v>
      </c>
      <c r="K677" s="9">
        <v>1</v>
      </c>
      <c r="L677" s="9">
        <v>3</v>
      </c>
      <c r="M677" s="9">
        <v>3</v>
      </c>
      <c r="N677" s="186">
        <f t="shared" si="41"/>
        <v>1.0673825127299523</v>
      </c>
      <c r="O677" s="160">
        <f t="shared" si="42"/>
        <v>1.0725046436742278</v>
      </c>
      <c r="P677" s="858"/>
    </row>
    <row r="678" spans="1:16" hidden="1">
      <c r="A678" s="152" t="s">
        <v>209</v>
      </c>
      <c r="B678" s="34" t="s">
        <v>244</v>
      </c>
      <c r="C678" s="40" t="s">
        <v>147</v>
      </c>
      <c r="D678" s="34" t="s">
        <v>147</v>
      </c>
      <c r="E678" s="260" t="s">
        <v>158</v>
      </c>
      <c r="F678" s="235">
        <v>1</v>
      </c>
      <c r="G678" s="40" t="s">
        <v>171</v>
      </c>
      <c r="H678" s="29"/>
      <c r="I678" s="9"/>
      <c r="J678" s="9"/>
      <c r="K678" s="9"/>
      <c r="L678" s="9"/>
      <c r="M678" s="9"/>
      <c r="N678" s="186" t="str">
        <f t="shared" si="41"/>
        <v/>
      </c>
      <c r="O678" s="160" t="str">
        <f t="shared" si="42"/>
        <v/>
      </c>
      <c r="P678" s="63"/>
    </row>
    <row r="679" spans="1:16" hidden="1">
      <c r="A679" s="152" t="s">
        <v>130</v>
      </c>
      <c r="B679" s="34" t="s">
        <v>178</v>
      </c>
      <c r="C679" s="40" t="s">
        <v>147</v>
      </c>
      <c r="D679" s="34" t="s">
        <v>94</v>
      </c>
      <c r="E679" s="260">
        <v>0</v>
      </c>
      <c r="F679" s="235">
        <v>1</v>
      </c>
      <c r="G679" s="40"/>
      <c r="H679" s="29"/>
      <c r="I679" s="9"/>
      <c r="J679" s="9"/>
      <c r="K679" s="9"/>
      <c r="L679" s="9"/>
      <c r="M679" s="9"/>
      <c r="N679" s="186" t="str">
        <f t="shared" si="41"/>
        <v/>
      </c>
      <c r="O679" s="160" t="str">
        <f t="shared" si="42"/>
        <v/>
      </c>
      <c r="P679" s="63"/>
    </row>
    <row r="680" spans="1:16" hidden="1">
      <c r="A680" s="292" t="s">
        <v>370</v>
      </c>
      <c r="B680" s="55" t="s">
        <v>244</v>
      </c>
      <c r="C680" s="265" t="s">
        <v>147</v>
      </c>
      <c r="D680" s="55" t="s">
        <v>147</v>
      </c>
      <c r="E680" s="260">
        <v>3.8461538461538457E-2</v>
      </c>
      <c r="F680" s="235">
        <v>2</v>
      </c>
      <c r="G680" s="265" t="s">
        <v>171</v>
      </c>
      <c r="H680" s="29">
        <v>2</v>
      </c>
      <c r="I680" s="9">
        <v>2</v>
      </c>
      <c r="J680" s="9">
        <v>2</v>
      </c>
      <c r="K680" s="9">
        <v>2</v>
      </c>
      <c r="L680" s="9">
        <v>2</v>
      </c>
      <c r="M680" s="9">
        <v>2</v>
      </c>
      <c r="N680" s="186">
        <f t="shared" si="41"/>
        <v>0.40183591897512122</v>
      </c>
      <c r="O680" s="160">
        <f t="shared" si="42"/>
        <v>0.40183591897512122</v>
      </c>
      <c r="P680" s="63" t="s">
        <v>367</v>
      </c>
    </row>
    <row r="681" spans="1:16" hidden="1">
      <c r="A681" s="292" t="s">
        <v>370</v>
      </c>
      <c r="B681" s="55" t="s">
        <v>244</v>
      </c>
      <c r="C681" s="265" t="s">
        <v>147</v>
      </c>
      <c r="D681" s="55" t="s">
        <v>147</v>
      </c>
      <c r="E681" s="260">
        <v>0.4623655913978495</v>
      </c>
      <c r="F681" s="235">
        <v>2</v>
      </c>
      <c r="G681" s="265" t="s">
        <v>171</v>
      </c>
      <c r="H681" s="29">
        <v>2</v>
      </c>
      <c r="I681" s="9">
        <v>2</v>
      </c>
      <c r="J681" s="9">
        <v>2</v>
      </c>
      <c r="K681" s="9">
        <v>2</v>
      </c>
      <c r="L681" s="9">
        <v>2</v>
      </c>
      <c r="M681" s="9">
        <v>2</v>
      </c>
      <c r="N681" s="186">
        <f t="shared" si="41"/>
        <v>0.40183591897512122</v>
      </c>
      <c r="O681" s="160">
        <f t="shared" si="42"/>
        <v>0.40183591897512122</v>
      </c>
      <c r="P681" s="63" t="s">
        <v>368</v>
      </c>
    </row>
    <row r="682" spans="1:16" hidden="1">
      <c r="A682" s="152" t="s">
        <v>213</v>
      </c>
      <c r="B682" s="34" t="s">
        <v>257</v>
      </c>
      <c r="C682" s="40" t="s">
        <v>147</v>
      </c>
      <c r="D682" s="34" t="s">
        <v>147</v>
      </c>
      <c r="E682" s="260">
        <v>2.1505376344086021E-3</v>
      </c>
      <c r="F682" s="235">
        <v>1</v>
      </c>
      <c r="G682" s="40" t="s">
        <v>153</v>
      </c>
      <c r="H682" s="29">
        <v>2</v>
      </c>
      <c r="I682" s="9">
        <v>2</v>
      </c>
      <c r="J682" s="9">
        <v>2</v>
      </c>
      <c r="K682" s="9">
        <v>3</v>
      </c>
      <c r="L682" s="9">
        <v>1</v>
      </c>
      <c r="M682" s="9">
        <v>2</v>
      </c>
      <c r="N682" s="186">
        <f t="shared" si="41"/>
        <v>0.50042652380814845</v>
      </c>
      <c r="O682" s="160">
        <f t="shared" si="42"/>
        <v>0.50042652380814845</v>
      </c>
      <c r="P682" s="63" t="s">
        <v>392</v>
      </c>
    </row>
    <row r="683" spans="1:16" hidden="1">
      <c r="A683" s="152" t="s">
        <v>214</v>
      </c>
      <c r="B683" s="34" t="s">
        <v>257</v>
      </c>
      <c r="C683" s="40" t="s">
        <v>147</v>
      </c>
      <c r="D683" s="34" t="s">
        <v>93</v>
      </c>
      <c r="E683" s="260">
        <v>1.075268817204301E-2</v>
      </c>
      <c r="F683" s="235">
        <v>1</v>
      </c>
      <c r="G683" s="40" t="s">
        <v>153</v>
      </c>
      <c r="H683" s="29">
        <v>2</v>
      </c>
      <c r="I683" s="9">
        <v>2</v>
      </c>
      <c r="J683" s="9">
        <v>2</v>
      </c>
      <c r="K683" s="9">
        <v>3</v>
      </c>
      <c r="L683" s="9">
        <v>1</v>
      </c>
      <c r="M683" s="9">
        <v>2</v>
      </c>
      <c r="N683" s="186">
        <f t="shared" si="41"/>
        <v>0.50042652380814845</v>
      </c>
      <c r="O683" s="160">
        <f t="shared" si="42"/>
        <v>0.50042652380814845</v>
      </c>
      <c r="P683" s="63" t="s">
        <v>392</v>
      </c>
    </row>
    <row r="684" spans="1:16" hidden="1">
      <c r="A684" s="152" t="s">
        <v>214</v>
      </c>
      <c r="B684" s="34" t="s">
        <v>257</v>
      </c>
      <c r="C684" s="40" t="s">
        <v>147</v>
      </c>
      <c r="D684" s="34" t="s">
        <v>94</v>
      </c>
      <c r="E684" s="260">
        <v>0.5376344086021505</v>
      </c>
      <c r="F684" s="235">
        <v>1</v>
      </c>
      <c r="G684" s="40" t="s">
        <v>153</v>
      </c>
      <c r="H684" s="29">
        <v>2</v>
      </c>
      <c r="I684" s="9">
        <v>2</v>
      </c>
      <c r="J684" s="9">
        <v>2</v>
      </c>
      <c r="K684" s="9">
        <v>3</v>
      </c>
      <c r="L684" s="9">
        <v>1</v>
      </c>
      <c r="M684" s="9">
        <v>2</v>
      </c>
      <c r="N684" s="186">
        <f t="shared" si="41"/>
        <v>0.50042652380814845</v>
      </c>
      <c r="O684" s="160">
        <f t="shared" si="42"/>
        <v>0.50042652380814845</v>
      </c>
      <c r="P684" s="63" t="s">
        <v>392</v>
      </c>
    </row>
    <row r="685" spans="1:16" hidden="1">
      <c r="A685" s="152" t="s">
        <v>214</v>
      </c>
      <c r="B685" s="34" t="s">
        <v>257</v>
      </c>
      <c r="C685" s="40" t="s">
        <v>147</v>
      </c>
      <c r="D685" s="34" t="s">
        <v>95</v>
      </c>
      <c r="E685" s="260">
        <v>1.075268817204301E-2</v>
      </c>
      <c r="F685" s="235">
        <v>1</v>
      </c>
      <c r="G685" s="40" t="s">
        <v>153</v>
      </c>
      <c r="H685" s="29">
        <v>2</v>
      </c>
      <c r="I685" s="9">
        <v>2</v>
      </c>
      <c r="J685" s="9">
        <v>2</v>
      </c>
      <c r="K685" s="9">
        <v>3</v>
      </c>
      <c r="L685" s="9">
        <v>1</v>
      </c>
      <c r="M685" s="9">
        <v>2</v>
      </c>
      <c r="N685" s="186">
        <f t="shared" si="41"/>
        <v>0.50042652380814845</v>
      </c>
      <c r="O685" s="160">
        <f t="shared" si="42"/>
        <v>0.50042652380814845</v>
      </c>
      <c r="P685" s="63" t="s">
        <v>392</v>
      </c>
    </row>
    <row r="686" spans="1:16" hidden="1">
      <c r="A686" s="152" t="s">
        <v>214</v>
      </c>
      <c r="B686" s="34" t="s">
        <v>257</v>
      </c>
      <c r="C686" s="40" t="s">
        <v>147</v>
      </c>
      <c r="D686" s="34" t="s">
        <v>96</v>
      </c>
      <c r="E686" s="260">
        <v>1.075268817204301E-2</v>
      </c>
      <c r="F686" s="235">
        <v>1</v>
      </c>
      <c r="G686" s="40" t="s">
        <v>153</v>
      </c>
      <c r="H686" s="29">
        <v>2</v>
      </c>
      <c r="I686" s="9">
        <v>2</v>
      </c>
      <c r="J686" s="9">
        <v>2</v>
      </c>
      <c r="K686" s="9">
        <v>3</v>
      </c>
      <c r="L686" s="9">
        <v>1</v>
      </c>
      <c r="M686" s="9">
        <v>2</v>
      </c>
      <c r="N686" s="186">
        <f t="shared" si="41"/>
        <v>0.50042652380814845</v>
      </c>
      <c r="O686" s="160">
        <f t="shared" si="42"/>
        <v>0.50042652380814845</v>
      </c>
      <c r="P686" s="63" t="s">
        <v>392</v>
      </c>
    </row>
    <row r="687" spans="1:16" hidden="1">
      <c r="A687" s="152" t="s">
        <v>214</v>
      </c>
      <c r="B687" s="34" t="s">
        <v>257</v>
      </c>
      <c r="C687" s="40" t="s">
        <v>147</v>
      </c>
      <c r="D687" s="34" t="s">
        <v>97</v>
      </c>
      <c r="E687" s="260">
        <v>1.075268817204301E-2</v>
      </c>
      <c r="F687" s="235">
        <v>1</v>
      </c>
      <c r="G687" s="40" t="s">
        <v>153</v>
      </c>
      <c r="H687" s="29">
        <v>2</v>
      </c>
      <c r="I687" s="9">
        <v>2</v>
      </c>
      <c r="J687" s="9">
        <v>2</v>
      </c>
      <c r="K687" s="9">
        <v>3</v>
      </c>
      <c r="L687" s="9">
        <v>1</v>
      </c>
      <c r="M687" s="9">
        <v>2</v>
      </c>
      <c r="N687" s="186">
        <f t="shared" si="41"/>
        <v>0.50042652380814845</v>
      </c>
      <c r="O687" s="160">
        <f t="shared" si="42"/>
        <v>0.50042652380814845</v>
      </c>
      <c r="P687" s="63" t="s">
        <v>392</v>
      </c>
    </row>
    <row r="688" spans="1:16" hidden="1">
      <c r="A688" s="152" t="s">
        <v>214</v>
      </c>
      <c r="B688" s="34" t="s">
        <v>257</v>
      </c>
      <c r="C688" s="40" t="s">
        <v>147</v>
      </c>
      <c r="D688" s="34" t="s">
        <v>98</v>
      </c>
      <c r="E688" s="260">
        <v>1.075268817204301E-2</v>
      </c>
      <c r="F688" s="235">
        <v>1</v>
      </c>
      <c r="G688" s="40" t="s">
        <v>153</v>
      </c>
      <c r="H688" s="29">
        <v>2</v>
      </c>
      <c r="I688" s="9">
        <v>2</v>
      </c>
      <c r="J688" s="9">
        <v>2</v>
      </c>
      <c r="K688" s="9">
        <v>3</v>
      </c>
      <c r="L688" s="9">
        <v>1</v>
      </c>
      <c r="M688" s="9">
        <v>2</v>
      </c>
      <c r="N688" s="186">
        <f t="shared" si="41"/>
        <v>0.50042652380814845</v>
      </c>
      <c r="O688" s="160">
        <f t="shared" si="42"/>
        <v>0.50042652380814845</v>
      </c>
      <c r="P688" s="63" t="s">
        <v>392</v>
      </c>
    </row>
    <row r="689" spans="1:16" hidden="1">
      <c r="A689" s="152" t="s">
        <v>214</v>
      </c>
      <c r="B689" s="34" t="s">
        <v>257</v>
      </c>
      <c r="C689" s="40" t="s">
        <v>147</v>
      </c>
      <c r="D689" s="34" t="s">
        <v>99</v>
      </c>
      <c r="E689" s="260">
        <v>0.82</v>
      </c>
      <c r="F689" s="235">
        <v>1</v>
      </c>
      <c r="G689" s="40" t="s">
        <v>393</v>
      </c>
      <c r="H689" s="29">
        <v>2</v>
      </c>
      <c r="I689" s="9">
        <v>2</v>
      </c>
      <c r="J689" s="9">
        <v>1</v>
      </c>
      <c r="K689" s="9">
        <v>1</v>
      </c>
      <c r="L689" s="9">
        <v>1</v>
      </c>
      <c r="M689" s="9">
        <v>1</v>
      </c>
      <c r="N689" s="186">
        <f t="shared" si="41"/>
        <v>0.16933510251023262</v>
      </c>
      <c r="O689" s="160">
        <f t="shared" si="42"/>
        <v>0.16933510251023262</v>
      </c>
      <c r="P689" s="63"/>
    </row>
    <row r="690" spans="1:16" hidden="1">
      <c r="A690" s="152" t="s">
        <v>215</v>
      </c>
      <c r="B690" s="34" t="s">
        <v>257</v>
      </c>
      <c r="C690" s="40" t="s">
        <v>147</v>
      </c>
      <c r="D690" s="34" t="s">
        <v>147</v>
      </c>
      <c r="E690" s="260">
        <v>0</v>
      </c>
      <c r="F690" s="235">
        <v>1</v>
      </c>
      <c r="G690" s="40" t="s">
        <v>153</v>
      </c>
      <c r="H690" s="29"/>
      <c r="I690" s="9"/>
      <c r="J690" s="9"/>
      <c r="K690" s="9"/>
      <c r="L690" s="9"/>
      <c r="M690" s="9"/>
      <c r="N690" s="186" t="str">
        <f t="shared" si="41"/>
        <v/>
      </c>
      <c r="O690" s="160" t="str">
        <f t="shared" si="42"/>
        <v/>
      </c>
      <c r="P690" s="63"/>
    </row>
    <row r="691" spans="1:16" hidden="1">
      <c r="A691" s="152" t="s">
        <v>248</v>
      </c>
      <c r="B691" s="34" t="s">
        <v>257</v>
      </c>
      <c r="C691" s="40" t="s">
        <v>147</v>
      </c>
      <c r="D691" s="34" t="s">
        <v>147</v>
      </c>
      <c r="E691" s="260">
        <v>0.32258064516129031</v>
      </c>
      <c r="F691" s="235">
        <v>1</v>
      </c>
      <c r="G691" s="40" t="s">
        <v>153</v>
      </c>
      <c r="H691" s="29">
        <v>2</v>
      </c>
      <c r="I691" s="9">
        <v>2</v>
      </c>
      <c r="J691" s="9">
        <v>2</v>
      </c>
      <c r="K691" s="9">
        <v>3</v>
      </c>
      <c r="L691" s="9">
        <v>1</v>
      </c>
      <c r="M691" s="9">
        <v>2</v>
      </c>
      <c r="N691" s="186">
        <f t="shared" si="41"/>
        <v>0.50042652380814845</v>
      </c>
      <c r="O691" s="160">
        <f t="shared" si="42"/>
        <v>0.50042652380814845</v>
      </c>
      <c r="P691" s="63" t="s">
        <v>392</v>
      </c>
    </row>
    <row r="692" spans="1:16" hidden="1">
      <c r="A692" s="152" t="s">
        <v>216</v>
      </c>
      <c r="B692" s="34" t="s">
        <v>257</v>
      </c>
      <c r="C692" s="40" t="s">
        <v>147</v>
      </c>
      <c r="D692" s="34" t="s">
        <v>147</v>
      </c>
      <c r="E692" s="260">
        <v>1.075268817204301E-2</v>
      </c>
      <c r="F692" s="235">
        <v>1</v>
      </c>
      <c r="G692" s="40" t="s">
        <v>153</v>
      </c>
      <c r="H692" s="29">
        <v>2</v>
      </c>
      <c r="I692" s="9">
        <v>2</v>
      </c>
      <c r="J692" s="9">
        <v>2</v>
      </c>
      <c r="K692" s="9">
        <v>3</v>
      </c>
      <c r="L692" s="9">
        <v>1</v>
      </c>
      <c r="M692" s="9">
        <v>2</v>
      </c>
      <c r="N692" s="186">
        <f t="shared" si="41"/>
        <v>0.50042652380814845</v>
      </c>
      <c r="O692" s="160">
        <f t="shared" si="42"/>
        <v>0.50042652380814845</v>
      </c>
      <c r="P692" s="63" t="s">
        <v>392</v>
      </c>
    </row>
    <row r="693" spans="1:16" hidden="1">
      <c r="A693" s="152" t="s">
        <v>249</v>
      </c>
      <c r="B693" s="34" t="s">
        <v>257</v>
      </c>
      <c r="C693" s="40" t="s">
        <v>147</v>
      </c>
      <c r="D693" s="34" t="s">
        <v>147</v>
      </c>
      <c r="E693" s="260">
        <v>0.32258064516129031</v>
      </c>
      <c r="F693" s="235">
        <v>1</v>
      </c>
      <c r="G693" s="40" t="s">
        <v>153</v>
      </c>
      <c r="H693" s="29">
        <v>2</v>
      </c>
      <c r="I693" s="9">
        <v>2</v>
      </c>
      <c r="J693" s="9">
        <v>2</v>
      </c>
      <c r="K693" s="9">
        <v>3</v>
      </c>
      <c r="L693" s="9">
        <v>1</v>
      </c>
      <c r="M693" s="9">
        <v>2</v>
      </c>
      <c r="N693" s="186">
        <f t="shared" si="41"/>
        <v>0.50042652380814845</v>
      </c>
      <c r="O693" s="160">
        <f t="shared" si="42"/>
        <v>0.50042652380814845</v>
      </c>
      <c r="P693" s="63" t="s">
        <v>392</v>
      </c>
    </row>
    <row r="694" spans="1:16" hidden="1">
      <c r="A694" s="152" t="s">
        <v>250</v>
      </c>
      <c r="B694" s="34" t="s">
        <v>257</v>
      </c>
      <c r="C694" s="40" t="s">
        <v>147</v>
      </c>
      <c r="D694" s="34" t="s">
        <v>93</v>
      </c>
      <c r="E694" s="260">
        <v>6.4516129032258063E-2</v>
      </c>
      <c r="F694" s="235">
        <v>1</v>
      </c>
      <c r="G694" s="40" t="s">
        <v>153</v>
      </c>
      <c r="H694" s="29">
        <v>2</v>
      </c>
      <c r="I694" s="9">
        <v>2</v>
      </c>
      <c r="J694" s="9">
        <v>2</v>
      </c>
      <c r="K694" s="9">
        <v>3</v>
      </c>
      <c r="L694" s="9">
        <v>1</v>
      </c>
      <c r="M694" s="9">
        <v>2</v>
      </c>
      <c r="N694" s="186">
        <f t="shared" si="41"/>
        <v>0.50042652380814845</v>
      </c>
      <c r="O694" s="160">
        <f t="shared" si="42"/>
        <v>0.50042652380814845</v>
      </c>
      <c r="P694" s="63" t="s">
        <v>392</v>
      </c>
    </row>
    <row r="695" spans="1:16" hidden="1">
      <c r="A695" s="152" t="s">
        <v>250</v>
      </c>
      <c r="B695" s="34" t="s">
        <v>257</v>
      </c>
      <c r="C695" s="40" t="s">
        <v>147</v>
      </c>
      <c r="D695" s="34" t="s">
        <v>94</v>
      </c>
      <c r="E695" s="260">
        <v>6.4516129032258063E-2</v>
      </c>
      <c r="F695" s="235">
        <v>1</v>
      </c>
      <c r="G695" s="40" t="s">
        <v>153</v>
      </c>
      <c r="H695" s="29">
        <v>2</v>
      </c>
      <c r="I695" s="9">
        <v>2</v>
      </c>
      <c r="J695" s="9">
        <v>2</v>
      </c>
      <c r="K695" s="9">
        <v>3</v>
      </c>
      <c r="L695" s="9">
        <v>1</v>
      </c>
      <c r="M695" s="9">
        <v>2</v>
      </c>
      <c r="N695" s="186">
        <f t="shared" si="41"/>
        <v>0.50042652380814845</v>
      </c>
      <c r="O695" s="160">
        <f t="shared" si="42"/>
        <v>0.50042652380814845</v>
      </c>
      <c r="P695" s="63" t="s">
        <v>392</v>
      </c>
    </row>
    <row r="696" spans="1:16" hidden="1">
      <c r="A696" s="152" t="s">
        <v>250</v>
      </c>
      <c r="B696" s="34" t="s">
        <v>257</v>
      </c>
      <c r="C696" s="40" t="s">
        <v>147</v>
      </c>
      <c r="D696" s="34" t="s">
        <v>95</v>
      </c>
      <c r="E696" s="260">
        <v>6.4516129032258063E-2</v>
      </c>
      <c r="F696" s="235">
        <v>1</v>
      </c>
      <c r="G696" s="40" t="s">
        <v>153</v>
      </c>
      <c r="H696" s="29">
        <v>2</v>
      </c>
      <c r="I696" s="9">
        <v>2</v>
      </c>
      <c r="J696" s="9">
        <v>2</v>
      </c>
      <c r="K696" s="9">
        <v>3</v>
      </c>
      <c r="L696" s="9">
        <v>1</v>
      </c>
      <c r="M696" s="9">
        <v>2</v>
      </c>
      <c r="N696" s="186">
        <f t="shared" ref="N696:N759" si="43">IF( OR( ISBLANK(H696),ISBLANK(J696), ISBLANK(K696), ISBLANK(L696), ISBLANK(M696) ), "", 1.5*SQRT(   EXP(2.21*(H696-1)) + EXP(2.21*(J696-1)) + EXP(2.21*(K696-1)) + EXP(2.21*(L696-1)) + EXP(2.21*M696)   )/100*2.45 )</f>
        <v>0.50042652380814845</v>
      </c>
      <c r="O696" s="160">
        <f t="shared" ref="O696:O759" si="44">IF( OR( ISBLANK(I696),ISBLANK(J696), ISBLANK(K696), ISBLANK(L696), ISBLANK(M696) ), "", 1.5*SQRT( EXP(2.21*(I696-1)) + EXP(2.21*(J696-1)) + EXP(2.21*(K696-1)) + EXP(2.21*(L696-1)) + EXP(2.21*M696)   )/100*2.45 )</f>
        <v>0.50042652380814845</v>
      </c>
      <c r="P696" s="63" t="s">
        <v>392</v>
      </c>
    </row>
    <row r="697" spans="1:16" hidden="1">
      <c r="A697" s="152" t="s">
        <v>250</v>
      </c>
      <c r="B697" s="34" t="s">
        <v>257</v>
      </c>
      <c r="C697" s="40" t="s">
        <v>147</v>
      </c>
      <c r="D697" s="34" t="s">
        <v>96</v>
      </c>
      <c r="E697" s="260">
        <v>6.4516129032258063E-2</v>
      </c>
      <c r="F697" s="235">
        <v>1</v>
      </c>
      <c r="G697" s="40" t="s">
        <v>153</v>
      </c>
      <c r="H697" s="29">
        <v>2</v>
      </c>
      <c r="I697" s="9">
        <v>2</v>
      </c>
      <c r="J697" s="9">
        <v>2</v>
      </c>
      <c r="K697" s="9">
        <v>3</v>
      </c>
      <c r="L697" s="9">
        <v>1</v>
      </c>
      <c r="M697" s="9">
        <v>2</v>
      </c>
      <c r="N697" s="186">
        <f t="shared" si="43"/>
        <v>0.50042652380814845</v>
      </c>
      <c r="O697" s="160">
        <f t="shared" si="44"/>
        <v>0.50042652380814845</v>
      </c>
      <c r="P697" s="63" t="s">
        <v>392</v>
      </c>
    </row>
    <row r="698" spans="1:16" hidden="1">
      <c r="A698" s="152" t="s">
        <v>250</v>
      </c>
      <c r="B698" s="34" t="s">
        <v>257</v>
      </c>
      <c r="C698" s="40" t="s">
        <v>147</v>
      </c>
      <c r="D698" s="34" t="s">
        <v>97</v>
      </c>
      <c r="E698" s="260">
        <v>6.4516129032258063E-2</v>
      </c>
      <c r="F698" s="235">
        <v>1</v>
      </c>
      <c r="G698" s="40" t="s">
        <v>153</v>
      </c>
      <c r="H698" s="29">
        <v>2</v>
      </c>
      <c r="I698" s="9">
        <v>2</v>
      </c>
      <c r="J698" s="9">
        <v>2</v>
      </c>
      <c r="K698" s="9">
        <v>3</v>
      </c>
      <c r="L698" s="9">
        <v>1</v>
      </c>
      <c r="M698" s="9">
        <v>2</v>
      </c>
      <c r="N698" s="186">
        <f t="shared" si="43"/>
        <v>0.50042652380814845</v>
      </c>
      <c r="O698" s="160">
        <f t="shared" si="44"/>
        <v>0.50042652380814845</v>
      </c>
      <c r="P698" s="63" t="s">
        <v>392</v>
      </c>
    </row>
    <row r="699" spans="1:16" hidden="1">
      <c r="A699" s="152" t="s">
        <v>250</v>
      </c>
      <c r="B699" s="34" t="s">
        <v>257</v>
      </c>
      <c r="C699" s="40" t="s">
        <v>147</v>
      </c>
      <c r="D699" s="34" t="s">
        <v>98</v>
      </c>
      <c r="E699" s="260">
        <v>6.4516129032258063E-2</v>
      </c>
      <c r="F699" s="235">
        <v>1</v>
      </c>
      <c r="G699" s="40" t="s">
        <v>153</v>
      </c>
      <c r="H699" s="29">
        <v>2</v>
      </c>
      <c r="I699" s="9">
        <v>2</v>
      </c>
      <c r="J699" s="9">
        <v>2</v>
      </c>
      <c r="K699" s="9">
        <v>3</v>
      </c>
      <c r="L699" s="9">
        <v>1</v>
      </c>
      <c r="M699" s="9">
        <v>2</v>
      </c>
      <c r="N699" s="186">
        <f t="shared" si="43"/>
        <v>0.50042652380814845</v>
      </c>
      <c r="O699" s="160">
        <f t="shared" si="44"/>
        <v>0.50042652380814845</v>
      </c>
      <c r="P699" s="63" t="s">
        <v>392</v>
      </c>
    </row>
    <row r="700" spans="1:16" hidden="1">
      <c r="A700" s="152" t="s">
        <v>250</v>
      </c>
      <c r="B700" s="34" t="s">
        <v>257</v>
      </c>
      <c r="C700" s="40" t="s">
        <v>147</v>
      </c>
      <c r="D700" s="34" t="s">
        <v>99</v>
      </c>
      <c r="E700" s="260">
        <v>6.4516129032258063E-2</v>
      </c>
      <c r="F700" s="235">
        <v>1</v>
      </c>
      <c r="G700" s="40" t="s">
        <v>153</v>
      </c>
      <c r="H700" s="29">
        <v>2</v>
      </c>
      <c r="I700" s="9">
        <v>2</v>
      </c>
      <c r="J700" s="9">
        <v>2</v>
      </c>
      <c r="K700" s="9">
        <v>3</v>
      </c>
      <c r="L700" s="9">
        <v>1</v>
      </c>
      <c r="M700" s="9">
        <v>2</v>
      </c>
      <c r="N700" s="186">
        <f t="shared" si="43"/>
        <v>0.50042652380814845</v>
      </c>
      <c r="O700" s="160">
        <f t="shared" si="44"/>
        <v>0.50042652380814845</v>
      </c>
      <c r="P700" s="63" t="s">
        <v>392</v>
      </c>
    </row>
    <row r="701" spans="1:16" hidden="1">
      <c r="A701" s="152" t="s">
        <v>257</v>
      </c>
      <c r="B701" s="34" t="s">
        <v>293</v>
      </c>
      <c r="C701" s="40" t="s">
        <v>147</v>
      </c>
      <c r="D701" s="34" t="s">
        <v>147</v>
      </c>
      <c r="E701" s="260" t="s">
        <v>158</v>
      </c>
      <c r="F701" s="235">
        <v>1</v>
      </c>
      <c r="G701" s="40"/>
      <c r="H701" s="29"/>
      <c r="I701" s="9"/>
      <c r="J701" s="9"/>
      <c r="K701" s="9"/>
      <c r="L701" s="9"/>
      <c r="M701" s="9"/>
      <c r="N701" s="186" t="str">
        <f t="shared" si="43"/>
        <v/>
      </c>
      <c r="O701" s="160" t="str">
        <f t="shared" si="44"/>
        <v/>
      </c>
      <c r="P701" s="63"/>
    </row>
    <row r="702" spans="1:16" hidden="1">
      <c r="A702" s="152" t="s">
        <v>130</v>
      </c>
      <c r="B702" s="34" t="s">
        <v>178</v>
      </c>
      <c r="C702" s="40" t="s">
        <v>147</v>
      </c>
      <c r="D702" s="34" t="s">
        <v>95</v>
      </c>
      <c r="E702" s="260">
        <v>5.3557140062945638E-2</v>
      </c>
      <c r="F702" s="235">
        <v>1</v>
      </c>
      <c r="G702" s="40"/>
      <c r="H702" s="29">
        <v>3</v>
      </c>
      <c r="I702" s="9">
        <v>3</v>
      </c>
      <c r="J702" s="9">
        <v>2</v>
      </c>
      <c r="K702" s="9">
        <v>2</v>
      </c>
      <c r="L702" s="9">
        <v>1</v>
      </c>
      <c r="M702" s="9">
        <v>2</v>
      </c>
      <c r="N702" s="186">
        <f t="shared" si="43"/>
        <v>0.50042652380814845</v>
      </c>
      <c r="O702" s="160">
        <f t="shared" si="44"/>
        <v>0.50042652380814845</v>
      </c>
      <c r="P702" s="63"/>
    </row>
    <row r="703" spans="1:16" hidden="1">
      <c r="A703" s="152" t="s">
        <v>130</v>
      </c>
      <c r="B703" s="34" t="s">
        <v>178</v>
      </c>
      <c r="C703" s="40" t="s">
        <v>147</v>
      </c>
      <c r="D703" s="34" t="s">
        <v>96</v>
      </c>
      <c r="E703" s="260">
        <v>0</v>
      </c>
      <c r="F703" s="235">
        <v>1</v>
      </c>
      <c r="G703" s="40"/>
      <c r="H703" s="29"/>
      <c r="I703" s="9"/>
      <c r="J703" s="9"/>
      <c r="K703" s="9"/>
      <c r="L703" s="9"/>
      <c r="M703" s="9"/>
      <c r="N703" s="186" t="str">
        <f t="shared" si="43"/>
        <v/>
      </c>
      <c r="O703" s="160" t="str">
        <f t="shared" si="44"/>
        <v/>
      </c>
      <c r="P703" s="63"/>
    </row>
    <row r="704" spans="1:16" hidden="1">
      <c r="A704" s="152" t="s">
        <v>130</v>
      </c>
      <c r="B704" s="34" t="s">
        <v>178</v>
      </c>
      <c r="C704" s="40" t="s">
        <v>147</v>
      </c>
      <c r="D704" s="34" t="s">
        <v>97</v>
      </c>
      <c r="E704" s="260">
        <v>0</v>
      </c>
      <c r="F704" s="235">
        <v>1</v>
      </c>
      <c r="G704" s="40"/>
      <c r="H704" s="29"/>
      <c r="I704" s="9"/>
      <c r="J704" s="9"/>
      <c r="K704" s="9"/>
      <c r="L704" s="9"/>
      <c r="M704" s="9"/>
      <c r="N704" s="186" t="str">
        <f t="shared" si="43"/>
        <v/>
      </c>
      <c r="O704" s="160" t="str">
        <f t="shared" si="44"/>
        <v/>
      </c>
      <c r="P704" s="63"/>
    </row>
    <row r="705" spans="1:16" hidden="1">
      <c r="A705" s="152" t="s">
        <v>130</v>
      </c>
      <c r="B705" s="34" t="s">
        <v>178</v>
      </c>
      <c r="C705" s="40" t="s">
        <v>147</v>
      </c>
      <c r="D705" s="34" t="s">
        <v>98</v>
      </c>
      <c r="E705" s="260">
        <v>0</v>
      </c>
      <c r="F705" s="235">
        <v>1</v>
      </c>
      <c r="G705" s="40"/>
      <c r="H705" s="29"/>
      <c r="I705" s="9"/>
      <c r="J705" s="9"/>
      <c r="K705" s="9"/>
      <c r="L705" s="9"/>
      <c r="M705" s="9"/>
      <c r="N705" s="186" t="str">
        <f t="shared" si="43"/>
        <v/>
      </c>
      <c r="O705" s="160" t="str">
        <f t="shared" si="44"/>
        <v/>
      </c>
      <c r="P705" s="63"/>
    </row>
    <row r="706" spans="1:16" hidden="1">
      <c r="A706" s="152" t="s">
        <v>130</v>
      </c>
      <c r="B706" s="34" t="s">
        <v>178</v>
      </c>
      <c r="C706" s="40" t="s">
        <v>147</v>
      </c>
      <c r="D706" s="34" t="s">
        <v>99</v>
      </c>
      <c r="E706" s="260">
        <v>5.6256478740392787E-2</v>
      </c>
      <c r="F706" s="235">
        <v>1</v>
      </c>
      <c r="G706" s="40"/>
      <c r="H706" s="29">
        <v>3</v>
      </c>
      <c r="I706" s="9">
        <v>3</v>
      </c>
      <c r="J706" s="9">
        <v>2</v>
      </c>
      <c r="K706" s="9">
        <v>2</v>
      </c>
      <c r="L706" s="9">
        <v>1</v>
      </c>
      <c r="M706" s="9">
        <v>2</v>
      </c>
      <c r="N706" s="186">
        <f t="shared" si="43"/>
        <v>0.50042652380814845</v>
      </c>
      <c r="O706" s="160">
        <f t="shared" si="44"/>
        <v>0.50042652380814845</v>
      </c>
      <c r="P706" s="63"/>
    </row>
    <row r="707" spans="1:16" hidden="1">
      <c r="A707" s="152" t="s">
        <v>130</v>
      </c>
      <c r="B707" s="34" t="s">
        <v>178</v>
      </c>
      <c r="C707" s="40" t="s">
        <v>147</v>
      </c>
      <c r="D707" s="34" t="s">
        <v>103</v>
      </c>
      <c r="E707" s="260">
        <v>4.3320427336167665E-2</v>
      </c>
      <c r="F707" s="235">
        <v>1</v>
      </c>
      <c r="G707" s="40"/>
      <c r="H707" s="29">
        <v>3</v>
      </c>
      <c r="I707" s="9">
        <v>3</v>
      </c>
      <c r="J707" s="9">
        <v>2</v>
      </c>
      <c r="K707" s="9">
        <v>2</v>
      </c>
      <c r="L707" s="9">
        <v>1</v>
      </c>
      <c r="M707" s="9">
        <v>2</v>
      </c>
      <c r="N707" s="186">
        <f t="shared" si="43"/>
        <v>0.50042652380814845</v>
      </c>
      <c r="O707" s="160">
        <f t="shared" si="44"/>
        <v>0.50042652380814845</v>
      </c>
      <c r="P707" s="63"/>
    </row>
    <row r="708" spans="1:16" hidden="1">
      <c r="A708" s="152" t="s">
        <v>130</v>
      </c>
      <c r="B708" s="34" t="s">
        <v>178</v>
      </c>
      <c r="C708" s="40" t="s">
        <v>147</v>
      </c>
      <c r="D708" s="34" t="s">
        <v>107</v>
      </c>
      <c r="E708" s="260">
        <v>0</v>
      </c>
      <c r="F708" s="235">
        <v>1</v>
      </c>
      <c r="G708" s="40"/>
      <c r="H708" s="29"/>
      <c r="I708" s="9"/>
      <c r="J708" s="9"/>
      <c r="K708" s="9"/>
      <c r="L708" s="9"/>
      <c r="M708" s="9"/>
      <c r="N708" s="186" t="str">
        <f t="shared" si="43"/>
        <v/>
      </c>
      <c r="O708" s="160" t="str">
        <f t="shared" si="44"/>
        <v/>
      </c>
      <c r="P708" s="63"/>
    </row>
    <row r="709" spans="1:16" hidden="1">
      <c r="A709" s="152" t="s">
        <v>130</v>
      </c>
      <c r="B709" s="34" t="s">
        <v>193</v>
      </c>
      <c r="C709" s="40" t="s">
        <v>147</v>
      </c>
      <c r="D709" s="34" t="s">
        <v>93</v>
      </c>
      <c r="E709" s="260">
        <v>0</v>
      </c>
      <c r="F709" s="235">
        <v>1</v>
      </c>
      <c r="G709" s="40"/>
      <c r="H709" s="29"/>
      <c r="I709" s="9"/>
      <c r="J709" s="9"/>
      <c r="K709" s="9"/>
      <c r="L709" s="9"/>
      <c r="M709" s="9"/>
      <c r="N709" s="186" t="str">
        <f t="shared" si="43"/>
        <v/>
      </c>
      <c r="O709" s="160" t="str">
        <f t="shared" si="44"/>
        <v/>
      </c>
      <c r="P709" s="63"/>
    </row>
    <row r="710" spans="1:16" hidden="1">
      <c r="A710" s="152" t="s">
        <v>130</v>
      </c>
      <c r="B710" s="34" t="s">
        <v>193</v>
      </c>
      <c r="C710" s="40" t="s">
        <v>147</v>
      </c>
      <c r="D710" s="34" t="s">
        <v>94</v>
      </c>
      <c r="E710" s="260">
        <v>1</v>
      </c>
      <c r="F710" s="235">
        <v>1</v>
      </c>
      <c r="G710" s="40"/>
      <c r="H710" s="29">
        <v>2</v>
      </c>
      <c r="I710" s="9">
        <v>2</v>
      </c>
      <c r="J710" s="9">
        <v>2</v>
      </c>
      <c r="K710" s="9">
        <v>2</v>
      </c>
      <c r="L710" s="9">
        <v>1</v>
      </c>
      <c r="M710" s="9">
        <v>2</v>
      </c>
      <c r="N710" s="186">
        <f t="shared" si="43"/>
        <v>0.38795788889711302</v>
      </c>
      <c r="O710" s="160">
        <f t="shared" si="44"/>
        <v>0.38795788889711302</v>
      </c>
      <c r="P710" s="63"/>
    </row>
    <row r="711" spans="1:16" hidden="1">
      <c r="A711" s="152" t="s">
        <v>37</v>
      </c>
      <c r="B711" s="34" t="s">
        <v>364</v>
      </c>
      <c r="C711" s="40" t="s">
        <v>147</v>
      </c>
      <c r="D711" s="34" t="s">
        <v>93</v>
      </c>
      <c r="E711" s="260">
        <f>Intentionally_produced_MPs!B127</f>
        <v>0</v>
      </c>
      <c r="F711" s="235">
        <v>1</v>
      </c>
      <c r="G711" s="40"/>
      <c r="H711" s="29"/>
      <c r="I711" s="9"/>
      <c r="J711" s="9"/>
      <c r="K711" s="9"/>
      <c r="L711" s="9"/>
      <c r="M711" s="9"/>
      <c r="N711" s="186" t="str">
        <f t="shared" si="43"/>
        <v/>
      </c>
      <c r="O711" s="160" t="str">
        <f t="shared" si="44"/>
        <v/>
      </c>
      <c r="P711" s="63"/>
    </row>
    <row r="712" spans="1:16" hidden="1">
      <c r="A712" s="152" t="s">
        <v>37</v>
      </c>
      <c r="B712" s="34" t="s">
        <v>364</v>
      </c>
      <c r="C712" s="40" t="s">
        <v>147</v>
      </c>
      <c r="D712" s="34" t="s">
        <v>94</v>
      </c>
      <c r="E712" s="260">
        <f>Intentionally_produced_MPs!B128</f>
        <v>0.27128102999855674</v>
      </c>
      <c r="F712" s="235">
        <v>1</v>
      </c>
      <c r="G712" s="40"/>
      <c r="H712" s="29">
        <v>3</v>
      </c>
      <c r="I712" s="9">
        <v>2</v>
      </c>
      <c r="J712" s="9">
        <v>3</v>
      </c>
      <c r="K712" s="9">
        <v>3</v>
      </c>
      <c r="L712" s="9">
        <v>3</v>
      </c>
      <c r="M712" s="9">
        <v>3</v>
      </c>
      <c r="N712" s="186">
        <f t="shared" si="43"/>
        <v>1.2132328390150593</v>
      </c>
      <c r="O712" s="160">
        <f t="shared" si="44"/>
        <v>1.1713319510247036</v>
      </c>
      <c r="P712" s="63" t="s">
        <v>394</v>
      </c>
    </row>
    <row r="713" spans="1:16" hidden="1">
      <c r="A713" s="152" t="s">
        <v>37</v>
      </c>
      <c r="B713" s="34" t="s">
        <v>364</v>
      </c>
      <c r="C713" s="40" t="s">
        <v>147</v>
      </c>
      <c r="D713" s="34" t="s">
        <v>95</v>
      </c>
      <c r="E713" s="260">
        <f>Intentionally_produced_MPs!B129</f>
        <v>0</v>
      </c>
      <c r="F713" s="235">
        <v>1</v>
      </c>
      <c r="G713" s="40"/>
      <c r="H713" s="29"/>
      <c r="I713" s="9"/>
      <c r="J713" s="9"/>
      <c r="K713" s="9"/>
      <c r="L713" s="9"/>
      <c r="M713" s="9"/>
      <c r="N713" s="186" t="str">
        <f t="shared" si="43"/>
        <v/>
      </c>
      <c r="O713" s="160" t="str">
        <f t="shared" si="44"/>
        <v/>
      </c>
      <c r="P713" s="63"/>
    </row>
    <row r="714" spans="1:16" hidden="1">
      <c r="A714" s="152" t="s">
        <v>37</v>
      </c>
      <c r="B714" s="34" t="s">
        <v>364</v>
      </c>
      <c r="C714" s="40" t="s">
        <v>147</v>
      </c>
      <c r="D714" s="34" t="s">
        <v>96</v>
      </c>
      <c r="E714" s="260">
        <f>Intentionally_produced_MPs!B130</f>
        <v>0</v>
      </c>
      <c r="F714" s="235">
        <v>1</v>
      </c>
      <c r="G714" s="40"/>
      <c r="H714" s="29"/>
      <c r="I714" s="9"/>
      <c r="J714" s="9"/>
      <c r="K714" s="9"/>
      <c r="L714" s="9"/>
      <c r="M714" s="9"/>
      <c r="N714" s="186" t="str">
        <f t="shared" si="43"/>
        <v/>
      </c>
      <c r="O714" s="160" t="str">
        <f t="shared" si="44"/>
        <v/>
      </c>
      <c r="P714" s="63"/>
    </row>
    <row r="715" spans="1:16" hidden="1">
      <c r="A715" s="152" t="s">
        <v>37</v>
      </c>
      <c r="B715" s="34" t="s">
        <v>364</v>
      </c>
      <c r="C715" s="40" t="s">
        <v>147</v>
      </c>
      <c r="D715" s="34" t="s">
        <v>97</v>
      </c>
      <c r="E715" s="260">
        <f>Intentionally_produced_MPs!B131</f>
        <v>0</v>
      </c>
      <c r="F715" s="235">
        <v>1</v>
      </c>
      <c r="G715" s="40"/>
      <c r="H715" s="29"/>
      <c r="I715" s="9"/>
      <c r="J715" s="9"/>
      <c r="K715" s="9"/>
      <c r="L715" s="9"/>
      <c r="M715" s="9"/>
      <c r="N715" s="186" t="str">
        <f t="shared" si="43"/>
        <v/>
      </c>
      <c r="O715" s="160" t="str">
        <f t="shared" si="44"/>
        <v/>
      </c>
      <c r="P715" s="63"/>
    </row>
    <row r="716" spans="1:16" hidden="1">
      <c r="A716" s="152" t="s">
        <v>37</v>
      </c>
      <c r="B716" s="34" t="s">
        <v>364</v>
      </c>
      <c r="C716" s="40" t="s">
        <v>147</v>
      </c>
      <c r="D716" s="34" t="s">
        <v>98</v>
      </c>
      <c r="E716" s="260">
        <f>Intentionally_produced_MPs!B132</f>
        <v>0</v>
      </c>
      <c r="F716" s="235">
        <v>1</v>
      </c>
      <c r="G716" s="40"/>
      <c r="H716" s="29"/>
      <c r="I716" s="9"/>
      <c r="J716" s="9"/>
      <c r="K716" s="9"/>
      <c r="L716" s="9"/>
      <c r="M716" s="9"/>
      <c r="N716" s="186" t="str">
        <f t="shared" si="43"/>
        <v/>
      </c>
      <c r="O716" s="160" t="str">
        <f t="shared" si="44"/>
        <v/>
      </c>
      <c r="P716" s="63"/>
    </row>
    <row r="717" spans="1:16" hidden="1">
      <c r="A717" s="152" t="s">
        <v>37</v>
      </c>
      <c r="B717" s="34" t="s">
        <v>364</v>
      </c>
      <c r="C717" s="40" t="s">
        <v>147</v>
      </c>
      <c r="D717" s="34" t="s">
        <v>99</v>
      </c>
      <c r="E717" s="260">
        <f>Intentionally_produced_MPs!B133</f>
        <v>0</v>
      </c>
      <c r="F717" s="235">
        <v>1</v>
      </c>
      <c r="G717" s="40"/>
      <c r="H717" s="29"/>
      <c r="I717" s="9"/>
      <c r="J717" s="9"/>
      <c r="K717" s="9"/>
      <c r="L717" s="9"/>
      <c r="M717" s="9"/>
      <c r="N717" s="186" t="str">
        <f t="shared" si="43"/>
        <v/>
      </c>
      <c r="O717" s="160" t="str">
        <f t="shared" si="44"/>
        <v/>
      </c>
      <c r="P717" s="63"/>
    </row>
    <row r="718" spans="1:16" hidden="1">
      <c r="A718" s="152" t="s">
        <v>37</v>
      </c>
      <c r="B718" s="34" t="s">
        <v>364</v>
      </c>
      <c r="C718" s="40" t="s">
        <v>147</v>
      </c>
      <c r="D718" s="34" t="s">
        <v>100</v>
      </c>
      <c r="E718" s="260">
        <f>Intentionally_produced_MPs!B134</f>
        <v>0</v>
      </c>
      <c r="F718" s="235">
        <v>1</v>
      </c>
      <c r="G718" s="40"/>
      <c r="H718" s="29"/>
      <c r="I718" s="9"/>
      <c r="J718" s="9"/>
      <c r="K718" s="9"/>
      <c r="L718" s="9"/>
      <c r="M718" s="9"/>
      <c r="N718" s="186" t="str">
        <f t="shared" si="43"/>
        <v/>
      </c>
      <c r="O718" s="160" t="str">
        <f t="shared" si="44"/>
        <v/>
      </c>
      <c r="P718" s="63"/>
    </row>
    <row r="719" spans="1:16" hidden="1">
      <c r="A719" s="152" t="s">
        <v>37</v>
      </c>
      <c r="B719" s="34" t="s">
        <v>364</v>
      </c>
      <c r="C719" s="40" t="s">
        <v>147</v>
      </c>
      <c r="D719" s="34" t="s">
        <v>101</v>
      </c>
      <c r="E719" s="260">
        <f>Intentionally_produced_MPs!B135</f>
        <v>0.23555374262145426</v>
      </c>
      <c r="F719" s="235">
        <v>1</v>
      </c>
      <c r="G719" s="40"/>
      <c r="H719" s="29">
        <v>3</v>
      </c>
      <c r="I719" s="9">
        <v>2</v>
      </c>
      <c r="J719" s="9">
        <v>3</v>
      </c>
      <c r="K719" s="9">
        <v>3</v>
      </c>
      <c r="L719" s="9">
        <v>3</v>
      </c>
      <c r="M719" s="9">
        <v>3</v>
      </c>
      <c r="N719" s="186">
        <f t="shared" si="43"/>
        <v>1.2132328390150593</v>
      </c>
      <c r="O719" s="160">
        <f t="shared" si="44"/>
        <v>1.1713319510247036</v>
      </c>
      <c r="P719" s="63"/>
    </row>
    <row r="720" spans="1:16" hidden="1">
      <c r="A720" s="152" t="s">
        <v>37</v>
      </c>
      <c r="B720" s="34" t="s">
        <v>364</v>
      </c>
      <c r="C720" s="40" t="s">
        <v>147</v>
      </c>
      <c r="D720" s="34" t="s">
        <v>102</v>
      </c>
      <c r="E720" s="260">
        <f>Intentionally_produced_MPs!B136</f>
        <v>0</v>
      </c>
      <c r="F720" s="235">
        <v>1</v>
      </c>
      <c r="G720" s="40"/>
      <c r="H720" s="29"/>
      <c r="I720" s="9"/>
      <c r="J720" s="9"/>
      <c r="K720" s="9"/>
      <c r="L720" s="9"/>
      <c r="M720" s="9"/>
      <c r="N720" s="186" t="str">
        <f t="shared" si="43"/>
        <v/>
      </c>
      <c r="O720" s="160" t="str">
        <f t="shared" si="44"/>
        <v/>
      </c>
      <c r="P720" s="63"/>
    </row>
    <row r="721" spans="1:16" hidden="1">
      <c r="A721" s="152" t="s">
        <v>37</v>
      </c>
      <c r="B721" s="34" t="s">
        <v>364</v>
      </c>
      <c r="C721" s="40" t="s">
        <v>147</v>
      </c>
      <c r="D721" s="34" t="s">
        <v>103</v>
      </c>
      <c r="E721" s="260">
        <f>Intentionally_produced_MPs!B137</f>
        <v>5.6605334263949885E-3</v>
      </c>
      <c r="F721" s="235">
        <v>1</v>
      </c>
      <c r="G721" s="40"/>
      <c r="H721" s="29">
        <v>3</v>
      </c>
      <c r="I721" s="9">
        <v>2</v>
      </c>
      <c r="J721" s="9">
        <v>3</v>
      </c>
      <c r="K721" s="9">
        <v>3</v>
      </c>
      <c r="L721" s="9">
        <v>3</v>
      </c>
      <c r="M721" s="9">
        <v>3</v>
      </c>
      <c r="N721" s="186">
        <f t="shared" si="43"/>
        <v>1.2132328390150593</v>
      </c>
      <c r="O721" s="160">
        <f t="shared" si="44"/>
        <v>1.1713319510247036</v>
      </c>
      <c r="P721" s="63"/>
    </row>
    <row r="722" spans="1:16" hidden="1">
      <c r="A722" s="152" t="s">
        <v>37</v>
      </c>
      <c r="B722" s="34" t="s">
        <v>364</v>
      </c>
      <c r="C722" s="40" t="s">
        <v>147</v>
      </c>
      <c r="D722" s="34" t="s">
        <v>104</v>
      </c>
      <c r="E722" s="260">
        <f>Intentionally_produced_MPs!B138</f>
        <v>0</v>
      </c>
      <c r="F722" s="235">
        <v>1</v>
      </c>
      <c r="G722" s="40"/>
      <c r="H722" s="29"/>
      <c r="I722" s="9"/>
      <c r="J722" s="9"/>
      <c r="K722" s="9"/>
      <c r="L722" s="9"/>
      <c r="M722" s="9"/>
      <c r="N722" s="186" t="str">
        <f t="shared" si="43"/>
        <v/>
      </c>
      <c r="O722" s="160" t="str">
        <f t="shared" si="44"/>
        <v/>
      </c>
      <c r="P722" s="63"/>
    </row>
    <row r="723" spans="1:16" hidden="1">
      <c r="A723" s="152" t="s">
        <v>37</v>
      </c>
      <c r="B723" s="34" t="s">
        <v>364</v>
      </c>
      <c r="C723" s="40" t="s">
        <v>147</v>
      </c>
      <c r="D723" s="34" t="s">
        <v>105</v>
      </c>
      <c r="E723" s="260">
        <f>Intentionally_produced_MPs!B139</f>
        <v>0</v>
      </c>
      <c r="F723" s="235">
        <v>1</v>
      </c>
      <c r="G723" s="40"/>
      <c r="H723" s="29">
        <v>3</v>
      </c>
      <c r="I723" s="9">
        <v>2</v>
      </c>
      <c r="J723" s="9">
        <v>3</v>
      </c>
      <c r="K723" s="9">
        <v>3</v>
      </c>
      <c r="L723" s="9">
        <v>3</v>
      </c>
      <c r="M723" s="9">
        <v>3</v>
      </c>
      <c r="N723" s="186">
        <f t="shared" si="43"/>
        <v>1.2132328390150593</v>
      </c>
      <c r="O723" s="160">
        <f t="shared" si="44"/>
        <v>1.1713319510247036</v>
      </c>
      <c r="P723" s="63"/>
    </row>
    <row r="724" spans="1:16" hidden="1">
      <c r="A724" s="152" t="s">
        <v>37</v>
      </c>
      <c r="B724" s="34" t="s">
        <v>364</v>
      </c>
      <c r="C724" s="40" t="s">
        <v>147</v>
      </c>
      <c r="D724" s="34" t="s">
        <v>106</v>
      </c>
      <c r="E724" s="260">
        <f>Intentionally_produced_MPs!B140</f>
        <v>2.0189518931614638E-3</v>
      </c>
      <c r="F724" s="235">
        <v>1</v>
      </c>
      <c r="G724" s="40"/>
      <c r="H724" s="29">
        <v>3</v>
      </c>
      <c r="I724" s="9">
        <v>2</v>
      </c>
      <c r="J724" s="9">
        <v>3</v>
      </c>
      <c r="K724" s="9">
        <v>3</v>
      </c>
      <c r="L724" s="9">
        <v>3</v>
      </c>
      <c r="M724" s="9">
        <v>3</v>
      </c>
      <c r="N724" s="186">
        <f t="shared" si="43"/>
        <v>1.2132328390150593</v>
      </c>
      <c r="O724" s="160">
        <f t="shared" si="44"/>
        <v>1.1713319510247036</v>
      </c>
      <c r="P724" s="63"/>
    </row>
    <row r="725" spans="1:16">
      <c r="A725" s="152" t="s">
        <v>269</v>
      </c>
      <c r="B725" s="34" t="s">
        <v>258</v>
      </c>
      <c r="C725" s="40" t="s">
        <v>188</v>
      </c>
      <c r="D725" s="69" t="s">
        <v>104</v>
      </c>
      <c r="E725" s="868">
        <v>0.43243243243243251</v>
      </c>
      <c r="F725" s="34">
        <v>1</v>
      </c>
      <c r="G725" s="344" t="s">
        <v>119</v>
      </c>
      <c r="H725" s="29">
        <v>1</v>
      </c>
      <c r="I725" s="9"/>
      <c r="J725" s="9">
        <v>1</v>
      </c>
      <c r="K725" s="9">
        <v>1</v>
      </c>
      <c r="L725" s="9">
        <v>2</v>
      </c>
      <c r="M725" s="9">
        <v>2</v>
      </c>
      <c r="N725" s="186">
        <f t="shared" si="43"/>
        <v>0.35859414261160716</v>
      </c>
      <c r="O725" s="160" t="str">
        <f t="shared" si="44"/>
        <v/>
      </c>
      <c r="P725" s="63"/>
    </row>
    <row r="726" spans="1:16">
      <c r="A726" s="152" t="s">
        <v>269</v>
      </c>
      <c r="B726" s="34" t="s">
        <v>258</v>
      </c>
      <c r="C726" s="40" t="s">
        <v>188</v>
      </c>
      <c r="D726" s="69" t="s">
        <v>105</v>
      </c>
      <c r="E726" s="868">
        <v>0.66998341625207292</v>
      </c>
      <c r="F726" s="34">
        <v>1</v>
      </c>
      <c r="G726" s="344" t="s">
        <v>119</v>
      </c>
      <c r="H726" s="29">
        <v>1</v>
      </c>
      <c r="I726" s="9"/>
      <c r="J726" s="9">
        <v>1</v>
      </c>
      <c r="K726" s="9">
        <v>1</v>
      </c>
      <c r="L726" s="9">
        <v>2</v>
      </c>
      <c r="M726" s="9">
        <v>2</v>
      </c>
      <c r="N726" s="186">
        <f t="shared" si="43"/>
        <v>0.35859414261160716</v>
      </c>
      <c r="O726" s="160" t="str">
        <f t="shared" si="44"/>
        <v/>
      </c>
      <c r="P726" s="63"/>
    </row>
    <row r="727" spans="1:16">
      <c r="A727" s="152" t="s">
        <v>269</v>
      </c>
      <c r="B727" s="34" t="s">
        <v>258</v>
      </c>
      <c r="C727" s="40" t="s">
        <v>188</v>
      </c>
      <c r="D727" s="69" t="s">
        <v>103</v>
      </c>
      <c r="E727" s="868">
        <v>1</v>
      </c>
      <c r="F727" s="34">
        <v>1</v>
      </c>
      <c r="G727" s="344" t="s">
        <v>119</v>
      </c>
      <c r="H727" s="29">
        <v>1</v>
      </c>
      <c r="I727" s="9"/>
      <c r="J727" s="9">
        <v>1</v>
      </c>
      <c r="K727" s="9">
        <v>1</v>
      </c>
      <c r="L727" s="9">
        <v>2</v>
      </c>
      <c r="M727" s="9">
        <v>2</v>
      </c>
      <c r="N727" s="186">
        <f t="shared" si="43"/>
        <v>0.35859414261160716</v>
      </c>
      <c r="O727" s="160" t="str">
        <f t="shared" si="44"/>
        <v/>
      </c>
      <c r="P727" s="63"/>
    </row>
    <row r="728" spans="1:16">
      <c r="A728" s="152" t="s">
        <v>269</v>
      </c>
      <c r="B728" s="34" t="s">
        <v>258</v>
      </c>
      <c r="C728" s="40" t="s">
        <v>188</v>
      </c>
      <c r="D728" s="69" t="s">
        <v>101</v>
      </c>
      <c r="E728" s="868">
        <v>0.67391304347826086</v>
      </c>
      <c r="F728" s="34">
        <v>1</v>
      </c>
      <c r="G728" s="344" t="s">
        <v>119</v>
      </c>
      <c r="H728" s="29">
        <v>1</v>
      </c>
      <c r="I728" s="9"/>
      <c r="J728" s="9">
        <v>1</v>
      </c>
      <c r="K728" s="9">
        <v>1</v>
      </c>
      <c r="L728" s="9">
        <v>2</v>
      </c>
      <c r="M728" s="9">
        <v>2</v>
      </c>
      <c r="N728" s="186">
        <f t="shared" si="43"/>
        <v>0.35859414261160716</v>
      </c>
      <c r="O728" s="160" t="str">
        <f t="shared" si="44"/>
        <v/>
      </c>
      <c r="P728" s="63"/>
    </row>
    <row r="729" spans="1:16">
      <c r="A729" s="152" t="s">
        <v>269</v>
      </c>
      <c r="B729" s="34" t="s">
        <v>258</v>
      </c>
      <c r="C729" s="40" t="s">
        <v>188</v>
      </c>
      <c r="D729" s="69" t="s">
        <v>106</v>
      </c>
      <c r="E729" s="868">
        <v>1</v>
      </c>
      <c r="F729" s="34">
        <v>1</v>
      </c>
      <c r="G729" s="344" t="s">
        <v>119</v>
      </c>
      <c r="H729" s="29">
        <v>1</v>
      </c>
      <c r="I729" s="9"/>
      <c r="J729" s="9">
        <v>1</v>
      </c>
      <c r="K729" s="9">
        <v>1</v>
      </c>
      <c r="L729" s="9">
        <v>2</v>
      </c>
      <c r="M729" s="9">
        <v>2</v>
      </c>
      <c r="N729" s="186">
        <f t="shared" si="43"/>
        <v>0.35859414261160716</v>
      </c>
      <c r="O729" s="160" t="str">
        <f t="shared" si="44"/>
        <v/>
      </c>
      <c r="P729" s="63"/>
    </row>
    <row r="730" spans="1:16" hidden="1">
      <c r="A730" s="152" t="s">
        <v>37</v>
      </c>
      <c r="B730" s="34" t="s">
        <v>168</v>
      </c>
      <c r="C730" s="40" t="s">
        <v>147</v>
      </c>
      <c r="D730" s="34" t="s">
        <v>93</v>
      </c>
      <c r="E730" s="260">
        <f>Intentionally_produced_MPs!J127</f>
        <v>5.5555555555555546E-2</v>
      </c>
      <c r="F730" s="235">
        <v>1</v>
      </c>
      <c r="G730" s="40"/>
      <c r="H730" s="29">
        <v>3</v>
      </c>
      <c r="I730" s="9">
        <v>2</v>
      </c>
      <c r="J730" s="9">
        <v>3</v>
      </c>
      <c r="K730" s="9">
        <v>3</v>
      </c>
      <c r="L730" s="9">
        <v>3</v>
      </c>
      <c r="M730" s="9">
        <v>3</v>
      </c>
      <c r="N730" s="186">
        <f t="shared" si="43"/>
        <v>1.2132328390150593</v>
      </c>
      <c r="O730" s="160">
        <f t="shared" si="44"/>
        <v>1.1713319510247036</v>
      </c>
      <c r="P730" s="63"/>
    </row>
    <row r="731" spans="1:16" hidden="1">
      <c r="A731" s="152" t="s">
        <v>37</v>
      </c>
      <c r="B731" s="34" t="s">
        <v>168</v>
      </c>
      <c r="C731" s="40" t="s">
        <v>147</v>
      </c>
      <c r="D731" s="34" t="s">
        <v>94</v>
      </c>
      <c r="E731" s="260">
        <f>Intentionally_produced_MPs!J128</f>
        <v>8.8868167073346722E-3</v>
      </c>
      <c r="F731" s="235">
        <v>1</v>
      </c>
      <c r="G731" s="40"/>
      <c r="H731" s="29">
        <v>3</v>
      </c>
      <c r="I731" s="9">
        <v>2</v>
      </c>
      <c r="J731" s="9">
        <v>3</v>
      </c>
      <c r="K731" s="9">
        <v>3</v>
      </c>
      <c r="L731" s="9">
        <v>3</v>
      </c>
      <c r="M731" s="9">
        <v>3</v>
      </c>
      <c r="N731" s="186">
        <f t="shared" si="43"/>
        <v>1.2132328390150593</v>
      </c>
      <c r="O731" s="160">
        <f t="shared" si="44"/>
        <v>1.1713319510247036</v>
      </c>
      <c r="P731" s="63"/>
    </row>
    <row r="732" spans="1:16" hidden="1">
      <c r="A732" s="152" t="s">
        <v>37</v>
      </c>
      <c r="B732" s="34" t="s">
        <v>168</v>
      </c>
      <c r="C732" s="40" t="s">
        <v>147</v>
      </c>
      <c r="D732" s="34" t="s">
        <v>95</v>
      </c>
      <c r="E732" s="260">
        <f>Intentionally_produced_MPs!J129</f>
        <v>0</v>
      </c>
      <c r="F732" s="235">
        <v>1</v>
      </c>
      <c r="G732" s="40"/>
      <c r="H732" s="29"/>
      <c r="I732" s="9"/>
      <c r="J732" s="9"/>
      <c r="K732" s="9"/>
      <c r="L732" s="9"/>
      <c r="M732" s="9"/>
      <c r="N732" s="186" t="str">
        <f t="shared" si="43"/>
        <v/>
      </c>
      <c r="O732" s="160" t="str">
        <f t="shared" si="44"/>
        <v/>
      </c>
      <c r="P732" s="63"/>
    </row>
    <row r="733" spans="1:16" hidden="1">
      <c r="A733" s="152" t="s">
        <v>37</v>
      </c>
      <c r="B733" s="34" t="s">
        <v>168</v>
      </c>
      <c r="C733" s="40" t="s">
        <v>147</v>
      </c>
      <c r="D733" s="34" t="s">
        <v>96</v>
      </c>
      <c r="E733" s="260">
        <f>Intentionally_produced_MPs!J130</f>
        <v>0</v>
      </c>
      <c r="F733" s="235">
        <v>1</v>
      </c>
      <c r="G733" s="40"/>
      <c r="H733" s="29"/>
      <c r="I733" s="9"/>
      <c r="J733" s="9"/>
      <c r="K733" s="9"/>
      <c r="L733" s="9"/>
      <c r="M733" s="9"/>
      <c r="N733" s="186" t="str">
        <f t="shared" si="43"/>
        <v/>
      </c>
      <c r="O733" s="160" t="str">
        <f t="shared" si="44"/>
        <v/>
      </c>
      <c r="P733" s="63"/>
    </row>
    <row r="734" spans="1:16" hidden="1">
      <c r="A734" s="152" t="s">
        <v>37</v>
      </c>
      <c r="B734" s="34" t="s">
        <v>168</v>
      </c>
      <c r="C734" s="40" t="s">
        <v>147</v>
      </c>
      <c r="D734" s="34" t="s">
        <v>97</v>
      </c>
      <c r="E734" s="260">
        <f>Intentionally_produced_MPs!J131</f>
        <v>0</v>
      </c>
      <c r="F734" s="235">
        <v>1</v>
      </c>
      <c r="G734" s="40"/>
      <c r="H734" s="29"/>
      <c r="I734" s="9"/>
      <c r="J734" s="9"/>
      <c r="K734" s="9"/>
      <c r="L734" s="9"/>
      <c r="M734" s="9"/>
      <c r="N734" s="186" t="str">
        <f t="shared" si="43"/>
        <v/>
      </c>
      <c r="O734" s="160" t="str">
        <f t="shared" si="44"/>
        <v/>
      </c>
      <c r="P734" s="63"/>
    </row>
    <row r="735" spans="1:16" hidden="1">
      <c r="A735" s="152" t="s">
        <v>37</v>
      </c>
      <c r="B735" s="34" t="s">
        <v>168</v>
      </c>
      <c r="C735" s="40" t="s">
        <v>147</v>
      </c>
      <c r="D735" s="34" t="s">
        <v>98</v>
      </c>
      <c r="E735" s="260">
        <f>Intentionally_produced_MPs!J132</f>
        <v>5.5555555555555546E-2</v>
      </c>
      <c r="F735" s="235">
        <v>1</v>
      </c>
      <c r="G735" s="40"/>
      <c r="H735" s="29">
        <v>3</v>
      </c>
      <c r="I735" s="9">
        <v>2</v>
      </c>
      <c r="J735" s="9">
        <v>3</v>
      </c>
      <c r="K735" s="9">
        <v>3</v>
      </c>
      <c r="L735" s="9">
        <v>3</v>
      </c>
      <c r="M735" s="9">
        <v>3</v>
      </c>
      <c r="N735" s="186">
        <f t="shared" si="43"/>
        <v>1.2132328390150593</v>
      </c>
      <c r="O735" s="160">
        <f t="shared" si="44"/>
        <v>1.1713319510247036</v>
      </c>
      <c r="P735" s="63"/>
    </row>
    <row r="736" spans="1:16" hidden="1">
      <c r="A736" s="152" t="s">
        <v>37</v>
      </c>
      <c r="B736" s="34" t="s">
        <v>168</v>
      </c>
      <c r="C736" s="40" t="s">
        <v>147</v>
      </c>
      <c r="D736" s="34" t="s">
        <v>99</v>
      </c>
      <c r="E736" s="260">
        <f>Intentionally_produced_MPs!J133</f>
        <v>0.1555597303733175</v>
      </c>
      <c r="F736" s="235">
        <v>1</v>
      </c>
      <c r="G736" s="40"/>
      <c r="H736" s="29">
        <v>3</v>
      </c>
      <c r="I736" s="9">
        <v>2</v>
      </c>
      <c r="J736" s="9">
        <v>3</v>
      </c>
      <c r="K736" s="9">
        <v>3</v>
      </c>
      <c r="L736" s="9">
        <v>3</v>
      </c>
      <c r="M736" s="9">
        <v>3</v>
      </c>
      <c r="N736" s="186">
        <f t="shared" si="43"/>
        <v>1.2132328390150593</v>
      </c>
      <c r="O736" s="160">
        <f t="shared" si="44"/>
        <v>1.1713319510247036</v>
      </c>
      <c r="P736" s="63"/>
    </row>
    <row r="737" spans="1:16" hidden="1">
      <c r="A737" s="152" t="s">
        <v>37</v>
      </c>
      <c r="B737" s="34" t="s">
        <v>168</v>
      </c>
      <c r="C737" s="40" t="s">
        <v>147</v>
      </c>
      <c r="D737" s="34" t="s">
        <v>100</v>
      </c>
      <c r="E737" s="260">
        <f>Intentionally_produced_MPs!J134</f>
        <v>0</v>
      </c>
      <c r="F737" s="235">
        <v>1</v>
      </c>
      <c r="G737" s="40"/>
      <c r="H737" s="29"/>
      <c r="I737" s="9"/>
      <c r="J737" s="9"/>
      <c r="K737" s="9"/>
      <c r="L737" s="9"/>
      <c r="M737" s="9"/>
      <c r="N737" s="186" t="str">
        <f t="shared" si="43"/>
        <v/>
      </c>
      <c r="O737" s="160" t="str">
        <f t="shared" si="44"/>
        <v/>
      </c>
      <c r="P737" s="63"/>
    </row>
    <row r="738" spans="1:16" hidden="1">
      <c r="A738" s="152" t="s">
        <v>37</v>
      </c>
      <c r="B738" s="34" t="s">
        <v>168</v>
      </c>
      <c r="C738" s="40" t="s">
        <v>147</v>
      </c>
      <c r="D738" s="34" t="s">
        <v>101</v>
      </c>
      <c r="E738" s="260">
        <f>Intentionally_produced_MPs!J135</f>
        <v>4.7372437949387489E-3</v>
      </c>
      <c r="F738" s="235">
        <v>1</v>
      </c>
      <c r="G738" s="40"/>
      <c r="H738" s="29">
        <v>3</v>
      </c>
      <c r="I738" s="9">
        <v>2</v>
      </c>
      <c r="J738" s="9">
        <v>3</v>
      </c>
      <c r="K738" s="9">
        <v>3</v>
      </c>
      <c r="L738" s="9">
        <v>3</v>
      </c>
      <c r="M738" s="9">
        <v>3</v>
      </c>
      <c r="N738" s="186">
        <f t="shared" si="43"/>
        <v>1.2132328390150593</v>
      </c>
      <c r="O738" s="160">
        <f t="shared" si="44"/>
        <v>1.1713319510247036</v>
      </c>
      <c r="P738" s="63"/>
    </row>
    <row r="739" spans="1:16" hidden="1">
      <c r="A739" s="152" t="s">
        <v>37</v>
      </c>
      <c r="B739" s="34" t="s">
        <v>168</v>
      </c>
      <c r="C739" s="40" t="s">
        <v>147</v>
      </c>
      <c r="D739" s="34" t="s">
        <v>102</v>
      </c>
      <c r="E739" s="260">
        <f>Intentionally_produced_MPs!J136</f>
        <v>0</v>
      </c>
      <c r="F739" s="235">
        <v>1</v>
      </c>
      <c r="G739" s="40"/>
      <c r="H739" s="29"/>
      <c r="I739" s="9"/>
      <c r="J739" s="9"/>
      <c r="K739" s="9"/>
      <c r="L739" s="9"/>
      <c r="M739" s="9"/>
      <c r="N739" s="186" t="str">
        <f t="shared" si="43"/>
        <v/>
      </c>
      <c r="O739" s="160" t="str">
        <f t="shared" si="44"/>
        <v/>
      </c>
      <c r="P739" s="63"/>
    </row>
    <row r="740" spans="1:16" hidden="1">
      <c r="A740" s="152" t="s">
        <v>37</v>
      </c>
      <c r="B740" s="34" t="s">
        <v>168</v>
      </c>
      <c r="C740" s="40" t="s">
        <v>147</v>
      </c>
      <c r="D740" s="34" t="s">
        <v>103</v>
      </c>
      <c r="E740" s="260">
        <f>Intentionally_produced_MPs!J137</f>
        <v>4.4333947817568178E-2</v>
      </c>
      <c r="F740" s="235">
        <v>1</v>
      </c>
      <c r="G740" s="40"/>
      <c r="H740" s="29">
        <v>3</v>
      </c>
      <c r="I740" s="9">
        <v>2</v>
      </c>
      <c r="J740" s="9">
        <v>3</v>
      </c>
      <c r="K740" s="9">
        <v>3</v>
      </c>
      <c r="L740" s="9">
        <v>3</v>
      </c>
      <c r="M740" s="9">
        <v>3</v>
      </c>
      <c r="N740" s="186">
        <f t="shared" si="43"/>
        <v>1.2132328390150593</v>
      </c>
      <c r="O740" s="160">
        <f t="shared" si="44"/>
        <v>1.1713319510247036</v>
      </c>
      <c r="P740" s="63"/>
    </row>
    <row r="741" spans="1:16" hidden="1">
      <c r="A741" s="152" t="s">
        <v>37</v>
      </c>
      <c r="B741" s="34" t="s">
        <v>168</v>
      </c>
      <c r="C741" s="40" t="s">
        <v>147</v>
      </c>
      <c r="D741" s="34" t="s">
        <v>104</v>
      </c>
      <c r="E741" s="260">
        <f>Intentionally_produced_MPs!J138</f>
        <v>0</v>
      </c>
      <c r="F741" s="235">
        <v>1</v>
      </c>
      <c r="G741" s="40"/>
      <c r="H741" s="29"/>
      <c r="I741" s="9"/>
      <c r="J741" s="9"/>
      <c r="K741" s="9"/>
      <c r="L741" s="9"/>
      <c r="M741" s="9"/>
      <c r="N741" s="186" t="str">
        <f t="shared" si="43"/>
        <v/>
      </c>
      <c r="O741" s="160" t="str">
        <f t="shared" si="44"/>
        <v/>
      </c>
      <c r="P741" s="63"/>
    </row>
    <row r="742" spans="1:16" hidden="1">
      <c r="A742" s="152" t="s">
        <v>37</v>
      </c>
      <c r="B742" s="34" t="s">
        <v>168</v>
      </c>
      <c r="C742" s="40" t="s">
        <v>147</v>
      </c>
      <c r="D742" s="34" t="s">
        <v>105</v>
      </c>
      <c r="E742" s="260">
        <f>Intentionally_produced_MPs!J139</f>
        <v>4.4586330230196494E-2</v>
      </c>
      <c r="F742" s="235">
        <v>1</v>
      </c>
      <c r="G742" s="40"/>
      <c r="H742" s="29">
        <v>3</v>
      </c>
      <c r="I742" s="9">
        <v>2</v>
      </c>
      <c r="J742" s="9">
        <v>3</v>
      </c>
      <c r="K742" s="9">
        <v>3</v>
      </c>
      <c r="L742" s="9">
        <v>3</v>
      </c>
      <c r="M742" s="9">
        <v>3</v>
      </c>
      <c r="N742" s="186">
        <f t="shared" si="43"/>
        <v>1.2132328390150593</v>
      </c>
      <c r="O742" s="160">
        <f t="shared" si="44"/>
        <v>1.1713319510247036</v>
      </c>
      <c r="P742" s="63"/>
    </row>
    <row r="743" spans="1:16" hidden="1">
      <c r="A743" s="152" t="s">
        <v>37</v>
      </c>
      <c r="B743" s="34" t="s">
        <v>168</v>
      </c>
      <c r="C743" s="40" t="s">
        <v>147</v>
      </c>
      <c r="D743" s="34" t="s">
        <v>106</v>
      </c>
      <c r="E743" s="260">
        <f>Intentionally_produced_MPs!J140</f>
        <v>6.8330054573633985E-3</v>
      </c>
      <c r="F743" s="235">
        <v>1</v>
      </c>
      <c r="G743" s="40"/>
      <c r="H743" s="29">
        <v>3</v>
      </c>
      <c r="I743" s="9">
        <v>2</v>
      </c>
      <c r="J743" s="9">
        <v>3</v>
      </c>
      <c r="K743" s="9">
        <v>3</v>
      </c>
      <c r="L743" s="9">
        <v>3</v>
      </c>
      <c r="M743" s="9">
        <v>3</v>
      </c>
      <c r="N743" s="186">
        <f t="shared" si="43"/>
        <v>1.2132328390150593</v>
      </c>
      <c r="O743" s="160">
        <f t="shared" si="44"/>
        <v>1.1713319510247036</v>
      </c>
      <c r="P743" s="63"/>
    </row>
    <row r="744" spans="1:16">
      <c r="A744" s="152" t="s">
        <v>269</v>
      </c>
      <c r="B744" s="34" t="s">
        <v>258</v>
      </c>
      <c r="C744" s="344" t="s">
        <v>190</v>
      </c>
      <c r="D744" s="69" t="s">
        <v>93</v>
      </c>
      <c r="E744" s="868">
        <v>0.15660919540229881</v>
      </c>
      <c r="F744" s="34">
        <v>1</v>
      </c>
      <c r="G744" s="344" t="s">
        <v>135</v>
      </c>
      <c r="H744" s="29"/>
      <c r="I744" s="9">
        <v>1</v>
      </c>
      <c r="J744" s="9">
        <v>1</v>
      </c>
      <c r="K744" s="9">
        <v>1</v>
      </c>
      <c r="L744" s="9">
        <v>2</v>
      </c>
      <c r="M744" s="9">
        <v>2</v>
      </c>
      <c r="N744" s="186" t="str">
        <f t="shared" si="43"/>
        <v/>
      </c>
      <c r="O744" s="160">
        <f t="shared" si="44"/>
        <v>0.35859414261160716</v>
      </c>
      <c r="P744" s="63"/>
    </row>
    <row r="745" spans="1:16" hidden="1">
      <c r="A745" s="152" t="s">
        <v>222</v>
      </c>
      <c r="B745" s="34" t="s">
        <v>395</v>
      </c>
      <c r="C745" s="40" t="s">
        <v>147</v>
      </c>
      <c r="D745" s="34" t="s">
        <v>147</v>
      </c>
      <c r="E745" s="260" t="s">
        <v>158</v>
      </c>
      <c r="F745" s="235">
        <v>1</v>
      </c>
      <c r="G745" s="40"/>
      <c r="H745" s="29"/>
      <c r="I745" s="9"/>
      <c r="J745" s="9"/>
      <c r="K745" s="9"/>
      <c r="L745" s="9"/>
      <c r="M745" s="9"/>
      <c r="N745" s="186" t="str">
        <f t="shared" si="43"/>
        <v/>
      </c>
      <c r="O745" s="160" t="str">
        <f t="shared" si="44"/>
        <v/>
      </c>
      <c r="P745" s="63"/>
    </row>
    <row r="746" spans="1:16" hidden="1">
      <c r="A746" s="152" t="s">
        <v>228</v>
      </c>
      <c r="B746" s="34" t="s">
        <v>396</v>
      </c>
      <c r="C746" s="40" t="s">
        <v>147</v>
      </c>
      <c r="D746" s="34" t="s">
        <v>147</v>
      </c>
      <c r="E746" s="260" t="s">
        <v>158</v>
      </c>
      <c r="F746" s="235">
        <v>1</v>
      </c>
      <c r="G746" s="40"/>
      <c r="H746" s="29"/>
      <c r="I746" s="9"/>
      <c r="J746" s="9"/>
      <c r="K746" s="9"/>
      <c r="L746" s="9"/>
      <c r="M746" s="9"/>
      <c r="N746" s="186" t="str">
        <f t="shared" si="43"/>
        <v/>
      </c>
      <c r="O746" s="160" t="str">
        <f t="shared" si="44"/>
        <v/>
      </c>
      <c r="P746" s="63" t="s">
        <v>397</v>
      </c>
    </row>
    <row r="747" spans="1:16" hidden="1">
      <c r="A747" s="152" t="s">
        <v>157</v>
      </c>
      <c r="B747" s="34" t="s">
        <v>184</v>
      </c>
      <c r="C747" s="40" t="s">
        <v>147</v>
      </c>
      <c r="D747" s="34" t="s">
        <v>147</v>
      </c>
      <c r="E747" s="260">
        <v>0.03</v>
      </c>
      <c r="F747" s="235">
        <v>2</v>
      </c>
      <c r="G747" s="40" t="s">
        <v>234</v>
      </c>
      <c r="H747" s="29">
        <v>1</v>
      </c>
      <c r="I747" s="9"/>
      <c r="J747" s="9">
        <v>2</v>
      </c>
      <c r="K747" s="9">
        <v>3</v>
      </c>
      <c r="L747" s="9">
        <v>2</v>
      </c>
      <c r="M747" s="9">
        <v>2</v>
      </c>
      <c r="N747" s="186">
        <f t="shared" si="43"/>
        <v>0.50042652380814845</v>
      </c>
      <c r="O747" s="160" t="str">
        <f t="shared" si="44"/>
        <v/>
      </c>
      <c r="P747" s="63" t="s">
        <v>398</v>
      </c>
    </row>
    <row r="748" spans="1:16" hidden="1">
      <c r="A748" s="873" t="s">
        <v>344</v>
      </c>
      <c r="B748" s="874" t="s">
        <v>192</v>
      </c>
      <c r="C748" s="875" t="s">
        <v>190</v>
      </c>
      <c r="D748" s="874" t="s">
        <v>147</v>
      </c>
      <c r="E748" s="876">
        <v>0</v>
      </c>
      <c r="F748" s="877">
        <v>2</v>
      </c>
      <c r="G748" s="875" t="s">
        <v>330</v>
      </c>
      <c r="H748" s="841"/>
      <c r="I748" s="656"/>
      <c r="J748" s="656"/>
      <c r="K748" s="656"/>
      <c r="L748" s="656"/>
      <c r="M748" s="656"/>
      <c r="N748" s="850" t="str">
        <f t="shared" si="43"/>
        <v/>
      </c>
      <c r="O748" s="851" t="str">
        <f t="shared" si="44"/>
        <v/>
      </c>
      <c r="P748" s="858"/>
    </row>
    <row r="749" spans="1:16" hidden="1">
      <c r="A749" s="152" t="s">
        <v>336</v>
      </c>
      <c r="B749" s="34" t="s">
        <v>274</v>
      </c>
      <c r="C749" s="40" t="s">
        <v>147</v>
      </c>
      <c r="D749" s="34" t="s">
        <v>147</v>
      </c>
      <c r="E749" s="260">
        <v>0.01</v>
      </c>
      <c r="F749" s="235">
        <v>2</v>
      </c>
      <c r="G749" s="40" t="s">
        <v>399</v>
      </c>
      <c r="H749" s="29">
        <v>3</v>
      </c>
      <c r="I749" s="9"/>
      <c r="J749" s="9">
        <v>3</v>
      </c>
      <c r="K749" s="9">
        <v>3</v>
      </c>
      <c r="L749" s="9">
        <v>3</v>
      </c>
      <c r="M749" s="9">
        <v>3</v>
      </c>
      <c r="N749" s="186">
        <f t="shared" si="43"/>
        <v>1.2132328390150593</v>
      </c>
      <c r="O749" s="160" t="str">
        <f t="shared" si="44"/>
        <v/>
      </c>
      <c r="P749" s="63"/>
    </row>
    <row r="750" spans="1:16" hidden="1">
      <c r="A750" s="152" t="s">
        <v>257</v>
      </c>
      <c r="B750" s="34" t="s">
        <v>184</v>
      </c>
      <c r="C750" s="40" t="s">
        <v>147</v>
      </c>
      <c r="D750" s="34" t="s">
        <v>147</v>
      </c>
      <c r="E750" s="260">
        <v>1E-4</v>
      </c>
      <c r="F750" s="235">
        <v>2</v>
      </c>
      <c r="G750" s="40" t="s">
        <v>165</v>
      </c>
      <c r="H750" s="29">
        <v>1</v>
      </c>
      <c r="I750" s="9">
        <v>2</v>
      </c>
      <c r="J750" s="9">
        <v>1</v>
      </c>
      <c r="K750" s="9">
        <v>1</v>
      </c>
      <c r="L750" s="9">
        <v>1</v>
      </c>
      <c r="M750" s="9">
        <v>3</v>
      </c>
      <c r="N750" s="186">
        <f t="shared" si="43"/>
        <v>1.0141150152164344</v>
      </c>
      <c r="O750" s="160">
        <f t="shared" si="44"/>
        <v>1.0195048044558224</v>
      </c>
      <c r="P750" s="63"/>
    </row>
    <row r="751" spans="1:16" hidden="1">
      <c r="A751" s="873" t="s">
        <v>344</v>
      </c>
      <c r="B751" s="874" t="s">
        <v>192</v>
      </c>
      <c r="C751" s="875" t="s">
        <v>190</v>
      </c>
      <c r="D751" s="874" t="s">
        <v>147</v>
      </c>
      <c r="E751" s="876">
        <v>1</v>
      </c>
      <c r="F751" s="877">
        <v>2</v>
      </c>
      <c r="G751" s="875" t="s">
        <v>331</v>
      </c>
      <c r="H751" s="841"/>
      <c r="I751" s="656"/>
      <c r="J751" s="656"/>
      <c r="K751" s="656"/>
      <c r="L751" s="656"/>
      <c r="M751" s="656"/>
      <c r="N751" s="850" t="str">
        <f t="shared" si="43"/>
        <v/>
      </c>
      <c r="O751" s="851" t="str">
        <f t="shared" si="44"/>
        <v/>
      </c>
      <c r="P751" s="858"/>
    </row>
    <row r="752" spans="1:16" hidden="1">
      <c r="A752" s="152" t="s">
        <v>130</v>
      </c>
      <c r="B752" s="34" t="s">
        <v>193</v>
      </c>
      <c r="C752" s="40" t="s">
        <v>147</v>
      </c>
      <c r="D752" s="34" t="s">
        <v>95</v>
      </c>
      <c r="E752" s="260">
        <v>0.11189388147015418</v>
      </c>
      <c r="F752" s="235">
        <v>1</v>
      </c>
      <c r="G752" s="40"/>
      <c r="H752" s="29">
        <v>2</v>
      </c>
      <c r="I752" s="9">
        <v>2</v>
      </c>
      <c r="J752" s="9">
        <v>2</v>
      </c>
      <c r="K752" s="9">
        <v>2</v>
      </c>
      <c r="L752" s="9">
        <v>1</v>
      </c>
      <c r="M752" s="9">
        <v>2</v>
      </c>
      <c r="N752" s="186">
        <f t="shared" si="43"/>
        <v>0.38795788889711302</v>
      </c>
      <c r="O752" s="160">
        <f t="shared" si="44"/>
        <v>0.38795788889711302</v>
      </c>
      <c r="P752" s="63"/>
    </row>
    <row r="753" spans="1:16" hidden="1">
      <c r="A753" s="873" t="s">
        <v>344</v>
      </c>
      <c r="B753" s="874" t="s">
        <v>192</v>
      </c>
      <c r="C753" s="875" t="s">
        <v>188</v>
      </c>
      <c r="D753" s="874" t="s">
        <v>147</v>
      </c>
      <c r="E753" s="876">
        <v>0</v>
      </c>
      <c r="F753" s="877">
        <v>2</v>
      </c>
      <c r="G753" s="875" t="s">
        <v>400</v>
      </c>
      <c r="H753" s="841"/>
      <c r="I753" s="656"/>
      <c r="J753" s="656"/>
      <c r="K753" s="656"/>
      <c r="L753" s="656"/>
      <c r="M753" s="656"/>
      <c r="N753" s="850" t="str">
        <f t="shared" si="43"/>
        <v/>
      </c>
      <c r="O753" s="851" t="str">
        <f t="shared" si="44"/>
        <v/>
      </c>
      <c r="P753" s="858"/>
    </row>
    <row r="754" spans="1:16" hidden="1">
      <c r="A754" s="152" t="s">
        <v>344</v>
      </c>
      <c r="B754" s="34" t="s">
        <v>264</v>
      </c>
      <c r="C754" s="40" t="s">
        <v>147</v>
      </c>
      <c r="D754" s="34" t="s">
        <v>147</v>
      </c>
      <c r="E754" s="260">
        <v>1E-4</v>
      </c>
      <c r="F754" s="235">
        <v>3</v>
      </c>
      <c r="G754" s="40" t="s">
        <v>343</v>
      </c>
      <c r="H754" s="29">
        <v>2</v>
      </c>
      <c r="I754" s="9">
        <v>2</v>
      </c>
      <c r="J754" s="9">
        <v>1</v>
      </c>
      <c r="K754" s="9">
        <v>1</v>
      </c>
      <c r="L754" s="9">
        <v>1</v>
      </c>
      <c r="M754" s="9">
        <v>3</v>
      </c>
      <c r="N754" s="186">
        <f t="shared" si="43"/>
        <v>1.0195048044558224</v>
      </c>
      <c r="O754" s="160">
        <f t="shared" si="44"/>
        <v>1.0195048044558224</v>
      </c>
      <c r="P754" s="63" t="s">
        <v>401</v>
      </c>
    </row>
    <row r="755" spans="1:16" hidden="1">
      <c r="A755" s="292" t="s">
        <v>238</v>
      </c>
      <c r="B755" s="55" t="s">
        <v>258</v>
      </c>
      <c r="C755" s="265" t="s">
        <v>147</v>
      </c>
      <c r="D755" s="55" t="s">
        <v>147</v>
      </c>
      <c r="E755" s="260" t="s">
        <v>158</v>
      </c>
      <c r="F755" s="235">
        <v>2</v>
      </c>
      <c r="G755" s="878"/>
      <c r="H755" s="29"/>
      <c r="I755" s="9"/>
      <c r="J755" s="9"/>
      <c r="K755" s="9"/>
      <c r="L755" s="9"/>
      <c r="M755" s="9"/>
      <c r="N755" s="186" t="str">
        <f t="shared" si="43"/>
        <v/>
      </c>
      <c r="O755" s="160" t="str">
        <f t="shared" si="44"/>
        <v/>
      </c>
      <c r="P755" s="63"/>
    </row>
    <row r="756" spans="1:16" hidden="1">
      <c r="A756" s="152" t="s">
        <v>162</v>
      </c>
      <c r="B756" s="34" t="s">
        <v>264</v>
      </c>
      <c r="C756" s="40" t="s">
        <v>147</v>
      </c>
      <c r="D756" s="34" t="s">
        <v>147</v>
      </c>
      <c r="E756" s="260">
        <v>0.03</v>
      </c>
      <c r="F756" s="235">
        <v>2</v>
      </c>
      <c r="G756" s="40" t="s">
        <v>234</v>
      </c>
      <c r="H756" s="29">
        <v>1</v>
      </c>
      <c r="I756" s="9"/>
      <c r="J756" s="9">
        <v>2</v>
      </c>
      <c r="K756" s="9">
        <v>3</v>
      </c>
      <c r="L756" s="9">
        <v>2</v>
      </c>
      <c r="M756" s="9">
        <v>2</v>
      </c>
      <c r="N756" s="186">
        <f t="shared" si="43"/>
        <v>0.50042652380814845</v>
      </c>
      <c r="O756" s="160" t="str">
        <f t="shared" si="44"/>
        <v/>
      </c>
      <c r="P756" s="63" t="s">
        <v>398</v>
      </c>
    </row>
    <row r="757" spans="1:16" hidden="1">
      <c r="A757" s="292" t="s">
        <v>238</v>
      </c>
      <c r="B757" s="55" t="s">
        <v>187</v>
      </c>
      <c r="C757" s="265" t="s">
        <v>147</v>
      </c>
      <c r="D757" s="55" t="s">
        <v>147</v>
      </c>
      <c r="E757" s="260">
        <v>9.6000000000000002E-2</v>
      </c>
      <c r="F757" s="235">
        <v>2</v>
      </c>
      <c r="G757" s="265" t="s">
        <v>237</v>
      </c>
      <c r="H757" s="29">
        <v>1</v>
      </c>
      <c r="I757" s="9">
        <v>2</v>
      </c>
      <c r="J757" s="9">
        <v>2</v>
      </c>
      <c r="K757" s="9">
        <v>1</v>
      </c>
      <c r="L757" s="9">
        <v>2</v>
      </c>
      <c r="M757" s="9">
        <v>2</v>
      </c>
      <c r="N757" s="186">
        <f t="shared" si="43"/>
        <v>0.37356464144298934</v>
      </c>
      <c r="O757" s="160">
        <f t="shared" si="44"/>
        <v>0.38795788889711302</v>
      </c>
      <c r="P757" s="63"/>
    </row>
    <row r="758" spans="1:16">
      <c r="A758" s="152" t="s">
        <v>269</v>
      </c>
      <c r="B758" s="34" t="s">
        <v>258</v>
      </c>
      <c r="C758" s="40" t="s">
        <v>190</v>
      </c>
      <c r="D758" s="69" t="s">
        <v>94</v>
      </c>
      <c r="E758" s="868">
        <v>0.1689198415949747</v>
      </c>
      <c r="F758" s="34">
        <v>1</v>
      </c>
      <c r="G758" s="344" t="s">
        <v>135</v>
      </c>
      <c r="H758" s="29"/>
      <c r="I758" s="9">
        <v>1</v>
      </c>
      <c r="J758" s="9">
        <v>1</v>
      </c>
      <c r="K758" s="9">
        <v>1</v>
      </c>
      <c r="L758" s="9">
        <v>2</v>
      </c>
      <c r="M758" s="9">
        <v>2</v>
      </c>
      <c r="N758" s="186" t="str">
        <f t="shared" si="43"/>
        <v/>
      </c>
      <c r="O758" s="160">
        <f t="shared" si="44"/>
        <v>0.35859414261160716</v>
      </c>
      <c r="P758" s="63"/>
    </row>
    <row r="759" spans="1:16" hidden="1">
      <c r="A759" s="152" t="s">
        <v>322</v>
      </c>
      <c r="B759" s="34" t="s">
        <v>264</v>
      </c>
      <c r="C759" s="523" t="s">
        <v>147</v>
      </c>
      <c r="D759" s="37" t="s">
        <v>147</v>
      </c>
      <c r="E759" s="313">
        <v>0.52</v>
      </c>
      <c r="F759" s="37">
        <v>1</v>
      </c>
      <c r="G759" s="40" t="s">
        <v>363</v>
      </c>
      <c r="H759" s="29">
        <v>2</v>
      </c>
      <c r="I759" s="9">
        <v>2</v>
      </c>
      <c r="J759" s="9">
        <v>1</v>
      </c>
      <c r="K759" s="9">
        <v>1</v>
      </c>
      <c r="L759" s="9">
        <v>1</v>
      </c>
      <c r="M759" s="9">
        <v>1</v>
      </c>
      <c r="N759" s="186">
        <f t="shared" si="43"/>
        <v>0.16933510251023262</v>
      </c>
      <c r="O759" s="160">
        <f t="shared" si="44"/>
        <v>0.16933510251023262</v>
      </c>
      <c r="P759" s="63"/>
    </row>
    <row r="760" spans="1:16" hidden="1">
      <c r="A760" s="152" t="s">
        <v>293</v>
      </c>
      <c r="B760" s="34" t="s">
        <v>267</v>
      </c>
      <c r="C760" s="40" t="s">
        <v>147</v>
      </c>
      <c r="D760" s="34" t="s">
        <v>147</v>
      </c>
      <c r="E760" s="868">
        <f>0.004*0.0001/100</f>
        <v>4.0000000000000002E-9</v>
      </c>
      <c r="F760" s="235">
        <v>2</v>
      </c>
      <c r="G760" s="523" t="s">
        <v>402</v>
      </c>
      <c r="H760" s="29">
        <v>2</v>
      </c>
      <c r="I760" s="9">
        <v>1</v>
      </c>
      <c r="J760" s="9">
        <v>2</v>
      </c>
      <c r="K760" s="9">
        <v>3</v>
      </c>
      <c r="L760" s="9">
        <v>3</v>
      </c>
      <c r="M760" s="9">
        <v>1</v>
      </c>
      <c r="N760" s="186">
        <f t="shared" ref="N760:N823" si="45">IF( OR( ISBLANK(H760),ISBLANK(J760), ISBLANK(K760), ISBLANK(L760), ISBLANK(M760) ), "", 1.5*SQRT(   EXP(2.21*(H760-1)) + EXP(2.21*(J760-1)) + EXP(2.21*(K760-1)) + EXP(2.21*(L760-1)) + EXP(2.21*M760)   )/100*2.45 )</f>
        <v>0.51126068492676302</v>
      </c>
      <c r="O760" s="160">
        <f t="shared" ref="O760:O823" si="46">IF( OR( ISBLANK(I760),ISBLANK(J760), ISBLANK(K760), ISBLANK(L760), ISBLANK(M760) ), "", 1.5*SQRT( EXP(2.21*(I760-1)) + EXP(2.21*(J760-1)) + EXP(2.21*(K760-1)) + EXP(2.21*(L760-1)) + EXP(2.21*M760)   )/100*2.45 )</f>
        <v>0.50042652380814845</v>
      </c>
      <c r="P760" s="63"/>
    </row>
    <row r="761" spans="1:16" hidden="1">
      <c r="A761" s="152" t="s">
        <v>293</v>
      </c>
      <c r="B761" s="34" t="s">
        <v>267</v>
      </c>
      <c r="C761" s="40" t="s">
        <v>147</v>
      </c>
      <c r="D761" s="34" t="s">
        <v>147</v>
      </c>
      <c r="E761" s="868">
        <f>0.004*0.04/100</f>
        <v>1.6000000000000001E-6</v>
      </c>
      <c r="F761" s="235">
        <v>2</v>
      </c>
      <c r="G761" s="523" t="s">
        <v>402</v>
      </c>
      <c r="H761" s="29">
        <v>2</v>
      </c>
      <c r="I761" s="9">
        <v>1</v>
      </c>
      <c r="J761" s="9">
        <v>2</v>
      </c>
      <c r="K761" s="9">
        <v>3</v>
      </c>
      <c r="L761" s="9">
        <v>3</v>
      </c>
      <c r="M761" s="9">
        <v>1</v>
      </c>
      <c r="N761" s="186">
        <f t="shared" si="45"/>
        <v>0.51126068492676302</v>
      </c>
      <c r="O761" s="160">
        <f t="shared" si="46"/>
        <v>0.50042652380814845</v>
      </c>
      <c r="P761" s="63"/>
    </row>
    <row r="762" spans="1:16">
      <c r="A762" s="152" t="s">
        <v>269</v>
      </c>
      <c r="B762" s="34" t="s">
        <v>258</v>
      </c>
      <c r="C762" s="40" t="s">
        <v>190</v>
      </c>
      <c r="D762" s="69" t="s">
        <v>95</v>
      </c>
      <c r="E762" s="868">
        <v>9.9585062240663894E-2</v>
      </c>
      <c r="F762" s="34">
        <v>1</v>
      </c>
      <c r="G762" s="344" t="s">
        <v>135</v>
      </c>
      <c r="H762" s="29"/>
      <c r="I762" s="9">
        <v>1</v>
      </c>
      <c r="J762" s="9">
        <v>1</v>
      </c>
      <c r="K762" s="9">
        <v>1</v>
      </c>
      <c r="L762" s="9">
        <v>2</v>
      </c>
      <c r="M762" s="9">
        <v>2</v>
      </c>
      <c r="N762" s="186" t="str">
        <f t="shared" si="45"/>
        <v/>
      </c>
      <c r="O762" s="160">
        <f t="shared" si="46"/>
        <v>0.35859414261160716</v>
      </c>
      <c r="P762" s="63"/>
    </row>
    <row r="763" spans="1:16" hidden="1">
      <c r="A763" s="152" t="s">
        <v>293</v>
      </c>
      <c r="B763" s="34" t="s">
        <v>192</v>
      </c>
      <c r="C763" s="40" t="s">
        <v>147</v>
      </c>
      <c r="D763" s="34" t="s">
        <v>147</v>
      </c>
      <c r="E763" s="260">
        <v>0</v>
      </c>
      <c r="F763" s="235">
        <v>1</v>
      </c>
      <c r="G763" s="40" t="s">
        <v>165</v>
      </c>
      <c r="H763" s="29"/>
      <c r="I763" s="9"/>
      <c r="J763" s="9"/>
      <c r="K763" s="9"/>
      <c r="L763" s="9"/>
      <c r="M763" s="9"/>
      <c r="N763" s="186" t="str">
        <f t="shared" si="45"/>
        <v/>
      </c>
      <c r="O763" s="160" t="str">
        <f t="shared" si="46"/>
        <v/>
      </c>
      <c r="P763" s="63"/>
    </row>
    <row r="764" spans="1:16" hidden="1">
      <c r="A764" s="152" t="s">
        <v>293</v>
      </c>
      <c r="B764" s="34" t="s">
        <v>264</v>
      </c>
      <c r="C764" s="40" t="s">
        <v>147</v>
      </c>
      <c r="D764" s="34" t="s">
        <v>147</v>
      </c>
      <c r="E764" s="868">
        <f>(1-0.004)*0.0001/100</f>
        <v>9.9600000000000008E-7</v>
      </c>
      <c r="F764" s="235">
        <v>2</v>
      </c>
      <c r="G764" s="523" t="s">
        <v>402</v>
      </c>
      <c r="H764" s="29">
        <v>2</v>
      </c>
      <c r="I764" s="9">
        <v>1</v>
      </c>
      <c r="J764" s="9">
        <v>2</v>
      </c>
      <c r="K764" s="9">
        <v>3</v>
      </c>
      <c r="L764" s="9">
        <v>3</v>
      </c>
      <c r="M764" s="9">
        <v>1</v>
      </c>
      <c r="N764" s="186">
        <f t="shared" si="45"/>
        <v>0.51126068492676302</v>
      </c>
      <c r="O764" s="160">
        <f t="shared" si="46"/>
        <v>0.50042652380814845</v>
      </c>
      <c r="P764" s="63"/>
    </row>
    <row r="765" spans="1:16" hidden="1">
      <c r="A765" s="292" t="s">
        <v>238</v>
      </c>
      <c r="B765" s="55" t="s">
        <v>192</v>
      </c>
      <c r="C765" s="265" t="s">
        <v>147</v>
      </c>
      <c r="D765" s="55" t="s">
        <v>147</v>
      </c>
      <c r="E765" s="260">
        <v>3.0000000000000001E-3</v>
      </c>
      <c r="F765" s="235">
        <v>2</v>
      </c>
      <c r="G765" s="265" t="s">
        <v>237</v>
      </c>
      <c r="H765" s="29">
        <v>1</v>
      </c>
      <c r="I765" s="9">
        <v>2</v>
      </c>
      <c r="J765" s="9">
        <v>2</v>
      </c>
      <c r="K765" s="9">
        <v>1</v>
      </c>
      <c r="L765" s="9">
        <v>2</v>
      </c>
      <c r="M765" s="9">
        <v>2</v>
      </c>
      <c r="N765" s="186">
        <f t="shared" si="45"/>
        <v>0.37356464144298934</v>
      </c>
      <c r="O765" s="160">
        <f t="shared" si="46"/>
        <v>0.38795788889711302</v>
      </c>
      <c r="P765" s="63"/>
    </row>
    <row r="766" spans="1:16" hidden="1">
      <c r="A766" s="292" t="s">
        <v>370</v>
      </c>
      <c r="B766" s="55" t="s">
        <v>264</v>
      </c>
      <c r="C766" s="265" t="s">
        <v>147</v>
      </c>
      <c r="D766" s="55" t="s">
        <v>147</v>
      </c>
      <c r="E766" s="260">
        <v>0.24038461538461536</v>
      </c>
      <c r="F766" s="235">
        <v>2</v>
      </c>
      <c r="G766" s="265" t="s">
        <v>171</v>
      </c>
      <c r="H766" s="29">
        <v>2</v>
      </c>
      <c r="I766" s="9">
        <v>2</v>
      </c>
      <c r="J766" s="9">
        <v>1</v>
      </c>
      <c r="K766" s="9">
        <v>1</v>
      </c>
      <c r="L766" s="9">
        <v>1</v>
      </c>
      <c r="M766" s="9">
        <v>3</v>
      </c>
      <c r="N766" s="186">
        <f t="shared" si="45"/>
        <v>1.0195048044558224</v>
      </c>
      <c r="O766" s="160">
        <f t="shared" si="46"/>
        <v>1.0195048044558224</v>
      </c>
      <c r="P766" s="63" t="s">
        <v>367</v>
      </c>
    </row>
    <row r="767" spans="1:16" hidden="1">
      <c r="A767" s="292" t="s">
        <v>370</v>
      </c>
      <c r="B767" s="55" t="s">
        <v>264</v>
      </c>
      <c r="C767" s="265" t="s">
        <v>147</v>
      </c>
      <c r="D767" s="55" t="s">
        <v>147</v>
      </c>
      <c r="E767" s="260">
        <v>0.13440860215053765</v>
      </c>
      <c r="F767" s="235">
        <v>2</v>
      </c>
      <c r="G767" s="265" t="s">
        <v>171</v>
      </c>
      <c r="H767" s="29">
        <v>2</v>
      </c>
      <c r="I767" s="9">
        <v>2</v>
      </c>
      <c r="J767" s="9">
        <v>1</v>
      </c>
      <c r="K767" s="9">
        <v>1</v>
      </c>
      <c r="L767" s="9">
        <v>1</v>
      </c>
      <c r="M767" s="9">
        <v>3</v>
      </c>
      <c r="N767" s="186">
        <f t="shared" si="45"/>
        <v>1.0195048044558224</v>
      </c>
      <c r="O767" s="160">
        <f t="shared" si="46"/>
        <v>1.0195048044558224</v>
      </c>
      <c r="P767" s="63" t="s">
        <v>368</v>
      </c>
    </row>
    <row r="768" spans="1:16" hidden="1">
      <c r="A768" s="152" t="s">
        <v>390</v>
      </c>
      <c r="B768" s="34" t="s">
        <v>388</v>
      </c>
      <c r="C768" s="40" t="s">
        <v>147</v>
      </c>
      <c r="D768" s="34" t="s">
        <v>147</v>
      </c>
      <c r="E768" s="871">
        <v>0.9</v>
      </c>
      <c r="F768" s="34">
        <v>1</v>
      </c>
      <c r="G768" s="40" t="s">
        <v>403</v>
      </c>
      <c r="H768" s="29">
        <v>1</v>
      </c>
      <c r="I768" s="9">
        <v>3</v>
      </c>
      <c r="J768" s="9">
        <v>2</v>
      </c>
      <c r="K768" s="9">
        <v>1</v>
      </c>
      <c r="L768" s="9">
        <v>1</v>
      </c>
      <c r="M768" s="9">
        <v>2</v>
      </c>
      <c r="N768" s="186">
        <f t="shared" si="45"/>
        <v>0.35859414261160716</v>
      </c>
      <c r="O768" s="160">
        <f t="shared" si="46"/>
        <v>0.48935255543384243</v>
      </c>
      <c r="P768" s="858"/>
    </row>
    <row r="769" spans="1:16" hidden="1">
      <c r="A769" s="152" t="s">
        <v>390</v>
      </c>
      <c r="B769" s="34" t="s">
        <v>271</v>
      </c>
      <c r="C769" s="40" t="s">
        <v>147</v>
      </c>
      <c r="D769" s="34" t="s">
        <v>147</v>
      </c>
      <c r="E769" s="871">
        <v>0.1</v>
      </c>
      <c r="F769" s="34">
        <v>1</v>
      </c>
      <c r="G769" s="40" t="s">
        <v>389</v>
      </c>
      <c r="H769" s="29">
        <v>1</v>
      </c>
      <c r="I769" s="9">
        <v>3</v>
      </c>
      <c r="J769" s="9">
        <v>2</v>
      </c>
      <c r="K769" s="9">
        <v>1</v>
      </c>
      <c r="L769" s="9">
        <v>1</v>
      </c>
      <c r="M769" s="9">
        <v>2</v>
      </c>
      <c r="N769" s="186">
        <f t="shared" si="45"/>
        <v>0.35859414261160716</v>
      </c>
      <c r="O769" s="160">
        <f t="shared" si="46"/>
        <v>0.48935255543384243</v>
      </c>
      <c r="P769" s="858"/>
    </row>
    <row r="770" spans="1:16" hidden="1">
      <c r="A770" s="152" t="s">
        <v>311</v>
      </c>
      <c r="B770" s="34" t="s">
        <v>187</v>
      </c>
      <c r="C770" s="40" t="s">
        <v>147</v>
      </c>
      <c r="D770" s="34" t="s">
        <v>147</v>
      </c>
      <c r="E770" s="871" t="s">
        <v>158</v>
      </c>
      <c r="F770" s="34">
        <v>1</v>
      </c>
      <c r="G770" s="40" t="s">
        <v>312</v>
      </c>
      <c r="H770" s="29"/>
      <c r="I770" s="9"/>
      <c r="J770" s="9"/>
      <c r="K770" s="9"/>
      <c r="L770" s="9"/>
      <c r="M770" s="9"/>
      <c r="N770" s="186" t="str">
        <f t="shared" si="45"/>
        <v/>
      </c>
      <c r="O770" s="160" t="str">
        <f t="shared" si="46"/>
        <v/>
      </c>
      <c r="P770" s="858"/>
    </row>
    <row r="771" spans="1:16" hidden="1">
      <c r="A771" s="152" t="s">
        <v>311</v>
      </c>
      <c r="B771" s="34" t="s">
        <v>245</v>
      </c>
      <c r="C771" s="40" t="s">
        <v>147</v>
      </c>
      <c r="D771" s="34" t="s">
        <v>147</v>
      </c>
      <c r="E771" s="871">
        <v>0.05</v>
      </c>
      <c r="F771" s="34">
        <v>2</v>
      </c>
      <c r="G771" s="40" t="s">
        <v>404</v>
      </c>
      <c r="H771" s="29">
        <v>1</v>
      </c>
      <c r="I771" s="9">
        <v>2</v>
      </c>
      <c r="J771" s="9">
        <v>1</v>
      </c>
      <c r="K771" s="9">
        <v>2</v>
      </c>
      <c r="L771" s="9">
        <v>2</v>
      </c>
      <c r="M771" s="9">
        <v>4</v>
      </c>
      <c r="N771" s="186">
        <f t="shared" si="45"/>
        <v>3.0582589715853041</v>
      </c>
      <c r="O771" s="160">
        <f t="shared" si="46"/>
        <v>3.0600504439474649</v>
      </c>
      <c r="P771" s="858"/>
    </row>
    <row r="772" spans="1:16" hidden="1">
      <c r="A772" s="152" t="s">
        <v>405</v>
      </c>
      <c r="B772" s="34" t="s">
        <v>388</v>
      </c>
      <c r="C772" s="40" t="s">
        <v>147</v>
      </c>
      <c r="D772" s="34" t="s">
        <v>147</v>
      </c>
      <c r="E772" s="265" t="s">
        <v>158</v>
      </c>
      <c r="F772" s="34">
        <v>1</v>
      </c>
      <c r="G772" s="40" t="s">
        <v>391</v>
      </c>
      <c r="H772" s="29">
        <v>1</v>
      </c>
      <c r="I772" s="9">
        <v>2</v>
      </c>
      <c r="J772" s="9">
        <v>3</v>
      </c>
      <c r="K772" s="9">
        <v>1</v>
      </c>
      <c r="L772" s="9">
        <v>2</v>
      </c>
      <c r="M772" s="9">
        <v>1</v>
      </c>
      <c r="N772" s="186">
        <f t="shared" si="45"/>
        <v>0.37356464144298934</v>
      </c>
      <c r="O772" s="160">
        <f t="shared" si="46"/>
        <v>0.38795788889711297</v>
      </c>
      <c r="P772" s="858"/>
    </row>
    <row r="773" spans="1:16" hidden="1">
      <c r="A773" s="152" t="s">
        <v>405</v>
      </c>
      <c r="B773" s="34" t="s">
        <v>276</v>
      </c>
      <c r="C773" s="40" t="s">
        <v>147</v>
      </c>
      <c r="D773" s="34" t="s">
        <v>147</v>
      </c>
      <c r="E773" s="265">
        <f>0.526*0.34</f>
        <v>0.17884000000000003</v>
      </c>
      <c r="F773" s="34">
        <v>2</v>
      </c>
      <c r="G773" s="40" t="s">
        <v>391</v>
      </c>
      <c r="H773" s="29">
        <v>1</v>
      </c>
      <c r="I773" s="9">
        <v>2</v>
      </c>
      <c r="J773" s="9">
        <v>3</v>
      </c>
      <c r="K773" s="9">
        <v>1</v>
      </c>
      <c r="L773" s="9">
        <v>2</v>
      </c>
      <c r="M773" s="9">
        <v>1</v>
      </c>
      <c r="N773" s="186">
        <f t="shared" si="45"/>
        <v>0.37356464144298934</v>
      </c>
      <c r="O773" s="160">
        <f t="shared" si="46"/>
        <v>0.38795788889711297</v>
      </c>
      <c r="P773" s="858"/>
    </row>
    <row r="774" spans="1:16" hidden="1">
      <c r="A774" s="152" t="s">
        <v>405</v>
      </c>
      <c r="B774" s="34" t="s">
        <v>271</v>
      </c>
      <c r="C774" s="40" t="s">
        <v>147</v>
      </c>
      <c r="D774" s="34" t="s">
        <v>147</v>
      </c>
      <c r="E774" s="265">
        <v>0.255</v>
      </c>
      <c r="F774" s="34">
        <v>2</v>
      </c>
      <c r="G774" s="40" t="s">
        <v>391</v>
      </c>
      <c r="H774" s="29">
        <v>1</v>
      </c>
      <c r="I774" s="9">
        <v>2</v>
      </c>
      <c r="J774" s="9">
        <v>3</v>
      </c>
      <c r="K774" s="9">
        <v>1</v>
      </c>
      <c r="L774" s="9">
        <v>2</v>
      </c>
      <c r="M774" s="9">
        <v>1</v>
      </c>
      <c r="N774" s="186">
        <f t="shared" si="45"/>
        <v>0.37356464144298934</v>
      </c>
      <c r="O774" s="160">
        <f t="shared" si="46"/>
        <v>0.38795788889711297</v>
      </c>
      <c r="P774" s="858"/>
    </row>
    <row r="775" spans="1:16" hidden="1">
      <c r="A775" s="152" t="s">
        <v>405</v>
      </c>
      <c r="B775" s="34" t="s">
        <v>245</v>
      </c>
      <c r="C775" s="40" t="s">
        <v>147</v>
      </c>
      <c r="D775" s="34" t="s">
        <v>147</v>
      </c>
      <c r="E775" s="265">
        <f>0.526*0.66</f>
        <v>0.34716000000000002</v>
      </c>
      <c r="F775" s="34">
        <v>2</v>
      </c>
      <c r="G775" s="40" t="s">
        <v>391</v>
      </c>
      <c r="H775" s="29">
        <v>1</v>
      </c>
      <c r="I775" s="9">
        <v>2</v>
      </c>
      <c r="J775" s="9">
        <v>3</v>
      </c>
      <c r="K775" s="9">
        <v>1</v>
      </c>
      <c r="L775" s="9">
        <v>2</v>
      </c>
      <c r="M775" s="9">
        <v>1</v>
      </c>
      <c r="N775" s="186">
        <f t="shared" si="45"/>
        <v>0.37356464144298934</v>
      </c>
      <c r="O775" s="160">
        <f t="shared" si="46"/>
        <v>0.38795788889711297</v>
      </c>
      <c r="P775" s="858"/>
    </row>
    <row r="776" spans="1:16" hidden="1">
      <c r="A776" s="152" t="s">
        <v>406</v>
      </c>
      <c r="B776" s="34" t="s">
        <v>311</v>
      </c>
      <c r="C776" s="40" t="s">
        <v>147</v>
      </c>
      <c r="D776" s="34" t="s">
        <v>147</v>
      </c>
      <c r="E776" s="265">
        <v>0.01</v>
      </c>
      <c r="F776" s="34">
        <v>2</v>
      </c>
      <c r="G776" s="40" t="s">
        <v>312</v>
      </c>
      <c r="H776" s="29">
        <v>2</v>
      </c>
      <c r="I776" s="9">
        <v>2</v>
      </c>
      <c r="J776" s="9">
        <v>2</v>
      </c>
      <c r="K776" s="9">
        <v>2</v>
      </c>
      <c r="L776" s="9">
        <v>1</v>
      </c>
      <c r="M776" s="9">
        <v>1</v>
      </c>
      <c r="N776" s="186">
        <f t="shared" si="45"/>
        <v>0.2249354160293616</v>
      </c>
      <c r="O776" s="160">
        <f t="shared" si="46"/>
        <v>0.2249354160293616</v>
      </c>
      <c r="P776" s="858"/>
    </row>
    <row r="777" spans="1:16" hidden="1">
      <c r="A777" s="152" t="s">
        <v>336</v>
      </c>
      <c r="B777" s="34" t="s">
        <v>275</v>
      </c>
      <c r="C777" s="40" t="s">
        <v>147</v>
      </c>
      <c r="D777" s="34" t="s">
        <v>147</v>
      </c>
      <c r="E777" s="260">
        <v>1.0200000000000001E-3</v>
      </c>
      <c r="F777" s="235">
        <v>2</v>
      </c>
      <c r="G777" s="40" t="s">
        <v>354</v>
      </c>
      <c r="H777" s="29">
        <v>2</v>
      </c>
      <c r="I777" s="9"/>
      <c r="J777" s="9">
        <v>3</v>
      </c>
      <c r="K777" s="9">
        <v>3</v>
      </c>
      <c r="L777" s="9">
        <v>3</v>
      </c>
      <c r="M777" s="9">
        <v>2</v>
      </c>
      <c r="N777" s="186">
        <f t="shared" si="45"/>
        <v>0.67913051197703389</v>
      </c>
      <c r="O777" s="160" t="str">
        <f t="shared" si="46"/>
        <v/>
      </c>
      <c r="P777" s="63" t="s">
        <v>355</v>
      </c>
    </row>
    <row r="778" spans="1:16" hidden="1">
      <c r="A778" s="152" t="s">
        <v>407</v>
      </c>
      <c r="B778" s="34" t="s">
        <v>279</v>
      </c>
      <c r="C778" s="40" t="s">
        <v>147</v>
      </c>
      <c r="D778" s="34" t="s">
        <v>147</v>
      </c>
      <c r="E778" s="871">
        <v>0.51183800000000002</v>
      </c>
      <c r="F778" s="34">
        <v>2</v>
      </c>
      <c r="G778" s="40" t="s">
        <v>408</v>
      </c>
      <c r="H778" s="29">
        <v>1</v>
      </c>
      <c r="I778" s="9">
        <v>1</v>
      </c>
      <c r="J778" s="9">
        <v>1</v>
      </c>
      <c r="K778" s="9">
        <v>1</v>
      </c>
      <c r="L778" s="9">
        <v>1</v>
      </c>
      <c r="M778" s="9">
        <v>1</v>
      </c>
      <c r="N778" s="186">
        <f t="shared" si="45"/>
        <v>0.13309242924026707</v>
      </c>
      <c r="O778" s="160">
        <f t="shared" si="46"/>
        <v>0.13309242924026707</v>
      </c>
      <c r="P778" s="858"/>
    </row>
    <row r="779" spans="1:16" hidden="1">
      <c r="A779" s="152" t="s">
        <v>407</v>
      </c>
      <c r="B779" s="34" t="s">
        <v>406</v>
      </c>
      <c r="C779" s="40" t="s">
        <v>147</v>
      </c>
      <c r="D779" s="34" t="s">
        <v>147</v>
      </c>
      <c r="E779" s="871">
        <v>0.23042099999999999</v>
      </c>
      <c r="F779" s="34">
        <v>1</v>
      </c>
      <c r="G779" s="40" t="s">
        <v>408</v>
      </c>
      <c r="H779" s="29">
        <v>1</v>
      </c>
      <c r="I779" s="9">
        <v>1</v>
      </c>
      <c r="J779" s="9">
        <v>1</v>
      </c>
      <c r="K779" s="9">
        <v>1</v>
      </c>
      <c r="L779" s="9">
        <v>1</v>
      </c>
      <c r="M779" s="9">
        <v>1</v>
      </c>
      <c r="N779" s="186">
        <f t="shared" si="45"/>
        <v>0.13309242924026707</v>
      </c>
      <c r="O779" s="160">
        <f t="shared" si="46"/>
        <v>0.13309242924026707</v>
      </c>
      <c r="P779" s="858"/>
    </row>
    <row r="780" spans="1:16" hidden="1">
      <c r="A780" s="152" t="s">
        <v>406</v>
      </c>
      <c r="B780" s="34" t="s">
        <v>311</v>
      </c>
      <c r="C780" s="40" t="s">
        <v>147</v>
      </c>
      <c r="D780" s="34" t="s">
        <v>147</v>
      </c>
      <c r="E780" s="265">
        <v>0.02</v>
      </c>
      <c r="F780" s="34">
        <v>2</v>
      </c>
      <c r="G780" s="40" t="s">
        <v>312</v>
      </c>
      <c r="H780" s="29">
        <v>2</v>
      </c>
      <c r="I780" s="9">
        <v>2</v>
      </c>
      <c r="J780" s="9">
        <v>2</v>
      </c>
      <c r="K780" s="9">
        <v>2</v>
      </c>
      <c r="L780" s="9">
        <v>1</v>
      </c>
      <c r="M780" s="9">
        <v>1</v>
      </c>
      <c r="N780" s="186">
        <f t="shared" si="45"/>
        <v>0.2249354160293616</v>
      </c>
      <c r="O780" s="160">
        <f t="shared" si="46"/>
        <v>0.2249354160293616</v>
      </c>
      <c r="P780" s="858"/>
    </row>
    <row r="781" spans="1:16" hidden="1">
      <c r="A781" s="152" t="s">
        <v>407</v>
      </c>
      <c r="B781" s="34" t="s">
        <v>409</v>
      </c>
      <c r="C781" s="40" t="s">
        <v>147</v>
      </c>
      <c r="D781" s="34" t="s">
        <v>147</v>
      </c>
      <c r="E781" s="871">
        <v>0.257741</v>
      </c>
      <c r="F781" s="34">
        <v>2</v>
      </c>
      <c r="G781" s="40" t="s">
        <v>408</v>
      </c>
      <c r="H781" s="29">
        <v>1</v>
      </c>
      <c r="I781" s="9">
        <v>1</v>
      </c>
      <c r="J781" s="9">
        <v>1</v>
      </c>
      <c r="K781" s="9">
        <v>1</v>
      </c>
      <c r="L781" s="9">
        <v>1</v>
      </c>
      <c r="M781" s="9">
        <v>1</v>
      </c>
      <c r="N781" s="186">
        <f t="shared" si="45"/>
        <v>0.13309242924026707</v>
      </c>
      <c r="O781" s="160">
        <f t="shared" si="46"/>
        <v>0.13309242924026707</v>
      </c>
      <c r="P781" s="858"/>
    </row>
    <row r="782" spans="1:16" hidden="1">
      <c r="A782" s="152" t="s">
        <v>406</v>
      </c>
      <c r="B782" s="34" t="s">
        <v>244</v>
      </c>
      <c r="C782" s="40" t="s">
        <v>147</v>
      </c>
      <c r="D782" s="34" t="s">
        <v>147</v>
      </c>
      <c r="E782" s="265">
        <v>0.05</v>
      </c>
      <c r="F782" s="34">
        <v>2</v>
      </c>
      <c r="G782" s="40" t="s">
        <v>286</v>
      </c>
      <c r="H782" s="29">
        <v>1</v>
      </c>
      <c r="I782" s="9">
        <v>2</v>
      </c>
      <c r="J782" s="9">
        <v>1</v>
      </c>
      <c r="K782" s="9">
        <v>1</v>
      </c>
      <c r="L782" s="9">
        <v>2</v>
      </c>
      <c r="M782" s="9">
        <v>3</v>
      </c>
      <c r="N782" s="186">
        <f t="shared" si="45"/>
        <v>1.0195048044558224</v>
      </c>
      <c r="O782" s="160">
        <f t="shared" si="46"/>
        <v>1.0248662490928169</v>
      </c>
      <c r="P782" s="858"/>
    </row>
    <row r="783" spans="1:16" hidden="1">
      <c r="A783" s="152" t="s">
        <v>406</v>
      </c>
      <c r="B783" s="34" t="s">
        <v>244</v>
      </c>
      <c r="C783" s="40" t="s">
        <v>147</v>
      </c>
      <c r="D783" s="34" t="s">
        <v>147</v>
      </c>
      <c r="E783" s="265">
        <v>0.1</v>
      </c>
      <c r="F783" s="34">
        <v>2</v>
      </c>
      <c r="G783" s="872" t="s">
        <v>287</v>
      </c>
      <c r="H783" s="29">
        <v>1</v>
      </c>
      <c r="I783" s="9">
        <v>2</v>
      </c>
      <c r="J783" s="9">
        <v>2</v>
      </c>
      <c r="K783" s="9">
        <v>1</v>
      </c>
      <c r="L783" s="9">
        <v>2</v>
      </c>
      <c r="M783" s="9">
        <v>3</v>
      </c>
      <c r="N783" s="186">
        <f t="shared" si="45"/>
        <v>1.0248662490928169</v>
      </c>
      <c r="O783" s="160">
        <f t="shared" si="46"/>
        <v>1.0301997916669636</v>
      </c>
      <c r="P783" s="858"/>
    </row>
    <row r="784" spans="1:16" hidden="1">
      <c r="A784" s="152" t="s">
        <v>130</v>
      </c>
      <c r="B784" s="34" t="s">
        <v>193</v>
      </c>
      <c r="C784" s="40" t="s">
        <v>147</v>
      </c>
      <c r="D784" s="34" t="s">
        <v>96</v>
      </c>
      <c r="E784" s="260">
        <v>0</v>
      </c>
      <c r="F784" s="235">
        <v>1</v>
      </c>
      <c r="G784" s="40"/>
      <c r="H784" s="29"/>
      <c r="I784" s="9"/>
      <c r="J784" s="9"/>
      <c r="K784" s="9"/>
      <c r="L784" s="9"/>
      <c r="M784" s="9"/>
      <c r="N784" s="186" t="str">
        <f t="shared" si="45"/>
        <v/>
      </c>
      <c r="O784" s="160" t="str">
        <f t="shared" si="46"/>
        <v/>
      </c>
      <c r="P784" s="63"/>
    </row>
    <row r="785" spans="1:16" hidden="1">
      <c r="A785" s="152" t="s">
        <v>130</v>
      </c>
      <c r="B785" s="34" t="s">
        <v>193</v>
      </c>
      <c r="C785" s="40" t="s">
        <v>147</v>
      </c>
      <c r="D785" s="34" t="s">
        <v>97</v>
      </c>
      <c r="E785" s="260">
        <v>0</v>
      </c>
      <c r="F785" s="235">
        <v>1</v>
      </c>
      <c r="G785" s="40"/>
      <c r="H785" s="29"/>
      <c r="I785" s="9"/>
      <c r="J785" s="9"/>
      <c r="K785" s="9"/>
      <c r="L785" s="9"/>
      <c r="M785" s="9"/>
      <c r="N785" s="186" t="str">
        <f t="shared" si="45"/>
        <v/>
      </c>
      <c r="O785" s="160" t="str">
        <f t="shared" si="46"/>
        <v/>
      </c>
      <c r="P785" s="63"/>
    </row>
    <row r="786" spans="1:16" hidden="1">
      <c r="A786" s="152" t="s">
        <v>130</v>
      </c>
      <c r="B786" s="34" t="s">
        <v>193</v>
      </c>
      <c r="C786" s="40" t="s">
        <v>147</v>
      </c>
      <c r="D786" s="34" t="s">
        <v>98</v>
      </c>
      <c r="E786" s="260">
        <v>0</v>
      </c>
      <c r="F786" s="235">
        <v>1</v>
      </c>
      <c r="G786" s="40"/>
      <c r="H786" s="29"/>
      <c r="I786" s="9"/>
      <c r="J786" s="9"/>
      <c r="K786" s="9"/>
      <c r="L786" s="9"/>
      <c r="M786" s="9"/>
      <c r="N786" s="186" t="str">
        <f t="shared" si="45"/>
        <v/>
      </c>
      <c r="O786" s="160" t="str">
        <f t="shared" si="46"/>
        <v/>
      </c>
      <c r="P786" s="63"/>
    </row>
    <row r="787" spans="1:16" hidden="1">
      <c r="A787" s="152" t="s">
        <v>130</v>
      </c>
      <c r="B787" s="34" t="s">
        <v>193</v>
      </c>
      <c r="C787" s="40" t="s">
        <v>147</v>
      </c>
      <c r="D787" s="34" t="s">
        <v>99</v>
      </c>
      <c r="E787" s="260">
        <v>6.387687825104362E-3</v>
      </c>
      <c r="F787" s="235">
        <v>1</v>
      </c>
      <c r="G787" s="40"/>
      <c r="H787" s="29">
        <v>2</v>
      </c>
      <c r="I787" s="9">
        <v>2</v>
      </c>
      <c r="J787" s="9">
        <v>2</v>
      </c>
      <c r="K787" s="9">
        <v>2</v>
      </c>
      <c r="L787" s="9">
        <v>1</v>
      </c>
      <c r="M787" s="9">
        <v>2</v>
      </c>
      <c r="N787" s="186">
        <f t="shared" si="45"/>
        <v>0.38795788889711302</v>
      </c>
      <c r="O787" s="160">
        <f t="shared" si="46"/>
        <v>0.38795788889711302</v>
      </c>
      <c r="P787" s="63"/>
    </row>
    <row r="788" spans="1:16" hidden="1">
      <c r="A788" s="152" t="s">
        <v>130</v>
      </c>
      <c r="B788" s="34" t="s">
        <v>193</v>
      </c>
      <c r="C788" s="40" t="s">
        <v>147</v>
      </c>
      <c r="D788" s="34" t="s">
        <v>103</v>
      </c>
      <c r="E788" s="260">
        <v>9.8377066062213417E-4</v>
      </c>
      <c r="F788" s="235">
        <v>1</v>
      </c>
      <c r="G788" s="40"/>
      <c r="H788" s="29">
        <v>2</v>
      </c>
      <c r="I788" s="9">
        <v>2</v>
      </c>
      <c r="J788" s="9">
        <v>2</v>
      </c>
      <c r="K788" s="9">
        <v>2</v>
      </c>
      <c r="L788" s="9">
        <v>1</v>
      </c>
      <c r="M788" s="9">
        <v>2</v>
      </c>
      <c r="N788" s="186">
        <f t="shared" si="45"/>
        <v>0.38795788889711302</v>
      </c>
      <c r="O788" s="160">
        <f t="shared" si="46"/>
        <v>0.38795788889711302</v>
      </c>
      <c r="P788" s="63"/>
    </row>
    <row r="789" spans="1:16" hidden="1">
      <c r="A789" s="152" t="s">
        <v>130</v>
      </c>
      <c r="B789" s="34" t="s">
        <v>193</v>
      </c>
      <c r="C789" s="40" t="s">
        <v>147</v>
      </c>
      <c r="D789" s="34" t="s">
        <v>107</v>
      </c>
      <c r="E789" s="260">
        <v>0</v>
      </c>
      <c r="F789" s="235">
        <v>1</v>
      </c>
      <c r="G789" s="40"/>
      <c r="H789" s="29"/>
      <c r="I789" s="9"/>
      <c r="J789" s="9"/>
      <c r="K789" s="9"/>
      <c r="L789" s="9"/>
      <c r="M789" s="9"/>
      <c r="N789" s="186" t="str">
        <f t="shared" si="45"/>
        <v/>
      </c>
      <c r="O789" s="160" t="str">
        <f t="shared" si="46"/>
        <v/>
      </c>
      <c r="P789" s="63"/>
    </row>
    <row r="790" spans="1:16" hidden="1">
      <c r="A790" s="152" t="s">
        <v>130</v>
      </c>
      <c r="B790" s="34" t="s">
        <v>356</v>
      </c>
      <c r="C790" s="40" t="s">
        <v>147</v>
      </c>
      <c r="D790" s="34" t="s">
        <v>93</v>
      </c>
      <c r="E790" s="260">
        <v>0</v>
      </c>
      <c r="F790" s="235">
        <v>1</v>
      </c>
      <c r="G790" s="40"/>
      <c r="H790" s="29"/>
      <c r="I790" s="9"/>
      <c r="J790" s="9"/>
      <c r="K790" s="9"/>
      <c r="L790" s="9"/>
      <c r="M790" s="9"/>
      <c r="N790" s="186" t="str">
        <f t="shared" si="45"/>
        <v/>
      </c>
      <c r="O790" s="160" t="str">
        <f t="shared" si="46"/>
        <v/>
      </c>
      <c r="P790" s="63"/>
    </row>
    <row r="791" spans="1:16" hidden="1">
      <c r="A791" s="152" t="s">
        <v>130</v>
      </c>
      <c r="B791" s="34" t="s">
        <v>356</v>
      </c>
      <c r="C791" s="40" t="s">
        <v>147</v>
      </c>
      <c r="D791" s="34" t="s">
        <v>94</v>
      </c>
      <c r="E791" s="260">
        <v>0</v>
      </c>
      <c r="F791" s="235">
        <v>1</v>
      </c>
      <c r="G791" s="40"/>
      <c r="H791" s="29"/>
      <c r="I791" s="9"/>
      <c r="J791" s="9"/>
      <c r="K791" s="9"/>
      <c r="L791" s="9"/>
      <c r="M791" s="9"/>
      <c r="N791" s="186" t="str">
        <f t="shared" si="45"/>
        <v/>
      </c>
      <c r="O791" s="160" t="str">
        <f t="shared" si="46"/>
        <v/>
      </c>
      <c r="P791" s="63"/>
    </row>
    <row r="792" spans="1:16" hidden="1">
      <c r="A792" s="152" t="s">
        <v>130</v>
      </c>
      <c r="B792" s="34" t="s">
        <v>356</v>
      </c>
      <c r="C792" s="40" t="s">
        <v>147</v>
      </c>
      <c r="D792" s="34" t="s">
        <v>95</v>
      </c>
      <c r="E792" s="260">
        <v>0.15197638649335868</v>
      </c>
      <c r="F792" s="235">
        <v>1</v>
      </c>
      <c r="G792" s="40"/>
      <c r="H792" s="29">
        <v>2</v>
      </c>
      <c r="I792" s="9">
        <v>2</v>
      </c>
      <c r="J792" s="9">
        <v>2</v>
      </c>
      <c r="K792" s="9">
        <v>2</v>
      </c>
      <c r="L792" s="9">
        <v>1</v>
      </c>
      <c r="M792" s="9">
        <v>2</v>
      </c>
      <c r="N792" s="186">
        <f t="shared" si="45"/>
        <v>0.38795788889711302</v>
      </c>
      <c r="O792" s="160">
        <f t="shared" si="46"/>
        <v>0.38795788889711302</v>
      </c>
      <c r="P792" s="63"/>
    </row>
    <row r="793" spans="1:16">
      <c r="A793" s="152" t="s">
        <v>269</v>
      </c>
      <c r="B793" s="34" t="s">
        <v>258</v>
      </c>
      <c r="C793" s="40" t="s">
        <v>190</v>
      </c>
      <c r="D793" s="69" t="s">
        <v>96</v>
      </c>
      <c r="E793" s="868">
        <v>0.16331787738279241</v>
      </c>
      <c r="F793" s="34">
        <v>1</v>
      </c>
      <c r="G793" s="344" t="s">
        <v>135</v>
      </c>
      <c r="H793" s="29"/>
      <c r="I793" s="9">
        <v>1</v>
      </c>
      <c r="J793" s="9">
        <v>1</v>
      </c>
      <c r="K793" s="9">
        <v>1</v>
      </c>
      <c r="L793" s="9">
        <v>2</v>
      </c>
      <c r="M793" s="9">
        <v>2</v>
      </c>
      <c r="N793" s="186" t="str">
        <f t="shared" si="45"/>
        <v/>
      </c>
      <c r="O793" s="160">
        <f t="shared" si="46"/>
        <v>0.35859414261160716</v>
      </c>
      <c r="P793" s="63"/>
    </row>
    <row r="794" spans="1:16" hidden="1">
      <c r="A794" s="152" t="s">
        <v>293</v>
      </c>
      <c r="B794" s="34" t="s">
        <v>264</v>
      </c>
      <c r="C794" s="40" t="s">
        <v>147</v>
      </c>
      <c r="D794" s="34" t="s">
        <v>147</v>
      </c>
      <c r="E794" s="868">
        <f>(1-0.004)*0.04/100</f>
        <v>3.9839999999999998E-4</v>
      </c>
      <c r="F794" s="235">
        <v>2</v>
      </c>
      <c r="G794" s="523" t="s">
        <v>402</v>
      </c>
      <c r="H794" s="29">
        <v>2</v>
      </c>
      <c r="I794" s="9">
        <v>1</v>
      </c>
      <c r="J794" s="9">
        <v>2</v>
      </c>
      <c r="K794" s="9">
        <v>3</v>
      </c>
      <c r="L794" s="9">
        <v>3</v>
      </c>
      <c r="M794" s="9">
        <v>1</v>
      </c>
      <c r="N794" s="186">
        <f t="shared" si="45"/>
        <v>0.51126068492676302</v>
      </c>
      <c r="O794" s="160">
        <f t="shared" si="46"/>
        <v>0.50042652380814845</v>
      </c>
      <c r="P794" s="63"/>
    </row>
    <row r="795" spans="1:16" hidden="1">
      <c r="A795" s="152" t="s">
        <v>293</v>
      </c>
      <c r="B795" s="34" t="s">
        <v>261</v>
      </c>
      <c r="C795" s="40" t="s">
        <v>147</v>
      </c>
      <c r="D795" s="34" t="s">
        <v>147</v>
      </c>
      <c r="E795" s="260" t="s">
        <v>158</v>
      </c>
      <c r="F795" s="235">
        <v>1</v>
      </c>
      <c r="G795" s="40"/>
      <c r="H795" s="29"/>
      <c r="I795" s="9"/>
      <c r="J795" s="9"/>
      <c r="K795" s="9"/>
      <c r="L795" s="9"/>
      <c r="M795" s="9"/>
      <c r="N795" s="186" t="str">
        <f t="shared" si="45"/>
        <v/>
      </c>
      <c r="O795" s="160" t="str">
        <f t="shared" si="46"/>
        <v/>
      </c>
      <c r="P795" s="63"/>
    </row>
    <row r="796" spans="1:16" hidden="1">
      <c r="A796" s="292" t="s">
        <v>238</v>
      </c>
      <c r="B796" s="55" t="s">
        <v>184</v>
      </c>
      <c r="C796" s="265" t="s">
        <v>147</v>
      </c>
      <c r="D796" s="55" t="s">
        <v>147</v>
      </c>
      <c r="E796" s="260">
        <v>1E-4</v>
      </c>
      <c r="F796" s="235">
        <v>1</v>
      </c>
      <c r="G796" s="265" t="s">
        <v>410</v>
      </c>
      <c r="H796" s="29">
        <v>1</v>
      </c>
      <c r="I796" s="9">
        <v>1</v>
      </c>
      <c r="J796" s="9">
        <v>2</v>
      </c>
      <c r="K796" s="9">
        <v>1</v>
      </c>
      <c r="L796" s="9">
        <v>2</v>
      </c>
      <c r="M796" s="9">
        <v>3</v>
      </c>
      <c r="N796" s="186">
        <f t="shared" si="45"/>
        <v>1.0248662490928169</v>
      </c>
      <c r="O796" s="160">
        <f t="shared" si="46"/>
        <v>1.0248662490928169</v>
      </c>
      <c r="P796" s="63"/>
    </row>
    <row r="797" spans="1:16" hidden="1">
      <c r="A797" s="152" t="s">
        <v>395</v>
      </c>
      <c r="B797" s="34" t="s">
        <v>411</v>
      </c>
      <c r="C797" s="40" t="s">
        <v>147</v>
      </c>
      <c r="D797" s="34" t="s">
        <v>147</v>
      </c>
      <c r="E797" s="260" t="s">
        <v>158</v>
      </c>
      <c r="F797" s="235">
        <v>1</v>
      </c>
      <c r="G797" s="40"/>
      <c r="H797" s="29"/>
      <c r="I797" s="9"/>
      <c r="J797" s="9"/>
      <c r="K797" s="9"/>
      <c r="L797" s="9"/>
      <c r="M797" s="9"/>
      <c r="N797" s="186" t="str">
        <f t="shared" si="45"/>
        <v/>
      </c>
      <c r="O797" s="160" t="str">
        <f t="shared" si="46"/>
        <v/>
      </c>
      <c r="P797" s="63" t="s">
        <v>412</v>
      </c>
    </row>
    <row r="798" spans="1:16" hidden="1">
      <c r="A798" s="152" t="s">
        <v>396</v>
      </c>
      <c r="B798" s="34" t="s">
        <v>413</v>
      </c>
      <c r="C798" s="40" t="s">
        <v>147</v>
      </c>
      <c r="D798" s="34" t="s">
        <v>147</v>
      </c>
      <c r="E798" s="260" t="s">
        <v>158</v>
      </c>
      <c r="F798" s="235">
        <v>1</v>
      </c>
      <c r="G798" s="40"/>
      <c r="H798" s="29"/>
      <c r="I798" s="9"/>
      <c r="J798" s="9"/>
      <c r="K798" s="9"/>
      <c r="L798" s="9"/>
      <c r="M798" s="9"/>
      <c r="N798" s="186" t="str">
        <f t="shared" si="45"/>
        <v/>
      </c>
      <c r="O798" s="160" t="str">
        <f t="shared" si="46"/>
        <v/>
      </c>
      <c r="P798" s="63" t="s">
        <v>414</v>
      </c>
    </row>
    <row r="799" spans="1:16" hidden="1">
      <c r="A799" s="152" t="s">
        <v>37</v>
      </c>
      <c r="B799" s="34" t="s">
        <v>169</v>
      </c>
      <c r="C799" s="40" t="s">
        <v>147</v>
      </c>
      <c r="D799" s="34" t="s">
        <v>93</v>
      </c>
      <c r="E799" s="260">
        <f>Intentionally_produced_MPs!L127</f>
        <v>5.5555555555555546E-2</v>
      </c>
      <c r="F799" s="235">
        <v>1</v>
      </c>
      <c r="G799" s="40"/>
      <c r="H799" s="29">
        <v>3</v>
      </c>
      <c r="I799" s="9">
        <v>2</v>
      </c>
      <c r="J799" s="9">
        <v>3</v>
      </c>
      <c r="K799" s="9">
        <v>3</v>
      </c>
      <c r="L799" s="9">
        <v>3</v>
      </c>
      <c r="M799" s="9">
        <v>3</v>
      </c>
      <c r="N799" s="186">
        <f t="shared" si="45"/>
        <v>1.2132328390150593</v>
      </c>
      <c r="O799" s="160">
        <f t="shared" si="46"/>
        <v>1.1713319510247036</v>
      </c>
      <c r="P799" s="63"/>
    </row>
    <row r="800" spans="1:16" hidden="1">
      <c r="A800" s="152" t="s">
        <v>37</v>
      </c>
      <c r="B800" s="34" t="s">
        <v>169</v>
      </c>
      <c r="C800" s="40" t="s">
        <v>147</v>
      </c>
      <c r="D800" s="34" t="s">
        <v>94</v>
      </c>
      <c r="E800" s="260">
        <f>Intentionally_produced_MPs!L128</f>
        <v>8.8868167073346722E-3</v>
      </c>
      <c r="F800" s="235">
        <v>1</v>
      </c>
      <c r="G800" s="40"/>
      <c r="H800" s="29">
        <v>3</v>
      </c>
      <c r="I800" s="9">
        <v>2</v>
      </c>
      <c r="J800" s="9">
        <v>3</v>
      </c>
      <c r="K800" s="9">
        <v>3</v>
      </c>
      <c r="L800" s="9">
        <v>3</v>
      </c>
      <c r="M800" s="9">
        <v>3</v>
      </c>
      <c r="N800" s="186">
        <f t="shared" si="45"/>
        <v>1.2132328390150593</v>
      </c>
      <c r="O800" s="160">
        <f t="shared" si="46"/>
        <v>1.1713319510247036</v>
      </c>
      <c r="P800" s="63"/>
    </row>
    <row r="801" spans="1:16" hidden="1">
      <c r="A801" s="152" t="s">
        <v>37</v>
      </c>
      <c r="B801" s="34" t="s">
        <v>169</v>
      </c>
      <c r="C801" s="40" t="s">
        <v>147</v>
      </c>
      <c r="D801" s="34" t="s">
        <v>95</v>
      </c>
      <c r="E801" s="260">
        <f>Intentionally_produced_MPs!L129</f>
        <v>0</v>
      </c>
      <c r="F801" s="235">
        <v>1</v>
      </c>
      <c r="G801" s="40"/>
      <c r="H801" s="29"/>
      <c r="I801" s="9"/>
      <c r="J801" s="9"/>
      <c r="K801" s="9"/>
      <c r="L801" s="9"/>
      <c r="M801" s="9"/>
      <c r="N801" s="186" t="str">
        <f t="shared" si="45"/>
        <v/>
      </c>
      <c r="O801" s="160" t="str">
        <f t="shared" si="46"/>
        <v/>
      </c>
      <c r="P801" s="63"/>
    </row>
    <row r="802" spans="1:16" hidden="1">
      <c r="A802" s="152" t="s">
        <v>37</v>
      </c>
      <c r="B802" s="34" t="s">
        <v>169</v>
      </c>
      <c r="C802" s="40" t="s">
        <v>147</v>
      </c>
      <c r="D802" s="34" t="s">
        <v>96</v>
      </c>
      <c r="E802" s="260">
        <f>Intentionally_produced_MPs!L130</f>
        <v>0</v>
      </c>
      <c r="F802" s="235">
        <v>1</v>
      </c>
      <c r="G802" s="40"/>
      <c r="H802" s="29"/>
      <c r="I802" s="9"/>
      <c r="J802" s="9"/>
      <c r="K802" s="9"/>
      <c r="L802" s="9"/>
      <c r="M802" s="9"/>
      <c r="N802" s="186" t="str">
        <f t="shared" si="45"/>
        <v/>
      </c>
      <c r="O802" s="160" t="str">
        <f t="shared" si="46"/>
        <v/>
      </c>
      <c r="P802" s="63"/>
    </row>
    <row r="803" spans="1:16" hidden="1">
      <c r="A803" s="152" t="s">
        <v>37</v>
      </c>
      <c r="B803" s="34" t="s">
        <v>169</v>
      </c>
      <c r="C803" s="40" t="s">
        <v>147</v>
      </c>
      <c r="D803" s="34" t="s">
        <v>97</v>
      </c>
      <c r="E803" s="260">
        <f>Intentionally_produced_MPs!L131</f>
        <v>0</v>
      </c>
      <c r="F803" s="235">
        <v>1</v>
      </c>
      <c r="G803" s="40"/>
      <c r="H803" s="29"/>
      <c r="I803" s="9"/>
      <c r="J803" s="9"/>
      <c r="K803" s="9"/>
      <c r="L803" s="9"/>
      <c r="M803" s="9"/>
      <c r="N803" s="186" t="str">
        <f t="shared" si="45"/>
        <v/>
      </c>
      <c r="O803" s="160" t="str">
        <f t="shared" si="46"/>
        <v/>
      </c>
      <c r="P803" s="63"/>
    </row>
    <row r="804" spans="1:16" hidden="1">
      <c r="A804" s="152" t="s">
        <v>37</v>
      </c>
      <c r="B804" s="34" t="s">
        <v>169</v>
      </c>
      <c r="C804" s="40" t="s">
        <v>147</v>
      </c>
      <c r="D804" s="34" t="s">
        <v>98</v>
      </c>
      <c r="E804" s="260">
        <f>Intentionally_produced_MPs!L132</f>
        <v>5.5555555555555546E-2</v>
      </c>
      <c r="F804" s="235">
        <v>1</v>
      </c>
      <c r="G804" s="40"/>
      <c r="H804" s="29">
        <v>3</v>
      </c>
      <c r="I804" s="9">
        <v>2</v>
      </c>
      <c r="J804" s="9">
        <v>3</v>
      </c>
      <c r="K804" s="9">
        <v>3</v>
      </c>
      <c r="L804" s="9">
        <v>3</v>
      </c>
      <c r="M804" s="9">
        <v>3</v>
      </c>
      <c r="N804" s="186">
        <f t="shared" si="45"/>
        <v>1.2132328390150593</v>
      </c>
      <c r="O804" s="160">
        <f t="shared" si="46"/>
        <v>1.1713319510247036</v>
      </c>
      <c r="P804" s="63"/>
    </row>
    <row r="805" spans="1:16" hidden="1">
      <c r="A805" s="152" t="s">
        <v>37</v>
      </c>
      <c r="B805" s="34" t="s">
        <v>169</v>
      </c>
      <c r="C805" s="40" t="s">
        <v>147</v>
      </c>
      <c r="D805" s="34" t="s">
        <v>99</v>
      </c>
      <c r="E805" s="260">
        <f>Intentionally_produced_MPs!L133</f>
        <v>0.1555597303733175</v>
      </c>
      <c r="F805" s="235">
        <v>1</v>
      </c>
      <c r="G805" s="40"/>
      <c r="H805" s="29">
        <v>3</v>
      </c>
      <c r="I805" s="9">
        <v>2</v>
      </c>
      <c r="J805" s="9">
        <v>3</v>
      </c>
      <c r="K805" s="9">
        <v>3</v>
      </c>
      <c r="L805" s="9">
        <v>3</v>
      </c>
      <c r="M805" s="9">
        <v>3</v>
      </c>
      <c r="N805" s="186">
        <f t="shared" si="45"/>
        <v>1.2132328390150593</v>
      </c>
      <c r="O805" s="160">
        <f t="shared" si="46"/>
        <v>1.1713319510247036</v>
      </c>
      <c r="P805" s="63"/>
    </row>
    <row r="806" spans="1:16" hidden="1">
      <c r="A806" s="152" t="s">
        <v>37</v>
      </c>
      <c r="B806" s="34" t="s">
        <v>169</v>
      </c>
      <c r="C806" s="40" t="s">
        <v>147</v>
      </c>
      <c r="D806" s="34" t="s">
        <v>100</v>
      </c>
      <c r="E806" s="260">
        <f>Intentionally_produced_MPs!L134</f>
        <v>0</v>
      </c>
      <c r="F806" s="235">
        <v>1</v>
      </c>
      <c r="G806" s="40"/>
      <c r="H806" s="29"/>
      <c r="I806" s="9"/>
      <c r="J806" s="9"/>
      <c r="K806" s="9"/>
      <c r="L806" s="9"/>
      <c r="M806" s="9"/>
      <c r="N806" s="186" t="str">
        <f t="shared" si="45"/>
        <v/>
      </c>
      <c r="O806" s="160" t="str">
        <f t="shared" si="46"/>
        <v/>
      </c>
      <c r="P806" s="63"/>
    </row>
    <row r="807" spans="1:16" hidden="1">
      <c r="A807" s="152" t="s">
        <v>37</v>
      </c>
      <c r="B807" s="34" t="s">
        <v>169</v>
      </c>
      <c r="C807" s="40" t="s">
        <v>147</v>
      </c>
      <c r="D807" s="34" t="s">
        <v>101</v>
      </c>
      <c r="E807" s="260">
        <f>Intentionally_produced_MPs!L135</f>
        <v>4.7372437949387489E-3</v>
      </c>
      <c r="F807" s="235">
        <v>1</v>
      </c>
      <c r="G807" s="40"/>
      <c r="H807" s="29">
        <v>3</v>
      </c>
      <c r="I807" s="9">
        <v>2</v>
      </c>
      <c r="J807" s="9">
        <v>3</v>
      </c>
      <c r="K807" s="9">
        <v>3</v>
      </c>
      <c r="L807" s="9">
        <v>3</v>
      </c>
      <c r="M807" s="9">
        <v>3</v>
      </c>
      <c r="N807" s="186">
        <f t="shared" si="45"/>
        <v>1.2132328390150593</v>
      </c>
      <c r="O807" s="160">
        <f t="shared" si="46"/>
        <v>1.1713319510247036</v>
      </c>
      <c r="P807" s="63"/>
    </row>
    <row r="808" spans="1:16" hidden="1">
      <c r="A808" s="152" t="s">
        <v>37</v>
      </c>
      <c r="B808" s="34" t="s">
        <v>169</v>
      </c>
      <c r="C808" s="40" t="s">
        <v>147</v>
      </c>
      <c r="D808" s="34" t="s">
        <v>102</v>
      </c>
      <c r="E808" s="260">
        <f>Intentionally_produced_MPs!L136</f>
        <v>0</v>
      </c>
      <c r="F808" s="235">
        <v>1</v>
      </c>
      <c r="G808" s="40"/>
      <c r="H808" s="29"/>
      <c r="I808" s="9"/>
      <c r="J808" s="9"/>
      <c r="K808" s="9"/>
      <c r="L808" s="9"/>
      <c r="M808" s="9"/>
      <c r="N808" s="186" t="str">
        <f t="shared" si="45"/>
        <v/>
      </c>
      <c r="O808" s="160" t="str">
        <f t="shared" si="46"/>
        <v/>
      </c>
      <c r="P808" s="63"/>
    </row>
    <row r="809" spans="1:16" hidden="1">
      <c r="A809" s="152" t="s">
        <v>37</v>
      </c>
      <c r="B809" s="34" t="s">
        <v>169</v>
      </c>
      <c r="C809" s="40" t="s">
        <v>147</v>
      </c>
      <c r="D809" s="34" t="s">
        <v>103</v>
      </c>
      <c r="E809" s="260">
        <f>Intentionally_produced_MPs!L137</f>
        <v>4.4333947817568178E-2</v>
      </c>
      <c r="F809" s="235">
        <v>1</v>
      </c>
      <c r="G809" s="40"/>
      <c r="H809" s="29">
        <v>3</v>
      </c>
      <c r="I809" s="9">
        <v>2</v>
      </c>
      <c r="J809" s="9">
        <v>3</v>
      </c>
      <c r="K809" s="9">
        <v>3</v>
      </c>
      <c r="L809" s="9">
        <v>3</v>
      </c>
      <c r="M809" s="9">
        <v>3</v>
      </c>
      <c r="N809" s="186">
        <f t="shared" si="45"/>
        <v>1.2132328390150593</v>
      </c>
      <c r="O809" s="160">
        <f t="shared" si="46"/>
        <v>1.1713319510247036</v>
      </c>
      <c r="P809" s="63"/>
    </row>
    <row r="810" spans="1:16" hidden="1">
      <c r="A810" s="152" t="s">
        <v>37</v>
      </c>
      <c r="B810" s="34" t="s">
        <v>169</v>
      </c>
      <c r="C810" s="40" t="s">
        <v>147</v>
      </c>
      <c r="D810" s="34" t="s">
        <v>104</v>
      </c>
      <c r="E810" s="260">
        <f>Intentionally_produced_MPs!L138</f>
        <v>0</v>
      </c>
      <c r="F810" s="235">
        <v>1</v>
      </c>
      <c r="G810" s="40"/>
      <c r="H810" s="29"/>
      <c r="I810" s="9"/>
      <c r="J810" s="9"/>
      <c r="K810" s="9"/>
      <c r="L810" s="9"/>
      <c r="M810" s="9"/>
      <c r="N810" s="186" t="str">
        <f t="shared" si="45"/>
        <v/>
      </c>
      <c r="O810" s="160" t="str">
        <f t="shared" si="46"/>
        <v/>
      </c>
      <c r="P810" s="63"/>
    </row>
    <row r="811" spans="1:16" hidden="1">
      <c r="A811" s="152" t="s">
        <v>37</v>
      </c>
      <c r="B811" s="34" t="s">
        <v>169</v>
      </c>
      <c r="C811" s="40" t="s">
        <v>147</v>
      </c>
      <c r="D811" s="34" t="s">
        <v>105</v>
      </c>
      <c r="E811" s="260">
        <f>Intentionally_produced_MPs!L139</f>
        <v>4.4586330230196494E-2</v>
      </c>
      <c r="F811" s="235">
        <v>1</v>
      </c>
      <c r="G811" s="40"/>
      <c r="H811" s="29">
        <v>3</v>
      </c>
      <c r="I811" s="9">
        <v>2</v>
      </c>
      <c r="J811" s="9">
        <v>3</v>
      </c>
      <c r="K811" s="9">
        <v>3</v>
      </c>
      <c r="L811" s="9">
        <v>3</v>
      </c>
      <c r="M811" s="9">
        <v>3</v>
      </c>
      <c r="N811" s="186">
        <f t="shared" si="45"/>
        <v>1.2132328390150593</v>
      </c>
      <c r="O811" s="160">
        <f t="shared" si="46"/>
        <v>1.1713319510247036</v>
      </c>
      <c r="P811" s="63"/>
    </row>
    <row r="812" spans="1:16" hidden="1">
      <c r="A812" s="152" t="s">
        <v>37</v>
      </c>
      <c r="B812" s="34" t="s">
        <v>169</v>
      </c>
      <c r="C812" s="40" t="s">
        <v>147</v>
      </c>
      <c r="D812" s="34" t="s">
        <v>106</v>
      </c>
      <c r="E812" s="260">
        <f>Intentionally_produced_MPs!L140</f>
        <v>6.8330054573633985E-3</v>
      </c>
      <c r="F812" s="235">
        <v>1</v>
      </c>
      <c r="G812" s="40"/>
      <c r="H812" s="29">
        <v>3</v>
      </c>
      <c r="I812" s="9">
        <v>2</v>
      </c>
      <c r="J812" s="9">
        <v>3</v>
      </c>
      <c r="K812" s="9">
        <v>3</v>
      </c>
      <c r="L812" s="9">
        <v>3</v>
      </c>
      <c r="M812" s="9">
        <v>3</v>
      </c>
      <c r="N812" s="186">
        <f t="shared" si="45"/>
        <v>1.2132328390150593</v>
      </c>
      <c r="O812" s="160">
        <f t="shared" si="46"/>
        <v>1.1713319510247036</v>
      </c>
      <c r="P812" s="63"/>
    </row>
    <row r="813" spans="1:16" hidden="1">
      <c r="A813" s="152" t="s">
        <v>374</v>
      </c>
      <c r="B813" s="34" t="s">
        <v>294</v>
      </c>
      <c r="C813" s="40" t="s">
        <v>147</v>
      </c>
      <c r="D813" s="34" t="s">
        <v>147</v>
      </c>
      <c r="E813" s="260">
        <v>1</v>
      </c>
      <c r="F813" s="235">
        <v>2</v>
      </c>
      <c r="G813" s="40" t="s">
        <v>165</v>
      </c>
      <c r="H813" s="29"/>
      <c r="I813" s="9"/>
      <c r="J813" s="9"/>
      <c r="K813" s="9"/>
      <c r="L813" s="9"/>
      <c r="M813" s="9"/>
      <c r="N813" s="186" t="str">
        <f t="shared" si="45"/>
        <v/>
      </c>
      <c r="O813" s="160" t="str">
        <f t="shared" si="46"/>
        <v/>
      </c>
      <c r="P813" s="63"/>
    </row>
    <row r="814" spans="1:16" hidden="1">
      <c r="A814" s="152" t="s">
        <v>395</v>
      </c>
      <c r="B814" s="34" t="s">
        <v>294</v>
      </c>
      <c r="C814" s="40" t="s">
        <v>147</v>
      </c>
      <c r="D814" s="34" t="s">
        <v>147</v>
      </c>
      <c r="E814" s="260">
        <v>0.59523809523809523</v>
      </c>
      <c r="F814" s="235">
        <v>2</v>
      </c>
      <c r="G814" s="40" t="s">
        <v>415</v>
      </c>
      <c r="H814" s="29">
        <v>1</v>
      </c>
      <c r="I814" s="9"/>
      <c r="J814" s="9">
        <v>1</v>
      </c>
      <c r="K814" s="9">
        <v>3</v>
      </c>
      <c r="L814" s="9">
        <v>3</v>
      </c>
      <c r="M814" s="9">
        <v>3</v>
      </c>
      <c r="N814" s="186">
        <f t="shared" si="45"/>
        <v>1.1181151966036349</v>
      </c>
      <c r="O814" s="160" t="str">
        <f t="shared" si="46"/>
        <v/>
      </c>
      <c r="P814" s="63" t="s">
        <v>416</v>
      </c>
    </row>
    <row r="815" spans="1:16" hidden="1">
      <c r="A815" s="152" t="s">
        <v>411</v>
      </c>
      <c r="B815" s="34" t="s">
        <v>294</v>
      </c>
      <c r="C815" s="40" t="s">
        <v>147</v>
      </c>
      <c r="D815" s="34" t="s">
        <v>147</v>
      </c>
      <c r="E815" s="260">
        <v>1</v>
      </c>
      <c r="F815" s="235">
        <v>2</v>
      </c>
      <c r="G815" s="40" t="s">
        <v>165</v>
      </c>
      <c r="H815" s="29">
        <v>3</v>
      </c>
      <c r="I815" s="9"/>
      <c r="J815" s="9">
        <v>3</v>
      </c>
      <c r="K815" s="9">
        <v>3</v>
      </c>
      <c r="L815" s="9">
        <v>3</v>
      </c>
      <c r="M815" s="9">
        <v>3</v>
      </c>
      <c r="N815" s="186">
        <f t="shared" si="45"/>
        <v>1.2132328390150593</v>
      </c>
      <c r="O815" s="160" t="str">
        <f t="shared" si="46"/>
        <v/>
      </c>
      <c r="P815" s="63" t="s">
        <v>417</v>
      </c>
    </row>
    <row r="816" spans="1:16" hidden="1">
      <c r="A816" s="152" t="s">
        <v>377</v>
      </c>
      <c r="B816" s="34" t="s">
        <v>296</v>
      </c>
      <c r="C816" s="40" t="s">
        <v>147</v>
      </c>
      <c r="D816" s="34" t="s">
        <v>147</v>
      </c>
      <c r="E816" s="260">
        <v>0.50016393442622953</v>
      </c>
      <c r="F816" s="235">
        <v>2</v>
      </c>
      <c r="G816" s="867" t="s">
        <v>300</v>
      </c>
      <c r="H816" s="29">
        <v>2</v>
      </c>
      <c r="I816" s="9"/>
      <c r="J816" s="9">
        <v>2</v>
      </c>
      <c r="K816" s="9">
        <v>3</v>
      </c>
      <c r="L816" s="9">
        <v>3</v>
      </c>
      <c r="M816" s="9">
        <v>1</v>
      </c>
      <c r="N816" s="186">
        <f t="shared" si="45"/>
        <v>0.51126068492676302</v>
      </c>
      <c r="O816" s="160" t="str">
        <f t="shared" si="46"/>
        <v/>
      </c>
      <c r="P816" s="63"/>
    </row>
    <row r="817" spans="1:16" hidden="1">
      <c r="A817" s="152" t="s">
        <v>377</v>
      </c>
      <c r="B817" s="34" t="s">
        <v>296</v>
      </c>
      <c r="C817" s="40" t="s">
        <v>147</v>
      </c>
      <c r="D817" s="34" t="s">
        <v>147</v>
      </c>
      <c r="E817" s="260">
        <v>0.78343949044585992</v>
      </c>
      <c r="F817" s="235">
        <v>2</v>
      </c>
      <c r="G817" s="867" t="s">
        <v>418</v>
      </c>
      <c r="H817" s="29">
        <v>2</v>
      </c>
      <c r="I817" s="9"/>
      <c r="J817" s="9">
        <v>2</v>
      </c>
      <c r="K817" s="9">
        <v>3</v>
      </c>
      <c r="L817" s="9">
        <v>3</v>
      </c>
      <c r="M817" s="9">
        <v>1</v>
      </c>
      <c r="N817" s="186">
        <f t="shared" si="45"/>
        <v>0.51126068492676302</v>
      </c>
      <c r="O817" s="160" t="str">
        <f t="shared" si="46"/>
        <v/>
      </c>
      <c r="P817" s="63"/>
    </row>
    <row r="818" spans="1:16" hidden="1">
      <c r="A818" s="152" t="s">
        <v>377</v>
      </c>
      <c r="B818" s="34" t="s">
        <v>296</v>
      </c>
      <c r="C818" s="40" t="s">
        <v>147</v>
      </c>
      <c r="D818" s="34" t="s">
        <v>147</v>
      </c>
      <c r="E818" s="260">
        <v>0.91509433962264153</v>
      </c>
      <c r="F818" s="235">
        <v>2</v>
      </c>
      <c r="G818" s="867" t="s">
        <v>419</v>
      </c>
      <c r="H818" s="29">
        <v>2</v>
      </c>
      <c r="I818" s="9"/>
      <c r="J818" s="9">
        <v>2</v>
      </c>
      <c r="K818" s="9">
        <v>3</v>
      </c>
      <c r="L818" s="9">
        <v>3</v>
      </c>
      <c r="M818" s="9">
        <v>1</v>
      </c>
      <c r="N818" s="186">
        <f t="shared" si="45"/>
        <v>0.51126068492676302</v>
      </c>
      <c r="O818" s="160" t="str">
        <f t="shared" si="46"/>
        <v/>
      </c>
      <c r="P818" s="63"/>
    </row>
    <row r="819" spans="1:16" hidden="1">
      <c r="A819" s="152" t="s">
        <v>377</v>
      </c>
      <c r="B819" s="34" t="s">
        <v>296</v>
      </c>
      <c r="C819" s="40" t="s">
        <v>147</v>
      </c>
      <c r="D819" s="34" t="s">
        <v>147</v>
      </c>
      <c r="E819" s="260">
        <v>0.97399999999999998</v>
      </c>
      <c r="F819" s="235">
        <v>2</v>
      </c>
      <c r="G819" s="867" t="s">
        <v>304</v>
      </c>
      <c r="H819" s="29">
        <v>2</v>
      </c>
      <c r="I819" s="9"/>
      <c r="J819" s="9">
        <v>2</v>
      </c>
      <c r="K819" s="9">
        <v>3</v>
      </c>
      <c r="L819" s="9">
        <v>3</v>
      </c>
      <c r="M819" s="9">
        <v>1</v>
      </c>
      <c r="N819" s="186">
        <f t="shared" si="45"/>
        <v>0.51126068492676302</v>
      </c>
      <c r="O819" s="160" t="str">
        <f t="shared" si="46"/>
        <v/>
      </c>
      <c r="P819" s="63"/>
    </row>
    <row r="820" spans="1:16" hidden="1">
      <c r="A820" s="152" t="s">
        <v>377</v>
      </c>
      <c r="B820" s="34" t="s">
        <v>296</v>
      </c>
      <c r="C820" s="40" t="s">
        <v>147</v>
      </c>
      <c r="D820" s="34" t="s">
        <v>147</v>
      </c>
      <c r="E820" s="260">
        <v>0.98399999999999999</v>
      </c>
      <c r="F820" s="235">
        <v>2</v>
      </c>
      <c r="G820" s="867" t="s">
        <v>304</v>
      </c>
      <c r="H820" s="29">
        <v>2</v>
      </c>
      <c r="I820" s="9"/>
      <c r="J820" s="9">
        <v>2</v>
      </c>
      <c r="K820" s="9">
        <v>3</v>
      </c>
      <c r="L820" s="9">
        <v>3</v>
      </c>
      <c r="M820" s="9">
        <v>1</v>
      </c>
      <c r="N820" s="186">
        <f t="shared" si="45"/>
        <v>0.51126068492676302</v>
      </c>
      <c r="O820" s="160" t="str">
        <f t="shared" si="46"/>
        <v/>
      </c>
      <c r="P820" s="63"/>
    </row>
    <row r="821" spans="1:16" hidden="1">
      <c r="A821" s="152" t="s">
        <v>377</v>
      </c>
      <c r="B821" s="34" t="s">
        <v>296</v>
      </c>
      <c r="C821" s="40" t="s">
        <v>147</v>
      </c>
      <c r="D821" s="34" t="s">
        <v>147</v>
      </c>
      <c r="E821" s="260">
        <v>0.68936446173800259</v>
      </c>
      <c r="F821" s="235">
        <v>2</v>
      </c>
      <c r="G821" s="867" t="s">
        <v>306</v>
      </c>
      <c r="H821" s="29">
        <v>2</v>
      </c>
      <c r="I821" s="9"/>
      <c r="J821" s="9">
        <v>2</v>
      </c>
      <c r="K821" s="9">
        <v>3</v>
      </c>
      <c r="L821" s="9">
        <v>3</v>
      </c>
      <c r="M821" s="9">
        <v>1</v>
      </c>
      <c r="N821" s="186">
        <f t="shared" si="45"/>
        <v>0.51126068492676302</v>
      </c>
      <c r="O821" s="160" t="str">
        <f t="shared" si="46"/>
        <v/>
      </c>
      <c r="P821" s="63"/>
    </row>
    <row r="822" spans="1:16" hidden="1">
      <c r="A822" s="152" t="s">
        <v>396</v>
      </c>
      <c r="B822" s="34" t="s">
        <v>296</v>
      </c>
      <c r="C822" s="40" t="s">
        <v>147</v>
      </c>
      <c r="D822" s="34" t="s">
        <v>147</v>
      </c>
      <c r="E822" s="260">
        <v>0.50016393442622953</v>
      </c>
      <c r="F822" s="235">
        <v>2</v>
      </c>
      <c r="G822" s="40" t="s">
        <v>300</v>
      </c>
      <c r="H822" s="29">
        <v>2</v>
      </c>
      <c r="I822" s="9"/>
      <c r="J822" s="9">
        <v>2</v>
      </c>
      <c r="K822" s="9">
        <v>3</v>
      </c>
      <c r="L822" s="9">
        <v>3</v>
      </c>
      <c r="M822" s="9">
        <v>1</v>
      </c>
      <c r="N822" s="186">
        <f t="shared" si="45"/>
        <v>0.51126068492676302</v>
      </c>
      <c r="O822" s="160" t="str">
        <f t="shared" si="46"/>
        <v/>
      </c>
      <c r="P822" s="63" t="s">
        <v>420</v>
      </c>
    </row>
    <row r="823" spans="1:16" hidden="1">
      <c r="A823" s="152" t="s">
        <v>396</v>
      </c>
      <c r="B823" s="34" t="s">
        <v>296</v>
      </c>
      <c r="C823" s="40" t="s">
        <v>147</v>
      </c>
      <c r="D823" s="34" t="s">
        <v>147</v>
      </c>
      <c r="E823" s="260">
        <v>0.78343949044585992</v>
      </c>
      <c r="F823" s="235">
        <v>2</v>
      </c>
      <c r="G823" s="40" t="s">
        <v>418</v>
      </c>
      <c r="H823" s="29">
        <v>2</v>
      </c>
      <c r="I823" s="9"/>
      <c r="J823" s="9">
        <v>2</v>
      </c>
      <c r="K823" s="9">
        <v>3</v>
      </c>
      <c r="L823" s="9">
        <v>3</v>
      </c>
      <c r="M823" s="9">
        <v>1</v>
      </c>
      <c r="N823" s="186">
        <f t="shared" si="45"/>
        <v>0.51126068492676302</v>
      </c>
      <c r="O823" s="160" t="str">
        <f t="shared" si="46"/>
        <v/>
      </c>
      <c r="P823" s="63"/>
    </row>
    <row r="824" spans="1:16" hidden="1">
      <c r="A824" s="152" t="s">
        <v>396</v>
      </c>
      <c r="B824" s="34" t="s">
        <v>296</v>
      </c>
      <c r="C824" s="40" t="s">
        <v>147</v>
      </c>
      <c r="D824" s="34" t="s">
        <v>147</v>
      </c>
      <c r="E824" s="260">
        <v>0.91509433962264153</v>
      </c>
      <c r="F824" s="235">
        <v>2</v>
      </c>
      <c r="G824" s="40" t="s">
        <v>419</v>
      </c>
      <c r="H824" s="29">
        <v>2</v>
      </c>
      <c r="I824" s="9"/>
      <c r="J824" s="9">
        <v>2</v>
      </c>
      <c r="K824" s="9">
        <v>3</v>
      </c>
      <c r="L824" s="9">
        <v>3</v>
      </c>
      <c r="M824" s="9">
        <v>1</v>
      </c>
      <c r="N824" s="186">
        <f t="shared" ref="N824:N887" si="47">IF( OR( ISBLANK(H824),ISBLANK(J824), ISBLANK(K824), ISBLANK(L824), ISBLANK(M824) ), "", 1.5*SQRT(   EXP(2.21*(H824-1)) + EXP(2.21*(J824-1)) + EXP(2.21*(K824-1)) + EXP(2.21*(L824-1)) + EXP(2.21*M824)   )/100*2.45 )</f>
        <v>0.51126068492676302</v>
      </c>
      <c r="O824" s="160" t="str">
        <f t="shared" ref="O824:O887" si="48">IF( OR( ISBLANK(I824),ISBLANK(J824), ISBLANK(K824), ISBLANK(L824), ISBLANK(M824) ), "", 1.5*SQRT( EXP(2.21*(I824-1)) + EXP(2.21*(J824-1)) + EXP(2.21*(K824-1)) + EXP(2.21*(L824-1)) + EXP(2.21*M824)   )/100*2.45 )</f>
        <v/>
      </c>
      <c r="P824" s="63" t="s">
        <v>421</v>
      </c>
    </row>
    <row r="825" spans="1:16" hidden="1">
      <c r="A825" s="152" t="s">
        <v>396</v>
      </c>
      <c r="B825" s="34" t="s">
        <v>296</v>
      </c>
      <c r="C825" s="40" t="s">
        <v>147</v>
      </c>
      <c r="D825" s="34" t="s">
        <v>147</v>
      </c>
      <c r="E825" s="260">
        <v>0.97399999999999998</v>
      </c>
      <c r="F825" s="235">
        <v>2</v>
      </c>
      <c r="G825" s="40" t="s">
        <v>304</v>
      </c>
      <c r="H825" s="29">
        <v>2</v>
      </c>
      <c r="I825" s="9"/>
      <c r="J825" s="9">
        <v>2</v>
      </c>
      <c r="K825" s="9">
        <v>3</v>
      </c>
      <c r="L825" s="9">
        <v>3</v>
      </c>
      <c r="M825" s="9">
        <v>1</v>
      </c>
      <c r="N825" s="186">
        <f t="shared" si="47"/>
        <v>0.51126068492676302</v>
      </c>
      <c r="O825" s="160" t="str">
        <f t="shared" si="48"/>
        <v/>
      </c>
      <c r="P825" s="63"/>
    </row>
    <row r="826" spans="1:16" hidden="1">
      <c r="A826" s="152" t="s">
        <v>396</v>
      </c>
      <c r="B826" s="34" t="s">
        <v>296</v>
      </c>
      <c r="C826" s="40" t="s">
        <v>147</v>
      </c>
      <c r="D826" s="34" t="s">
        <v>147</v>
      </c>
      <c r="E826" s="260">
        <v>0.98399999999999999</v>
      </c>
      <c r="F826" s="235">
        <v>2</v>
      </c>
      <c r="G826" s="40" t="s">
        <v>304</v>
      </c>
      <c r="H826" s="29">
        <v>2</v>
      </c>
      <c r="I826" s="9"/>
      <c r="J826" s="9">
        <v>2</v>
      </c>
      <c r="K826" s="9">
        <v>3</v>
      </c>
      <c r="L826" s="9">
        <v>3</v>
      </c>
      <c r="M826" s="9">
        <v>1</v>
      </c>
      <c r="N826" s="186">
        <f t="shared" si="47"/>
        <v>0.51126068492676302</v>
      </c>
      <c r="O826" s="160" t="str">
        <f t="shared" si="48"/>
        <v/>
      </c>
      <c r="P826" s="63"/>
    </row>
    <row r="827" spans="1:16" hidden="1">
      <c r="A827" s="152" t="s">
        <v>396</v>
      </c>
      <c r="B827" s="34" t="s">
        <v>296</v>
      </c>
      <c r="C827" s="40" t="s">
        <v>147</v>
      </c>
      <c r="D827" s="34" t="s">
        <v>147</v>
      </c>
      <c r="E827" s="260">
        <v>0.68936446173800259</v>
      </c>
      <c r="F827" s="235">
        <v>2</v>
      </c>
      <c r="G827" s="40" t="s">
        <v>306</v>
      </c>
      <c r="H827" s="29">
        <v>2</v>
      </c>
      <c r="I827" s="9"/>
      <c r="J827" s="9">
        <v>2</v>
      </c>
      <c r="K827" s="9">
        <v>3</v>
      </c>
      <c r="L827" s="9">
        <v>3</v>
      </c>
      <c r="M827" s="9">
        <v>1</v>
      </c>
      <c r="N827" s="186">
        <f t="shared" si="47"/>
        <v>0.51126068492676302</v>
      </c>
      <c r="O827" s="160" t="str">
        <f t="shared" si="48"/>
        <v/>
      </c>
      <c r="P827" s="63" t="s">
        <v>422</v>
      </c>
    </row>
    <row r="828" spans="1:16" hidden="1">
      <c r="A828" s="152" t="s">
        <v>413</v>
      </c>
      <c r="B828" s="34" t="s">
        <v>296</v>
      </c>
      <c r="C828" s="40" t="s">
        <v>147</v>
      </c>
      <c r="D828" s="34" t="s">
        <v>147</v>
      </c>
      <c r="E828" s="260">
        <v>0.72974745818301079</v>
      </c>
      <c r="F828" s="235">
        <v>2</v>
      </c>
      <c r="G828" s="40" t="s">
        <v>300</v>
      </c>
      <c r="H828" s="29">
        <v>2</v>
      </c>
      <c r="I828" s="9"/>
      <c r="J828" s="9">
        <v>2</v>
      </c>
      <c r="K828" s="9">
        <v>3</v>
      </c>
      <c r="L828" s="9">
        <v>3</v>
      </c>
      <c r="M828" s="9">
        <v>1</v>
      </c>
      <c r="N828" s="186">
        <f t="shared" si="47"/>
        <v>0.51126068492676302</v>
      </c>
      <c r="O828" s="160" t="str">
        <f t="shared" si="48"/>
        <v/>
      </c>
      <c r="P828" s="63" t="s">
        <v>423</v>
      </c>
    </row>
    <row r="829" spans="1:16" hidden="1">
      <c r="A829" s="152" t="s">
        <v>413</v>
      </c>
      <c r="B829" s="34" t="s">
        <v>296</v>
      </c>
      <c r="C829" s="40" t="s">
        <v>147</v>
      </c>
      <c r="D829" s="34" t="s">
        <v>147</v>
      </c>
      <c r="E829" s="260">
        <v>7.0000000000000007E-2</v>
      </c>
      <c r="F829" s="235">
        <v>2</v>
      </c>
      <c r="G829" s="40" t="s">
        <v>304</v>
      </c>
      <c r="H829" s="29">
        <v>2</v>
      </c>
      <c r="I829" s="9"/>
      <c r="J829" s="9">
        <v>2</v>
      </c>
      <c r="K829" s="9">
        <v>3</v>
      </c>
      <c r="L829" s="9">
        <v>3</v>
      </c>
      <c r="M829" s="9">
        <v>1</v>
      </c>
      <c r="N829" s="186">
        <f t="shared" si="47"/>
        <v>0.51126068492676302</v>
      </c>
      <c r="O829" s="160" t="str">
        <f t="shared" si="48"/>
        <v/>
      </c>
      <c r="P829" s="63"/>
    </row>
    <row r="830" spans="1:16" hidden="1">
      <c r="A830" s="152" t="s">
        <v>413</v>
      </c>
      <c r="B830" s="34" t="s">
        <v>296</v>
      </c>
      <c r="C830" s="40" t="s">
        <v>147</v>
      </c>
      <c r="D830" s="34" t="s">
        <v>147</v>
      </c>
      <c r="E830" s="260">
        <v>0.2</v>
      </c>
      <c r="F830" s="235">
        <v>2</v>
      </c>
      <c r="G830" s="40" t="s">
        <v>304</v>
      </c>
      <c r="H830" s="29">
        <v>2</v>
      </c>
      <c r="I830" s="9"/>
      <c r="J830" s="9">
        <v>2</v>
      </c>
      <c r="K830" s="9">
        <v>3</v>
      </c>
      <c r="L830" s="9">
        <v>3</v>
      </c>
      <c r="M830" s="9">
        <v>1</v>
      </c>
      <c r="N830" s="186">
        <f t="shared" si="47"/>
        <v>0.51126068492676302</v>
      </c>
      <c r="O830" s="160" t="str">
        <f t="shared" si="48"/>
        <v/>
      </c>
      <c r="P830" s="63"/>
    </row>
    <row r="831" spans="1:16" hidden="1">
      <c r="A831" s="152" t="s">
        <v>413</v>
      </c>
      <c r="B831" s="34" t="s">
        <v>296</v>
      </c>
      <c r="C831" s="40" t="s">
        <v>147</v>
      </c>
      <c r="D831" s="34" t="s">
        <v>147</v>
      </c>
      <c r="E831" s="260">
        <v>0.28601252609603334</v>
      </c>
      <c r="F831" s="235">
        <v>2</v>
      </c>
      <c r="G831" s="40" t="s">
        <v>306</v>
      </c>
      <c r="H831" s="29">
        <v>2</v>
      </c>
      <c r="I831" s="9"/>
      <c r="J831" s="9">
        <v>2</v>
      </c>
      <c r="K831" s="9">
        <v>3</v>
      </c>
      <c r="L831" s="9">
        <v>3</v>
      </c>
      <c r="M831" s="9">
        <v>1</v>
      </c>
      <c r="N831" s="186">
        <f t="shared" si="47"/>
        <v>0.51126068492676302</v>
      </c>
      <c r="O831" s="160" t="str">
        <f t="shared" si="48"/>
        <v/>
      </c>
      <c r="P831" s="63" t="s">
        <v>424</v>
      </c>
    </row>
    <row r="832" spans="1:16" hidden="1">
      <c r="A832" s="152" t="s">
        <v>413</v>
      </c>
      <c r="B832" s="34" t="s">
        <v>296</v>
      </c>
      <c r="C832" s="40" t="s">
        <v>147</v>
      </c>
      <c r="D832" s="34" t="s">
        <v>147</v>
      </c>
      <c r="E832" s="260">
        <v>0.81</v>
      </c>
      <c r="F832" s="235">
        <v>2</v>
      </c>
      <c r="G832" s="40" t="s">
        <v>305</v>
      </c>
      <c r="H832" s="29">
        <v>1</v>
      </c>
      <c r="I832" s="9"/>
      <c r="J832" s="9">
        <v>2</v>
      </c>
      <c r="K832" s="9">
        <v>3</v>
      </c>
      <c r="L832" s="9">
        <v>3</v>
      </c>
      <c r="M832" s="9">
        <v>1</v>
      </c>
      <c r="N832" s="186">
        <f t="shared" si="47"/>
        <v>0.50042652380814845</v>
      </c>
      <c r="O832" s="160" t="str">
        <f t="shared" si="48"/>
        <v/>
      </c>
      <c r="P832" s="63"/>
    </row>
    <row r="833" spans="1:16" hidden="1">
      <c r="A833" s="152" t="s">
        <v>325</v>
      </c>
      <c r="B833" s="34" t="s">
        <v>236</v>
      </c>
      <c r="C833" s="40" t="s">
        <v>147</v>
      </c>
      <c r="D833" s="34" t="s">
        <v>147</v>
      </c>
      <c r="E833" s="260">
        <v>0.1</v>
      </c>
      <c r="F833" s="235">
        <v>2</v>
      </c>
      <c r="G833" s="40" t="s">
        <v>425</v>
      </c>
      <c r="H833" s="29">
        <v>1</v>
      </c>
      <c r="I833" s="9"/>
      <c r="J833" s="9">
        <v>1</v>
      </c>
      <c r="K833" s="9">
        <v>1</v>
      </c>
      <c r="L833" s="9">
        <v>1</v>
      </c>
      <c r="M833" s="9">
        <v>3</v>
      </c>
      <c r="N833" s="186">
        <f t="shared" si="47"/>
        <v>1.0141150152164344</v>
      </c>
      <c r="O833" s="160" t="str">
        <f t="shared" si="48"/>
        <v/>
      </c>
      <c r="P833" s="63"/>
    </row>
    <row r="834" spans="1:16" hidden="1">
      <c r="A834" s="152" t="s">
        <v>406</v>
      </c>
      <c r="B834" s="34" t="s">
        <v>388</v>
      </c>
      <c r="C834" s="40" t="s">
        <v>147</v>
      </c>
      <c r="D834" s="34" t="s">
        <v>147</v>
      </c>
      <c r="E834" s="265">
        <v>0.9</v>
      </c>
      <c r="F834" s="34">
        <v>1</v>
      </c>
      <c r="G834" s="40" t="s">
        <v>389</v>
      </c>
      <c r="H834" s="29">
        <v>1</v>
      </c>
      <c r="I834" s="9">
        <v>3</v>
      </c>
      <c r="J834" s="9">
        <v>2</v>
      </c>
      <c r="K834" s="9">
        <v>1</v>
      </c>
      <c r="L834" s="9">
        <v>1</v>
      </c>
      <c r="M834" s="9">
        <v>2</v>
      </c>
      <c r="N834" s="186">
        <f t="shared" si="47"/>
        <v>0.35859414261160716</v>
      </c>
      <c r="O834" s="160">
        <f t="shared" si="48"/>
        <v>0.48935255543384243</v>
      </c>
      <c r="P834" s="858"/>
    </row>
    <row r="835" spans="1:16" hidden="1">
      <c r="A835" s="292" t="s">
        <v>370</v>
      </c>
      <c r="B835" s="55" t="s">
        <v>276</v>
      </c>
      <c r="C835" s="40" t="s">
        <v>147</v>
      </c>
      <c r="D835" s="55" t="s">
        <v>147</v>
      </c>
      <c r="E835" s="260">
        <v>0.24038461538461536</v>
      </c>
      <c r="F835" s="235">
        <v>2</v>
      </c>
      <c r="G835" s="265" t="s">
        <v>171</v>
      </c>
      <c r="H835" s="29">
        <v>2</v>
      </c>
      <c r="I835" s="9">
        <v>2</v>
      </c>
      <c r="J835" s="9">
        <v>1</v>
      </c>
      <c r="K835" s="9">
        <v>1</v>
      </c>
      <c r="L835" s="9">
        <v>1</v>
      </c>
      <c r="M835" s="9">
        <v>3</v>
      </c>
      <c r="N835" s="186">
        <f t="shared" si="47"/>
        <v>1.0195048044558224</v>
      </c>
      <c r="O835" s="160">
        <f t="shared" si="48"/>
        <v>1.0195048044558224</v>
      </c>
      <c r="P835" s="63" t="s">
        <v>367</v>
      </c>
    </row>
    <row r="836" spans="1:16" hidden="1">
      <c r="A836" s="292" t="s">
        <v>370</v>
      </c>
      <c r="B836" s="55" t="s">
        <v>276</v>
      </c>
      <c r="C836" s="40" t="s">
        <v>147</v>
      </c>
      <c r="D836" s="55" t="s">
        <v>147</v>
      </c>
      <c r="E836" s="260">
        <v>0.13440860215053765</v>
      </c>
      <c r="F836" s="235">
        <v>2</v>
      </c>
      <c r="G836" s="265" t="s">
        <v>171</v>
      </c>
      <c r="H836" s="29">
        <v>2</v>
      </c>
      <c r="I836" s="9">
        <v>2</v>
      </c>
      <c r="J836" s="9">
        <v>1</v>
      </c>
      <c r="K836" s="9">
        <v>1</v>
      </c>
      <c r="L836" s="9">
        <v>1</v>
      </c>
      <c r="M836" s="9">
        <v>3</v>
      </c>
      <c r="N836" s="186">
        <f t="shared" si="47"/>
        <v>1.0195048044558224</v>
      </c>
      <c r="O836" s="160">
        <f t="shared" si="48"/>
        <v>1.0195048044558224</v>
      </c>
      <c r="P836" s="63" t="s">
        <v>368</v>
      </c>
    </row>
    <row r="837" spans="1:16" hidden="1">
      <c r="A837" s="152" t="s">
        <v>377</v>
      </c>
      <c r="B837" s="34" t="s">
        <v>196</v>
      </c>
      <c r="C837" s="40" t="s">
        <v>147</v>
      </c>
      <c r="D837" s="34" t="s">
        <v>147</v>
      </c>
      <c r="E837" s="260" t="s">
        <v>158</v>
      </c>
      <c r="F837" s="235">
        <v>1</v>
      </c>
      <c r="G837" s="40"/>
      <c r="H837" s="29"/>
      <c r="I837" s="9"/>
      <c r="J837" s="9"/>
      <c r="K837" s="9"/>
      <c r="L837" s="9"/>
      <c r="M837" s="9"/>
      <c r="N837" s="186" t="str">
        <f t="shared" si="47"/>
        <v/>
      </c>
      <c r="O837" s="160" t="str">
        <f t="shared" si="48"/>
        <v/>
      </c>
      <c r="P837" s="63"/>
    </row>
    <row r="838" spans="1:16" hidden="1">
      <c r="A838" s="152" t="s">
        <v>245</v>
      </c>
      <c r="B838" s="34" t="s">
        <v>196</v>
      </c>
      <c r="C838" s="40" t="s">
        <v>147</v>
      </c>
      <c r="D838" s="34" t="s">
        <v>147</v>
      </c>
      <c r="E838" s="260">
        <v>0.01</v>
      </c>
      <c r="F838" s="235">
        <v>2</v>
      </c>
      <c r="G838" s="40" t="s">
        <v>426</v>
      </c>
      <c r="H838" s="29">
        <v>3</v>
      </c>
      <c r="I838" s="9">
        <v>3</v>
      </c>
      <c r="J838" s="9">
        <v>4</v>
      </c>
      <c r="K838" s="9">
        <v>3</v>
      </c>
      <c r="L838" s="9">
        <v>3</v>
      </c>
      <c r="M838" s="9">
        <v>1</v>
      </c>
      <c r="N838" s="186">
        <f t="shared" si="47"/>
        <v>1.1713319510247036</v>
      </c>
      <c r="O838" s="160">
        <f t="shared" si="48"/>
        <v>1.1713319510247036</v>
      </c>
      <c r="P838" s="63" t="s">
        <v>427</v>
      </c>
    </row>
    <row r="839" spans="1:16" hidden="1">
      <c r="A839" s="152" t="s">
        <v>245</v>
      </c>
      <c r="B839" s="34" t="s">
        <v>196</v>
      </c>
      <c r="C839" s="40" t="s">
        <v>147</v>
      </c>
      <c r="D839" s="34" t="s">
        <v>147</v>
      </c>
      <c r="E839" s="260">
        <v>0.05</v>
      </c>
      <c r="F839" s="235">
        <v>2</v>
      </c>
      <c r="G839" s="40" t="s">
        <v>426</v>
      </c>
      <c r="H839" s="29">
        <v>3</v>
      </c>
      <c r="I839" s="9">
        <v>3</v>
      </c>
      <c r="J839" s="9">
        <v>4</v>
      </c>
      <c r="K839" s="9">
        <v>3</v>
      </c>
      <c r="L839" s="9">
        <v>3</v>
      </c>
      <c r="M839" s="9">
        <v>1</v>
      </c>
      <c r="N839" s="186">
        <f t="shared" si="47"/>
        <v>1.1713319510247036</v>
      </c>
      <c r="O839" s="160">
        <f t="shared" si="48"/>
        <v>1.1713319510247036</v>
      </c>
      <c r="P839" s="63" t="s">
        <v>427</v>
      </c>
    </row>
    <row r="840" spans="1:16" hidden="1">
      <c r="A840" s="152" t="s">
        <v>245</v>
      </c>
      <c r="B840" s="34" t="s">
        <v>196</v>
      </c>
      <c r="C840" s="40" t="s">
        <v>147</v>
      </c>
      <c r="D840" s="34" t="s">
        <v>147</v>
      </c>
      <c r="E840" s="260">
        <v>0.13</v>
      </c>
      <c r="F840" s="235">
        <v>2</v>
      </c>
      <c r="G840" s="40" t="s">
        <v>426</v>
      </c>
      <c r="H840" s="29">
        <v>3</v>
      </c>
      <c r="I840" s="9">
        <v>3</v>
      </c>
      <c r="J840" s="9">
        <v>4</v>
      </c>
      <c r="K840" s="9">
        <v>3</v>
      </c>
      <c r="L840" s="9">
        <v>3</v>
      </c>
      <c r="M840" s="9">
        <v>1</v>
      </c>
      <c r="N840" s="186">
        <f t="shared" si="47"/>
        <v>1.1713319510247036</v>
      </c>
      <c r="O840" s="160">
        <f t="shared" si="48"/>
        <v>1.1713319510247036</v>
      </c>
      <c r="P840" s="63" t="s">
        <v>427</v>
      </c>
    </row>
    <row r="841" spans="1:16" hidden="1">
      <c r="A841" s="152" t="s">
        <v>245</v>
      </c>
      <c r="B841" s="34" t="s">
        <v>196</v>
      </c>
      <c r="C841" s="40" t="s">
        <v>147</v>
      </c>
      <c r="D841" s="34" t="s">
        <v>147</v>
      </c>
      <c r="E841" s="260">
        <v>0.05</v>
      </c>
      <c r="F841" s="235">
        <v>2</v>
      </c>
      <c r="G841" s="40" t="s">
        <v>426</v>
      </c>
      <c r="H841" s="29">
        <v>3</v>
      </c>
      <c r="I841" s="9">
        <v>3</v>
      </c>
      <c r="J841" s="9">
        <v>4</v>
      </c>
      <c r="K841" s="9">
        <v>3</v>
      </c>
      <c r="L841" s="9">
        <v>3</v>
      </c>
      <c r="M841" s="9">
        <v>1</v>
      </c>
      <c r="N841" s="186">
        <f t="shared" si="47"/>
        <v>1.1713319510247036</v>
      </c>
      <c r="O841" s="160">
        <f t="shared" si="48"/>
        <v>1.1713319510247036</v>
      </c>
      <c r="P841" s="63" t="s">
        <v>427</v>
      </c>
    </row>
    <row r="842" spans="1:16" hidden="1">
      <c r="A842" s="152" t="s">
        <v>245</v>
      </c>
      <c r="B842" s="34" t="s">
        <v>196</v>
      </c>
      <c r="C842" s="40" t="s">
        <v>147</v>
      </c>
      <c r="D842" s="34" t="s">
        <v>147</v>
      </c>
      <c r="E842" s="260">
        <v>0.1</v>
      </c>
      <c r="F842" s="235">
        <v>2</v>
      </c>
      <c r="G842" s="40" t="s">
        <v>426</v>
      </c>
      <c r="H842" s="29">
        <v>3</v>
      </c>
      <c r="I842" s="9">
        <v>3</v>
      </c>
      <c r="J842" s="9">
        <v>4</v>
      </c>
      <c r="K842" s="9">
        <v>3</v>
      </c>
      <c r="L842" s="9">
        <v>3</v>
      </c>
      <c r="M842" s="9">
        <v>1</v>
      </c>
      <c r="N842" s="186">
        <f t="shared" si="47"/>
        <v>1.1713319510247036</v>
      </c>
      <c r="O842" s="160">
        <f t="shared" si="48"/>
        <v>1.1713319510247036</v>
      </c>
      <c r="P842" s="63" t="s">
        <v>427</v>
      </c>
    </row>
    <row r="843" spans="1:16" hidden="1">
      <c r="A843" s="292" t="s">
        <v>238</v>
      </c>
      <c r="B843" s="55" t="s">
        <v>428</v>
      </c>
      <c r="C843" s="265" t="s">
        <v>147</v>
      </c>
      <c r="D843" s="55" t="s">
        <v>147</v>
      </c>
      <c r="E843" s="260">
        <v>1.44E-2</v>
      </c>
      <c r="F843" s="235">
        <v>2</v>
      </c>
      <c r="G843" s="265" t="s">
        <v>237</v>
      </c>
      <c r="H843" s="29">
        <v>1</v>
      </c>
      <c r="I843" s="9">
        <v>2</v>
      </c>
      <c r="J843" s="9">
        <v>2</v>
      </c>
      <c r="K843" s="9">
        <v>1</v>
      </c>
      <c r="L843" s="9">
        <v>2</v>
      </c>
      <c r="M843" s="9">
        <v>2</v>
      </c>
      <c r="N843" s="186">
        <f t="shared" si="47"/>
        <v>0.37356464144298934</v>
      </c>
      <c r="O843" s="160">
        <f t="shared" si="48"/>
        <v>0.38795788889711302</v>
      </c>
      <c r="P843" s="63"/>
    </row>
    <row r="844" spans="1:16" hidden="1">
      <c r="A844" s="152" t="s">
        <v>223</v>
      </c>
      <c r="B844" s="34" t="s">
        <v>275</v>
      </c>
      <c r="C844" s="40" t="s">
        <v>147</v>
      </c>
      <c r="D844" s="34" t="s">
        <v>147</v>
      </c>
      <c r="E844" s="260" t="s">
        <v>158</v>
      </c>
      <c r="F844" s="235">
        <v>1</v>
      </c>
      <c r="G844" s="40"/>
      <c r="H844" s="29"/>
      <c r="I844" s="9"/>
      <c r="J844" s="9"/>
      <c r="K844" s="9"/>
      <c r="L844" s="9"/>
      <c r="M844" s="9"/>
      <c r="N844" s="186" t="str">
        <f t="shared" si="47"/>
        <v/>
      </c>
      <c r="O844" s="160" t="str">
        <f t="shared" si="48"/>
        <v/>
      </c>
      <c r="P844" s="63"/>
    </row>
    <row r="845" spans="1:16" hidden="1">
      <c r="A845" s="152" t="s">
        <v>325</v>
      </c>
      <c r="B845" s="34" t="s">
        <v>236</v>
      </c>
      <c r="C845" s="40" t="s">
        <v>147</v>
      </c>
      <c r="D845" s="34" t="s">
        <v>147</v>
      </c>
      <c r="E845" s="260">
        <v>0.9</v>
      </c>
      <c r="F845" s="235">
        <v>2</v>
      </c>
      <c r="G845" s="40" t="s">
        <v>155</v>
      </c>
      <c r="H845" s="29">
        <v>1</v>
      </c>
      <c r="I845" s="9"/>
      <c r="J845" s="9">
        <v>1</v>
      </c>
      <c r="K845" s="9">
        <v>1</v>
      </c>
      <c r="L845" s="9">
        <v>1</v>
      </c>
      <c r="M845" s="9">
        <v>3</v>
      </c>
      <c r="N845" s="186">
        <f t="shared" si="47"/>
        <v>1.0141150152164344</v>
      </c>
      <c r="O845" s="160" t="str">
        <f t="shared" si="48"/>
        <v/>
      </c>
      <c r="P845" s="63"/>
    </row>
    <row r="846" spans="1:16" hidden="1">
      <c r="A846" s="152" t="s">
        <v>325</v>
      </c>
      <c r="B846" s="34" t="s">
        <v>429</v>
      </c>
      <c r="C846" s="40" t="s">
        <v>147</v>
      </c>
      <c r="D846" s="34" t="s">
        <v>147</v>
      </c>
      <c r="E846" s="260" t="s">
        <v>158</v>
      </c>
      <c r="F846" s="235">
        <v>1</v>
      </c>
      <c r="G846" s="40"/>
      <c r="H846" s="29"/>
      <c r="I846" s="9"/>
      <c r="J846" s="9"/>
      <c r="K846" s="9"/>
      <c r="L846" s="9"/>
      <c r="M846" s="9"/>
      <c r="N846" s="186" t="str">
        <f t="shared" si="47"/>
        <v/>
      </c>
      <c r="O846" s="160" t="str">
        <f t="shared" si="48"/>
        <v/>
      </c>
      <c r="P846" s="63"/>
    </row>
    <row r="847" spans="1:16" hidden="1">
      <c r="A847" s="152" t="s">
        <v>395</v>
      </c>
      <c r="B847" s="34" t="s">
        <v>275</v>
      </c>
      <c r="C847" s="40" t="s">
        <v>147</v>
      </c>
      <c r="D847" s="34" t="s">
        <v>147</v>
      </c>
      <c r="E847" s="260">
        <v>0</v>
      </c>
      <c r="F847" s="235">
        <v>2</v>
      </c>
      <c r="G847" s="40" t="s">
        <v>430</v>
      </c>
      <c r="H847" s="29"/>
      <c r="I847" s="9"/>
      <c r="J847" s="9"/>
      <c r="K847" s="9"/>
      <c r="L847" s="9"/>
      <c r="M847" s="9"/>
      <c r="N847" s="186" t="str">
        <f t="shared" si="47"/>
        <v/>
      </c>
      <c r="O847" s="160" t="str">
        <f t="shared" si="48"/>
        <v/>
      </c>
      <c r="P847" s="63" t="s">
        <v>412</v>
      </c>
    </row>
    <row r="848" spans="1:16" hidden="1">
      <c r="A848" s="152" t="s">
        <v>411</v>
      </c>
      <c r="B848" s="34" t="s">
        <v>275</v>
      </c>
      <c r="C848" s="40" t="s">
        <v>147</v>
      </c>
      <c r="D848" s="34" t="s">
        <v>147</v>
      </c>
      <c r="E848" s="260" t="s">
        <v>158</v>
      </c>
      <c r="F848" s="235">
        <v>1</v>
      </c>
      <c r="G848" s="40"/>
      <c r="H848" s="29"/>
      <c r="I848" s="9"/>
      <c r="J848" s="9"/>
      <c r="K848" s="9"/>
      <c r="L848" s="9"/>
      <c r="M848" s="9"/>
      <c r="N848" s="186" t="str">
        <f t="shared" si="47"/>
        <v/>
      </c>
      <c r="O848" s="160" t="str">
        <f t="shared" si="48"/>
        <v/>
      </c>
      <c r="P848" s="63"/>
    </row>
    <row r="849" spans="1:868">
      <c r="A849" s="152" t="s">
        <v>269</v>
      </c>
      <c r="B849" s="34" t="s">
        <v>258</v>
      </c>
      <c r="C849" s="40" t="s">
        <v>190</v>
      </c>
      <c r="D849" s="69" t="s">
        <v>97</v>
      </c>
      <c r="E849" s="868">
        <v>4.9733570159857902E-2</v>
      </c>
      <c r="F849" s="34">
        <v>1</v>
      </c>
      <c r="G849" s="344" t="s">
        <v>135</v>
      </c>
      <c r="H849" s="29"/>
      <c r="I849" s="9">
        <v>1</v>
      </c>
      <c r="J849" s="9">
        <v>1</v>
      </c>
      <c r="K849" s="9">
        <v>1</v>
      </c>
      <c r="L849" s="9">
        <v>2</v>
      </c>
      <c r="M849" s="9">
        <v>2</v>
      </c>
      <c r="N849" s="186" t="str">
        <f t="shared" si="47"/>
        <v/>
      </c>
      <c r="O849" s="160">
        <f t="shared" si="48"/>
        <v>0.35859414261160716</v>
      </c>
      <c r="P849" s="63"/>
    </row>
    <row r="850" spans="1:868">
      <c r="A850" s="152" t="s">
        <v>269</v>
      </c>
      <c r="B850" s="34" t="s">
        <v>258</v>
      </c>
      <c r="C850" s="40" t="s">
        <v>190</v>
      </c>
      <c r="D850" s="69" t="s">
        <v>98</v>
      </c>
      <c r="E850" s="868">
        <v>0.225984796129924</v>
      </c>
      <c r="F850" s="34">
        <v>1</v>
      </c>
      <c r="G850" s="344" t="s">
        <v>135</v>
      </c>
      <c r="H850" s="29"/>
      <c r="I850" s="9">
        <v>1</v>
      </c>
      <c r="J850" s="9">
        <v>1</v>
      </c>
      <c r="K850" s="9">
        <v>1</v>
      </c>
      <c r="L850" s="9">
        <v>2</v>
      </c>
      <c r="M850" s="9">
        <v>2</v>
      </c>
      <c r="N850" s="186" t="str">
        <f t="shared" si="47"/>
        <v/>
      </c>
      <c r="O850" s="160">
        <f t="shared" si="48"/>
        <v>0.35859414261160716</v>
      </c>
      <c r="P850" s="63"/>
    </row>
    <row r="851" spans="1:868" ht="15.75" hidden="1" thickBot="1">
      <c r="A851" s="152" t="s">
        <v>297</v>
      </c>
      <c r="B851" s="34" t="s">
        <v>275</v>
      </c>
      <c r="C851" s="40" t="s">
        <v>147</v>
      </c>
      <c r="D851" s="34" t="s">
        <v>147</v>
      </c>
      <c r="E851" s="260">
        <v>0</v>
      </c>
      <c r="F851" s="235">
        <v>2</v>
      </c>
      <c r="G851" s="40"/>
      <c r="H851" s="29"/>
      <c r="I851" s="9"/>
      <c r="J851" s="9"/>
      <c r="K851" s="9"/>
      <c r="L851" s="9"/>
      <c r="M851" s="9"/>
      <c r="N851" s="186" t="str">
        <f t="shared" si="47"/>
        <v/>
      </c>
      <c r="O851" s="160" t="str">
        <f t="shared" si="48"/>
        <v/>
      </c>
      <c r="P851" s="63"/>
    </row>
    <row r="852" spans="1:868" s="853" customFormat="1" hidden="1">
      <c r="A852" s="152" t="s">
        <v>229</v>
      </c>
      <c r="B852" s="34" t="s">
        <v>271</v>
      </c>
      <c r="C852" s="40" t="s">
        <v>147</v>
      </c>
      <c r="D852" s="34" t="s">
        <v>147</v>
      </c>
      <c r="E852" s="260">
        <v>1</v>
      </c>
      <c r="F852" s="235">
        <v>2</v>
      </c>
      <c r="G852" s="40" t="s">
        <v>165</v>
      </c>
      <c r="H852" s="29"/>
      <c r="I852" s="9"/>
      <c r="J852" s="9"/>
      <c r="K852" s="9"/>
      <c r="L852" s="9"/>
      <c r="M852" s="9"/>
      <c r="N852" s="186" t="str">
        <f t="shared" si="47"/>
        <v/>
      </c>
      <c r="O852" s="160" t="str">
        <f t="shared" si="48"/>
        <v/>
      </c>
      <c r="P852" s="63"/>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6"/>
      <c r="BQ852" s="16"/>
      <c r="BR852" s="16"/>
      <c r="BS852" s="16"/>
      <c r="BT852" s="16"/>
      <c r="BU852" s="16"/>
      <c r="BV852" s="16"/>
      <c r="BW852" s="16"/>
      <c r="BX852" s="16"/>
      <c r="BY852" s="16"/>
      <c r="BZ852" s="16"/>
      <c r="CA852" s="16"/>
      <c r="CB852" s="16"/>
      <c r="CC852" s="16"/>
      <c r="CD852" s="16"/>
      <c r="CE852" s="16"/>
      <c r="CF852" s="16"/>
      <c r="CG852" s="16"/>
      <c r="CH852" s="16"/>
      <c r="CI852" s="16"/>
      <c r="CJ852" s="16"/>
      <c r="CK852" s="16"/>
      <c r="CL852" s="16"/>
      <c r="CM852" s="16"/>
      <c r="CN852" s="16"/>
      <c r="CO852" s="16"/>
      <c r="CP852" s="16"/>
      <c r="CQ852" s="16"/>
      <c r="CR852" s="16"/>
      <c r="CS852" s="16"/>
      <c r="CT852" s="16"/>
      <c r="CU852" s="16"/>
      <c r="CV852" s="16"/>
      <c r="CW852" s="16"/>
      <c r="CX852" s="16"/>
      <c r="CY852" s="16"/>
      <c r="CZ852" s="16"/>
      <c r="DA852" s="16"/>
      <c r="DB852" s="16"/>
      <c r="DC852" s="16"/>
      <c r="DD852" s="16"/>
      <c r="DE852" s="16"/>
      <c r="DF852" s="16"/>
      <c r="DG852" s="16"/>
      <c r="DH852" s="16"/>
      <c r="DI852" s="16"/>
      <c r="DJ852" s="16"/>
      <c r="DK852" s="16"/>
      <c r="DL852" s="16"/>
      <c r="DM852" s="16"/>
      <c r="DN852" s="16"/>
      <c r="DO852" s="16"/>
      <c r="DP852" s="16"/>
      <c r="DQ852" s="16"/>
      <c r="DR852" s="16"/>
      <c r="DS852" s="16"/>
      <c r="DT852" s="16"/>
      <c r="DU852" s="16"/>
      <c r="DV852" s="16"/>
      <c r="DW852" s="16"/>
      <c r="DX852" s="16"/>
      <c r="DY852" s="16"/>
      <c r="DZ852" s="16"/>
      <c r="EA852" s="16"/>
      <c r="EB852" s="16"/>
      <c r="EC852" s="16"/>
      <c r="ED852" s="16"/>
      <c r="EE852" s="16"/>
      <c r="EF852" s="16"/>
      <c r="EG852" s="16"/>
      <c r="EH852" s="16"/>
      <c r="EI852" s="16"/>
      <c r="EJ852" s="16"/>
      <c r="EK852" s="16"/>
      <c r="EL852" s="16"/>
      <c r="EM852" s="16"/>
      <c r="EN852" s="16"/>
      <c r="EO852" s="16"/>
      <c r="EP852" s="16"/>
      <c r="EQ852" s="16"/>
      <c r="ER852" s="16"/>
      <c r="ES852" s="16"/>
      <c r="ET852" s="16"/>
      <c r="EU852" s="16"/>
      <c r="EV852" s="16"/>
      <c r="EW852" s="16"/>
      <c r="EX852" s="16"/>
      <c r="EY852" s="16"/>
      <c r="EZ852" s="16"/>
      <c r="FA852" s="16"/>
      <c r="FB852" s="16"/>
      <c r="FC852" s="16"/>
      <c r="FD852" s="16"/>
      <c r="FE852" s="16"/>
      <c r="FF852" s="16"/>
      <c r="FG852" s="16"/>
      <c r="FH852" s="16"/>
      <c r="FI852" s="16"/>
      <c r="FJ852" s="16"/>
      <c r="FK852" s="16"/>
      <c r="FL852" s="16"/>
      <c r="FM852" s="16"/>
      <c r="FN852" s="16"/>
      <c r="FO852" s="16"/>
      <c r="FP852" s="16"/>
      <c r="FQ852" s="16"/>
      <c r="FR852" s="16"/>
      <c r="FS852" s="16"/>
      <c r="FT852" s="16"/>
      <c r="FU852" s="16"/>
      <c r="FV852" s="16"/>
      <c r="FW852" s="16"/>
      <c r="FX852" s="16"/>
      <c r="FY852" s="16"/>
      <c r="FZ852" s="16"/>
      <c r="GA852" s="16"/>
      <c r="GB852" s="16"/>
      <c r="GC852" s="16"/>
      <c r="GD852" s="16"/>
      <c r="GE852" s="16"/>
      <c r="GF852" s="16"/>
      <c r="GG852" s="16"/>
      <c r="GH852" s="16"/>
      <c r="GI852" s="16"/>
      <c r="GJ852" s="16"/>
      <c r="GK852" s="16"/>
      <c r="GL852" s="16"/>
      <c r="GM852" s="16"/>
      <c r="GN852" s="16"/>
      <c r="GO852" s="16"/>
      <c r="GP852" s="16"/>
      <c r="GQ852" s="16"/>
      <c r="GR852" s="16"/>
      <c r="GS852" s="16"/>
      <c r="GT852" s="16"/>
      <c r="GU852" s="16"/>
      <c r="GV852" s="16"/>
      <c r="GW852" s="16"/>
      <c r="GX852" s="16"/>
      <c r="GY852" s="16"/>
      <c r="GZ852" s="16"/>
      <c r="HA852" s="16"/>
      <c r="HB852" s="16"/>
      <c r="HC852" s="16"/>
      <c r="HD852" s="16"/>
      <c r="HE852" s="16"/>
      <c r="HF852" s="16"/>
      <c r="HG852" s="16"/>
      <c r="HH852" s="16"/>
      <c r="HI852" s="16"/>
      <c r="HJ852" s="16"/>
      <c r="HK852" s="16"/>
      <c r="HL852" s="16"/>
      <c r="HM852" s="16"/>
      <c r="HN852" s="16"/>
      <c r="HO852" s="16"/>
      <c r="HP852" s="16"/>
      <c r="HQ852" s="16"/>
      <c r="HR852" s="16"/>
      <c r="HS852" s="16"/>
      <c r="HT852" s="16"/>
      <c r="HU852" s="16"/>
      <c r="HV852" s="16"/>
      <c r="HW852" s="16"/>
      <c r="HX852" s="16"/>
      <c r="HY852" s="16"/>
      <c r="HZ852" s="16"/>
      <c r="IA852" s="16"/>
      <c r="IB852" s="16"/>
      <c r="IC852" s="16"/>
      <c r="ID852" s="16"/>
      <c r="IE852" s="16"/>
      <c r="IF852" s="16"/>
      <c r="IG852" s="16"/>
      <c r="IH852" s="16"/>
      <c r="II852" s="16"/>
      <c r="IJ852" s="16"/>
      <c r="IK852" s="16"/>
      <c r="IL852" s="16"/>
      <c r="IM852" s="16"/>
      <c r="IN852" s="16"/>
      <c r="IO852" s="16"/>
      <c r="IP852" s="16"/>
      <c r="IQ852" s="16"/>
      <c r="IR852" s="16"/>
      <c r="IS852" s="16"/>
      <c r="IT852" s="16"/>
      <c r="IU852" s="16"/>
      <c r="IV852" s="16"/>
      <c r="IW852" s="16"/>
      <c r="IX852" s="16"/>
      <c r="IY852" s="16"/>
      <c r="IZ852" s="16"/>
      <c r="JA852" s="16"/>
      <c r="JB852" s="16"/>
      <c r="JC852" s="16"/>
      <c r="JD852" s="16"/>
      <c r="JE852" s="16"/>
      <c r="JF852" s="16"/>
      <c r="JG852" s="16"/>
      <c r="JH852" s="16"/>
      <c r="JI852" s="16"/>
      <c r="JJ852" s="16"/>
      <c r="JK852" s="16"/>
      <c r="JL852" s="16"/>
      <c r="JM852" s="16"/>
      <c r="JN852" s="16"/>
      <c r="JO852" s="16"/>
      <c r="JP852" s="16"/>
      <c r="JQ852" s="16"/>
      <c r="JR852" s="16"/>
      <c r="JS852" s="16"/>
      <c r="JT852" s="16"/>
      <c r="JU852" s="16"/>
      <c r="JV852" s="16"/>
      <c r="JW852" s="16"/>
      <c r="JX852" s="16"/>
      <c r="JY852" s="16"/>
      <c r="JZ852" s="16"/>
      <c r="KA852" s="16"/>
      <c r="KB852" s="16"/>
      <c r="KC852" s="16"/>
      <c r="KD852" s="16"/>
      <c r="KE852" s="16"/>
      <c r="KF852" s="16"/>
      <c r="KG852" s="16"/>
      <c r="KH852" s="16"/>
      <c r="KI852" s="16"/>
      <c r="KJ852" s="16"/>
      <c r="KK852" s="16"/>
      <c r="KL852" s="16"/>
      <c r="KM852" s="16"/>
      <c r="KN852" s="16"/>
      <c r="KO852" s="16"/>
      <c r="KP852" s="16"/>
      <c r="KQ852" s="16"/>
      <c r="KR852" s="16"/>
      <c r="KS852" s="16"/>
      <c r="KT852" s="16"/>
      <c r="KU852" s="16"/>
      <c r="KV852" s="16"/>
      <c r="KW852" s="16"/>
      <c r="KX852" s="16"/>
      <c r="KY852" s="16"/>
      <c r="KZ852" s="16"/>
      <c r="LA852" s="16"/>
      <c r="LB852" s="16"/>
      <c r="LC852" s="16"/>
      <c r="LD852" s="16"/>
      <c r="LE852" s="16"/>
      <c r="LF852" s="16"/>
      <c r="LG852" s="16"/>
      <c r="LH852" s="16"/>
      <c r="LI852" s="16"/>
      <c r="LJ852" s="16"/>
      <c r="LK852" s="16"/>
      <c r="LL852" s="16"/>
      <c r="LM852" s="16"/>
      <c r="LN852" s="16"/>
      <c r="LO852" s="16"/>
      <c r="LP852" s="16"/>
      <c r="LQ852" s="16"/>
      <c r="LR852" s="16"/>
      <c r="LS852" s="16"/>
      <c r="LT852" s="16"/>
      <c r="LU852" s="16"/>
      <c r="LV852" s="16"/>
      <c r="LW852" s="16"/>
      <c r="LX852" s="16"/>
      <c r="LY852" s="16"/>
      <c r="LZ852" s="16"/>
      <c r="MA852" s="16"/>
      <c r="MB852" s="16"/>
      <c r="MC852" s="16"/>
      <c r="MD852" s="16"/>
      <c r="ME852" s="16"/>
      <c r="MF852" s="16"/>
      <c r="MG852" s="16"/>
      <c r="MH852" s="16"/>
      <c r="MI852" s="16"/>
      <c r="MJ852" s="16"/>
      <c r="MK852" s="16"/>
      <c r="ML852" s="16"/>
      <c r="MM852" s="16"/>
      <c r="MN852" s="16"/>
      <c r="MO852" s="16"/>
      <c r="MP852" s="16"/>
      <c r="MQ852" s="16"/>
      <c r="MR852" s="16"/>
      <c r="MS852" s="16"/>
      <c r="MT852" s="16"/>
      <c r="MU852" s="16"/>
      <c r="MV852" s="16"/>
      <c r="MW852" s="16"/>
      <c r="MX852" s="16"/>
      <c r="MY852" s="16"/>
      <c r="MZ852" s="16"/>
      <c r="NA852" s="16"/>
      <c r="NB852" s="16"/>
      <c r="NC852" s="16"/>
      <c r="ND852" s="16"/>
      <c r="NE852" s="16"/>
      <c r="NF852" s="16"/>
      <c r="NG852" s="16"/>
      <c r="NH852" s="16"/>
      <c r="NI852" s="16"/>
      <c r="NJ852" s="16"/>
      <c r="NK852" s="16"/>
      <c r="NL852" s="16"/>
      <c r="NM852" s="16"/>
      <c r="NN852" s="16"/>
      <c r="NO852" s="16"/>
      <c r="NP852" s="16"/>
      <c r="NQ852" s="16"/>
      <c r="NR852" s="16"/>
      <c r="NS852" s="16"/>
      <c r="NT852" s="16"/>
      <c r="NU852" s="16"/>
      <c r="NV852" s="16"/>
      <c r="NW852" s="16"/>
      <c r="NX852" s="16"/>
      <c r="NY852" s="16"/>
      <c r="NZ852" s="16"/>
      <c r="OA852" s="16"/>
      <c r="OB852" s="16"/>
      <c r="OC852" s="16"/>
      <c r="OD852" s="16"/>
      <c r="OE852" s="16"/>
      <c r="OF852" s="16"/>
      <c r="OG852" s="16"/>
      <c r="OH852" s="16"/>
      <c r="OI852" s="16"/>
      <c r="OJ852" s="16"/>
      <c r="OK852" s="16"/>
      <c r="OL852" s="16"/>
      <c r="OM852" s="16"/>
      <c r="ON852" s="16"/>
      <c r="OO852" s="16"/>
      <c r="OP852" s="16"/>
      <c r="OQ852" s="16"/>
      <c r="OR852" s="16"/>
      <c r="OS852" s="16"/>
      <c r="OT852" s="16"/>
      <c r="OU852" s="16"/>
      <c r="OV852" s="16"/>
      <c r="OW852" s="16"/>
      <c r="OX852" s="16"/>
      <c r="OY852" s="16"/>
      <c r="OZ852" s="16"/>
      <c r="PA852" s="16"/>
      <c r="PB852" s="16"/>
      <c r="PC852" s="16"/>
      <c r="PD852" s="16"/>
      <c r="PE852" s="16"/>
      <c r="PF852" s="16"/>
      <c r="PG852" s="16"/>
      <c r="PH852" s="16"/>
      <c r="PI852" s="16"/>
      <c r="PJ852" s="16"/>
      <c r="PK852" s="16"/>
      <c r="PL852" s="16"/>
      <c r="PM852" s="16"/>
      <c r="PN852" s="16"/>
      <c r="PO852" s="16"/>
      <c r="PP852" s="16"/>
      <c r="PQ852" s="16"/>
      <c r="PR852" s="16"/>
      <c r="PS852" s="16"/>
      <c r="PT852" s="16"/>
      <c r="PU852" s="16"/>
      <c r="PV852" s="16"/>
      <c r="PW852" s="16"/>
      <c r="PX852" s="16"/>
      <c r="PY852" s="16"/>
      <c r="PZ852" s="16"/>
      <c r="QA852" s="16"/>
      <c r="QB852" s="16"/>
      <c r="QC852" s="16"/>
      <c r="QD852" s="16"/>
      <c r="QE852" s="16"/>
      <c r="QF852" s="16"/>
      <c r="QG852" s="16"/>
      <c r="QH852" s="16"/>
      <c r="QI852" s="16"/>
      <c r="QJ852" s="16"/>
      <c r="QK852" s="16"/>
      <c r="QL852" s="16"/>
      <c r="QM852" s="16"/>
      <c r="QN852" s="16"/>
      <c r="QO852" s="16"/>
      <c r="QP852" s="16"/>
      <c r="QQ852" s="16"/>
      <c r="QR852" s="16"/>
      <c r="QS852" s="16"/>
      <c r="QT852" s="16"/>
      <c r="QU852" s="16"/>
      <c r="QV852" s="16"/>
      <c r="QW852" s="16"/>
      <c r="QX852" s="16"/>
      <c r="QY852" s="16"/>
      <c r="QZ852" s="16"/>
      <c r="RA852" s="16"/>
      <c r="RB852" s="16"/>
      <c r="RC852" s="16"/>
      <c r="RD852" s="16"/>
      <c r="RE852" s="16"/>
      <c r="RF852" s="16"/>
      <c r="RG852" s="16"/>
      <c r="RH852" s="16"/>
      <c r="RI852" s="16"/>
      <c r="RJ852" s="16"/>
      <c r="RK852" s="16"/>
      <c r="RL852" s="16"/>
      <c r="RM852" s="16"/>
      <c r="RN852" s="16"/>
      <c r="RO852" s="16"/>
      <c r="RP852" s="16"/>
      <c r="RQ852" s="16"/>
      <c r="RR852" s="16"/>
      <c r="RS852" s="16"/>
      <c r="RT852" s="16"/>
      <c r="RU852" s="16"/>
      <c r="RV852" s="16"/>
      <c r="RW852" s="16"/>
      <c r="RX852" s="16"/>
      <c r="RY852" s="16"/>
      <c r="RZ852" s="16"/>
      <c r="SA852" s="16"/>
      <c r="SB852" s="16"/>
      <c r="SC852" s="16"/>
      <c r="SD852" s="16"/>
      <c r="SE852" s="16"/>
      <c r="SF852" s="16"/>
      <c r="SG852" s="16"/>
      <c r="SH852" s="16"/>
      <c r="SI852" s="16"/>
      <c r="SJ852" s="16"/>
      <c r="SK852" s="16"/>
      <c r="SL852" s="16"/>
      <c r="SM852" s="16"/>
      <c r="SN852" s="16"/>
      <c r="SO852" s="16"/>
      <c r="SP852" s="16"/>
      <c r="SQ852" s="16"/>
      <c r="SR852" s="16"/>
      <c r="SS852" s="16"/>
      <c r="ST852" s="16"/>
      <c r="SU852" s="16"/>
      <c r="SV852" s="16"/>
      <c r="SW852" s="16"/>
      <c r="SX852" s="16"/>
      <c r="SY852" s="16"/>
      <c r="SZ852" s="16"/>
      <c r="TA852" s="16"/>
      <c r="TB852" s="16"/>
      <c r="TC852" s="16"/>
      <c r="TD852" s="16"/>
      <c r="TE852" s="16"/>
      <c r="TF852" s="16"/>
      <c r="TG852" s="16"/>
      <c r="TH852" s="16"/>
      <c r="TI852" s="16"/>
      <c r="TJ852" s="16"/>
      <c r="TK852" s="16"/>
      <c r="TL852" s="16"/>
      <c r="TM852" s="16"/>
      <c r="TN852" s="16"/>
      <c r="TO852" s="16"/>
      <c r="TP852" s="16"/>
      <c r="TQ852" s="16"/>
      <c r="TR852" s="16"/>
      <c r="TS852" s="16"/>
      <c r="TT852" s="16"/>
      <c r="TU852" s="16"/>
      <c r="TV852" s="16"/>
      <c r="TW852" s="16"/>
      <c r="TX852" s="16"/>
      <c r="TY852" s="16"/>
      <c r="TZ852" s="16"/>
      <c r="UA852" s="16"/>
      <c r="UB852" s="16"/>
      <c r="UC852" s="16"/>
      <c r="UD852" s="16"/>
      <c r="UE852" s="16"/>
      <c r="UF852" s="16"/>
      <c r="UG852" s="16"/>
      <c r="UH852" s="16"/>
      <c r="UI852" s="16"/>
      <c r="UJ852" s="16"/>
      <c r="UK852" s="16"/>
      <c r="UL852" s="16"/>
      <c r="UM852" s="16"/>
      <c r="UN852" s="16"/>
      <c r="UO852" s="16"/>
      <c r="UP852" s="16"/>
      <c r="UQ852" s="16"/>
      <c r="UR852" s="16"/>
      <c r="US852" s="16"/>
      <c r="UT852" s="16"/>
      <c r="UU852" s="16"/>
      <c r="UV852" s="16"/>
      <c r="UW852" s="16"/>
      <c r="UX852" s="16"/>
      <c r="UY852" s="16"/>
      <c r="UZ852" s="16"/>
      <c r="VA852" s="16"/>
      <c r="VB852" s="16"/>
      <c r="VC852" s="16"/>
      <c r="VD852" s="16"/>
      <c r="VE852" s="16"/>
      <c r="VF852" s="16"/>
      <c r="VG852" s="16"/>
      <c r="VH852" s="16"/>
      <c r="VI852" s="16"/>
      <c r="VJ852" s="16"/>
      <c r="VK852" s="16"/>
      <c r="VL852" s="16"/>
      <c r="VM852" s="16"/>
      <c r="VN852" s="16"/>
      <c r="VO852" s="16"/>
      <c r="VP852" s="16"/>
      <c r="VQ852" s="16"/>
      <c r="VR852" s="16"/>
      <c r="VS852" s="16"/>
      <c r="VT852" s="16"/>
      <c r="VU852" s="16"/>
      <c r="VV852" s="16"/>
      <c r="VW852" s="16"/>
      <c r="VX852" s="16"/>
      <c r="VY852" s="16"/>
      <c r="VZ852" s="16"/>
      <c r="WA852" s="16"/>
      <c r="WB852" s="16"/>
      <c r="WC852" s="16"/>
      <c r="WD852" s="16"/>
      <c r="WE852" s="16"/>
      <c r="WF852" s="16"/>
      <c r="WG852" s="16"/>
      <c r="WH852" s="16"/>
      <c r="WI852" s="16"/>
      <c r="WJ852" s="16"/>
      <c r="WK852" s="16"/>
      <c r="WL852" s="16"/>
      <c r="WM852" s="16"/>
      <c r="WN852" s="16"/>
      <c r="WO852" s="16"/>
      <c r="WP852" s="16"/>
      <c r="WQ852" s="16"/>
      <c r="WR852" s="16"/>
      <c r="WS852" s="16"/>
      <c r="WT852" s="16"/>
      <c r="WU852" s="16"/>
      <c r="WV852" s="16"/>
      <c r="WW852" s="16"/>
      <c r="WX852" s="16"/>
      <c r="WY852" s="16"/>
      <c r="WZ852" s="16"/>
      <c r="XA852" s="16"/>
      <c r="XB852" s="16"/>
      <c r="XC852" s="16"/>
      <c r="XD852" s="16"/>
      <c r="XE852" s="16"/>
      <c r="XF852" s="16"/>
      <c r="XG852" s="16"/>
      <c r="XH852" s="16"/>
      <c r="XI852" s="16"/>
      <c r="XJ852" s="16"/>
      <c r="XK852" s="16"/>
      <c r="XL852" s="16"/>
      <c r="XM852" s="16"/>
      <c r="XN852" s="16"/>
      <c r="XO852" s="16"/>
      <c r="XP852" s="16"/>
      <c r="XQ852" s="16"/>
      <c r="XR852" s="16"/>
      <c r="XS852" s="16"/>
      <c r="XT852" s="16"/>
      <c r="XU852" s="16"/>
      <c r="XV852" s="16"/>
      <c r="XW852" s="16"/>
      <c r="XX852" s="16"/>
      <c r="XY852" s="16"/>
      <c r="XZ852" s="16"/>
      <c r="YA852" s="16"/>
      <c r="YB852" s="16"/>
      <c r="YC852" s="16"/>
      <c r="YD852" s="16"/>
      <c r="YE852" s="16"/>
      <c r="YF852" s="16"/>
      <c r="YG852" s="16"/>
      <c r="YH852" s="16"/>
      <c r="YI852" s="16"/>
      <c r="YJ852" s="16"/>
      <c r="YK852" s="16"/>
      <c r="YL852" s="16"/>
      <c r="YM852" s="16"/>
      <c r="YN852" s="16"/>
      <c r="YO852" s="16"/>
      <c r="YP852" s="16"/>
      <c r="YQ852" s="16"/>
      <c r="YR852" s="16"/>
      <c r="YS852" s="16"/>
      <c r="YT852" s="16"/>
      <c r="YU852" s="16"/>
      <c r="YV852" s="16"/>
      <c r="YW852" s="16"/>
      <c r="YX852" s="16"/>
      <c r="YY852" s="16"/>
      <c r="YZ852" s="16"/>
      <c r="ZA852" s="16"/>
      <c r="ZB852" s="16"/>
      <c r="ZC852" s="16"/>
      <c r="ZD852" s="16"/>
      <c r="ZE852" s="16"/>
      <c r="ZF852" s="16"/>
      <c r="ZG852" s="16"/>
      <c r="ZH852" s="16"/>
      <c r="ZI852" s="16"/>
      <c r="ZJ852" s="16"/>
      <c r="ZK852" s="16"/>
      <c r="ZL852" s="16"/>
      <c r="ZM852" s="16"/>
      <c r="ZN852" s="16"/>
      <c r="ZO852" s="16"/>
      <c r="ZP852" s="16"/>
      <c r="ZQ852" s="16"/>
      <c r="ZR852" s="16"/>
      <c r="ZS852" s="16"/>
      <c r="ZT852" s="16"/>
      <c r="ZU852" s="16"/>
      <c r="ZV852" s="16"/>
      <c r="ZW852" s="16"/>
      <c r="ZX852" s="16"/>
      <c r="ZY852" s="16"/>
      <c r="ZZ852" s="16"/>
      <c r="AAA852" s="16"/>
      <c r="AAB852" s="16"/>
      <c r="AAC852" s="16"/>
      <c r="AAD852" s="16"/>
      <c r="AAE852" s="16"/>
      <c r="AAF852" s="16"/>
      <c r="AAG852" s="16"/>
      <c r="AAH852" s="16"/>
      <c r="AAI852" s="16"/>
      <c r="AAJ852" s="16"/>
      <c r="AAK852" s="16"/>
      <c r="AAL852" s="16"/>
      <c r="AAM852" s="16"/>
      <c r="AAN852" s="16"/>
      <c r="AAO852" s="16"/>
      <c r="AAP852" s="16"/>
      <c r="AAQ852" s="16"/>
      <c r="AAR852" s="16"/>
      <c r="AAS852" s="16"/>
      <c r="AAT852" s="16"/>
      <c r="AAU852" s="16"/>
      <c r="AAV852" s="16"/>
      <c r="AAW852" s="16"/>
      <c r="AAX852" s="16"/>
      <c r="AAY852" s="16"/>
      <c r="AAZ852" s="16"/>
      <c r="ABA852" s="16"/>
      <c r="ABB852" s="16"/>
      <c r="ABC852" s="16"/>
      <c r="ABD852" s="16"/>
      <c r="ABE852" s="16"/>
      <c r="ABF852" s="16"/>
      <c r="ABG852" s="16"/>
      <c r="ABH852" s="16"/>
      <c r="ABI852" s="16"/>
      <c r="ABJ852" s="16"/>
      <c r="ABK852" s="16"/>
      <c r="ABL852" s="16"/>
      <c r="ABM852" s="16"/>
      <c r="ABN852" s="16"/>
      <c r="ABO852" s="16"/>
      <c r="ABP852" s="16"/>
      <c r="ABQ852" s="16"/>
      <c r="ABR852" s="16"/>
      <c r="ABS852" s="16"/>
      <c r="ABT852" s="16"/>
      <c r="ABU852" s="16"/>
      <c r="ABV852" s="16"/>
      <c r="ABW852" s="16"/>
      <c r="ABX852" s="16"/>
      <c r="ABY852" s="16"/>
      <c r="ABZ852" s="16"/>
      <c r="ACA852" s="16"/>
      <c r="ACB852" s="16"/>
      <c r="ACC852" s="16"/>
      <c r="ACD852" s="16"/>
      <c r="ACE852" s="16"/>
      <c r="ACF852" s="16"/>
      <c r="ACG852" s="16"/>
      <c r="ACH852" s="16"/>
      <c r="ACI852" s="16"/>
      <c r="ACJ852" s="16"/>
      <c r="ACK852" s="16"/>
      <c r="ACL852" s="16"/>
      <c r="ACM852" s="16"/>
      <c r="ACN852" s="16"/>
      <c r="ACO852" s="16"/>
      <c r="ACP852" s="16"/>
      <c r="ACQ852" s="16"/>
      <c r="ACR852" s="16"/>
      <c r="ACS852" s="16"/>
      <c r="ACT852" s="16"/>
      <c r="ACU852" s="16"/>
      <c r="ACV852" s="16"/>
      <c r="ACW852" s="16"/>
      <c r="ACX852" s="16"/>
      <c r="ACY852" s="16"/>
      <c r="ACZ852" s="16"/>
      <c r="ADA852" s="16"/>
      <c r="ADB852" s="16"/>
      <c r="ADC852" s="16"/>
      <c r="ADD852" s="16"/>
      <c r="ADE852" s="16"/>
      <c r="ADF852" s="16"/>
      <c r="ADG852" s="16"/>
      <c r="ADH852" s="16"/>
      <c r="ADI852" s="16"/>
      <c r="ADJ852" s="16"/>
      <c r="ADK852" s="16"/>
      <c r="ADL852" s="16"/>
      <c r="ADM852" s="16"/>
      <c r="ADN852" s="16"/>
      <c r="ADO852" s="16"/>
      <c r="ADP852" s="16"/>
      <c r="ADQ852" s="16"/>
      <c r="ADR852" s="16"/>
      <c r="ADS852" s="16"/>
      <c r="ADT852" s="16"/>
      <c r="ADU852" s="16"/>
      <c r="ADV852" s="16"/>
      <c r="ADW852" s="16"/>
      <c r="ADX852" s="16"/>
      <c r="ADY852" s="16"/>
      <c r="ADZ852" s="16"/>
      <c r="AEA852" s="16"/>
      <c r="AEB852" s="16"/>
      <c r="AEC852" s="16"/>
      <c r="AED852" s="16"/>
      <c r="AEE852" s="16"/>
      <c r="AEF852" s="16"/>
      <c r="AEG852" s="16"/>
      <c r="AEH852" s="16"/>
      <c r="AEI852" s="16"/>
      <c r="AEJ852" s="16"/>
      <c r="AEK852" s="16"/>
      <c r="AEL852" s="16"/>
      <c r="AEM852" s="16"/>
      <c r="AEN852" s="16"/>
      <c r="AEO852" s="16"/>
      <c r="AEP852" s="16"/>
      <c r="AEQ852" s="16"/>
      <c r="AER852" s="16"/>
      <c r="AES852" s="16"/>
      <c r="AET852" s="16"/>
      <c r="AEU852" s="16"/>
      <c r="AEV852" s="16"/>
      <c r="AEW852" s="16"/>
      <c r="AEX852" s="16"/>
      <c r="AEY852" s="16"/>
      <c r="AEZ852" s="16"/>
      <c r="AFA852" s="16"/>
      <c r="AFB852" s="16"/>
      <c r="AFC852" s="16"/>
      <c r="AFD852" s="16"/>
      <c r="AFE852" s="16"/>
      <c r="AFF852" s="16"/>
      <c r="AFG852" s="16"/>
      <c r="AFH852" s="16"/>
      <c r="AFI852" s="16"/>
      <c r="AFJ852" s="16"/>
      <c r="AFK852" s="16"/>
      <c r="AFL852" s="16"/>
      <c r="AFM852" s="16"/>
      <c r="AFN852" s="16"/>
      <c r="AFO852" s="16"/>
      <c r="AFP852" s="16"/>
      <c r="AFQ852" s="16"/>
      <c r="AFR852" s="16"/>
      <c r="AFS852" s="16"/>
      <c r="AFT852" s="16"/>
      <c r="AFU852" s="16"/>
      <c r="AFV852" s="16"/>
      <c r="AFW852" s="16"/>
      <c r="AFX852" s="16"/>
      <c r="AFY852" s="16"/>
      <c r="AFZ852" s="16"/>
      <c r="AGA852" s="16"/>
      <c r="AGB852" s="16"/>
      <c r="AGC852" s="16"/>
      <c r="AGD852" s="16"/>
      <c r="AGE852" s="16"/>
      <c r="AGF852" s="16"/>
      <c r="AGG852" s="16"/>
      <c r="AGH852" s="16"/>
      <c r="AGI852" s="16"/>
      <c r="AGJ852" s="16"/>
    </row>
    <row r="853" spans="1:868">
      <c r="A853" s="152" t="s">
        <v>269</v>
      </c>
      <c r="B853" s="34" t="s">
        <v>258</v>
      </c>
      <c r="C853" s="40" t="s">
        <v>190</v>
      </c>
      <c r="D853" s="69" t="s">
        <v>99</v>
      </c>
      <c r="E853" s="868">
        <v>9.5582536812193225E-2</v>
      </c>
      <c r="F853" s="34">
        <v>1</v>
      </c>
      <c r="G853" s="344" t="s">
        <v>135</v>
      </c>
      <c r="H853" s="29"/>
      <c r="I853" s="9">
        <v>1</v>
      </c>
      <c r="J853" s="9">
        <v>1</v>
      </c>
      <c r="K853" s="9">
        <v>1</v>
      </c>
      <c r="L853" s="9">
        <v>2</v>
      </c>
      <c r="M853" s="9">
        <v>2</v>
      </c>
      <c r="N853" s="186" t="str">
        <f t="shared" si="47"/>
        <v/>
      </c>
      <c r="O853" s="160">
        <f t="shared" si="48"/>
        <v>0.35859414261160716</v>
      </c>
      <c r="P853" s="63"/>
    </row>
    <row r="854" spans="1:868">
      <c r="A854" s="152" t="s">
        <v>269</v>
      </c>
      <c r="B854" s="34" t="s">
        <v>258</v>
      </c>
      <c r="C854" s="40" t="s">
        <v>190</v>
      </c>
      <c r="D854" s="69" t="s">
        <v>102</v>
      </c>
      <c r="E854" s="868">
        <v>0.24492099322799099</v>
      </c>
      <c r="F854" s="34">
        <v>1</v>
      </c>
      <c r="G854" s="344" t="s">
        <v>135</v>
      </c>
      <c r="H854" s="29"/>
      <c r="I854" s="9">
        <v>1</v>
      </c>
      <c r="J854" s="9">
        <v>1</v>
      </c>
      <c r="K854" s="9">
        <v>1</v>
      </c>
      <c r="L854" s="9">
        <v>2</v>
      </c>
      <c r="M854" s="9">
        <v>2</v>
      </c>
      <c r="N854" s="186" t="str">
        <f t="shared" si="47"/>
        <v/>
      </c>
      <c r="O854" s="160">
        <f t="shared" si="48"/>
        <v>0.35859414261160716</v>
      </c>
      <c r="P854" s="63"/>
    </row>
    <row r="855" spans="1:868" hidden="1">
      <c r="A855" s="152" t="s">
        <v>396</v>
      </c>
      <c r="B855" s="34" t="s">
        <v>271</v>
      </c>
      <c r="C855" s="40" t="s">
        <v>147</v>
      </c>
      <c r="D855" s="34" t="s">
        <v>147</v>
      </c>
      <c r="E855" s="260">
        <v>0</v>
      </c>
      <c r="F855" s="235">
        <v>2</v>
      </c>
      <c r="G855" s="40" t="s">
        <v>430</v>
      </c>
      <c r="H855" s="29"/>
      <c r="I855" s="9"/>
      <c r="J855" s="9"/>
      <c r="K855" s="9"/>
      <c r="L855" s="9"/>
      <c r="M855" s="9"/>
      <c r="N855" s="186" t="str">
        <f t="shared" si="47"/>
        <v/>
      </c>
      <c r="O855" s="160" t="str">
        <f t="shared" si="48"/>
        <v/>
      </c>
      <c r="P855" s="63" t="s">
        <v>412</v>
      </c>
    </row>
    <row r="856" spans="1:868" hidden="1">
      <c r="A856" s="152" t="s">
        <v>413</v>
      </c>
      <c r="B856" s="34" t="s">
        <v>271</v>
      </c>
      <c r="C856" s="40" t="s">
        <v>147</v>
      </c>
      <c r="D856" s="34" t="s">
        <v>147</v>
      </c>
      <c r="E856" s="260">
        <v>0</v>
      </c>
      <c r="F856" s="235">
        <v>2</v>
      </c>
      <c r="G856" s="40" t="s">
        <v>430</v>
      </c>
      <c r="H856" s="29"/>
      <c r="I856" s="9"/>
      <c r="J856" s="9"/>
      <c r="K856" s="9"/>
      <c r="L856" s="9"/>
      <c r="M856" s="9"/>
      <c r="N856" s="186" t="str">
        <f t="shared" si="47"/>
        <v/>
      </c>
      <c r="O856" s="160" t="str">
        <f t="shared" si="48"/>
        <v/>
      </c>
      <c r="P856" s="63" t="s">
        <v>431</v>
      </c>
    </row>
    <row r="857" spans="1:868">
      <c r="A857" s="152" t="s">
        <v>269</v>
      </c>
      <c r="B857" s="34" t="s">
        <v>258</v>
      </c>
      <c r="C857" s="40" t="s">
        <v>190</v>
      </c>
      <c r="D857" s="69" t="s">
        <v>104</v>
      </c>
      <c r="E857" s="868">
        <v>0.19953775038520799</v>
      </c>
      <c r="F857" s="34">
        <v>1</v>
      </c>
      <c r="G857" s="344" t="s">
        <v>135</v>
      </c>
      <c r="H857" s="29"/>
      <c r="I857" s="9">
        <v>1</v>
      </c>
      <c r="J857" s="9">
        <v>1</v>
      </c>
      <c r="K857" s="9">
        <v>1</v>
      </c>
      <c r="L857" s="9">
        <v>2</v>
      </c>
      <c r="M857" s="9">
        <v>2</v>
      </c>
      <c r="N857" s="186" t="str">
        <f t="shared" si="47"/>
        <v/>
      </c>
      <c r="O857" s="160">
        <f t="shared" si="48"/>
        <v>0.35859414261160716</v>
      </c>
      <c r="P857" s="63"/>
    </row>
    <row r="858" spans="1:868">
      <c r="A858" s="152" t="s">
        <v>269</v>
      </c>
      <c r="B858" s="34" t="s">
        <v>258</v>
      </c>
      <c r="C858" s="40" t="s">
        <v>190</v>
      </c>
      <c r="D858" s="69" t="s">
        <v>105</v>
      </c>
      <c r="E858" s="868">
        <v>0.3138111888111888</v>
      </c>
      <c r="F858" s="34">
        <v>1</v>
      </c>
      <c r="G858" s="344" t="s">
        <v>135</v>
      </c>
      <c r="H858" s="29"/>
      <c r="I858" s="9">
        <v>1</v>
      </c>
      <c r="J858" s="9">
        <v>1</v>
      </c>
      <c r="K858" s="9">
        <v>1</v>
      </c>
      <c r="L858" s="9">
        <v>2</v>
      </c>
      <c r="M858" s="9">
        <v>2</v>
      </c>
      <c r="N858" s="186" t="str">
        <f t="shared" si="47"/>
        <v/>
      </c>
      <c r="O858" s="160">
        <f t="shared" si="48"/>
        <v>0.35859414261160716</v>
      </c>
      <c r="P858" s="63"/>
    </row>
    <row r="859" spans="1:868" hidden="1">
      <c r="A859" s="152" t="s">
        <v>299</v>
      </c>
      <c r="B859" s="34" t="s">
        <v>271</v>
      </c>
      <c r="C859" s="40" t="s">
        <v>147</v>
      </c>
      <c r="D859" s="34" t="s">
        <v>147</v>
      </c>
      <c r="E859" s="260" t="s">
        <v>158</v>
      </c>
      <c r="F859" s="235">
        <v>1</v>
      </c>
      <c r="G859" s="40"/>
      <c r="H859" s="29"/>
      <c r="I859" s="9"/>
      <c r="J859" s="9"/>
      <c r="K859" s="9"/>
      <c r="L859" s="9"/>
      <c r="M859" s="9"/>
      <c r="N859" s="186" t="str">
        <f t="shared" si="47"/>
        <v/>
      </c>
      <c r="O859" s="160" t="str">
        <f t="shared" si="48"/>
        <v/>
      </c>
      <c r="P859" s="63"/>
    </row>
    <row r="860" spans="1:868" hidden="1">
      <c r="A860" s="152" t="s">
        <v>406</v>
      </c>
      <c r="B860" s="34" t="s">
        <v>271</v>
      </c>
      <c r="C860" s="40" t="s">
        <v>147</v>
      </c>
      <c r="D860" s="34" t="s">
        <v>147</v>
      </c>
      <c r="E860" s="265">
        <v>0.1</v>
      </c>
      <c r="F860" s="34">
        <v>1</v>
      </c>
      <c r="G860" s="40" t="s">
        <v>389</v>
      </c>
      <c r="H860" s="29">
        <v>1</v>
      </c>
      <c r="I860" s="9">
        <v>3</v>
      </c>
      <c r="J860" s="9">
        <v>2</v>
      </c>
      <c r="K860" s="9">
        <v>1</v>
      </c>
      <c r="L860" s="9">
        <v>1</v>
      </c>
      <c r="M860" s="9">
        <v>2</v>
      </c>
      <c r="N860" s="186">
        <f t="shared" si="47"/>
        <v>0.35859414261160716</v>
      </c>
      <c r="O860" s="160">
        <f t="shared" si="48"/>
        <v>0.48935255543384243</v>
      </c>
      <c r="P860" s="858"/>
    </row>
    <row r="861" spans="1:868" s="211" customFormat="1" ht="15.75" hidden="1" thickBot="1">
      <c r="A861" s="152" t="s">
        <v>409</v>
      </c>
      <c r="B861" s="34" t="s">
        <v>311</v>
      </c>
      <c r="C861" s="40" t="s">
        <v>147</v>
      </c>
      <c r="D861" s="34" t="s">
        <v>147</v>
      </c>
      <c r="E861" s="265">
        <v>0.1</v>
      </c>
      <c r="F861" s="235">
        <v>2</v>
      </c>
      <c r="G861" s="40" t="s">
        <v>312</v>
      </c>
      <c r="H861" s="29">
        <v>2</v>
      </c>
      <c r="I861" s="9">
        <v>2</v>
      </c>
      <c r="J861" s="9">
        <v>2</v>
      </c>
      <c r="K861" s="9">
        <v>2</v>
      </c>
      <c r="L861" s="9">
        <v>1</v>
      </c>
      <c r="M861" s="9">
        <v>1</v>
      </c>
      <c r="N861" s="186">
        <f t="shared" si="47"/>
        <v>0.2249354160293616</v>
      </c>
      <c r="O861" s="160">
        <f t="shared" si="48"/>
        <v>0.2249354160293616</v>
      </c>
      <c r="P861" s="858"/>
      <c r="Q861" s="16"/>
      <c r="R861" s="16"/>
      <c r="S861" s="16"/>
      <c r="T861" s="16"/>
      <c r="U861" s="16"/>
      <c r="V861" s="16"/>
      <c r="W861" s="16"/>
      <c r="X861" s="16"/>
      <c r="Y861" s="16"/>
      <c r="Z861" s="16"/>
      <c r="AA861" s="16"/>
      <c r="AB861" s="16"/>
      <c r="AC861" s="16"/>
      <c r="AD861" s="16"/>
      <c r="AE861" s="16"/>
      <c r="AF861" s="16"/>
      <c r="AG861" s="16"/>
      <c r="AH861" s="16"/>
      <c r="AI861" s="16"/>
      <c r="AJ861" s="16"/>
      <c r="AK861" s="16"/>
      <c r="AL861" s="16"/>
      <c r="AM861" s="16"/>
      <c r="AN861" s="16"/>
      <c r="AO861" s="16"/>
      <c r="AP861" s="16"/>
      <c r="AQ861" s="16"/>
      <c r="AR861" s="16"/>
      <c r="AS861" s="16"/>
      <c r="AT861" s="16"/>
      <c r="AU861" s="16"/>
      <c r="AV861" s="16"/>
      <c r="AW861" s="16"/>
      <c r="AX861" s="16"/>
      <c r="AY861" s="16"/>
      <c r="AZ861" s="16"/>
      <c r="BA861" s="16"/>
      <c r="BB861" s="16"/>
      <c r="BC861" s="16"/>
      <c r="BD861" s="16"/>
      <c r="BE861" s="16"/>
      <c r="BF861" s="16"/>
      <c r="BG861" s="16"/>
      <c r="BH861" s="16"/>
      <c r="BI861" s="16"/>
      <c r="BJ861" s="16"/>
      <c r="BK861" s="16"/>
      <c r="BL861" s="16"/>
      <c r="BM861" s="16"/>
      <c r="BN861" s="16"/>
      <c r="BO861" s="16"/>
      <c r="BP861" s="16"/>
      <c r="BQ861" s="16"/>
      <c r="BR861" s="16"/>
      <c r="BS861" s="16"/>
      <c r="BT861" s="16"/>
      <c r="BU861" s="16"/>
      <c r="BV861" s="16"/>
      <c r="BW861" s="16"/>
      <c r="BX861" s="16"/>
      <c r="BY861" s="16"/>
      <c r="BZ861" s="16"/>
      <c r="CA861" s="16"/>
      <c r="CB861" s="16"/>
      <c r="CC861" s="16"/>
      <c r="CD861" s="16"/>
      <c r="CE861" s="16"/>
      <c r="CF861" s="16"/>
      <c r="CG861" s="16"/>
      <c r="CH861" s="16"/>
      <c r="CI861" s="16"/>
      <c r="CJ861" s="16"/>
      <c r="CK861" s="16"/>
      <c r="CL861" s="16"/>
      <c r="CM861" s="16"/>
      <c r="CN861" s="16"/>
      <c r="CO861" s="16"/>
      <c r="CP861" s="16"/>
      <c r="CQ861" s="16"/>
      <c r="CR861" s="16"/>
      <c r="CS861" s="16"/>
      <c r="CT861" s="16"/>
      <c r="CU861" s="16"/>
      <c r="CV861" s="16"/>
      <c r="CW861" s="16"/>
      <c r="CX861" s="16"/>
      <c r="CY861" s="16"/>
      <c r="CZ861" s="16"/>
      <c r="DA861" s="16"/>
      <c r="DB861" s="16"/>
      <c r="DC861" s="16"/>
      <c r="DD861" s="16"/>
      <c r="DE861" s="16"/>
      <c r="DF861" s="16"/>
      <c r="DG861" s="16"/>
      <c r="DH861" s="16"/>
      <c r="DI861" s="16"/>
      <c r="DJ861" s="16"/>
      <c r="DK861" s="16"/>
      <c r="DL861" s="16"/>
      <c r="DM861" s="16"/>
      <c r="DN861" s="16"/>
      <c r="DO861" s="16"/>
      <c r="DP861" s="16"/>
      <c r="DQ861" s="16"/>
      <c r="DR861" s="16"/>
      <c r="DS861" s="16"/>
      <c r="DT861" s="16"/>
      <c r="DU861" s="16"/>
      <c r="DV861" s="16"/>
      <c r="DW861" s="16"/>
      <c r="DX861" s="16"/>
      <c r="DY861" s="16"/>
      <c r="DZ861" s="16"/>
      <c r="EA861" s="16"/>
      <c r="EB861" s="16"/>
      <c r="EC861" s="16"/>
      <c r="ED861" s="16"/>
      <c r="EE861" s="16"/>
      <c r="EF861" s="16"/>
      <c r="EG861" s="16"/>
      <c r="EH861" s="16"/>
      <c r="EI861" s="16"/>
      <c r="EJ861" s="16"/>
      <c r="EK861" s="16"/>
      <c r="EL861" s="16"/>
      <c r="EM861" s="16"/>
      <c r="EN861" s="16"/>
      <c r="EO861" s="16"/>
      <c r="EP861" s="16"/>
      <c r="EQ861" s="16"/>
      <c r="ER861" s="16"/>
      <c r="ES861" s="16"/>
      <c r="ET861" s="16"/>
      <c r="EU861" s="16"/>
      <c r="EV861" s="16"/>
      <c r="EW861" s="16"/>
      <c r="EX861" s="16"/>
      <c r="EY861" s="16"/>
      <c r="EZ861" s="16"/>
      <c r="FA861" s="16"/>
      <c r="FB861" s="16"/>
      <c r="FC861" s="16"/>
      <c r="FD861" s="16"/>
      <c r="FE861" s="16"/>
      <c r="FF861" s="16"/>
      <c r="FG861" s="16"/>
      <c r="FH861" s="16"/>
      <c r="FI861" s="16"/>
      <c r="FJ861" s="16"/>
      <c r="FK861" s="16"/>
      <c r="FL861" s="16"/>
      <c r="FM861" s="16"/>
      <c r="FN861" s="16"/>
      <c r="FO861" s="16"/>
      <c r="FP861" s="16"/>
      <c r="FQ861" s="16"/>
      <c r="FR861" s="16"/>
      <c r="FS861" s="16"/>
      <c r="FT861" s="16"/>
      <c r="FU861" s="16"/>
      <c r="FV861" s="16"/>
      <c r="FW861" s="16"/>
      <c r="FX861" s="16"/>
      <c r="FY861" s="16"/>
      <c r="FZ861" s="16"/>
      <c r="GA861" s="16"/>
      <c r="GB861" s="16"/>
      <c r="GC861" s="16"/>
      <c r="GD861" s="16"/>
      <c r="GE861" s="16"/>
      <c r="GF861" s="16"/>
      <c r="GG861" s="16"/>
      <c r="GH861" s="16"/>
      <c r="GI861" s="16"/>
      <c r="GJ861" s="16"/>
      <c r="GK861" s="16"/>
      <c r="GL861" s="16"/>
      <c r="GM861" s="16"/>
      <c r="GN861" s="16"/>
      <c r="GO861" s="16"/>
      <c r="GP861" s="16"/>
      <c r="GQ861" s="16"/>
      <c r="GR861" s="16"/>
      <c r="GS861" s="16"/>
      <c r="GT861" s="16"/>
      <c r="GU861" s="16"/>
      <c r="GV861" s="16"/>
      <c r="GW861" s="16"/>
      <c r="GX861" s="16"/>
      <c r="GY861" s="16"/>
      <c r="GZ861" s="16"/>
      <c r="HA861" s="16"/>
      <c r="HB861" s="16"/>
      <c r="HC861" s="16"/>
      <c r="HD861" s="16"/>
      <c r="HE861" s="16"/>
      <c r="HF861" s="16"/>
      <c r="HG861" s="16"/>
      <c r="HH861" s="16"/>
      <c r="HI861" s="16"/>
      <c r="HJ861" s="16"/>
      <c r="HK861" s="16"/>
      <c r="HL861" s="16"/>
      <c r="HM861" s="16"/>
      <c r="HN861" s="16"/>
      <c r="HO861" s="16"/>
      <c r="HP861" s="16"/>
      <c r="HQ861" s="16"/>
      <c r="HR861" s="16"/>
      <c r="HS861" s="16"/>
      <c r="HT861" s="16"/>
      <c r="HU861" s="16"/>
      <c r="HV861" s="16"/>
      <c r="HW861" s="16"/>
      <c r="HX861" s="16"/>
      <c r="HY861" s="16"/>
      <c r="HZ861" s="16"/>
      <c r="IA861" s="16"/>
      <c r="IB861" s="16"/>
      <c r="IC861" s="16"/>
      <c r="ID861" s="16"/>
      <c r="IE861" s="16"/>
      <c r="IF861" s="16"/>
      <c r="IG861" s="16"/>
      <c r="IH861" s="16"/>
      <c r="II861" s="16"/>
      <c r="IJ861" s="16"/>
      <c r="IK861" s="16"/>
      <c r="IL861" s="16"/>
      <c r="IM861" s="16"/>
      <c r="IN861" s="16"/>
      <c r="IO861" s="16"/>
      <c r="IP861" s="16"/>
      <c r="IQ861" s="16"/>
      <c r="IR861" s="16"/>
      <c r="IS861" s="16"/>
      <c r="IT861" s="16"/>
      <c r="IU861" s="16"/>
      <c r="IV861" s="16"/>
      <c r="IW861" s="16"/>
      <c r="IX861" s="16"/>
      <c r="IY861" s="16"/>
      <c r="IZ861" s="16"/>
      <c r="JA861" s="16"/>
      <c r="JB861" s="16"/>
      <c r="JC861" s="16"/>
      <c r="JD861" s="16"/>
      <c r="JE861" s="16"/>
      <c r="JF861" s="16"/>
      <c r="JG861" s="16"/>
      <c r="JH861" s="16"/>
      <c r="JI861" s="16"/>
      <c r="JJ861" s="16"/>
      <c r="JK861" s="16"/>
      <c r="JL861" s="16"/>
      <c r="JM861" s="16"/>
      <c r="JN861" s="16"/>
      <c r="JO861" s="16"/>
      <c r="JP861" s="16"/>
      <c r="JQ861" s="16"/>
      <c r="JR861" s="16"/>
      <c r="JS861" s="16"/>
      <c r="JT861" s="16"/>
      <c r="JU861" s="16"/>
      <c r="JV861" s="16"/>
      <c r="JW861" s="16"/>
      <c r="JX861" s="16"/>
      <c r="JY861" s="16"/>
      <c r="JZ861" s="16"/>
      <c r="KA861" s="16"/>
      <c r="KB861" s="16"/>
      <c r="KC861" s="16"/>
      <c r="KD861" s="16"/>
      <c r="KE861" s="16"/>
      <c r="KF861" s="16"/>
      <c r="KG861" s="16"/>
      <c r="KH861" s="16"/>
      <c r="KI861" s="16"/>
      <c r="KJ861" s="16"/>
      <c r="KK861" s="16"/>
      <c r="KL861" s="16"/>
      <c r="KM861" s="16"/>
      <c r="KN861" s="16"/>
      <c r="KO861" s="16"/>
      <c r="KP861" s="16"/>
      <c r="KQ861" s="16"/>
      <c r="KR861" s="16"/>
      <c r="KS861" s="16"/>
      <c r="KT861" s="16"/>
      <c r="KU861" s="16"/>
      <c r="KV861" s="16"/>
      <c r="KW861" s="16"/>
      <c r="KX861" s="16"/>
      <c r="KY861" s="16"/>
      <c r="KZ861" s="16"/>
      <c r="LA861" s="16"/>
      <c r="LB861" s="16"/>
      <c r="LC861" s="16"/>
      <c r="LD861" s="16"/>
      <c r="LE861" s="16"/>
      <c r="LF861" s="16"/>
      <c r="LG861" s="16"/>
      <c r="LH861" s="16"/>
      <c r="LI861" s="16"/>
      <c r="LJ861" s="16"/>
      <c r="LK861" s="16"/>
      <c r="LL861" s="16"/>
      <c r="LM861" s="16"/>
      <c r="LN861" s="16"/>
      <c r="LO861" s="16"/>
      <c r="LP861" s="16"/>
      <c r="LQ861" s="16"/>
      <c r="LR861" s="16"/>
      <c r="LS861" s="16"/>
      <c r="LT861" s="16"/>
      <c r="LU861" s="16"/>
      <c r="LV861" s="16"/>
      <c r="LW861" s="16"/>
      <c r="LX861" s="16"/>
      <c r="LY861" s="16"/>
      <c r="LZ861" s="16"/>
      <c r="MA861" s="16"/>
      <c r="MB861" s="16"/>
      <c r="MC861" s="16"/>
      <c r="MD861" s="16"/>
      <c r="ME861" s="16"/>
      <c r="MF861" s="16"/>
      <c r="MG861" s="16"/>
      <c r="MH861" s="16"/>
      <c r="MI861" s="16"/>
      <c r="MJ861" s="16"/>
      <c r="MK861" s="16"/>
      <c r="ML861" s="16"/>
      <c r="MM861" s="16"/>
      <c r="MN861" s="16"/>
      <c r="MO861" s="16"/>
      <c r="MP861" s="16"/>
      <c r="MQ861" s="16"/>
      <c r="MR861" s="16"/>
      <c r="MS861" s="16"/>
      <c r="MT861" s="16"/>
      <c r="MU861" s="16"/>
      <c r="MV861" s="16"/>
      <c r="MW861" s="16"/>
      <c r="MX861" s="16"/>
      <c r="MY861" s="16"/>
      <c r="MZ861" s="16"/>
      <c r="NA861" s="16"/>
      <c r="NB861" s="16"/>
      <c r="NC861" s="16"/>
      <c r="ND861" s="16"/>
      <c r="NE861" s="16"/>
      <c r="NF861" s="16"/>
      <c r="NG861" s="16"/>
      <c r="NH861" s="16"/>
      <c r="NI861" s="16"/>
      <c r="NJ861" s="16"/>
      <c r="NK861" s="16"/>
      <c r="NL861" s="16"/>
      <c r="NM861" s="16"/>
      <c r="NN861" s="16"/>
      <c r="NO861" s="16"/>
      <c r="NP861" s="16"/>
      <c r="NQ861" s="16"/>
      <c r="NR861" s="16"/>
      <c r="NS861" s="16"/>
      <c r="NT861" s="16"/>
      <c r="NU861" s="16"/>
      <c r="NV861" s="16"/>
      <c r="NW861" s="16"/>
      <c r="NX861" s="16"/>
      <c r="NY861" s="16"/>
      <c r="NZ861" s="16"/>
      <c r="OA861" s="16"/>
      <c r="OB861" s="16"/>
      <c r="OC861" s="16"/>
      <c r="OD861" s="16"/>
      <c r="OE861" s="16"/>
      <c r="OF861" s="16"/>
      <c r="OG861" s="16"/>
      <c r="OH861" s="16"/>
      <c r="OI861" s="16"/>
      <c r="OJ861" s="16"/>
      <c r="OK861" s="16"/>
      <c r="OL861" s="16"/>
      <c r="OM861" s="16"/>
      <c r="ON861" s="16"/>
      <c r="OO861" s="16"/>
      <c r="OP861" s="16"/>
      <c r="OQ861" s="16"/>
      <c r="OR861" s="16"/>
      <c r="OS861" s="16"/>
      <c r="OT861" s="16"/>
      <c r="OU861" s="16"/>
      <c r="OV861" s="16"/>
      <c r="OW861" s="16"/>
      <c r="OX861" s="16"/>
      <c r="OY861" s="16"/>
      <c r="OZ861" s="16"/>
      <c r="PA861" s="16"/>
      <c r="PB861" s="16"/>
      <c r="PC861" s="16"/>
      <c r="PD861" s="16"/>
      <c r="PE861" s="16"/>
      <c r="PF861" s="16"/>
      <c r="PG861" s="16"/>
      <c r="PH861" s="16"/>
      <c r="PI861" s="16"/>
      <c r="PJ861" s="16"/>
      <c r="PK861" s="16"/>
      <c r="PL861" s="16"/>
      <c r="PM861" s="16"/>
      <c r="PN861" s="16"/>
      <c r="PO861" s="16"/>
      <c r="PP861" s="16"/>
      <c r="PQ861" s="16"/>
      <c r="PR861" s="16"/>
      <c r="PS861" s="16"/>
      <c r="PT861" s="16"/>
      <c r="PU861" s="16"/>
      <c r="PV861" s="16"/>
      <c r="PW861" s="16"/>
      <c r="PX861" s="16"/>
      <c r="PY861" s="16"/>
      <c r="PZ861" s="16"/>
      <c r="QA861" s="16"/>
      <c r="QB861" s="16"/>
      <c r="QC861" s="16"/>
      <c r="QD861" s="16"/>
      <c r="QE861" s="16"/>
      <c r="QF861" s="16"/>
      <c r="QG861" s="16"/>
      <c r="QH861" s="16"/>
      <c r="QI861" s="16"/>
      <c r="QJ861" s="16"/>
      <c r="QK861" s="16"/>
      <c r="QL861" s="16"/>
      <c r="QM861" s="16"/>
      <c r="QN861" s="16"/>
      <c r="QO861" s="16"/>
      <c r="QP861" s="16"/>
      <c r="QQ861" s="16"/>
      <c r="QR861" s="16"/>
      <c r="QS861" s="16"/>
      <c r="QT861" s="16"/>
      <c r="QU861" s="16"/>
      <c r="QV861" s="16"/>
      <c r="QW861" s="16"/>
      <c r="QX861" s="16"/>
      <c r="QY861" s="16"/>
      <c r="QZ861" s="16"/>
      <c r="RA861" s="16"/>
      <c r="RB861" s="16"/>
      <c r="RC861" s="16"/>
      <c r="RD861" s="16"/>
      <c r="RE861" s="16"/>
      <c r="RF861" s="16"/>
      <c r="RG861" s="16"/>
      <c r="RH861" s="16"/>
      <c r="RI861" s="16"/>
      <c r="RJ861" s="16"/>
      <c r="RK861" s="16"/>
      <c r="RL861" s="16"/>
      <c r="RM861" s="16"/>
      <c r="RN861" s="16"/>
      <c r="RO861" s="16"/>
      <c r="RP861" s="16"/>
      <c r="RQ861" s="16"/>
      <c r="RR861" s="16"/>
      <c r="RS861" s="16"/>
      <c r="RT861" s="16"/>
      <c r="RU861" s="16"/>
      <c r="RV861" s="16"/>
      <c r="RW861" s="16"/>
      <c r="RX861" s="16"/>
      <c r="RY861" s="16"/>
      <c r="RZ861" s="16"/>
      <c r="SA861" s="16"/>
      <c r="SB861" s="16"/>
      <c r="SC861" s="16"/>
      <c r="SD861" s="16"/>
      <c r="SE861" s="16"/>
      <c r="SF861" s="16"/>
      <c r="SG861" s="16"/>
      <c r="SH861" s="16"/>
      <c r="SI861" s="16"/>
      <c r="SJ861" s="16"/>
      <c r="SK861" s="16"/>
      <c r="SL861" s="16"/>
      <c r="SM861" s="16"/>
      <c r="SN861" s="16"/>
      <c r="SO861" s="16"/>
      <c r="SP861" s="16"/>
      <c r="SQ861" s="16"/>
      <c r="SR861" s="16"/>
      <c r="SS861" s="16"/>
      <c r="ST861" s="16"/>
      <c r="SU861" s="16"/>
      <c r="SV861" s="16"/>
      <c r="SW861" s="16"/>
      <c r="SX861" s="16"/>
      <c r="SY861" s="16"/>
      <c r="SZ861" s="16"/>
      <c r="TA861" s="16"/>
      <c r="TB861" s="16"/>
      <c r="TC861" s="16"/>
      <c r="TD861" s="16"/>
      <c r="TE861" s="16"/>
      <c r="TF861" s="16"/>
      <c r="TG861" s="16"/>
      <c r="TH861" s="16"/>
      <c r="TI861" s="16"/>
      <c r="TJ861" s="16"/>
      <c r="TK861" s="16"/>
      <c r="TL861" s="16"/>
      <c r="TM861" s="16"/>
      <c r="TN861" s="16"/>
      <c r="TO861" s="16"/>
      <c r="TP861" s="16"/>
      <c r="TQ861" s="16"/>
      <c r="TR861" s="16"/>
      <c r="TS861" s="16"/>
      <c r="TT861" s="16"/>
      <c r="TU861" s="16"/>
      <c r="TV861" s="16"/>
      <c r="TW861" s="16"/>
      <c r="TX861" s="16"/>
      <c r="TY861" s="16"/>
      <c r="TZ861" s="16"/>
      <c r="UA861" s="16"/>
      <c r="UB861" s="16"/>
      <c r="UC861" s="16"/>
      <c r="UD861" s="16"/>
      <c r="UE861" s="16"/>
      <c r="UF861" s="16"/>
      <c r="UG861" s="16"/>
      <c r="UH861" s="16"/>
      <c r="UI861" s="16"/>
      <c r="UJ861" s="16"/>
      <c r="UK861" s="16"/>
      <c r="UL861" s="16"/>
      <c r="UM861" s="16"/>
      <c r="UN861" s="16"/>
      <c r="UO861" s="16"/>
      <c r="UP861" s="16"/>
      <c r="UQ861" s="16"/>
      <c r="UR861" s="16"/>
      <c r="US861" s="16"/>
      <c r="UT861" s="16"/>
      <c r="UU861" s="16"/>
      <c r="UV861" s="16"/>
      <c r="UW861" s="16"/>
      <c r="UX861" s="16"/>
      <c r="UY861" s="16"/>
      <c r="UZ861" s="16"/>
      <c r="VA861" s="16"/>
      <c r="VB861" s="16"/>
      <c r="VC861" s="16"/>
      <c r="VD861" s="16"/>
      <c r="VE861" s="16"/>
      <c r="VF861" s="16"/>
      <c r="VG861" s="16"/>
      <c r="VH861" s="16"/>
      <c r="VI861" s="16"/>
      <c r="VJ861" s="16"/>
      <c r="VK861" s="16"/>
      <c r="VL861" s="16"/>
      <c r="VM861" s="16"/>
      <c r="VN861" s="16"/>
      <c r="VO861" s="16"/>
      <c r="VP861" s="16"/>
      <c r="VQ861" s="16"/>
      <c r="VR861" s="16"/>
      <c r="VS861" s="16"/>
      <c r="VT861" s="16"/>
      <c r="VU861" s="16"/>
      <c r="VV861" s="16"/>
      <c r="VW861" s="16"/>
      <c r="VX861" s="16"/>
      <c r="VY861" s="16"/>
      <c r="VZ861" s="16"/>
      <c r="WA861" s="16"/>
      <c r="WB861" s="16"/>
      <c r="WC861" s="16"/>
      <c r="WD861" s="16"/>
      <c r="WE861" s="16"/>
      <c r="WF861" s="16"/>
      <c r="WG861" s="16"/>
      <c r="WH861" s="16"/>
      <c r="WI861" s="16"/>
      <c r="WJ861" s="16"/>
      <c r="WK861" s="16"/>
      <c r="WL861" s="16"/>
      <c r="WM861" s="16"/>
      <c r="WN861" s="16"/>
      <c r="WO861" s="16"/>
      <c r="WP861" s="16"/>
      <c r="WQ861" s="16"/>
      <c r="WR861" s="16"/>
      <c r="WS861" s="16"/>
      <c r="WT861" s="16"/>
      <c r="WU861" s="16"/>
      <c r="WV861" s="16"/>
      <c r="WW861" s="16"/>
      <c r="WX861" s="16"/>
      <c r="WY861" s="16"/>
      <c r="WZ861" s="16"/>
      <c r="XA861" s="16"/>
      <c r="XB861" s="16"/>
      <c r="XC861" s="16"/>
      <c r="XD861" s="16"/>
      <c r="XE861" s="16"/>
      <c r="XF861" s="16"/>
      <c r="XG861" s="16"/>
      <c r="XH861" s="16"/>
      <c r="XI861" s="16"/>
      <c r="XJ861" s="16"/>
      <c r="XK861" s="16"/>
      <c r="XL861" s="16"/>
      <c r="XM861" s="16"/>
      <c r="XN861" s="16"/>
      <c r="XO861" s="16"/>
      <c r="XP861" s="16"/>
      <c r="XQ861" s="16"/>
      <c r="XR861" s="16"/>
      <c r="XS861" s="16"/>
      <c r="XT861" s="16"/>
      <c r="XU861" s="16"/>
      <c r="XV861" s="16"/>
      <c r="XW861" s="16"/>
      <c r="XX861" s="16"/>
      <c r="XY861" s="16"/>
      <c r="XZ861" s="16"/>
      <c r="YA861" s="16"/>
      <c r="YB861" s="16"/>
      <c r="YC861" s="16"/>
      <c r="YD861" s="16"/>
      <c r="YE861" s="16"/>
      <c r="YF861" s="16"/>
      <c r="YG861" s="16"/>
      <c r="YH861" s="16"/>
      <c r="YI861" s="16"/>
      <c r="YJ861" s="16"/>
      <c r="YK861" s="16"/>
      <c r="YL861" s="16"/>
      <c r="YM861" s="16"/>
      <c r="YN861" s="16"/>
      <c r="YO861" s="16"/>
      <c r="YP861" s="16"/>
      <c r="YQ861" s="16"/>
      <c r="YR861" s="16"/>
      <c r="YS861" s="16"/>
      <c r="YT861" s="16"/>
      <c r="YU861" s="16"/>
      <c r="YV861" s="16"/>
      <c r="YW861" s="16"/>
      <c r="YX861" s="16"/>
      <c r="YY861" s="16"/>
      <c r="YZ861" s="16"/>
      <c r="ZA861" s="16"/>
      <c r="ZB861" s="16"/>
      <c r="ZC861" s="16"/>
      <c r="ZD861" s="16"/>
      <c r="ZE861" s="16"/>
      <c r="ZF861" s="16"/>
      <c r="ZG861" s="16"/>
      <c r="ZH861" s="16"/>
      <c r="ZI861" s="16"/>
      <c r="ZJ861" s="16"/>
      <c r="ZK861" s="16"/>
      <c r="ZL861" s="16"/>
      <c r="ZM861" s="16"/>
      <c r="ZN861" s="16"/>
      <c r="ZO861" s="16"/>
      <c r="ZP861" s="16"/>
      <c r="ZQ861" s="16"/>
      <c r="ZR861" s="16"/>
      <c r="ZS861" s="16"/>
      <c r="ZT861" s="16"/>
      <c r="ZU861" s="16"/>
      <c r="ZV861" s="16"/>
      <c r="ZW861" s="16"/>
      <c r="ZX861" s="16"/>
      <c r="ZY861" s="16"/>
      <c r="ZZ861" s="16"/>
      <c r="AAA861" s="16"/>
      <c r="AAB861" s="16"/>
      <c r="AAC861" s="16"/>
      <c r="AAD861" s="16"/>
      <c r="AAE861" s="16"/>
      <c r="AAF861" s="16"/>
      <c r="AAG861" s="16"/>
      <c r="AAH861" s="16"/>
      <c r="AAI861" s="16"/>
      <c r="AAJ861" s="16"/>
      <c r="AAK861" s="16"/>
      <c r="AAL861" s="16"/>
      <c r="AAM861" s="16"/>
      <c r="AAN861" s="16"/>
      <c r="AAO861" s="16"/>
      <c r="AAP861" s="16"/>
      <c r="AAQ861" s="16"/>
      <c r="AAR861" s="16"/>
      <c r="AAS861" s="16"/>
      <c r="AAT861" s="16"/>
      <c r="AAU861" s="16"/>
      <c r="AAV861" s="16"/>
      <c r="AAW861" s="16"/>
      <c r="AAX861" s="16"/>
      <c r="AAY861" s="16"/>
      <c r="AAZ861" s="16"/>
      <c r="ABA861" s="16"/>
      <c r="ABB861" s="16"/>
      <c r="ABC861" s="16"/>
      <c r="ABD861" s="16"/>
      <c r="ABE861" s="16"/>
      <c r="ABF861" s="16"/>
      <c r="ABG861" s="16"/>
      <c r="ABH861" s="16"/>
      <c r="ABI861" s="16"/>
      <c r="ABJ861" s="16"/>
      <c r="ABK861" s="16"/>
      <c r="ABL861" s="16"/>
      <c r="ABM861" s="16"/>
      <c r="ABN861" s="16"/>
      <c r="ABO861" s="16"/>
      <c r="ABP861" s="16"/>
      <c r="ABQ861" s="16"/>
      <c r="ABR861" s="16"/>
      <c r="ABS861" s="16"/>
      <c r="ABT861" s="16"/>
      <c r="ABU861" s="16"/>
      <c r="ABV861" s="16"/>
      <c r="ABW861" s="16"/>
      <c r="ABX861" s="16"/>
      <c r="ABY861" s="16"/>
      <c r="ABZ861" s="16"/>
      <c r="ACA861" s="16"/>
      <c r="ACB861" s="16"/>
      <c r="ACC861" s="16"/>
      <c r="ACD861" s="16"/>
      <c r="ACE861" s="16"/>
      <c r="ACF861" s="16"/>
      <c r="ACG861" s="16"/>
      <c r="ACH861" s="16"/>
      <c r="ACI861" s="16"/>
      <c r="ACJ861" s="16"/>
      <c r="ACK861" s="16"/>
      <c r="ACL861" s="16"/>
      <c r="ACM861" s="16"/>
      <c r="ACN861" s="16"/>
      <c r="ACO861" s="16"/>
      <c r="ACP861" s="16"/>
      <c r="ACQ861" s="16"/>
      <c r="ACR861" s="16"/>
      <c r="ACS861" s="16"/>
      <c r="ACT861" s="16"/>
      <c r="ACU861" s="16"/>
      <c r="ACV861" s="16"/>
      <c r="ACW861" s="16"/>
      <c r="ACX861" s="16"/>
      <c r="ACY861" s="16"/>
      <c r="ACZ861" s="16"/>
      <c r="ADA861" s="16"/>
      <c r="ADB861" s="16"/>
      <c r="ADC861" s="16"/>
      <c r="ADD861" s="16"/>
      <c r="ADE861" s="16"/>
      <c r="ADF861" s="16"/>
      <c r="ADG861" s="16"/>
      <c r="ADH861" s="16"/>
      <c r="ADI861" s="16"/>
      <c r="ADJ861" s="16"/>
      <c r="ADK861" s="16"/>
      <c r="ADL861" s="16"/>
      <c r="ADM861" s="16"/>
      <c r="ADN861" s="16"/>
      <c r="ADO861" s="16"/>
      <c r="ADP861" s="16"/>
      <c r="ADQ861" s="16"/>
      <c r="ADR861" s="16"/>
      <c r="ADS861" s="16"/>
      <c r="ADT861" s="16"/>
      <c r="ADU861" s="16"/>
      <c r="ADV861" s="16"/>
      <c r="ADW861" s="16"/>
      <c r="ADX861" s="16"/>
      <c r="ADY861" s="16"/>
      <c r="ADZ861" s="16"/>
      <c r="AEA861" s="16"/>
      <c r="AEB861" s="16"/>
      <c r="AEC861" s="16"/>
      <c r="AED861" s="16"/>
      <c r="AEE861" s="16"/>
      <c r="AEF861" s="16"/>
      <c r="AEG861" s="16"/>
      <c r="AEH861" s="16"/>
      <c r="AEI861" s="16"/>
      <c r="AEJ861" s="16"/>
      <c r="AEK861" s="16"/>
      <c r="AEL861" s="16"/>
      <c r="AEM861" s="16"/>
      <c r="AEN861" s="16"/>
      <c r="AEO861" s="16"/>
      <c r="AEP861" s="16"/>
      <c r="AEQ861" s="16"/>
      <c r="AER861" s="16"/>
      <c r="AES861" s="16"/>
      <c r="AET861" s="16"/>
      <c r="AEU861" s="16"/>
      <c r="AEV861" s="16"/>
      <c r="AEW861" s="16"/>
      <c r="AEX861" s="16"/>
      <c r="AEY861" s="16"/>
      <c r="AEZ861" s="16"/>
      <c r="AFA861" s="16"/>
      <c r="AFB861" s="16"/>
      <c r="AFC861" s="16"/>
      <c r="AFD861" s="16"/>
      <c r="AFE861" s="16"/>
      <c r="AFF861" s="16"/>
      <c r="AFG861" s="16"/>
      <c r="AFH861" s="16"/>
      <c r="AFI861" s="16"/>
      <c r="AFJ861" s="16"/>
      <c r="AFK861" s="16"/>
      <c r="AFL861" s="16"/>
      <c r="AFM861" s="16"/>
      <c r="AFN861" s="16"/>
      <c r="AFO861" s="16"/>
      <c r="AFP861" s="16"/>
      <c r="AFQ861" s="16"/>
      <c r="AFR861" s="16"/>
      <c r="AFS861" s="16"/>
      <c r="AFT861" s="16"/>
      <c r="AFU861" s="16"/>
      <c r="AFV861" s="16"/>
      <c r="AFW861" s="16"/>
      <c r="AFX861" s="16"/>
      <c r="AFY861" s="16"/>
      <c r="AFZ861" s="16"/>
      <c r="AGA861" s="16"/>
      <c r="AGB861" s="16"/>
      <c r="AGC861" s="16"/>
      <c r="AGD861" s="16"/>
      <c r="AGE861" s="16"/>
      <c r="AGF861" s="16"/>
      <c r="AGG861" s="16"/>
      <c r="AGH861" s="16"/>
      <c r="AGI861" s="16"/>
      <c r="AGJ861" s="16"/>
    </row>
    <row r="862" spans="1:868" s="853" customFormat="1" hidden="1">
      <c r="A862" s="152" t="s">
        <v>409</v>
      </c>
      <c r="B862" s="34" t="s">
        <v>311</v>
      </c>
      <c r="C862" s="40" t="s">
        <v>147</v>
      </c>
      <c r="D862" s="34" t="s">
        <v>147</v>
      </c>
      <c r="E862" s="265">
        <v>0.02</v>
      </c>
      <c r="F862" s="235">
        <v>2</v>
      </c>
      <c r="G862" s="40" t="s">
        <v>312</v>
      </c>
      <c r="H862" s="29">
        <v>2</v>
      </c>
      <c r="I862" s="9">
        <v>2</v>
      </c>
      <c r="J862" s="9">
        <v>2</v>
      </c>
      <c r="K862" s="9">
        <v>2</v>
      </c>
      <c r="L862" s="9">
        <v>1</v>
      </c>
      <c r="M862" s="9">
        <v>1</v>
      </c>
      <c r="N862" s="186">
        <f t="shared" si="47"/>
        <v>0.2249354160293616</v>
      </c>
      <c r="O862" s="160">
        <f t="shared" si="48"/>
        <v>0.2249354160293616</v>
      </c>
      <c r="P862" s="858"/>
      <c r="Q862" s="16"/>
      <c r="R862" s="16"/>
      <c r="S862" s="16"/>
      <c r="T862" s="16"/>
      <c r="U862" s="16"/>
      <c r="V862" s="16"/>
      <c r="W862" s="16"/>
      <c r="X862" s="16"/>
      <c r="Y862" s="16"/>
      <c r="Z862" s="16"/>
      <c r="AA862" s="16"/>
      <c r="AB862" s="16"/>
      <c r="AC862" s="16"/>
      <c r="AD862" s="16"/>
      <c r="AE862" s="16"/>
      <c r="AF862" s="16"/>
      <c r="AG862" s="16"/>
      <c r="AH862" s="16"/>
      <c r="AI862" s="16"/>
      <c r="AJ862" s="16"/>
      <c r="AK862" s="16"/>
      <c r="AL862" s="16"/>
      <c r="AM862" s="16"/>
      <c r="AN862" s="16"/>
      <c r="AO862" s="16"/>
      <c r="AP862" s="16"/>
      <c r="AQ862" s="16"/>
      <c r="AR862" s="16"/>
      <c r="AS862" s="16"/>
      <c r="AT862" s="16"/>
      <c r="AU862" s="16"/>
      <c r="AV862" s="16"/>
      <c r="AW862" s="16"/>
      <c r="AX862" s="16"/>
      <c r="AY862" s="16"/>
      <c r="AZ862" s="16"/>
      <c r="BA862" s="16"/>
      <c r="BB862" s="16"/>
      <c r="BC862" s="16"/>
      <c r="BD862" s="16"/>
      <c r="BE862" s="16"/>
      <c r="BF862" s="16"/>
      <c r="BG862" s="16"/>
      <c r="BH862" s="16"/>
      <c r="BI862" s="16"/>
      <c r="BJ862" s="16"/>
      <c r="BK862" s="16"/>
      <c r="BL862" s="16"/>
      <c r="BM862" s="16"/>
      <c r="BN862" s="16"/>
      <c r="BO862" s="16"/>
      <c r="BP862" s="16"/>
      <c r="BQ862" s="16"/>
      <c r="BR862" s="16"/>
      <c r="BS862" s="16"/>
      <c r="BT862" s="16"/>
      <c r="BU862" s="16"/>
      <c r="BV862" s="16"/>
      <c r="BW862" s="16"/>
      <c r="BX862" s="16"/>
      <c r="BY862" s="16"/>
      <c r="BZ862" s="16"/>
      <c r="CA862" s="16"/>
      <c r="CB862" s="16"/>
      <c r="CC862" s="16"/>
      <c r="CD862" s="16"/>
      <c r="CE862" s="16"/>
      <c r="CF862" s="16"/>
      <c r="CG862" s="16"/>
      <c r="CH862" s="16"/>
      <c r="CI862" s="16"/>
      <c r="CJ862" s="16"/>
      <c r="CK862" s="16"/>
      <c r="CL862" s="16"/>
      <c r="CM862" s="16"/>
      <c r="CN862" s="16"/>
      <c r="CO862" s="16"/>
      <c r="CP862" s="16"/>
      <c r="CQ862" s="16"/>
      <c r="CR862" s="16"/>
      <c r="CS862" s="16"/>
      <c r="CT862" s="16"/>
      <c r="CU862" s="16"/>
      <c r="CV862" s="16"/>
      <c r="CW862" s="16"/>
      <c r="CX862" s="16"/>
      <c r="CY862" s="16"/>
      <c r="CZ862" s="16"/>
      <c r="DA862" s="16"/>
      <c r="DB862" s="16"/>
      <c r="DC862" s="16"/>
      <c r="DD862" s="16"/>
      <c r="DE862" s="16"/>
      <c r="DF862" s="16"/>
      <c r="DG862" s="16"/>
      <c r="DH862" s="16"/>
      <c r="DI862" s="16"/>
      <c r="DJ862" s="16"/>
      <c r="DK862" s="16"/>
      <c r="DL862" s="16"/>
      <c r="DM862" s="16"/>
      <c r="DN862" s="16"/>
      <c r="DO862" s="16"/>
      <c r="DP862" s="16"/>
      <c r="DQ862" s="16"/>
      <c r="DR862" s="16"/>
      <c r="DS862" s="16"/>
      <c r="DT862" s="16"/>
      <c r="DU862" s="16"/>
      <c r="DV862" s="16"/>
      <c r="DW862" s="16"/>
      <c r="DX862" s="16"/>
      <c r="DY862" s="16"/>
      <c r="DZ862" s="16"/>
      <c r="EA862" s="16"/>
      <c r="EB862" s="16"/>
      <c r="EC862" s="16"/>
      <c r="ED862" s="16"/>
      <c r="EE862" s="16"/>
      <c r="EF862" s="16"/>
      <c r="EG862" s="16"/>
      <c r="EH862" s="16"/>
      <c r="EI862" s="16"/>
      <c r="EJ862" s="16"/>
      <c r="EK862" s="16"/>
      <c r="EL862" s="16"/>
      <c r="EM862" s="16"/>
      <c r="EN862" s="16"/>
      <c r="EO862" s="16"/>
      <c r="EP862" s="16"/>
      <c r="EQ862" s="16"/>
      <c r="ER862" s="16"/>
      <c r="ES862" s="16"/>
      <c r="ET862" s="16"/>
      <c r="EU862" s="16"/>
      <c r="EV862" s="16"/>
      <c r="EW862" s="16"/>
      <c r="EX862" s="16"/>
      <c r="EY862" s="16"/>
      <c r="EZ862" s="16"/>
      <c r="FA862" s="16"/>
      <c r="FB862" s="16"/>
      <c r="FC862" s="16"/>
      <c r="FD862" s="16"/>
      <c r="FE862" s="16"/>
      <c r="FF862" s="16"/>
      <c r="FG862" s="16"/>
      <c r="FH862" s="16"/>
      <c r="FI862" s="16"/>
      <c r="FJ862" s="16"/>
      <c r="FK862" s="16"/>
      <c r="FL862" s="16"/>
      <c r="FM862" s="16"/>
      <c r="FN862" s="16"/>
      <c r="FO862" s="16"/>
      <c r="FP862" s="16"/>
      <c r="FQ862" s="16"/>
      <c r="FR862" s="16"/>
      <c r="FS862" s="16"/>
      <c r="FT862" s="16"/>
      <c r="FU862" s="16"/>
      <c r="FV862" s="16"/>
      <c r="FW862" s="16"/>
      <c r="FX862" s="16"/>
      <c r="FY862" s="16"/>
      <c r="FZ862" s="16"/>
      <c r="GA862" s="16"/>
      <c r="GB862" s="16"/>
      <c r="GC862" s="16"/>
      <c r="GD862" s="16"/>
      <c r="GE862" s="16"/>
      <c r="GF862" s="16"/>
      <c r="GG862" s="16"/>
      <c r="GH862" s="16"/>
      <c r="GI862" s="16"/>
      <c r="GJ862" s="16"/>
      <c r="GK862" s="16"/>
      <c r="GL862" s="16"/>
      <c r="GM862" s="16"/>
      <c r="GN862" s="16"/>
      <c r="GO862" s="16"/>
      <c r="GP862" s="16"/>
      <c r="GQ862" s="16"/>
      <c r="GR862" s="16"/>
      <c r="GS862" s="16"/>
      <c r="GT862" s="16"/>
      <c r="GU862" s="16"/>
      <c r="GV862" s="16"/>
      <c r="GW862" s="16"/>
      <c r="GX862" s="16"/>
      <c r="GY862" s="16"/>
      <c r="GZ862" s="16"/>
      <c r="HA862" s="16"/>
      <c r="HB862" s="16"/>
      <c r="HC862" s="16"/>
      <c r="HD862" s="16"/>
      <c r="HE862" s="16"/>
      <c r="HF862" s="16"/>
      <c r="HG862" s="16"/>
      <c r="HH862" s="16"/>
      <c r="HI862" s="16"/>
      <c r="HJ862" s="16"/>
      <c r="HK862" s="16"/>
      <c r="HL862" s="16"/>
      <c r="HM862" s="16"/>
      <c r="HN862" s="16"/>
      <c r="HO862" s="16"/>
      <c r="HP862" s="16"/>
      <c r="HQ862" s="16"/>
      <c r="HR862" s="16"/>
      <c r="HS862" s="16"/>
      <c r="HT862" s="16"/>
      <c r="HU862" s="16"/>
      <c r="HV862" s="16"/>
      <c r="HW862" s="16"/>
      <c r="HX862" s="16"/>
      <c r="HY862" s="16"/>
      <c r="HZ862" s="16"/>
      <c r="IA862" s="16"/>
      <c r="IB862" s="16"/>
      <c r="IC862" s="16"/>
      <c r="ID862" s="16"/>
      <c r="IE862" s="16"/>
      <c r="IF862" s="16"/>
      <c r="IG862" s="16"/>
      <c r="IH862" s="16"/>
      <c r="II862" s="16"/>
      <c r="IJ862" s="16"/>
      <c r="IK862" s="16"/>
      <c r="IL862" s="16"/>
      <c r="IM862" s="16"/>
      <c r="IN862" s="16"/>
      <c r="IO862" s="16"/>
      <c r="IP862" s="16"/>
      <c r="IQ862" s="16"/>
      <c r="IR862" s="16"/>
      <c r="IS862" s="16"/>
      <c r="IT862" s="16"/>
      <c r="IU862" s="16"/>
      <c r="IV862" s="16"/>
      <c r="IW862" s="16"/>
      <c r="IX862" s="16"/>
      <c r="IY862" s="16"/>
      <c r="IZ862" s="16"/>
      <c r="JA862" s="16"/>
      <c r="JB862" s="16"/>
      <c r="JC862" s="16"/>
      <c r="JD862" s="16"/>
      <c r="JE862" s="16"/>
      <c r="JF862" s="16"/>
      <c r="JG862" s="16"/>
      <c r="JH862" s="16"/>
      <c r="JI862" s="16"/>
      <c r="JJ862" s="16"/>
      <c r="JK862" s="16"/>
      <c r="JL862" s="16"/>
      <c r="JM862" s="16"/>
      <c r="JN862" s="16"/>
      <c r="JO862" s="16"/>
      <c r="JP862" s="16"/>
      <c r="JQ862" s="16"/>
      <c r="JR862" s="16"/>
      <c r="JS862" s="16"/>
      <c r="JT862" s="16"/>
      <c r="JU862" s="16"/>
      <c r="JV862" s="16"/>
      <c r="JW862" s="16"/>
      <c r="JX862" s="16"/>
      <c r="JY862" s="16"/>
      <c r="JZ862" s="16"/>
      <c r="KA862" s="16"/>
      <c r="KB862" s="16"/>
      <c r="KC862" s="16"/>
      <c r="KD862" s="16"/>
      <c r="KE862" s="16"/>
      <c r="KF862" s="16"/>
      <c r="KG862" s="16"/>
      <c r="KH862" s="16"/>
      <c r="KI862" s="16"/>
      <c r="KJ862" s="16"/>
      <c r="KK862" s="16"/>
      <c r="KL862" s="16"/>
      <c r="KM862" s="16"/>
      <c r="KN862" s="16"/>
      <c r="KO862" s="16"/>
      <c r="KP862" s="16"/>
      <c r="KQ862" s="16"/>
      <c r="KR862" s="16"/>
      <c r="KS862" s="16"/>
      <c r="KT862" s="16"/>
      <c r="KU862" s="16"/>
      <c r="KV862" s="16"/>
      <c r="KW862" s="16"/>
      <c r="KX862" s="16"/>
      <c r="KY862" s="16"/>
      <c r="KZ862" s="16"/>
      <c r="LA862" s="16"/>
      <c r="LB862" s="16"/>
      <c r="LC862" s="16"/>
      <c r="LD862" s="16"/>
      <c r="LE862" s="16"/>
      <c r="LF862" s="16"/>
      <c r="LG862" s="16"/>
      <c r="LH862" s="16"/>
      <c r="LI862" s="16"/>
      <c r="LJ862" s="16"/>
      <c r="LK862" s="16"/>
      <c r="LL862" s="16"/>
      <c r="LM862" s="16"/>
      <c r="LN862" s="16"/>
      <c r="LO862" s="16"/>
      <c r="LP862" s="16"/>
      <c r="LQ862" s="16"/>
      <c r="LR862" s="16"/>
      <c r="LS862" s="16"/>
      <c r="LT862" s="16"/>
      <c r="LU862" s="16"/>
      <c r="LV862" s="16"/>
      <c r="LW862" s="16"/>
      <c r="LX862" s="16"/>
      <c r="LY862" s="16"/>
      <c r="LZ862" s="16"/>
      <c r="MA862" s="16"/>
      <c r="MB862" s="16"/>
      <c r="MC862" s="16"/>
      <c r="MD862" s="16"/>
      <c r="ME862" s="16"/>
      <c r="MF862" s="16"/>
      <c r="MG862" s="16"/>
      <c r="MH862" s="16"/>
      <c r="MI862" s="16"/>
      <c r="MJ862" s="16"/>
      <c r="MK862" s="16"/>
      <c r="ML862" s="16"/>
      <c r="MM862" s="16"/>
      <c r="MN862" s="16"/>
      <c r="MO862" s="16"/>
      <c r="MP862" s="16"/>
      <c r="MQ862" s="16"/>
      <c r="MR862" s="16"/>
      <c r="MS862" s="16"/>
      <c r="MT862" s="16"/>
      <c r="MU862" s="16"/>
      <c r="MV862" s="16"/>
      <c r="MW862" s="16"/>
      <c r="MX862" s="16"/>
      <c r="MY862" s="16"/>
      <c r="MZ862" s="16"/>
      <c r="NA862" s="16"/>
      <c r="NB862" s="16"/>
      <c r="NC862" s="16"/>
      <c r="ND862" s="16"/>
      <c r="NE862" s="16"/>
      <c r="NF862" s="16"/>
      <c r="NG862" s="16"/>
      <c r="NH862" s="16"/>
      <c r="NI862" s="16"/>
      <c r="NJ862" s="16"/>
      <c r="NK862" s="16"/>
      <c r="NL862" s="16"/>
      <c r="NM862" s="16"/>
      <c r="NN862" s="16"/>
      <c r="NO862" s="16"/>
      <c r="NP862" s="16"/>
      <c r="NQ862" s="16"/>
      <c r="NR862" s="16"/>
      <c r="NS862" s="16"/>
      <c r="NT862" s="16"/>
      <c r="NU862" s="16"/>
      <c r="NV862" s="16"/>
      <c r="NW862" s="16"/>
      <c r="NX862" s="16"/>
      <c r="NY862" s="16"/>
      <c r="NZ862" s="16"/>
      <c r="OA862" s="16"/>
      <c r="OB862" s="16"/>
      <c r="OC862" s="16"/>
      <c r="OD862" s="16"/>
      <c r="OE862" s="16"/>
      <c r="OF862" s="16"/>
      <c r="OG862" s="16"/>
      <c r="OH862" s="16"/>
      <c r="OI862" s="16"/>
      <c r="OJ862" s="16"/>
      <c r="OK862" s="16"/>
      <c r="OL862" s="16"/>
      <c r="OM862" s="16"/>
      <c r="ON862" s="16"/>
      <c r="OO862" s="16"/>
      <c r="OP862" s="16"/>
      <c r="OQ862" s="16"/>
      <c r="OR862" s="16"/>
      <c r="OS862" s="16"/>
      <c r="OT862" s="16"/>
      <c r="OU862" s="16"/>
      <c r="OV862" s="16"/>
      <c r="OW862" s="16"/>
      <c r="OX862" s="16"/>
      <c r="OY862" s="16"/>
      <c r="OZ862" s="16"/>
      <c r="PA862" s="16"/>
      <c r="PB862" s="16"/>
      <c r="PC862" s="16"/>
      <c r="PD862" s="16"/>
      <c r="PE862" s="16"/>
      <c r="PF862" s="16"/>
      <c r="PG862" s="16"/>
      <c r="PH862" s="16"/>
      <c r="PI862" s="16"/>
      <c r="PJ862" s="16"/>
      <c r="PK862" s="16"/>
      <c r="PL862" s="16"/>
      <c r="PM862" s="16"/>
      <c r="PN862" s="16"/>
      <c r="PO862" s="16"/>
      <c r="PP862" s="16"/>
      <c r="PQ862" s="16"/>
      <c r="PR862" s="16"/>
      <c r="PS862" s="16"/>
      <c r="PT862" s="16"/>
      <c r="PU862" s="16"/>
      <c r="PV862" s="16"/>
      <c r="PW862" s="16"/>
      <c r="PX862" s="16"/>
      <c r="PY862" s="16"/>
      <c r="PZ862" s="16"/>
      <c r="QA862" s="16"/>
      <c r="QB862" s="16"/>
      <c r="QC862" s="16"/>
      <c r="QD862" s="16"/>
      <c r="QE862" s="16"/>
      <c r="QF862" s="16"/>
      <c r="QG862" s="16"/>
      <c r="QH862" s="16"/>
      <c r="QI862" s="16"/>
      <c r="QJ862" s="16"/>
      <c r="QK862" s="16"/>
      <c r="QL862" s="16"/>
      <c r="QM862" s="16"/>
      <c r="QN862" s="16"/>
      <c r="QO862" s="16"/>
      <c r="QP862" s="16"/>
      <c r="QQ862" s="16"/>
      <c r="QR862" s="16"/>
      <c r="QS862" s="16"/>
      <c r="QT862" s="16"/>
      <c r="QU862" s="16"/>
      <c r="QV862" s="16"/>
      <c r="QW862" s="16"/>
      <c r="QX862" s="16"/>
      <c r="QY862" s="16"/>
      <c r="QZ862" s="16"/>
      <c r="RA862" s="16"/>
      <c r="RB862" s="16"/>
      <c r="RC862" s="16"/>
      <c r="RD862" s="16"/>
      <c r="RE862" s="16"/>
      <c r="RF862" s="16"/>
      <c r="RG862" s="16"/>
      <c r="RH862" s="16"/>
      <c r="RI862" s="16"/>
      <c r="RJ862" s="16"/>
      <c r="RK862" s="16"/>
      <c r="RL862" s="16"/>
      <c r="RM862" s="16"/>
      <c r="RN862" s="16"/>
      <c r="RO862" s="16"/>
      <c r="RP862" s="16"/>
      <c r="RQ862" s="16"/>
      <c r="RR862" s="16"/>
      <c r="RS862" s="16"/>
      <c r="RT862" s="16"/>
      <c r="RU862" s="16"/>
      <c r="RV862" s="16"/>
      <c r="RW862" s="16"/>
      <c r="RX862" s="16"/>
      <c r="RY862" s="16"/>
      <c r="RZ862" s="16"/>
      <c r="SA862" s="16"/>
      <c r="SB862" s="16"/>
      <c r="SC862" s="16"/>
      <c r="SD862" s="16"/>
      <c r="SE862" s="16"/>
      <c r="SF862" s="16"/>
      <c r="SG862" s="16"/>
      <c r="SH862" s="16"/>
      <c r="SI862" s="16"/>
      <c r="SJ862" s="16"/>
      <c r="SK862" s="16"/>
      <c r="SL862" s="16"/>
      <c r="SM862" s="16"/>
      <c r="SN862" s="16"/>
      <c r="SO862" s="16"/>
      <c r="SP862" s="16"/>
      <c r="SQ862" s="16"/>
      <c r="SR862" s="16"/>
      <c r="SS862" s="16"/>
      <c r="ST862" s="16"/>
      <c r="SU862" s="16"/>
      <c r="SV862" s="16"/>
      <c r="SW862" s="16"/>
      <c r="SX862" s="16"/>
      <c r="SY862" s="16"/>
      <c r="SZ862" s="16"/>
      <c r="TA862" s="16"/>
      <c r="TB862" s="16"/>
      <c r="TC862" s="16"/>
      <c r="TD862" s="16"/>
      <c r="TE862" s="16"/>
      <c r="TF862" s="16"/>
      <c r="TG862" s="16"/>
      <c r="TH862" s="16"/>
      <c r="TI862" s="16"/>
      <c r="TJ862" s="16"/>
      <c r="TK862" s="16"/>
      <c r="TL862" s="16"/>
      <c r="TM862" s="16"/>
      <c r="TN862" s="16"/>
      <c r="TO862" s="16"/>
      <c r="TP862" s="16"/>
      <c r="TQ862" s="16"/>
      <c r="TR862" s="16"/>
      <c r="TS862" s="16"/>
      <c r="TT862" s="16"/>
      <c r="TU862" s="16"/>
      <c r="TV862" s="16"/>
      <c r="TW862" s="16"/>
      <c r="TX862" s="16"/>
      <c r="TY862" s="16"/>
      <c r="TZ862" s="16"/>
      <c r="UA862" s="16"/>
      <c r="UB862" s="16"/>
      <c r="UC862" s="16"/>
      <c r="UD862" s="16"/>
      <c r="UE862" s="16"/>
      <c r="UF862" s="16"/>
      <c r="UG862" s="16"/>
      <c r="UH862" s="16"/>
      <c r="UI862" s="16"/>
      <c r="UJ862" s="16"/>
      <c r="UK862" s="16"/>
      <c r="UL862" s="16"/>
      <c r="UM862" s="16"/>
      <c r="UN862" s="16"/>
      <c r="UO862" s="16"/>
      <c r="UP862" s="16"/>
      <c r="UQ862" s="16"/>
      <c r="UR862" s="16"/>
      <c r="US862" s="16"/>
      <c r="UT862" s="16"/>
      <c r="UU862" s="16"/>
      <c r="UV862" s="16"/>
      <c r="UW862" s="16"/>
      <c r="UX862" s="16"/>
      <c r="UY862" s="16"/>
      <c r="UZ862" s="16"/>
      <c r="VA862" s="16"/>
      <c r="VB862" s="16"/>
      <c r="VC862" s="16"/>
      <c r="VD862" s="16"/>
      <c r="VE862" s="16"/>
      <c r="VF862" s="16"/>
      <c r="VG862" s="16"/>
      <c r="VH862" s="16"/>
      <c r="VI862" s="16"/>
      <c r="VJ862" s="16"/>
      <c r="VK862" s="16"/>
      <c r="VL862" s="16"/>
      <c r="VM862" s="16"/>
      <c r="VN862" s="16"/>
      <c r="VO862" s="16"/>
      <c r="VP862" s="16"/>
      <c r="VQ862" s="16"/>
      <c r="VR862" s="16"/>
      <c r="VS862" s="16"/>
      <c r="VT862" s="16"/>
      <c r="VU862" s="16"/>
      <c r="VV862" s="16"/>
      <c r="VW862" s="16"/>
      <c r="VX862" s="16"/>
      <c r="VY862" s="16"/>
      <c r="VZ862" s="16"/>
      <c r="WA862" s="16"/>
      <c r="WB862" s="16"/>
      <c r="WC862" s="16"/>
      <c r="WD862" s="16"/>
      <c r="WE862" s="16"/>
      <c r="WF862" s="16"/>
      <c r="WG862" s="16"/>
      <c r="WH862" s="16"/>
      <c r="WI862" s="16"/>
      <c r="WJ862" s="16"/>
      <c r="WK862" s="16"/>
      <c r="WL862" s="16"/>
      <c r="WM862" s="16"/>
      <c r="WN862" s="16"/>
      <c r="WO862" s="16"/>
      <c r="WP862" s="16"/>
      <c r="WQ862" s="16"/>
      <c r="WR862" s="16"/>
      <c r="WS862" s="16"/>
      <c r="WT862" s="16"/>
      <c r="WU862" s="16"/>
      <c r="WV862" s="16"/>
      <c r="WW862" s="16"/>
      <c r="WX862" s="16"/>
      <c r="WY862" s="16"/>
      <c r="WZ862" s="16"/>
      <c r="XA862" s="16"/>
      <c r="XB862" s="16"/>
      <c r="XC862" s="16"/>
      <c r="XD862" s="16"/>
      <c r="XE862" s="16"/>
      <c r="XF862" s="16"/>
      <c r="XG862" s="16"/>
      <c r="XH862" s="16"/>
      <c r="XI862" s="16"/>
      <c r="XJ862" s="16"/>
      <c r="XK862" s="16"/>
      <c r="XL862" s="16"/>
      <c r="XM862" s="16"/>
      <c r="XN862" s="16"/>
      <c r="XO862" s="16"/>
      <c r="XP862" s="16"/>
      <c r="XQ862" s="16"/>
      <c r="XR862" s="16"/>
      <c r="XS862" s="16"/>
      <c r="XT862" s="16"/>
      <c r="XU862" s="16"/>
      <c r="XV862" s="16"/>
      <c r="XW862" s="16"/>
      <c r="XX862" s="16"/>
      <c r="XY862" s="16"/>
      <c r="XZ862" s="16"/>
      <c r="YA862" s="16"/>
      <c r="YB862" s="16"/>
      <c r="YC862" s="16"/>
      <c r="YD862" s="16"/>
      <c r="YE862" s="16"/>
      <c r="YF862" s="16"/>
      <c r="YG862" s="16"/>
      <c r="YH862" s="16"/>
      <c r="YI862" s="16"/>
      <c r="YJ862" s="16"/>
      <c r="YK862" s="16"/>
      <c r="YL862" s="16"/>
      <c r="YM862" s="16"/>
      <c r="YN862" s="16"/>
      <c r="YO862" s="16"/>
      <c r="YP862" s="16"/>
      <c r="YQ862" s="16"/>
      <c r="YR862" s="16"/>
      <c r="YS862" s="16"/>
      <c r="YT862" s="16"/>
      <c r="YU862" s="16"/>
      <c r="YV862" s="16"/>
      <c r="YW862" s="16"/>
      <c r="YX862" s="16"/>
      <c r="YY862" s="16"/>
      <c r="YZ862" s="16"/>
      <c r="ZA862" s="16"/>
      <c r="ZB862" s="16"/>
      <c r="ZC862" s="16"/>
      <c r="ZD862" s="16"/>
      <c r="ZE862" s="16"/>
      <c r="ZF862" s="16"/>
      <c r="ZG862" s="16"/>
      <c r="ZH862" s="16"/>
      <c r="ZI862" s="16"/>
      <c r="ZJ862" s="16"/>
      <c r="ZK862" s="16"/>
      <c r="ZL862" s="16"/>
      <c r="ZM862" s="16"/>
      <c r="ZN862" s="16"/>
      <c r="ZO862" s="16"/>
      <c r="ZP862" s="16"/>
      <c r="ZQ862" s="16"/>
      <c r="ZR862" s="16"/>
      <c r="ZS862" s="16"/>
      <c r="ZT862" s="16"/>
      <c r="ZU862" s="16"/>
      <c r="ZV862" s="16"/>
      <c r="ZW862" s="16"/>
      <c r="ZX862" s="16"/>
      <c r="ZY862" s="16"/>
      <c r="ZZ862" s="16"/>
      <c r="AAA862" s="16"/>
      <c r="AAB862" s="16"/>
      <c r="AAC862" s="16"/>
      <c r="AAD862" s="16"/>
      <c r="AAE862" s="16"/>
      <c r="AAF862" s="16"/>
      <c r="AAG862" s="16"/>
      <c r="AAH862" s="16"/>
      <c r="AAI862" s="16"/>
      <c r="AAJ862" s="16"/>
      <c r="AAK862" s="16"/>
      <c r="AAL862" s="16"/>
      <c r="AAM862" s="16"/>
      <c r="AAN862" s="16"/>
      <c r="AAO862" s="16"/>
      <c r="AAP862" s="16"/>
      <c r="AAQ862" s="16"/>
      <c r="AAR862" s="16"/>
      <c r="AAS862" s="16"/>
      <c r="AAT862" s="16"/>
      <c r="AAU862" s="16"/>
      <c r="AAV862" s="16"/>
      <c r="AAW862" s="16"/>
      <c r="AAX862" s="16"/>
      <c r="AAY862" s="16"/>
      <c r="AAZ862" s="16"/>
      <c r="ABA862" s="16"/>
      <c r="ABB862" s="16"/>
      <c r="ABC862" s="16"/>
      <c r="ABD862" s="16"/>
      <c r="ABE862" s="16"/>
      <c r="ABF862" s="16"/>
      <c r="ABG862" s="16"/>
      <c r="ABH862" s="16"/>
      <c r="ABI862" s="16"/>
      <c r="ABJ862" s="16"/>
      <c r="ABK862" s="16"/>
      <c r="ABL862" s="16"/>
      <c r="ABM862" s="16"/>
      <c r="ABN862" s="16"/>
      <c r="ABO862" s="16"/>
      <c r="ABP862" s="16"/>
      <c r="ABQ862" s="16"/>
      <c r="ABR862" s="16"/>
      <c r="ABS862" s="16"/>
      <c r="ABT862" s="16"/>
      <c r="ABU862" s="16"/>
      <c r="ABV862" s="16"/>
      <c r="ABW862" s="16"/>
      <c r="ABX862" s="16"/>
      <c r="ABY862" s="16"/>
      <c r="ABZ862" s="16"/>
      <c r="ACA862" s="16"/>
      <c r="ACB862" s="16"/>
      <c r="ACC862" s="16"/>
      <c r="ACD862" s="16"/>
      <c r="ACE862" s="16"/>
      <c r="ACF862" s="16"/>
      <c r="ACG862" s="16"/>
      <c r="ACH862" s="16"/>
      <c r="ACI862" s="16"/>
      <c r="ACJ862" s="16"/>
      <c r="ACK862" s="16"/>
      <c r="ACL862" s="16"/>
      <c r="ACM862" s="16"/>
      <c r="ACN862" s="16"/>
      <c r="ACO862" s="16"/>
      <c r="ACP862" s="16"/>
      <c r="ACQ862" s="16"/>
      <c r="ACR862" s="16"/>
      <c r="ACS862" s="16"/>
      <c r="ACT862" s="16"/>
      <c r="ACU862" s="16"/>
      <c r="ACV862" s="16"/>
      <c r="ACW862" s="16"/>
      <c r="ACX862" s="16"/>
      <c r="ACY862" s="16"/>
      <c r="ACZ862" s="16"/>
      <c r="ADA862" s="16"/>
      <c r="ADB862" s="16"/>
      <c r="ADC862" s="16"/>
      <c r="ADD862" s="16"/>
      <c r="ADE862" s="16"/>
      <c r="ADF862" s="16"/>
      <c r="ADG862" s="16"/>
      <c r="ADH862" s="16"/>
      <c r="ADI862" s="16"/>
      <c r="ADJ862" s="16"/>
      <c r="ADK862" s="16"/>
      <c r="ADL862" s="16"/>
      <c r="ADM862" s="16"/>
      <c r="ADN862" s="16"/>
      <c r="ADO862" s="16"/>
      <c r="ADP862" s="16"/>
      <c r="ADQ862" s="16"/>
      <c r="ADR862" s="16"/>
      <c r="ADS862" s="16"/>
      <c r="ADT862" s="16"/>
      <c r="ADU862" s="16"/>
      <c r="ADV862" s="16"/>
      <c r="ADW862" s="16"/>
      <c r="ADX862" s="16"/>
      <c r="ADY862" s="16"/>
      <c r="ADZ862" s="16"/>
      <c r="AEA862" s="16"/>
      <c r="AEB862" s="16"/>
      <c r="AEC862" s="16"/>
      <c r="AED862" s="16"/>
      <c r="AEE862" s="16"/>
      <c r="AEF862" s="16"/>
      <c r="AEG862" s="16"/>
      <c r="AEH862" s="16"/>
      <c r="AEI862" s="16"/>
      <c r="AEJ862" s="16"/>
      <c r="AEK862" s="16"/>
      <c r="AEL862" s="16"/>
      <c r="AEM862" s="16"/>
      <c r="AEN862" s="16"/>
      <c r="AEO862" s="16"/>
      <c r="AEP862" s="16"/>
      <c r="AEQ862" s="16"/>
      <c r="AER862" s="16"/>
      <c r="AES862" s="16"/>
      <c r="AET862" s="16"/>
      <c r="AEU862" s="16"/>
      <c r="AEV862" s="16"/>
      <c r="AEW862" s="16"/>
      <c r="AEX862" s="16"/>
      <c r="AEY862" s="16"/>
      <c r="AEZ862" s="16"/>
      <c r="AFA862" s="16"/>
      <c r="AFB862" s="16"/>
      <c r="AFC862" s="16"/>
      <c r="AFD862" s="16"/>
      <c r="AFE862" s="16"/>
      <c r="AFF862" s="16"/>
      <c r="AFG862" s="16"/>
      <c r="AFH862" s="16"/>
      <c r="AFI862" s="16"/>
      <c r="AFJ862" s="16"/>
      <c r="AFK862" s="16"/>
      <c r="AFL862" s="16"/>
      <c r="AFM862" s="16"/>
      <c r="AFN862" s="16"/>
      <c r="AFO862" s="16"/>
      <c r="AFP862" s="16"/>
      <c r="AFQ862" s="16"/>
      <c r="AFR862" s="16"/>
      <c r="AFS862" s="16"/>
      <c r="AFT862" s="16"/>
      <c r="AFU862" s="16"/>
      <c r="AFV862" s="16"/>
      <c r="AFW862" s="16"/>
      <c r="AFX862" s="16"/>
      <c r="AFY862" s="16"/>
      <c r="AFZ862" s="16"/>
      <c r="AGA862" s="16"/>
      <c r="AGB862" s="16"/>
      <c r="AGC862" s="16"/>
      <c r="AGD862" s="16"/>
      <c r="AGE862" s="16"/>
      <c r="AGF862" s="16"/>
      <c r="AGG862" s="16"/>
      <c r="AGH862" s="16"/>
      <c r="AGI862" s="16"/>
      <c r="AGJ862" s="16"/>
    </row>
    <row r="863" spans="1:868" hidden="1">
      <c r="A863" s="152" t="s">
        <v>409</v>
      </c>
      <c r="B863" s="34" t="s">
        <v>405</v>
      </c>
      <c r="C863" s="40" t="s">
        <v>147</v>
      </c>
      <c r="D863" s="34" t="s">
        <v>147</v>
      </c>
      <c r="E863" s="265" t="s">
        <v>158</v>
      </c>
      <c r="F863" s="235">
        <v>1</v>
      </c>
      <c r="G863" s="40"/>
      <c r="H863" s="29"/>
      <c r="I863" s="9"/>
      <c r="J863" s="9"/>
      <c r="K863" s="9"/>
      <c r="L863" s="9"/>
      <c r="M863" s="9"/>
      <c r="N863" s="186" t="str">
        <f t="shared" si="47"/>
        <v/>
      </c>
      <c r="O863" s="160" t="str">
        <f t="shared" si="48"/>
        <v/>
      </c>
      <c r="P863" s="858"/>
    </row>
    <row r="864" spans="1:868" hidden="1">
      <c r="A864" s="152" t="s">
        <v>372</v>
      </c>
      <c r="B864" s="34" t="s">
        <v>271</v>
      </c>
      <c r="C864" s="40" t="s">
        <v>147</v>
      </c>
      <c r="D864" s="34" t="s">
        <v>147</v>
      </c>
      <c r="E864" s="260">
        <v>1</v>
      </c>
      <c r="F864" s="235">
        <v>2</v>
      </c>
      <c r="G864" s="40" t="s">
        <v>165</v>
      </c>
      <c r="H864" s="29">
        <v>1</v>
      </c>
      <c r="I864" s="9">
        <v>1</v>
      </c>
      <c r="J864" s="9">
        <v>2</v>
      </c>
      <c r="K864" s="9">
        <v>4</v>
      </c>
      <c r="L864" s="9">
        <v>3</v>
      </c>
      <c r="M864" s="9">
        <v>3</v>
      </c>
      <c r="N864" s="186">
        <f t="shared" si="47"/>
        <v>1.4737512213023647</v>
      </c>
      <c r="O864" s="160">
        <f t="shared" si="48"/>
        <v>1.4737512213023647</v>
      </c>
      <c r="P864" s="63"/>
    </row>
    <row r="865" spans="1:868" hidden="1">
      <c r="A865" s="152" t="s">
        <v>130</v>
      </c>
      <c r="B865" s="34" t="s">
        <v>356</v>
      </c>
      <c r="C865" s="40" t="s">
        <v>147</v>
      </c>
      <c r="D865" s="34" t="s">
        <v>96</v>
      </c>
      <c r="E865" s="260">
        <v>0</v>
      </c>
      <c r="F865" s="235">
        <v>1</v>
      </c>
      <c r="G865" s="40"/>
      <c r="H865" s="29"/>
      <c r="I865" s="9"/>
      <c r="J865" s="9"/>
      <c r="K865" s="9"/>
      <c r="L865" s="9"/>
      <c r="M865" s="9"/>
      <c r="N865" s="186" t="str">
        <f t="shared" si="47"/>
        <v/>
      </c>
      <c r="O865" s="160" t="str">
        <f t="shared" si="48"/>
        <v/>
      </c>
      <c r="P865" s="63"/>
    </row>
    <row r="866" spans="1:868" hidden="1">
      <c r="A866" s="152" t="s">
        <v>130</v>
      </c>
      <c r="B866" s="34" t="s">
        <v>356</v>
      </c>
      <c r="C866" s="40" t="s">
        <v>147</v>
      </c>
      <c r="D866" s="34" t="s">
        <v>97</v>
      </c>
      <c r="E866" s="260">
        <v>0</v>
      </c>
      <c r="F866" s="235">
        <v>1</v>
      </c>
      <c r="G866" s="40"/>
      <c r="H866" s="29"/>
      <c r="I866" s="9"/>
      <c r="J866" s="9"/>
      <c r="K866" s="9"/>
      <c r="L866" s="9"/>
      <c r="M866" s="9"/>
      <c r="N866" s="186" t="str">
        <f t="shared" si="47"/>
        <v/>
      </c>
      <c r="O866" s="160" t="str">
        <f t="shared" si="48"/>
        <v/>
      </c>
      <c r="P866" s="63"/>
    </row>
    <row r="867" spans="1:868" s="211" customFormat="1" ht="15.75" hidden="1" thickBot="1">
      <c r="A867" s="152" t="s">
        <v>130</v>
      </c>
      <c r="B867" s="34" t="s">
        <v>356</v>
      </c>
      <c r="C867" s="40" t="s">
        <v>147</v>
      </c>
      <c r="D867" s="34" t="s">
        <v>98</v>
      </c>
      <c r="E867" s="260">
        <v>0</v>
      </c>
      <c r="F867" s="235">
        <v>1</v>
      </c>
      <c r="G867" s="40"/>
      <c r="H867" s="29"/>
      <c r="I867" s="9"/>
      <c r="J867" s="9"/>
      <c r="K867" s="9"/>
      <c r="L867" s="9"/>
      <c r="M867" s="9"/>
      <c r="N867" s="186" t="str">
        <f t="shared" si="47"/>
        <v/>
      </c>
      <c r="O867" s="160" t="str">
        <f t="shared" si="48"/>
        <v/>
      </c>
      <c r="P867" s="63"/>
      <c r="Q867" s="16"/>
      <c r="R867" s="16"/>
      <c r="S867" s="16"/>
      <c r="T867" s="16"/>
      <c r="U867" s="16"/>
      <c r="V867" s="16"/>
      <c r="W867" s="16"/>
      <c r="X867" s="16"/>
      <c r="Y867" s="16"/>
      <c r="Z867" s="16"/>
      <c r="AA867" s="16"/>
      <c r="AB867" s="16"/>
      <c r="AC867" s="16"/>
      <c r="AD867" s="16"/>
      <c r="AE867" s="16"/>
      <c r="AF867" s="16"/>
      <c r="AG867" s="16"/>
      <c r="AH867" s="16"/>
      <c r="AI867" s="16"/>
      <c r="AJ867" s="16"/>
      <c r="AK867" s="16"/>
      <c r="AL867" s="16"/>
      <c r="AM867" s="16"/>
      <c r="AN867" s="16"/>
      <c r="AO867" s="16"/>
      <c r="AP867" s="16"/>
      <c r="AQ867" s="16"/>
      <c r="AR867" s="16"/>
      <c r="AS867" s="16"/>
      <c r="AT867" s="16"/>
      <c r="AU867" s="16"/>
      <c r="AV867" s="16"/>
      <c r="AW867" s="16"/>
      <c r="AX867" s="16"/>
      <c r="AY867" s="16"/>
      <c r="AZ867" s="16"/>
      <c r="BA867" s="16"/>
      <c r="BB867" s="16"/>
      <c r="BC867" s="16"/>
      <c r="BD867" s="16"/>
      <c r="BE867" s="16"/>
      <c r="BF867" s="16"/>
      <c r="BG867" s="16"/>
      <c r="BH867" s="16"/>
      <c r="BI867" s="16"/>
      <c r="BJ867" s="16"/>
      <c r="BK867" s="16"/>
      <c r="BL867" s="16"/>
      <c r="BM867" s="16"/>
      <c r="BN867" s="16"/>
      <c r="BO867" s="16"/>
      <c r="BP867" s="16"/>
      <c r="BQ867" s="16"/>
      <c r="BR867" s="16"/>
      <c r="BS867" s="16"/>
      <c r="BT867" s="16"/>
      <c r="BU867" s="16"/>
      <c r="BV867" s="16"/>
      <c r="BW867" s="16"/>
      <c r="BX867" s="16"/>
      <c r="BY867" s="16"/>
      <c r="BZ867" s="16"/>
      <c r="CA867" s="16"/>
      <c r="CB867" s="16"/>
      <c r="CC867" s="16"/>
      <c r="CD867" s="16"/>
      <c r="CE867" s="16"/>
      <c r="CF867" s="16"/>
      <c r="CG867" s="16"/>
      <c r="CH867" s="16"/>
      <c r="CI867" s="16"/>
      <c r="CJ867" s="16"/>
      <c r="CK867" s="16"/>
      <c r="CL867" s="16"/>
      <c r="CM867" s="16"/>
      <c r="CN867" s="16"/>
      <c r="CO867" s="16"/>
      <c r="CP867" s="16"/>
      <c r="CQ867" s="16"/>
      <c r="CR867" s="16"/>
      <c r="CS867" s="16"/>
      <c r="CT867" s="16"/>
      <c r="CU867" s="16"/>
      <c r="CV867" s="16"/>
      <c r="CW867" s="16"/>
      <c r="CX867" s="16"/>
      <c r="CY867" s="16"/>
      <c r="CZ867" s="16"/>
      <c r="DA867" s="16"/>
      <c r="DB867" s="16"/>
      <c r="DC867" s="16"/>
      <c r="DD867" s="16"/>
      <c r="DE867" s="16"/>
      <c r="DF867" s="16"/>
      <c r="DG867" s="16"/>
      <c r="DH867" s="16"/>
      <c r="DI867" s="16"/>
      <c r="DJ867" s="16"/>
      <c r="DK867" s="16"/>
      <c r="DL867" s="16"/>
      <c r="DM867" s="16"/>
      <c r="DN867" s="16"/>
      <c r="DO867" s="16"/>
      <c r="DP867" s="16"/>
      <c r="DQ867" s="16"/>
      <c r="DR867" s="16"/>
      <c r="DS867" s="16"/>
      <c r="DT867" s="16"/>
      <c r="DU867" s="16"/>
      <c r="DV867" s="16"/>
      <c r="DW867" s="16"/>
      <c r="DX867" s="16"/>
      <c r="DY867" s="16"/>
      <c r="DZ867" s="16"/>
      <c r="EA867" s="16"/>
      <c r="EB867" s="16"/>
      <c r="EC867" s="16"/>
      <c r="ED867" s="16"/>
      <c r="EE867" s="16"/>
      <c r="EF867" s="16"/>
      <c r="EG867" s="16"/>
      <c r="EH867" s="16"/>
      <c r="EI867" s="16"/>
      <c r="EJ867" s="16"/>
      <c r="EK867" s="16"/>
      <c r="EL867" s="16"/>
      <c r="EM867" s="16"/>
      <c r="EN867" s="16"/>
      <c r="EO867" s="16"/>
      <c r="EP867" s="16"/>
      <c r="EQ867" s="16"/>
      <c r="ER867" s="16"/>
      <c r="ES867" s="16"/>
      <c r="ET867" s="16"/>
      <c r="EU867" s="16"/>
      <c r="EV867" s="16"/>
      <c r="EW867" s="16"/>
      <c r="EX867" s="16"/>
      <c r="EY867" s="16"/>
      <c r="EZ867" s="16"/>
      <c r="FA867" s="16"/>
      <c r="FB867" s="16"/>
      <c r="FC867" s="16"/>
      <c r="FD867" s="16"/>
      <c r="FE867" s="16"/>
      <c r="FF867" s="16"/>
      <c r="FG867" s="16"/>
      <c r="FH867" s="16"/>
      <c r="FI867" s="16"/>
      <c r="FJ867" s="16"/>
      <c r="FK867" s="16"/>
      <c r="FL867" s="16"/>
      <c r="FM867" s="16"/>
      <c r="FN867" s="16"/>
      <c r="FO867" s="16"/>
      <c r="FP867" s="16"/>
      <c r="FQ867" s="16"/>
      <c r="FR867" s="16"/>
      <c r="FS867" s="16"/>
      <c r="FT867" s="16"/>
      <c r="FU867" s="16"/>
      <c r="FV867" s="16"/>
      <c r="FW867" s="16"/>
      <c r="FX867" s="16"/>
      <c r="FY867" s="16"/>
      <c r="FZ867" s="16"/>
      <c r="GA867" s="16"/>
      <c r="GB867" s="16"/>
      <c r="GC867" s="16"/>
      <c r="GD867" s="16"/>
      <c r="GE867" s="16"/>
      <c r="GF867" s="16"/>
      <c r="GG867" s="16"/>
      <c r="GH867" s="16"/>
      <c r="GI867" s="16"/>
      <c r="GJ867" s="16"/>
      <c r="GK867" s="16"/>
      <c r="GL867" s="16"/>
      <c r="GM867" s="16"/>
      <c r="GN867" s="16"/>
      <c r="GO867" s="16"/>
      <c r="GP867" s="16"/>
      <c r="GQ867" s="16"/>
      <c r="GR867" s="16"/>
      <c r="GS867" s="16"/>
      <c r="GT867" s="16"/>
      <c r="GU867" s="16"/>
      <c r="GV867" s="16"/>
      <c r="GW867" s="16"/>
      <c r="GX867" s="16"/>
      <c r="GY867" s="16"/>
      <c r="GZ867" s="16"/>
      <c r="HA867" s="16"/>
      <c r="HB867" s="16"/>
      <c r="HC867" s="16"/>
      <c r="HD867" s="16"/>
      <c r="HE867" s="16"/>
      <c r="HF867" s="16"/>
      <c r="HG867" s="16"/>
      <c r="HH867" s="16"/>
      <c r="HI867" s="16"/>
      <c r="HJ867" s="16"/>
      <c r="HK867" s="16"/>
      <c r="HL867" s="16"/>
      <c r="HM867" s="16"/>
      <c r="HN867" s="16"/>
      <c r="HO867" s="16"/>
      <c r="HP867" s="16"/>
      <c r="HQ867" s="16"/>
      <c r="HR867" s="16"/>
      <c r="HS867" s="16"/>
      <c r="HT867" s="16"/>
      <c r="HU867" s="16"/>
      <c r="HV867" s="16"/>
      <c r="HW867" s="16"/>
      <c r="HX867" s="16"/>
      <c r="HY867" s="16"/>
      <c r="HZ867" s="16"/>
      <c r="IA867" s="16"/>
      <c r="IB867" s="16"/>
      <c r="IC867" s="16"/>
      <c r="ID867" s="16"/>
      <c r="IE867" s="16"/>
      <c r="IF867" s="16"/>
      <c r="IG867" s="16"/>
      <c r="IH867" s="16"/>
      <c r="II867" s="16"/>
      <c r="IJ867" s="16"/>
      <c r="IK867" s="16"/>
      <c r="IL867" s="16"/>
      <c r="IM867" s="16"/>
      <c r="IN867" s="16"/>
      <c r="IO867" s="16"/>
      <c r="IP867" s="16"/>
      <c r="IQ867" s="16"/>
      <c r="IR867" s="16"/>
      <c r="IS867" s="16"/>
      <c r="IT867" s="16"/>
      <c r="IU867" s="16"/>
      <c r="IV867" s="16"/>
      <c r="IW867" s="16"/>
      <c r="IX867" s="16"/>
      <c r="IY867" s="16"/>
      <c r="IZ867" s="16"/>
      <c r="JA867" s="16"/>
      <c r="JB867" s="16"/>
      <c r="JC867" s="16"/>
      <c r="JD867" s="16"/>
      <c r="JE867" s="16"/>
      <c r="JF867" s="16"/>
      <c r="JG867" s="16"/>
      <c r="JH867" s="16"/>
      <c r="JI867" s="16"/>
      <c r="JJ867" s="16"/>
      <c r="JK867" s="16"/>
      <c r="JL867" s="16"/>
      <c r="JM867" s="16"/>
      <c r="JN867" s="16"/>
      <c r="JO867" s="16"/>
      <c r="JP867" s="16"/>
      <c r="JQ867" s="16"/>
      <c r="JR867" s="16"/>
      <c r="JS867" s="16"/>
      <c r="JT867" s="16"/>
      <c r="JU867" s="16"/>
      <c r="JV867" s="16"/>
      <c r="JW867" s="16"/>
      <c r="JX867" s="16"/>
      <c r="JY867" s="16"/>
      <c r="JZ867" s="16"/>
      <c r="KA867" s="16"/>
      <c r="KB867" s="16"/>
      <c r="KC867" s="16"/>
      <c r="KD867" s="16"/>
      <c r="KE867" s="16"/>
      <c r="KF867" s="16"/>
      <c r="KG867" s="16"/>
      <c r="KH867" s="16"/>
      <c r="KI867" s="16"/>
      <c r="KJ867" s="16"/>
      <c r="KK867" s="16"/>
      <c r="KL867" s="16"/>
      <c r="KM867" s="16"/>
      <c r="KN867" s="16"/>
      <c r="KO867" s="16"/>
      <c r="KP867" s="16"/>
      <c r="KQ867" s="16"/>
      <c r="KR867" s="16"/>
      <c r="KS867" s="16"/>
      <c r="KT867" s="16"/>
      <c r="KU867" s="16"/>
      <c r="KV867" s="16"/>
      <c r="KW867" s="16"/>
      <c r="KX867" s="16"/>
      <c r="KY867" s="16"/>
      <c r="KZ867" s="16"/>
      <c r="LA867" s="16"/>
      <c r="LB867" s="16"/>
      <c r="LC867" s="16"/>
      <c r="LD867" s="16"/>
      <c r="LE867" s="16"/>
      <c r="LF867" s="16"/>
      <c r="LG867" s="16"/>
      <c r="LH867" s="16"/>
      <c r="LI867" s="16"/>
      <c r="LJ867" s="16"/>
      <c r="LK867" s="16"/>
      <c r="LL867" s="16"/>
      <c r="LM867" s="16"/>
      <c r="LN867" s="16"/>
      <c r="LO867" s="16"/>
      <c r="LP867" s="16"/>
      <c r="LQ867" s="16"/>
      <c r="LR867" s="16"/>
      <c r="LS867" s="16"/>
      <c r="LT867" s="16"/>
      <c r="LU867" s="16"/>
      <c r="LV867" s="16"/>
      <c r="LW867" s="16"/>
      <c r="LX867" s="16"/>
      <c r="LY867" s="16"/>
      <c r="LZ867" s="16"/>
      <c r="MA867" s="16"/>
      <c r="MB867" s="16"/>
      <c r="MC867" s="16"/>
      <c r="MD867" s="16"/>
      <c r="ME867" s="16"/>
      <c r="MF867" s="16"/>
      <c r="MG867" s="16"/>
      <c r="MH867" s="16"/>
      <c r="MI867" s="16"/>
      <c r="MJ867" s="16"/>
      <c r="MK867" s="16"/>
      <c r="ML867" s="16"/>
      <c r="MM867" s="16"/>
      <c r="MN867" s="16"/>
      <c r="MO867" s="16"/>
      <c r="MP867" s="16"/>
      <c r="MQ867" s="16"/>
      <c r="MR867" s="16"/>
      <c r="MS867" s="16"/>
      <c r="MT867" s="16"/>
      <c r="MU867" s="16"/>
      <c r="MV867" s="16"/>
      <c r="MW867" s="16"/>
      <c r="MX867" s="16"/>
      <c r="MY867" s="16"/>
      <c r="MZ867" s="16"/>
      <c r="NA867" s="16"/>
      <c r="NB867" s="16"/>
      <c r="NC867" s="16"/>
      <c r="ND867" s="16"/>
      <c r="NE867" s="16"/>
      <c r="NF867" s="16"/>
      <c r="NG867" s="16"/>
      <c r="NH867" s="16"/>
      <c r="NI867" s="16"/>
      <c r="NJ867" s="16"/>
      <c r="NK867" s="16"/>
      <c r="NL867" s="16"/>
      <c r="NM867" s="16"/>
      <c r="NN867" s="16"/>
      <c r="NO867" s="16"/>
      <c r="NP867" s="16"/>
      <c r="NQ867" s="16"/>
      <c r="NR867" s="16"/>
      <c r="NS867" s="16"/>
      <c r="NT867" s="16"/>
      <c r="NU867" s="16"/>
      <c r="NV867" s="16"/>
      <c r="NW867" s="16"/>
      <c r="NX867" s="16"/>
      <c r="NY867" s="16"/>
      <c r="NZ867" s="16"/>
      <c r="OA867" s="16"/>
      <c r="OB867" s="16"/>
      <c r="OC867" s="16"/>
      <c r="OD867" s="16"/>
      <c r="OE867" s="16"/>
      <c r="OF867" s="16"/>
      <c r="OG867" s="16"/>
      <c r="OH867" s="16"/>
      <c r="OI867" s="16"/>
      <c r="OJ867" s="16"/>
      <c r="OK867" s="16"/>
      <c r="OL867" s="16"/>
      <c r="OM867" s="16"/>
      <c r="ON867" s="16"/>
      <c r="OO867" s="16"/>
      <c r="OP867" s="16"/>
      <c r="OQ867" s="16"/>
      <c r="OR867" s="16"/>
      <c r="OS867" s="16"/>
      <c r="OT867" s="16"/>
      <c r="OU867" s="16"/>
      <c r="OV867" s="16"/>
      <c r="OW867" s="16"/>
      <c r="OX867" s="16"/>
      <c r="OY867" s="16"/>
      <c r="OZ867" s="16"/>
      <c r="PA867" s="16"/>
      <c r="PB867" s="16"/>
      <c r="PC867" s="16"/>
      <c r="PD867" s="16"/>
      <c r="PE867" s="16"/>
      <c r="PF867" s="16"/>
      <c r="PG867" s="16"/>
      <c r="PH867" s="16"/>
      <c r="PI867" s="16"/>
      <c r="PJ867" s="16"/>
      <c r="PK867" s="16"/>
      <c r="PL867" s="16"/>
      <c r="PM867" s="16"/>
      <c r="PN867" s="16"/>
      <c r="PO867" s="16"/>
      <c r="PP867" s="16"/>
      <c r="PQ867" s="16"/>
      <c r="PR867" s="16"/>
      <c r="PS867" s="16"/>
      <c r="PT867" s="16"/>
      <c r="PU867" s="16"/>
      <c r="PV867" s="16"/>
      <c r="PW867" s="16"/>
      <c r="PX867" s="16"/>
      <c r="PY867" s="16"/>
      <c r="PZ867" s="16"/>
      <c r="QA867" s="16"/>
      <c r="QB867" s="16"/>
      <c r="QC867" s="16"/>
      <c r="QD867" s="16"/>
      <c r="QE867" s="16"/>
      <c r="QF867" s="16"/>
      <c r="QG867" s="16"/>
      <c r="QH867" s="16"/>
      <c r="QI867" s="16"/>
      <c r="QJ867" s="16"/>
      <c r="QK867" s="16"/>
      <c r="QL867" s="16"/>
      <c r="QM867" s="16"/>
      <c r="QN867" s="16"/>
      <c r="QO867" s="16"/>
      <c r="QP867" s="16"/>
      <c r="QQ867" s="16"/>
      <c r="QR867" s="16"/>
      <c r="QS867" s="16"/>
      <c r="QT867" s="16"/>
      <c r="QU867" s="16"/>
      <c r="QV867" s="16"/>
      <c r="QW867" s="16"/>
      <c r="QX867" s="16"/>
      <c r="QY867" s="16"/>
      <c r="QZ867" s="16"/>
      <c r="RA867" s="16"/>
      <c r="RB867" s="16"/>
      <c r="RC867" s="16"/>
      <c r="RD867" s="16"/>
      <c r="RE867" s="16"/>
      <c r="RF867" s="16"/>
      <c r="RG867" s="16"/>
      <c r="RH867" s="16"/>
      <c r="RI867" s="16"/>
      <c r="RJ867" s="16"/>
      <c r="RK867" s="16"/>
      <c r="RL867" s="16"/>
      <c r="RM867" s="16"/>
      <c r="RN867" s="16"/>
      <c r="RO867" s="16"/>
      <c r="RP867" s="16"/>
      <c r="RQ867" s="16"/>
      <c r="RR867" s="16"/>
      <c r="RS867" s="16"/>
      <c r="RT867" s="16"/>
      <c r="RU867" s="16"/>
      <c r="RV867" s="16"/>
      <c r="RW867" s="16"/>
      <c r="RX867" s="16"/>
      <c r="RY867" s="16"/>
      <c r="RZ867" s="16"/>
      <c r="SA867" s="16"/>
      <c r="SB867" s="16"/>
      <c r="SC867" s="16"/>
      <c r="SD867" s="16"/>
      <c r="SE867" s="16"/>
      <c r="SF867" s="16"/>
      <c r="SG867" s="16"/>
      <c r="SH867" s="16"/>
      <c r="SI867" s="16"/>
      <c r="SJ867" s="16"/>
      <c r="SK867" s="16"/>
      <c r="SL867" s="16"/>
      <c r="SM867" s="16"/>
      <c r="SN867" s="16"/>
      <c r="SO867" s="16"/>
      <c r="SP867" s="16"/>
      <c r="SQ867" s="16"/>
      <c r="SR867" s="16"/>
      <c r="SS867" s="16"/>
      <c r="ST867" s="16"/>
      <c r="SU867" s="16"/>
      <c r="SV867" s="16"/>
      <c r="SW867" s="16"/>
      <c r="SX867" s="16"/>
      <c r="SY867" s="16"/>
      <c r="SZ867" s="16"/>
      <c r="TA867" s="16"/>
      <c r="TB867" s="16"/>
      <c r="TC867" s="16"/>
      <c r="TD867" s="16"/>
      <c r="TE867" s="16"/>
      <c r="TF867" s="16"/>
      <c r="TG867" s="16"/>
      <c r="TH867" s="16"/>
      <c r="TI867" s="16"/>
      <c r="TJ867" s="16"/>
      <c r="TK867" s="16"/>
      <c r="TL867" s="16"/>
      <c r="TM867" s="16"/>
      <c r="TN867" s="16"/>
      <c r="TO867" s="16"/>
      <c r="TP867" s="16"/>
      <c r="TQ867" s="16"/>
      <c r="TR867" s="16"/>
      <c r="TS867" s="16"/>
      <c r="TT867" s="16"/>
      <c r="TU867" s="16"/>
      <c r="TV867" s="16"/>
      <c r="TW867" s="16"/>
      <c r="TX867" s="16"/>
      <c r="TY867" s="16"/>
      <c r="TZ867" s="16"/>
      <c r="UA867" s="16"/>
      <c r="UB867" s="16"/>
      <c r="UC867" s="16"/>
      <c r="UD867" s="16"/>
      <c r="UE867" s="16"/>
      <c r="UF867" s="16"/>
      <c r="UG867" s="16"/>
      <c r="UH867" s="16"/>
      <c r="UI867" s="16"/>
      <c r="UJ867" s="16"/>
      <c r="UK867" s="16"/>
      <c r="UL867" s="16"/>
      <c r="UM867" s="16"/>
      <c r="UN867" s="16"/>
      <c r="UO867" s="16"/>
      <c r="UP867" s="16"/>
      <c r="UQ867" s="16"/>
      <c r="UR867" s="16"/>
      <c r="US867" s="16"/>
      <c r="UT867" s="16"/>
      <c r="UU867" s="16"/>
      <c r="UV867" s="16"/>
      <c r="UW867" s="16"/>
      <c r="UX867" s="16"/>
      <c r="UY867" s="16"/>
      <c r="UZ867" s="16"/>
      <c r="VA867" s="16"/>
      <c r="VB867" s="16"/>
      <c r="VC867" s="16"/>
      <c r="VD867" s="16"/>
      <c r="VE867" s="16"/>
      <c r="VF867" s="16"/>
      <c r="VG867" s="16"/>
      <c r="VH867" s="16"/>
      <c r="VI867" s="16"/>
      <c r="VJ867" s="16"/>
      <c r="VK867" s="16"/>
      <c r="VL867" s="16"/>
      <c r="VM867" s="16"/>
      <c r="VN867" s="16"/>
      <c r="VO867" s="16"/>
      <c r="VP867" s="16"/>
      <c r="VQ867" s="16"/>
      <c r="VR867" s="16"/>
      <c r="VS867" s="16"/>
      <c r="VT867" s="16"/>
      <c r="VU867" s="16"/>
      <c r="VV867" s="16"/>
      <c r="VW867" s="16"/>
      <c r="VX867" s="16"/>
      <c r="VY867" s="16"/>
      <c r="VZ867" s="16"/>
      <c r="WA867" s="16"/>
      <c r="WB867" s="16"/>
      <c r="WC867" s="16"/>
      <c r="WD867" s="16"/>
      <c r="WE867" s="16"/>
      <c r="WF867" s="16"/>
      <c r="WG867" s="16"/>
      <c r="WH867" s="16"/>
      <c r="WI867" s="16"/>
      <c r="WJ867" s="16"/>
      <c r="WK867" s="16"/>
      <c r="WL867" s="16"/>
      <c r="WM867" s="16"/>
      <c r="WN867" s="16"/>
      <c r="WO867" s="16"/>
      <c r="WP867" s="16"/>
      <c r="WQ867" s="16"/>
      <c r="WR867" s="16"/>
      <c r="WS867" s="16"/>
      <c r="WT867" s="16"/>
      <c r="WU867" s="16"/>
      <c r="WV867" s="16"/>
      <c r="WW867" s="16"/>
      <c r="WX867" s="16"/>
      <c r="WY867" s="16"/>
      <c r="WZ867" s="16"/>
      <c r="XA867" s="16"/>
      <c r="XB867" s="16"/>
      <c r="XC867" s="16"/>
      <c r="XD867" s="16"/>
      <c r="XE867" s="16"/>
      <c r="XF867" s="16"/>
      <c r="XG867" s="16"/>
      <c r="XH867" s="16"/>
      <c r="XI867" s="16"/>
      <c r="XJ867" s="16"/>
      <c r="XK867" s="16"/>
      <c r="XL867" s="16"/>
      <c r="XM867" s="16"/>
      <c r="XN867" s="16"/>
      <c r="XO867" s="16"/>
      <c r="XP867" s="16"/>
      <c r="XQ867" s="16"/>
      <c r="XR867" s="16"/>
      <c r="XS867" s="16"/>
      <c r="XT867" s="16"/>
      <c r="XU867" s="16"/>
      <c r="XV867" s="16"/>
      <c r="XW867" s="16"/>
      <c r="XX867" s="16"/>
      <c r="XY867" s="16"/>
      <c r="XZ867" s="16"/>
      <c r="YA867" s="16"/>
      <c r="YB867" s="16"/>
      <c r="YC867" s="16"/>
      <c r="YD867" s="16"/>
      <c r="YE867" s="16"/>
      <c r="YF867" s="16"/>
      <c r="YG867" s="16"/>
      <c r="YH867" s="16"/>
      <c r="YI867" s="16"/>
      <c r="YJ867" s="16"/>
      <c r="YK867" s="16"/>
      <c r="YL867" s="16"/>
      <c r="YM867" s="16"/>
      <c r="YN867" s="16"/>
      <c r="YO867" s="16"/>
      <c r="YP867" s="16"/>
      <c r="YQ867" s="16"/>
      <c r="YR867" s="16"/>
      <c r="YS867" s="16"/>
      <c r="YT867" s="16"/>
      <c r="YU867" s="16"/>
      <c r="YV867" s="16"/>
      <c r="YW867" s="16"/>
      <c r="YX867" s="16"/>
      <c r="YY867" s="16"/>
      <c r="YZ867" s="16"/>
      <c r="ZA867" s="16"/>
      <c r="ZB867" s="16"/>
      <c r="ZC867" s="16"/>
      <c r="ZD867" s="16"/>
      <c r="ZE867" s="16"/>
      <c r="ZF867" s="16"/>
      <c r="ZG867" s="16"/>
      <c r="ZH867" s="16"/>
      <c r="ZI867" s="16"/>
      <c r="ZJ867" s="16"/>
      <c r="ZK867" s="16"/>
      <c r="ZL867" s="16"/>
      <c r="ZM867" s="16"/>
      <c r="ZN867" s="16"/>
      <c r="ZO867" s="16"/>
      <c r="ZP867" s="16"/>
      <c r="ZQ867" s="16"/>
      <c r="ZR867" s="16"/>
      <c r="ZS867" s="16"/>
      <c r="ZT867" s="16"/>
      <c r="ZU867" s="16"/>
      <c r="ZV867" s="16"/>
      <c r="ZW867" s="16"/>
      <c r="ZX867" s="16"/>
      <c r="ZY867" s="16"/>
      <c r="ZZ867" s="16"/>
      <c r="AAA867" s="16"/>
      <c r="AAB867" s="16"/>
      <c r="AAC867" s="16"/>
      <c r="AAD867" s="16"/>
      <c r="AAE867" s="16"/>
      <c r="AAF867" s="16"/>
      <c r="AAG867" s="16"/>
      <c r="AAH867" s="16"/>
      <c r="AAI867" s="16"/>
      <c r="AAJ867" s="16"/>
      <c r="AAK867" s="16"/>
      <c r="AAL867" s="16"/>
      <c r="AAM867" s="16"/>
      <c r="AAN867" s="16"/>
      <c r="AAO867" s="16"/>
      <c r="AAP867" s="16"/>
      <c r="AAQ867" s="16"/>
      <c r="AAR867" s="16"/>
      <c r="AAS867" s="16"/>
      <c r="AAT867" s="16"/>
      <c r="AAU867" s="16"/>
      <c r="AAV867" s="16"/>
      <c r="AAW867" s="16"/>
      <c r="AAX867" s="16"/>
      <c r="AAY867" s="16"/>
      <c r="AAZ867" s="16"/>
      <c r="ABA867" s="16"/>
      <c r="ABB867" s="16"/>
      <c r="ABC867" s="16"/>
      <c r="ABD867" s="16"/>
      <c r="ABE867" s="16"/>
      <c r="ABF867" s="16"/>
      <c r="ABG867" s="16"/>
      <c r="ABH867" s="16"/>
      <c r="ABI867" s="16"/>
      <c r="ABJ867" s="16"/>
      <c r="ABK867" s="16"/>
      <c r="ABL867" s="16"/>
      <c r="ABM867" s="16"/>
      <c r="ABN867" s="16"/>
      <c r="ABO867" s="16"/>
      <c r="ABP867" s="16"/>
      <c r="ABQ867" s="16"/>
      <c r="ABR867" s="16"/>
      <c r="ABS867" s="16"/>
      <c r="ABT867" s="16"/>
      <c r="ABU867" s="16"/>
      <c r="ABV867" s="16"/>
      <c r="ABW867" s="16"/>
      <c r="ABX867" s="16"/>
      <c r="ABY867" s="16"/>
      <c r="ABZ867" s="16"/>
      <c r="ACA867" s="16"/>
      <c r="ACB867" s="16"/>
      <c r="ACC867" s="16"/>
      <c r="ACD867" s="16"/>
      <c r="ACE867" s="16"/>
      <c r="ACF867" s="16"/>
      <c r="ACG867" s="16"/>
      <c r="ACH867" s="16"/>
      <c r="ACI867" s="16"/>
      <c r="ACJ867" s="16"/>
      <c r="ACK867" s="16"/>
      <c r="ACL867" s="16"/>
      <c r="ACM867" s="16"/>
      <c r="ACN867" s="16"/>
      <c r="ACO867" s="16"/>
      <c r="ACP867" s="16"/>
      <c r="ACQ867" s="16"/>
      <c r="ACR867" s="16"/>
      <c r="ACS867" s="16"/>
      <c r="ACT867" s="16"/>
      <c r="ACU867" s="16"/>
      <c r="ACV867" s="16"/>
      <c r="ACW867" s="16"/>
      <c r="ACX867" s="16"/>
      <c r="ACY867" s="16"/>
      <c r="ACZ867" s="16"/>
      <c r="ADA867" s="16"/>
      <c r="ADB867" s="16"/>
      <c r="ADC867" s="16"/>
      <c r="ADD867" s="16"/>
      <c r="ADE867" s="16"/>
      <c r="ADF867" s="16"/>
      <c r="ADG867" s="16"/>
      <c r="ADH867" s="16"/>
      <c r="ADI867" s="16"/>
      <c r="ADJ867" s="16"/>
      <c r="ADK867" s="16"/>
      <c r="ADL867" s="16"/>
      <c r="ADM867" s="16"/>
      <c r="ADN867" s="16"/>
      <c r="ADO867" s="16"/>
      <c r="ADP867" s="16"/>
      <c r="ADQ867" s="16"/>
      <c r="ADR867" s="16"/>
      <c r="ADS867" s="16"/>
      <c r="ADT867" s="16"/>
      <c r="ADU867" s="16"/>
      <c r="ADV867" s="16"/>
      <c r="ADW867" s="16"/>
      <c r="ADX867" s="16"/>
      <c r="ADY867" s="16"/>
      <c r="ADZ867" s="16"/>
      <c r="AEA867" s="16"/>
      <c r="AEB867" s="16"/>
      <c r="AEC867" s="16"/>
      <c r="AED867" s="16"/>
      <c r="AEE867" s="16"/>
      <c r="AEF867" s="16"/>
      <c r="AEG867" s="16"/>
      <c r="AEH867" s="16"/>
      <c r="AEI867" s="16"/>
      <c r="AEJ867" s="16"/>
      <c r="AEK867" s="16"/>
      <c r="AEL867" s="16"/>
      <c r="AEM867" s="16"/>
      <c r="AEN867" s="16"/>
      <c r="AEO867" s="16"/>
      <c r="AEP867" s="16"/>
      <c r="AEQ867" s="16"/>
      <c r="AER867" s="16"/>
      <c r="AES867" s="16"/>
      <c r="AET867" s="16"/>
      <c r="AEU867" s="16"/>
      <c r="AEV867" s="16"/>
      <c r="AEW867" s="16"/>
      <c r="AEX867" s="16"/>
      <c r="AEY867" s="16"/>
      <c r="AEZ867" s="16"/>
      <c r="AFA867" s="16"/>
      <c r="AFB867" s="16"/>
      <c r="AFC867" s="16"/>
      <c r="AFD867" s="16"/>
      <c r="AFE867" s="16"/>
      <c r="AFF867" s="16"/>
      <c r="AFG867" s="16"/>
      <c r="AFH867" s="16"/>
      <c r="AFI867" s="16"/>
      <c r="AFJ867" s="16"/>
      <c r="AFK867" s="16"/>
      <c r="AFL867" s="16"/>
      <c r="AFM867" s="16"/>
      <c r="AFN867" s="16"/>
      <c r="AFO867" s="16"/>
      <c r="AFP867" s="16"/>
      <c r="AFQ867" s="16"/>
      <c r="AFR867" s="16"/>
      <c r="AFS867" s="16"/>
      <c r="AFT867" s="16"/>
      <c r="AFU867" s="16"/>
      <c r="AFV867" s="16"/>
      <c r="AFW867" s="16"/>
      <c r="AFX867" s="16"/>
      <c r="AFY867" s="16"/>
      <c r="AFZ867" s="16"/>
      <c r="AGA867" s="16"/>
      <c r="AGB867" s="16"/>
      <c r="AGC867" s="16"/>
      <c r="AGD867" s="16"/>
      <c r="AGE867" s="16"/>
      <c r="AGF867" s="16"/>
      <c r="AGG867" s="16"/>
      <c r="AGH867" s="16"/>
      <c r="AGI867" s="16"/>
      <c r="AGJ867" s="16"/>
    </row>
    <row r="868" spans="1:868" s="853" customFormat="1" hidden="1">
      <c r="A868" s="152" t="s">
        <v>130</v>
      </c>
      <c r="B868" s="34" t="s">
        <v>356</v>
      </c>
      <c r="C868" s="40" t="s">
        <v>147</v>
      </c>
      <c r="D868" s="34" t="s">
        <v>99</v>
      </c>
      <c r="E868" s="260">
        <v>0.15963616327826599</v>
      </c>
      <c r="F868" s="235">
        <v>1</v>
      </c>
      <c r="G868" s="40"/>
      <c r="H868" s="29">
        <v>2</v>
      </c>
      <c r="I868" s="9">
        <v>2</v>
      </c>
      <c r="J868" s="9">
        <v>2</v>
      </c>
      <c r="K868" s="9">
        <v>2</v>
      </c>
      <c r="L868" s="9">
        <v>1</v>
      </c>
      <c r="M868" s="9">
        <v>2</v>
      </c>
      <c r="N868" s="186">
        <f t="shared" si="47"/>
        <v>0.38795788889711302</v>
      </c>
      <c r="O868" s="160">
        <f t="shared" si="48"/>
        <v>0.38795788889711302</v>
      </c>
      <c r="P868" s="63"/>
      <c r="Q868" s="16"/>
      <c r="R868" s="16"/>
      <c r="S868" s="16"/>
      <c r="T868" s="16"/>
      <c r="U868" s="16"/>
      <c r="V868" s="16"/>
      <c r="W868" s="16"/>
      <c r="X868" s="16"/>
      <c r="Y868" s="16"/>
      <c r="Z868" s="16"/>
      <c r="AA868" s="16"/>
      <c r="AB868" s="16"/>
      <c r="AC868" s="16"/>
      <c r="AD868" s="16"/>
      <c r="AE868" s="16"/>
      <c r="AF868" s="16"/>
      <c r="AG868" s="16"/>
      <c r="AH868" s="16"/>
      <c r="AI868" s="16"/>
      <c r="AJ868" s="16"/>
      <c r="AK868" s="16"/>
      <c r="AL868" s="16"/>
      <c r="AM868" s="16"/>
      <c r="AN868" s="16"/>
      <c r="AO868" s="16"/>
      <c r="AP868" s="16"/>
      <c r="AQ868" s="16"/>
      <c r="AR868" s="16"/>
      <c r="AS868" s="16"/>
      <c r="AT868" s="16"/>
      <c r="AU868" s="16"/>
      <c r="AV868" s="16"/>
      <c r="AW868" s="16"/>
      <c r="AX868" s="16"/>
      <c r="AY868" s="16"/>
      <c r="AZ868" s="16"/>
      <c r="BA868" s="16"/>
      <c r="BB868" s="16"/>
      <c r="BC868" s="16"/>
      <c r="BD868" s="16"/>
      <c r="BE868" s="16"/>
      <c r="BF868" s="16"/>
      <c r="BG868" s="16"/>
      <c r="BH868" s="16"/>
      <c r="BI868" s="16"/>
      <c r="BJ868" s="16"/>
      <c r="BK868" s="16"/>
      <c r="BL868" s="16"/>
      <c r="BM868" s="16"/>
      <c r="BN868" s="16"/>
      <c r="BO868" s="16"/>
      <c r="BP868" s="16"/>
      <c r="BQ868" s="16"/>
      <c r="BR868" s="16"/>
      <c r="BS868" s="16"/>
      <c r="BT868" s="16"/>
      <c r="BU868" s="16"/>
      <c r="BV868" s="16"/>
      <c r="BW868" s="16"/>
      <c r="BX868" s="16"/>
      <c r="BY868" s="16"/>
      <c r="BZ868" s="16"/>
      <c r="CA868" s="16"/>
      <c r="CB868" s="16"/>
      <c r="CC868" s="16"/>
      <c r="CD868" s="16"/>
      <c r="CE868" s="16"/>
      <c r="CF868" s="16"/>
      <c r="CG868" s="16"/>
      <c r="CH868" s="16"/>
      <c r="CI868" s="16"/>
      <c r="CJ868" s="16"/>
      <c r="CK868" s="16"/>
      <c r="CL868" s="16"/>
      <c r="CM868" s="16"/>
      <c r="CN868" s="16"/>
      <c r="CO868" s="16"/>
      <c r="CP868" s="16"/>
      <c r="CQ868" s="16"/>
      <c r="CR868" s="16"/>
      <c r="CS868" s="16"/>
      <c r="CT868" s="16"/>
      <c r="CU868" s="16"/>
      <c r="CV868" s="16"/>
      <c r="CW868" s="16"/>
      <c r="CX868" s="16"/>
      <c r="CY868" s="16"/>
      <c r="CZ868" s="16"/>
      <c r="DA868" s="16"/>
      <c r="DB868" s="16"/>
      <c r="DC868" s="16"/>
      <c r="DD868" s="16"/>
      <c r="DE868" s="16"/>
      <c r="DF868" s="16"/>
      <c r="DG868" s="16"/>
      <c r="DH868" s="16"/>
      <c r="DI868" s="16"/>
      <c r="DJ868" s="16"/>
      <c r="DK868" s="16"/>
      <c r="DL868" s="16"/>
      <c r="DM868" s="16"/>
      <c r="DN868" s="16"/>
      <c r="DO868" s="16"/>
      <c r="DP868" s="16"/>
      <c r="DQ868" s="16"/>
      <c r="DR868" s="16"/>
      <c r="DS868" s="16"/>
      <c r="DT868" s="16"/>
      <c r="DU868" s="16"/>
      <c r="DV868" s="16"/>
      <c r="DW868" s="16"/>
      <c r="DX868" s="16"/>
      <c r="DY868" s="16"/>
      <c r="DZ868" s="16"/>
      <c r="EA868" s="16"/>
      <c r="EB868" s="16"/>
      <c r="EC868" s="16"/>
      <c r="ED868" s="16"/>
      <c r="EE868" s="16"/>
      <c r="EF868" s="16"/>
      <c r="EG868" s="16"/>
      <c r="EH868" s="16"/>
      <c r="EI868" s="16"/>
      <c r="EJ868" s="16"/>
      <c r="EK868" s="16"/>
      <c r="EL868" s="16"/>
      <c r="EM868" s="16"/>
      <c r="EN868" s="16"/>
      <c r="EO868" s="16"/>
      <c r="EP868" s="16"/>
      <c r="EQ868" s="16"/>
      <c r="ER868" s="16"/>
      <c r="ES868" s="16"/>
      <c r="ET868" s="16"/>
      <c r="EU868" s="16"/>
      <c r="EV868" s="16"/>
      <c r="EW868" s="16"/>
      <c r="EX868" s="16"/>
      <c r="EY868" s="16"/>
      <c r="EZ868" s="16"/>
      <c r="FA868" s="16"/>
      <c r="FB868" s="16"/>
      <c r="FC868" s="16"/>
      <c r="FD868" s="16"/>
      <c r="FE868" s="16"/>
      <c r="FF868" s="16"/>
      <c r="FG868" s="16"/>
      <c r="FH868" s="16"/>
      <c r="FI868" s="16"/>
      <c r="FJ868" s="16"/>
      <c r="FK868" s="16"/>
      <c r="FL868" s="16"/>
      <c r="FM868" s="16"/>
      <c r="FN868" s="16"/>
      <c r="FO868" s="16"/>
      <c r="FP868" s="16"/>
      <c r="FQ868" s="16"/>
      <c r="FR868" s="16"/>
      <c r="FS868" s="16"/>
      <c r="FT868" s="16"/>
      <c r="FU868" s="16"/>
      <c r="FV868" s="16"/>
      <c r="FW868" s="16"/>
      <c r="FX868" s="16"/>
      <c r="FY868" s="16"/>
      <c r="FZ868" s="16"/>
      <c r="GA868" s="16"/>
      <c r="GB868" s="16"/>
      <c r="GC868" s="16"/>
      <c r="GD868" s="16"/>
      <c r="GE868" s="16"/>
      <c r="GF868" s="16"/>
      <c r="GG868" s="16"/>
      <c r="GH868" s="16"/>
      <c r="GI868" s="16"/>
      <c r="GJ868" s="16"/>
      <c r="GK868" s="16"/>
      <c r="GL868" s="16"/>
      <c r="GM868" s="16"/>
      <c r="GN868" s="16"/>
      <c r="GO868" s="16"/>
      <c r="GP868" s="16"/>
      <c r="GQ868" s="16"/>
      <c r="GR868" s="16"/>
      <c r="GS868" s="16"/>
      <c r="GT868" s="16"/>
      <c r="GU868" s="16"/>
      <c r="GV868" s="16"/>
      <c r="GW868" s="16"/>
      <c r="GX868" s="16"/>
      <c r="GY868" s="16"/>
      <c r="GZ868" s="16"/>
      <c r="HA868" s="16"/>
      <c r="HB868" s="16"/>
      <c r="HC868" s="16"/>
      <c r="HD868" s="16"/>
      <c r="HE868" s="16"/>
      <c r="HF868" s="16"/>
      <c r="HG868" s="16"/>
      <c r="HH868" s="16"/>
      <c r="HI868" s="16"/>
      <c r="HJ868" s="16"/>
      <c r="HK868" s="16"/>
      <c r="HL868" s="16"/>
      <c r="HM868" s="16"/>
      <c r="HN868" s="16"/>
      <c r="HO868" s="16"/>
      <c r="HP868" s="16"/>
      <c r="HQ868" s="16"/>
      <c r="HR868" s="16"/>
      <c r="HS868" s="16"/>
      <c r="HT868" s="16"/>
      <c r="HU868" s="16"/>
      <c r="HV868" s="16"/>
      <c r="HW868" s="16"/>
      <c r="HX868" s="16"/>
      <c r="HY868" s="16"/>
      <c r="HZ868" s="16"/>
      <c r="IA868" s="16"/>
      <c r="IB868" s="16"/>
      <c r="IC868" s="16"/>
      <c r="ID868" s="16"/>
      <c r="IE868" s="16"/>
      <c r="IF868" s="16"/>
      <c r="IG868" s="16"/>
      <c r="IH868" s="16"/>
      <c r="II868" s="16"/>
      <c r="IJ868" s="16"/>
      <c r="IK868" s="16"/>
      <c r="IL868" s="16"/>
      <c r="IM868" s="16"/>
      <c r="IN868" s="16"/>
      <c r="IO868" s="16"/>
      <c r="IP868" s="16"/>
      <c r="IQ868" s="16"/>
      <c r="IR868" s="16"/>
      <c r="IS868" s="16"/>
      <c r="IT868" s="16"/>
      <c r="IU868" s="16"/>
      <c r="IV868" s="16"/>
      <c r="IW868" s="16"/>
      <c r="IX868" s="16"/>
      <c r="IY868" s="16"/>
      <c r="IZ868" s="16"/>
      <c r="JA868" s="16"/>
      <c r="JB868" s="16"/>
      <c r="JC868" s="16"/>
      <c r="JD868" s="16"/>
      <c r="JE868" s="16"/>
      <c r="JF868" s="16"/>
      <c r="JG868" s="16"/>
      <c r="JH868" s="16"/>
      <c r="JI868" s="16"/>
      <c r="JJ868" s="16"/>
      <c r="JK868" s="16"/>
      <c r="JL868" s="16"/>
      <c r="JM868" s="16"/>
      <c r="JN868" s="16"/>
      <c r="JO868" s="16"/>
      <c r="JP868" s="16"/>
      <c r="JQ868" s="16"/>
      <c r="JR868" s="16"/>
      <c r="JS868" s="16"/>
      <c r="JT868" s="16"/>
      <c r="JU868" s="16"/>
      <c r="JV868" s="16"/>
      <c r="JW868" s="16"/>
      <c r="JX868" s="16"/>
      <c r="JY868" s="16"/>
      <c r="JZ868" s="16"/>
      <c r="KA868" s="16"/>
      <c r="KB868" s="16"/>
      <c r="KC868" s="16"/>
      <c r="KD868" s="16"/>
      <c r="KE868" s="16"/>
      <c r="KF868" s="16"/>
      <c r="KG868" s="16"/>
      <c r="KH868" s="16"/>
      <c r="KI868" s="16"/>
      <c r="KJ868" s="16"/>
      <c r="KK868" s="16"/>
      <c r="KL868" s="16"/>
      <c r="KM868" s="16"/>
      <c r="KN868" s="16"/>
      <c r="KO868" s="16"/>
      <c r="KP868" s="16"/>
      <c r="KQ868" s="16"/>
      <c r="KR868" s="16"/>
      <c r="KS868" s="16"/>
      <c r="KT868" s="16"/>
      <c r="KU868" s="16"/>
      <c r="KV868" s="16"/>
      <c r="KW868" s="16"/>
      <c r="KX868" s="16"/>
      <c r="KY868" s="16"/>
      <c r="KZ868" s="16"/>
      <c r="LA868" s="16"/>
      <c r="LB868" s="16"/>
      <c r="LC868" s="16"/>
      <c r="LD868" s="16"/>
      <c r="LE868" s="16"/>
      <c r="LF868" s="16"/>
      <c r="LG868" s="16"/>
      <c r="LH868" s="16"/>
      <c r="LI868" s="16"/>
      <c r="LJ868" s="16"/>
      <c r="LK868" s="16"/>
      <c r="LL868" s="16"/>
      <c r="LM868" s="16"/>
      <c r="LN868" s="16"/>
      <c r="LO868" s="16"/>
      <c r="LP868" s="16"/>
      <c r="LQ868" s="16"/>
      <c r="LR868" s="16"/>
      <c r="LS868" s="16"/>
      <c r="LT868" s="16"/>
      <c r="LU868" s="16"/>
      <c r="LV868" s="16"/>
      <c r="LW868" s="16"/>
      <c r="LX868" s="16"/>
      <c r="LY868" s="16"/>
      <c r="LZ868" s="16"/>
      <c r="MA868" s="16"/>
      <c r="MB868" s="16"/>
      <c r="MC868" s="16"/>
      <c r="MD868" s="16"/>
      <c r="ME868" s="16"/>
      <c r="MF868" s="16"/>
      <c r="MG868" s="16"/>
      <c r="MH868" s="16"/>
      <c r="MI868" s="16"/>
      <c r="MJ868" s="16"/>
      <c r="MK868" s="16"/>
      <c r="ML868" s="16"/>
      <c r="MM868" s="16"/>
      <c r="MN868" s="16"/>
      <c r="MO868" s="16"/>
      <c r="MP868" s="16"/>
      <c r="MQ868" s="16"/>
      <c r="MR868" s="16"/>
      <c r="MS868" s="16"/>
      <c r="MT868" s="16"/>
      <c r="MU868" s="16"/>
      <c r="MV868" s="16"/>
      <c r="MW868" s="16"/>
      <c r="MX868" s="16"/>
      <c r="MY868" s="16"/>
      <c r="MZ868" s="16"/>
      <c r="NA868" s="16"/>
      <c r="NB868" s="16"/>
      <c r="NC868" s="16"/>
      <c r="ND868" s="16"/>
      <c r="NE868" s="16"/>
      <c r="NF868" s="16"/>
      <c r="NG868" s="16"/>
      <c r="NH868" s="16"/>
      <c r="NI868" s="16"/>
      <c r="NJ868" s="16"/>
      <c r="NK868" s="16"/>
      <c r="NL868" s="16"/>
      <c r="NM868" s="16"/>
      <c r="NN868" s="16"/>
      <c r="NO868" s="16"/>
      <c r="NP868" s="16"/>
      <c r="NQ868" s="16"/>
      <c r="NR868" s="16"/>
      <c r="NS868" s="16"/>
      <c r="NT868" s="16"/>
      <c r="NU868" s="16"/>
      <c r="NV868" s="16"/>
      <c r="NW868" s="16"/>
      <c r="NX868" s="16"/>
      <c r="NY868" s="16"/>
      <c r="NZ868" s="16"/>
      <c r="OA868" s="16"/>
      <c r="OB868" s="16"/>
      <c r="OC868" s="16"/>
      <c r="OD868" s="16"/>
      <c r="OE868" s="16"/>
      <c r="OF868" s="16"/>
      <c r="OG868" s="16"/>
      <c r="OH868" s="16"/>
      <c r="OI868" s="16"/>
      <c r="OJ868" s="16"/>
      <c r="OK868" s="16"/>
      <c r="OL868" s="16"/>
      <c r="OM868" s="16"/>
      <c r="ON868" s="16"/>
      <c r="OO868" s="16"/>
      <c r="OP868" s="16"/>
      <c r="OQ868" s="16"/>
      <c r="OR868" s="16"/>
      <c r="OS868" s="16"/>
      <c r="OT868" s="16"/>
      <c r="OU868" s="16"/>
      <c r="OV868" s="16"/>
      <c r="OW868" s="16"/>
      <c r="OX868" s="16"/>
      <c r="OY868" s="16"/>
      <c r="OZ868" s="16"/>
      <c r="PA868" s="16"/>
      <c r="PB868" s="16"/>
      <c r="PC868" s="16"/>
      <c r="PD868" s="16"/>
      <c r="PE868" s="16"/>
      <c r="PF868" s="16"/>
      <c r="PG868" s="16"/>
      <c r="PH868" s="16"/>
      <c r="PI868" s="16"/>
      <c r="PJ868" s="16"/>
      <c r="PK868" s="16"/>
      <c r="PL868" s="16"/>
      <c r="PM868" s="16"/>
      <c r="PN868" s="16"/>
      <c r="PO868" s="16"/>
      <c r="PP868" s="16"/>
      <c r="PQ868" s="16"/>
      <c r="PR868" s="16"/>
      <c r="PS868" s="16"/>
      <c r="PT868" s="16"/>
      <c r="PU868" s="16"/>
      <c r="PV868" s="16"/>
      <c r="PW868" s="16"/>
      <c r="PX868" s="16"/>
      <c r="PY868" s="16"/>
      <c r="PZ868" s="16"/>
      <c r="QA868" s="16"/>
      <c r="QB868" s="16"/>
      <c r="QC868" s="16"/>
      <c r="QD868" s="16"/>
      <c r="QE868" s="16"/>
      <c r="QF868" s="16"/>
      <c r="QG868" s="16"/>
      <c r="QH868" s="16"/>
      <c r="QI868" s="16"/>
      <c r="QJ868" s="16"/>
      <c r="QK868" s="16"/>
      <c r="QL868" s="16"/>
      <c r="QM868" s="16"/>
      <c r="QN868" s="16"/>
      <c r="QO868" s="16"/>
      <c r="QP868" s="16"/>
      <c r="QQ868" s="16"/>
      <c r="QR868" s="16"/>
      <c r="QS868" s="16"/>
      <c r="QT868" s="16"/>
      <c r="QU868" s="16"/>
      <c r="QV868" s="16"/>
      <c r="QW868" s="16"/>
      <c r="QX868" s="16"/>
      <c r="QY868" s="16"/>
      <c r="QZ868" s="16"/>
      <c r="RA868" s="16"/>
      <c r="RB868" s="16"/>
      <c r="RC868" s="16"/>
      <c r="RD868" s="16"/>
      <c r="RE868" s="16"/>
      <c r="RF868" s="16"/>
      <c r="RG868" s="16"/>
      <c r="RH868" s="16"/>
      <c r="RI868" s="16"/>
      <c r="RJ868" s="16"/>
      <c r="RK868" s="16"/>
      <c r="RL868" s="16"/>
      <c r="RM868" s="16"/>
      <c r="RN868" s="16"/>
      <c r="RO868" s="16"/>
      <c r="RP868" s="16"/>
      <c r="RQ868" s="16"/>
      <c r="RR868" s="16"/>
      <c r="RS868" s="16"/>
      <c r="RT868" s="16"/>
      <c r="RU868" s="16"/>
      <c r="RV868" s="16"/>
      <c r="RW868" s="16"/>
      <c r="RX868" s="16"/>
      <c r="RY868" s="16"/>
      <c r="RZ868" s="16"/>
      <c r="SA868" s="16"/>
      <c r="SB868" s="16"/>
      <c r="SC868" s="16"/>
      <c r="SD868" s="16"/>
      <c r="SE868" s="16"/>
      <c r="SF868" s="16"/>
      <c r="SG868" s="16"/>
      <c r="SH868" s="16"/>
      <c r="SI868" s="16"/>
      <c r="SJ868" s="16"/>
      <c r="SK868" s="16"/>
      <c r="SL868" s="16"/>
      <c r="SM868" s="16"/>
      <c r="SN868" s="16"/>
      <c r="SO868" s="16"/>
      <c r="SP868" s="16"/>
      <c r="SQ868" s="16"/>
      <c r="SR868" s="16"/>
      <c r="SS868" s="16"/>
      <c r="ST868" s="16"/>
      <c r="SU868" s="16"/>
      <c r="SV868" s="16"/>
      <c r="SW868" s="16"/>
      <c r="SX868" s="16"/>
      <c r="SY868" s="16"/>
      <c r="SZ868" s="16"/>
      <c r="TA868" s="16"/>
      <c r="TB868" s="16"/>
      <c r="TC868" s="16"/>
      <c r="TD868" s="16"/>
      <c r="TE868" s="16"/>
      <c r="TF868" s="16"/>
      <c r="TG868" s="16"/>
      <c r="TH868" s="16"/>
      <c r="TI868" s="16"/>
      <c r="TJ868" s="16"/>
      <c r="TK868" s="16"/>
      <c r="TL868" s="16"/>
      <c r="TM868" s="16"/>
      <c r="TN868" s="16"/>
      <c r="TO868" s="16"/>
      <c r="TP868" s="16"/>
      <c r="TQ868" s="16"/>
      <c r="TR868" s="16"/>
      <c r="TS868" s="16"/>
      <c r="TT868" s="16"/>
      <c r="TU868" s="16"/>
      <c r="TV868" s="16"/>
      <c r="TW868" s="16"/>
      <c r="TX868" s="16"/>
      <c r="TY868" s="16"/>
      <c r="TZ868" s="16"/>
      <c r="UA868" s="16"/>
      <c r="UB868" s="16"/>
      <c r="UC868" s="16"/>
      <c r="UD868" s="16"/>
      <c r="UE868" s="16"/>
      <c r="UF868" s="16"/>
      <c r="UG868" s="16"/>
      <c r="UH868" s="16"/>
      <c r="UI868" s="16"/>
      <c r="UJ868" s="16"/>
      <c r="UK868" s="16"/>
      <c r="UL868" s="16"/>
      <c r="UM868" s="16"/>
      <c r="UN868" s="16"/>
      <c r="UO868" s="16"/>
      <c r="UP868" s="16"/>
      <c r="UQ868" s="16"/>
      <c r="UR868" s="16"/>
      <c r="US868" s="16"/>
      <c r="UT868" s="16"/>
      <c r="UU868" s="16"/>
      <c r="UV868" s="16"/>
      <c r="UW868" s="16"/>
      <c r="UX868" s="16"/>
      <c r="UY868" s="16"/>
      <c r="UZ868" s="16"/>
      <c r="VA868" s="16"/>
      <c r="VB868" s="16"/>
      <c r="VC868" s="16"/>
      <c r="VD868" s="16"/>
      <c r="VE868" s="16"/>
      <c r="VF868" s="16"/>
      <c r="VG868" s="16"/>
      <c r="VH868" s="16"/>
      <c r="VI868" s="16"/>
      <c r="VJ868" s="16"/>
      <c r="VK868" s="16"/>
      <c r="VL868" s="16"/>
      <c r="VM868" s="16"/>
      <c r="VN868" s="16"/>
      <c r="VO868" s="16"/>
      <c r="VP868" s="16"/>
      <c r="VQ868" s="16"/>
      <c r="VR868" s="16"/>
      <c r="VS868" s="16"/>
      <c r="VT868" s="16"/>
      <c r="VU868" s="16"/>
      <c r="VV868" s="16"/>
      <c r="VW868" s="16"/>
      <c r="VX868" s="16"/>
      <c r="VY868" s="16"/>
      <c r="VZ868" s="16"/>
      <c r="WA868" s="16"/>
      <c r="WB868" s="16"/>
      <c r="WC868" s="16"/>
      <c r="WD868" s="16"/>
      <c r="WE868" s="16"/>
      <c r="WF868" s="16"/>
      <c r="WG868" s="16"/>
      <c r="WH868" s="16"/>
      <c r="WI868" s="16"/>
      <c r="WJ868" s="16"/>
      <c r="WK868" s="16"/>
      <c r="WL868" s="16"/>
      <c r="WM868" s="16"/>
      <c r="WN868" s="16"/>
      <c r="WO868" s="16"/>
      <c r="WP868" s="16"/>
      <c r="WQ868" s="16"/>
      <c r="WR868" s="16"/>
      <c r="WS868" s="16"/>
      <c r="WT868" s="16"/>
      <c r="WU868" s="16"/>
      <c r="WV868" s="16"/>
      <c r="WW868" s="16"/>
      <c r="WX868" s="16"/>
      <c r="WY868" s="16"/>
      <c r="WZ868" s="16"/>
      <c r="XA868" s="16"/>
      <c r="XB868" s="16"/>
      <c r="XC868" s="16"/>
      <c r="XD868" s="16"/>
      <c r="XE868" s="16"/>
      <c r="XF868" s="16"/>
      <c r="XG868" s="16"/>
      <c r="XH868" s="16"/>
      <c r="XI868" s="16"/>
      <c r="XJ868" s="16"/>
      <c r="XK868" s="16"/>
      <c r="XL868" s="16"/>
      <c r="XM868" s="16"/>
      <c r="XN868" s="16"/>
      <c r="XO868" s="16"/>
      <c r="XP868" s="16"/>
      <c r="XQ868" s="16"/>
      <c r="XR868" s="16"/>
      <c r="XS868" s="16"/>
      <c r="XT868" s="16"/>
      <c r="XU868" s="16"/>
      <c r="XV868" s="16"/>
      <c r="XW868" s="16"/>
      <c r="XX868" s="16"/>
      <c r="XY868" s="16"/>
      <c r="XZ868" s="16"/>
      <c r="YA868" s="16"/>
      <c r="YB868" s="16"/>
      <c r="YC868" s="16"/>
      <c r="YD868" s="16"/>
      <c r="YE868" s="16"/>
      <c r="YF868" s="16"/>
      <c r="YG868" s="16"/>
      <c r="YH868" s="16"/>
      <c r="YI868" s="16"/>
      <c r="YJ868" s="16"/>
      <c r="YK868" s="16"/>
      <c r="YL868" s="16"/>
      <c r="YM868" s="16"/>
      <c r="YN868" s="16"/>
      <c r="YO868" s="16"/>
      <c r="YP868" s="16"/>
      <c r="YQ868" s="16"/>
      <c r="YR868" s="16"/>
      <c r="YS868" s="16"/>
      <c r="YT868" s="16"/>
      <c r="YU868" s="16"/>
      <c r="YV868" s="16"/>
      <c r="YW868" s="16"/>
      <c r="YX868" s="16"/>
      <c r="YY868" s="16"/>
      <c r="YZ868" s="16"/>
      <c r="ZA868" s="16"/>
      <c r="ZB868" s="16"/>
      <c r="ZC868" s="16"/>
      <c r="ZD868" s="16"/>
      <c r="ZE868" s="16"/>
      <c r="ZF868" s="16"/>
      <c r="ZG868" s="16"/>
      <c r="ZH868" s="16"/>
      <c r="ZI868" s="16"/>
      <c r="ZJ868" s="16"/>
      <c r="ZK868" s="16"/>
      <c r="ZL868" s="16"/>
      <c r="ZM868" s="16"/>
      <c r="ZN868" s="16"/>
      <c r="ZO868" s="16"/>
      <c r="ZP868" s="16"/>
      <c r="ZQ868" s="16"/>
      <c r="ZR868" s="16"/>
      <c r="ZS868" s="16"/>
      <c r="ZT868" s="16"/>
      <c r="ZU868" s="16"/>
      <c r="ZV868" s="16"/>
      <c r="ZW868" s="16"/>
      <c r="ZX868" s="16"/>
      <c r="ZY868" s="16"/>
      <c r="ZZ868" s="16"/>
      <c r="AAA868" s="16"/>
      <c r="AAB868" s="16"/>
      <c r="AAC868" s="16"/>
      <c r="AAD868" s="16"/>
      <c r="AAE868" s="16"/>
      <c r="AAF868" s="16"/>
      <c r="AAG868" s="16"/>
      <c r="AAH868" s="16"/>
      <c r="AAI868" s="16"/>
      <c r="AAJ868" s="16"/>
      <c r="AAK868" s="16"/>
      <c r="AAL868" s="16"/>
      <c r="AAM868" s="16"/>
      <c r="AAN868" s="16"/>
      <c r="AAO868" s="16"/>
      <c r="AAP868" s="16"/>
      <c r="AAQ868" s="16"/>
      <c r="AAR868" s="16"/>
      <c r="AAS868" s="16"/>
      <c r="AAT868" s="16"/>
      <c r="AAU868" s="16"/>
      <c r="AAV868" s="16"/>
      <c r="AAW868" s="16"/>
      <c r="AAX868" s="16"/>
      <c r="AAY868" s="16"/>
      <c r="AAZ868" s="16"/>
      <c r="ABA868" s="16"/>
      <c r="ABB868" s="16"/>
      <c r="ABC868" s="16"/>
      <c r="ABD868" s="16"/>
      <c r="ABE868" s="16"/>
      <c r="ABF868" s="16"/>
      <c r="ABG868" s="16"/>
      <c r="ABH868" s="16"/>
      <c r="ABI868" s="16"/>
      <c r="ABJ868" s="16"/>
      <c r="ABK868" s="16"/>
      <c r="ABL868" s="16"/>
      <c r="ABM868" s="16"/>
      <c r="ABN868" s="16"/>
      <c r="ABO868" s="16"/>
      <c r="ABP868" s="16"/>
      <c r="ABQ868" s="16"/>
      <c r="ABR868" s="16"/>
      <c r="ABS868" s="16"/>
      <c r="ABT868" s="16"/>
      <c r="ABU868" s="16"/>
      <c r="ABV868" s="16"/>
      <c r="ABW868" s="16"/>
      <c r="ABX868" s="16"/>
      <c r="ABY868" s="16"/>
      <c r="ABZ868" s="16"/>
      <c r="ACA868" s="16"/>
      <c r="ACB868" s="16"/>
      <c r="ACC868" s="16"/>
      <c r="ACD868" s="16"/>
      <c r="ACE868" s="16"/>
      <c r="ACF868" s="16"/>
      <c r="ACG868" s="16"/>
      <c r="ACH868" s="16"/>
      <c r="ACI868" s="16"/>
      <c r="ACJ868" s="16"/>
      <c r="ACK868" s="16"/>
      <c r="ACL868" s="16"/>
      <c r="ACM868" s="16"/>
      <c r="ACN868" s="16"/>
      <c r="ACO868" s="16"/>
      <c r="ACP868" s="16"/>
      <c r="ACQ868" s="16"/>
      <c r="ACR868" s="16"/>
      <c r="ACS868" s="16"/>
      <c r="ACT868" s="16"/>
      <c r="ACU868" s="16"/>
      <c r="ACV868" s="16"/>
      <c r="ACW868" s="16"/>
      <c r="ACX868" s="16"/>
      <c r="ACY868" s="16"/>
      <c r="ACZ868" s="16"/>
      <c r="ADA868" s="16"/>
      <c r="ADB868" s="16"/>
      <c r="ADC868" s="16"/>
      <c r="ADD868" s="16"/>
      <c r="ADE868" s="16"/>
      <c r="ADF868" s="16"/>
      <c r="ADG868" s="16"/>
      <c r="ADH868" s="16"/>
      <c r="ADI868" s="16"/>
      <c r="ADJ868" s="16"/>
      <c r="ADK868" s="16"/>
      <c r="ADL868" s="16"/>
      <c r="ADM868" s="16"/>
      <c r="ADN868" s="16"/>
      <c r="ADO868" s="16"/>
      <c r="ADP868" s="16"/>
      <c r="ADQ868" s="16"/>
      <c r="ADR868" s="16"/>
      <c r="ADS868" s="16"/>
      <c r="ADT868" s="16"/>
      <c r="ADU868" s="16"/>
      <c r="ADV868" s="16"/>
      <c r="ADW868" s="16"/>
      <c r="ADX868" s="16"/>
      <c r="ADY868" s="16"/>
      <c r="ADZ868" s="16"/>
      <c r="AEA868" s="16"/>
      <c r="AEB868" s="16"/>
      <c r="AEC868" s="16"/>
      <c r="AED868" s="16"/>
      <c r="AEE868" s="16"/>
      <c r="AEF868" s="16"/>
      <c r="AEG868" s="16"/>
      <c r="AEH868" s="16"/>
      <c r="AEI868" s="16"/>
      <c r="AEJ868" s="16"/>
      <c r="AEK868" s="16"/>
      <c r="AEL868" s="16"/>
      <c r="AEM868" s="16"/>
      <c r="AEN868" s="16"/>
      <c r="AEO868" s="16"/>
      <c r="AEP868" s="16"/>
      <c r="AEQ868" s="16"/>
      <c r="AER868" s="16"/>
      <c r="AES868" s="16"/>
      <c r="AET868" s="16"/>
      <c r="AEU868" s="16"/>
      <c r="AEV868" s="16"/>
      <c r="AEW868" s="16"/>
      <c r="AEX868" s="16"/>
      <c r="AEY868" s="16"/>
      <c r="AEZ868" s="16"/>
      <c r="AFA868" s="16"/>
      <c r="AFB868" s="16"/>
      <c r="AFC868" s="16"/>
      <c r="AFD868" s="16"/>
      <c r="AFE868" s="16"/>
      <c r="AFF868" s="16"/>
      <c r="AFG868" s="16"/>
      <c r="AFH868" s="16"/>
      <c r="AFI868" s="16"/>
      <c r="AFJ868" s="16"/>
      <c r="AFK868" s="16"/>
      <c r="AFL868" s="16"/>
      <c r="AFM868" s="16"/>
      <c r="AFN868" s="16"/>
      <c r="AFO868" s="16"/>
      <c r="AFP868" s="16"/>
      <c r="AFQ868" s="16"/>
      <c r="AFR868" s="16"/>
      <c r="AFS868" s="16"/>
      <c r="AFT868" s="16"/>
      <c r="AFU868" s="16"/>
      <c r="AFV868" s="16"/>
      <c r="AFW868" s="16"/>
      <c r="AFX868" s="16"/>
      <c r="AFY868" s="16"/>
      <c r="AFZ868" s="16"/>
      <c r="AGA868" s="16"/>
      <c r="AGB868" s="16"/>
      <c r="AGC868" s="16"/>
      <c r="AGD868" s="16"/>
      <c r="AGE868" s="16"/>
      <c r="AGF868" s="16"/>
      <c r="AGG868" s="16"/>
      <c r="AGH868" s="16"/>
      <c r="AGI868" s="16"/>
      <c r="AGJ868" s="16"/>
    </row>
    <row r="869" spans="1:868" hidden="1">
      <c r="A869" s="152" t="s">
        <v>130</v>
      </c>
      <c r="B869" s="34" t="s">
        <v>356</v>
      </c>
      <c r="C869" s="40" t="s">
        <v>147</v>
      </c>
      <c r="D869" s="34" t="s">
        <v>103</v>
      </c>
      <c r="E869" s="260">
        <v>0.12292818474177457</v>
      </c>
      <c r="F869" s="235">
        <v>1</v>
      </c>
      <c r="G869" s="40"/>
      <c r="H869" s="29">
        <v>2</v>
      </c>
      <c r="I869" s="9">
        <v>2</v>
      </c>
      <c r="J869" s="9">
        <v>2</v>
      </c>
      <c r="K869" s="9">
        <v>2</v>
      </c>
      <c r="L869" s="9">
        <v>1</v>
      </c>
      <c r="M869" s="9">
        <v>2</v>
      </c>
      <c r="N869" s="186">
        <f t="shared" si="47"/>
        <v>0.38795788889711302</v>
      </c>
      <c r="O869" s="160">
        <f t="shared" si="48"/>
        <v>0.38795788889711302</v>
      </c>
      <c r="P869" s="63"/>
    </row>
    <row r="870" spans="1:868" hidden="1">
      <c r="A870" s="152" t="s">
        <v>130</v>
      </c>
      <c r="B870" s="34" t="s">
        <v>356</v>
      </c>
      <c r="C870" s="40" t="s">
        <v>147</v>
      </c>
      <c r="D870" s="34" t="s">
        <v>107</v>
      </c>
      <c r="E870" s="260">
        <v>0.72436500470366871</v>
      </c>
      <c r="F870" s="235">
        <v>1</v>
      </c>
      <c r="G870" s="40"/>
      <c r="H870" s="29">
        <v>2</v>
      </c>
      <c r="I870" s="9">
        <v>2</v>
      </c>
      <c r="J870" s="9">
        <v>2</v>
      </c>
      <c r="K870" s="9">
        <v>2</v>
      </c>
      <c r="L870" s="9">
        <v>1</v>
      </c>
      <c r="M870" s="9">
        <v>2</v>
      </c>
      <c r="N870" s="186">
        <f t="shared" si="47"/>
        <v>0.38795788889711302</v>
      </c>
      <c r="O870" s="160">
        <f t="shared" si="48"/>
        <v>0.38795788889711302</v>
      </c>
      <c r="P870" s="63"/>
    </row>
    <row r="871" spans="1:868" hidden="1">
      <c r="A871" s="152" t="s">
        <v>130</v>
      </c>
      <c r="B871" s="34" t="s">
        <v>358</v>
      </c>
      <c r="C871" s="40" t="s">
        <v>147</v>
      </c>
      <c r="D871" s="34" t="s">
        <v>93</v>
      </c>
      <c r="E871" s="260">
        <v>0</v>
      </c>
      <c r="F871" s="235">
        <v>1</v>
      </c>
      <c r="G871" s="40"/>
      <c r="H871" s="29"/>
      <c r="I871" s="9"/>
      <c r="J871" s="9"/>
      <c r="K871" s="9"/>
      <c r="L871" s="9"/>
      <c r="M871" s="9"/>
      <c r="N871" s="186" t="str">
        <f t="shared" si="47"/>
        <v/>
      </c>
      <c r="O871" s="160" t="str">
        <f t="shared" si="48"/>
        <v/>
      </c>
      <c r="P871" s="63"/>
    </row>
    <row r="872" spans="1:868" hidden="1">
      <c r="A872" s="152" t="s">
        <v>130</v>
      </c>
      <c r="B872" s="34" t="s">
        <v>358</v>
      </c>
      <c r="C872" s="40" t="s">
        <v>147</v>
      </c>
      <c r="D872" s="34" t="s">
        <v>94</v>
      </c>
      <c r="E872" s="260">
        <v>0</v>
      </c>
      <c r="F872" s="235">
        <v>1</v>
      </c>
      <c r="G872" s="40"/>
      <c r="H872" s="29"/>
      <c r="I872" s="9"/>
      <c r="J872" s="9"/>
      <c r="K872" s="9"/>
      <c r="L872" s="9"/>
      <c r="M872" s="9"/>
      <c r="N872" s="186" t="str">
        <f t="shared" si="47"/>
        <v/>
      </c>
      <c r="O872" s="160" t="str">
        <f t="shared" si="48"/>
        <v/>
      </c>
      <c r="P872" s="63"/>
    </row>
    <row r="873" spans="1:868" hidden="1">
      <c r="A873" s="152" t="s">
        <v>130</v>
      </c>
      <c r="B873" s="34" t="s">
        <v>358</v>
      </c>
      <c r="C873" s="40" t="s">
        <v>147</v>
      </c>
      <c r="D873" s="34" t="s">
        <v>95</v>
      </c>
      <c r="E873" s="260">
        <v>0.16934867262931416</v>
      </c>
      <c r="F873" s="235">
        <v>1</v>
      </c>
      <c r="G873" s="40"/>
      <c r="H873" s="29">
        <v>2</v>
      </c>
      <c r="I873" s="9">
        <v>2</v>
      </c>
      <c r="J873" s="9">
        <v>2</v>
      </c>
      <c r="K873" s="9">
        <v>2</v>
      </c>
      <c r="L873" s="9">
        <v>1</v>
      </c>
      <c r="M873" s="9">
        <v>2</v>
      </c>
      <c r="N873" s="186">
        <f t="shared" si="47"/>
        <v>0.38795788889711302</v>
      </c>
      <c r="O873" s="160">
        <f t="shared" si="48"/>
        <v>0.38795788889711302</v>
      </c>
      <c r="P873" s="63"/>
    </row>
    <row r="874" spans="1:868" hidden="1">
      <c r="A874" s="152" t="s">
        <v>130</v>
      </c>
      <c r="B874" s="34" t="s">
        <v>358</v>
      </c>
      <c r="C874" s="40" t="s">
        <v>147</v>
      </c>
      <c r="D874" s="34" t="s">
        <v>96</v>
      </c>
      <c r="E874" s="260">
        <v>0</v>
      </c>
      <c r="F874" s="235">
        <v>1</v>
      </c>
      <c r="G874" s="40"/>
      <c r="H874" s="29"/>
      <c r="I874" s="9"/>
      <c r="J874" s="9"/>
      <c r="K874" s="9"/>
      <c r="L874" s="9"/>
      <c r="M874" s="9"/>
      <c r="N874" s="186" t="str">
        <f t="shared" si="47"/>
        <v/>
      </c>
      <c r="O874" s="160" t="str">
        <f t="shared" si="48"/>
        <v/>
      </c>
      <c r="P874" s="63"/>
    </row>
    <row r="875" spans="1:868" hidden="1">
      <c r="A875" s="152" t="s">
        <v>130</v>
      </c>
      <c r="B875" s="34" t="s">
        <v>358</v>
      </c>
      <c r="C875" s="40" t="s">
        <v>147</v>
      </c>
      <c r="D875" s="34" t="s">
        <v>97</v>
      </c>
      <c r="E875" s="260">
        <v>0</v>
      </c>
      <c r="F875" s="235">
        <v>1</v>
      </c>
      <c r="G875" s="40"/>
      <c r="H875" s="29"/>
      <c r="I875" s="9"/>
      <c r="J875" s="9"/>
      <c r="K875" s="9"/>
      <c r="L875" s="9"/>
      <c r="M875" s="9"/>
      <c r="N875" s="186" t="str">
        <f t="shared" si="47"/>
        <v/>
      </c>
      <c r="O875" s="160" t="str">
        <f t="shared" si="48"/>
        <v/>
      </c>
      <c r="P875" s="63"/>
    </row>
    <row r="876" spans="1:868" hidden="1">
      <c r="A876" s="152" t="s">
        <v>130</v>
      </c>
      <c r="B876" s="34" t="s">
        <v>358</v>
      </c>
      <c r="C876" s="40" t="s">
        <v>147</v>
      </c>
      <c r="D876" s="34" t="s">
        <v>98</v>
      </c>
      <c r="E876" s="260">
        <v>0</v>
      </c>
      <c r="F876" s="235">
        <v>1</v>
      </c>
      <c r="G876" s="40"/>
      <c r="H876" s="29"/>
      <c r="I876" s="9"/>
      <c r="J876" s="9"/>
      <c r="K876" s="9"/>
      <c r="L876" s="9"/>
      <c r="M876" s="9"/>
      <c r="N876" s="186" t="str">
        <f t="shared" si="47"/>
        <v/>
      </c>
      <c r="O876" s="160" t="str">
        <f t="shared" si="48"/>
        <v/>
      </c>
      <c r="P876" s="63"/>
    </row>
    <row r="877" spans="1:868" s="211" customFormat="1" ht="15.75" hidden="1" thickBot="1">
      <c r="A877" s="152" t="s">
        <v>130</v>
      </c>
      <c r="B877" s="34" t="s">
        <v>358</v>
      </c>
      <c r="C877" s="40" t="s">
        <v>147</v>
      </c>
      <c r="D877" s="34" t="s">
        <v>99</v>
      </c>
      <c r="E877" s="260">
        <v>0.17788403171430972</v>
      </c>
      <c r="F877" s="235">
        <v>1</v>
      </c>
      <c r="G877" s="40"/>
      <c r="H877" s="29">
        <v>2</v>
      </c>
      <c r="I877" s="9">
        <v>2</v>
      </c>
      <c r="J877" s="9">
        <v>2</v>
      </c>
      <c r="K877" s="9">
        <v>2</v>
      </c>
      <c r="L877" s="9">
        <v>1</v>
      </c>
      <c r="M877" s="9">
        <v>2</v>
      </c>
      <c r="N877" s="186">
        <f t="shared" si="47"/>
        <v>0.38795788889711302</v>
      </c>
      <c r="O877" s="160">
        <f t="shared" si="48"/>
        <v>0.38795788889711302</v>
      </c>
      <c r="P877" s="63"/>
      <c r="Q877" s="16"/>
      <c r="R877" s="16"/>
      <c r="S877" s="16"/>
      <c r="T877" s="16"/>
      <c r="U877" s="16"/>
      <c r="V877" s="16"/>
      <c r="W877" s="16"/>
      <c r="X877" s="16"/>
      <c r="Y877" s="16"/>
      <c r="Z877" s="16"/>
      <c r="AA877" s="16"/>
      <c r="AB877" s="16"/>
      <c r="AC877" s="16"/>
      <c r="AD877" s="16"/>
      <c r="AE877" s="16"/>
      <c r="AF877" s="16"/>
      <c r="AG877" s="16"/>
      <c r="AH877" s="16"/>
      <c r="AI877" s="16"/>
      <c r="AJ877" s="16"/>
      <c r="AK877" s="16"/>
      <c r="AL877" s="16"/>
      <c r="AM877" s="16"/>
      <c r="AN877" s="16"/>
      <c r="AO877" s="16"/>
      <c r="AP877" s="16"/>
      <c r="AQ877" s="16"/>
      <c r="AR877" s="16"/>
      <c r="AS877" s="16"/>
      <c r="AT877" s="16"/>
      <c r="AU877" s="16"/>
      <c r="AV877" s="16"/>
      <c r="AW877" s="16"/>
      <c r="AX877" s="16"/>
      <c r="AY877" s="16"/>
      <c r="AZ877" s="16"/>
      <c r="BA877" s="16"/>
      <c r="BB877" s="16"/>
      <c r="BC877" s="16"/>
      <c r="BD877" s="16"/>
      <c r="BE877" s="16"/>
      <c r="BF877" s="16"/>
      <c r="BG877" s="16"/>
      <c r="BH877" s="16"/>
      <c r="BI877" s="16"/>
      <c r="BJ877" s="16"/>
      <c r="BK877" s="16"/>
      <c r="BL877" s="16"/>
      <c r="BM877" s="16"/>
      <c r="BN877" s="16"/>
      <c r="BO877" s="16"/>
      <c r="BP877" s="16"/>
      <c r="BQ877" s="16"/>
      <c r="BR877" s="16"/>
      <c r="BS877" s="16"/>
      <c r="BT877" s="16"/>
      <c r="BU877" s="16"/>
      <c r="BV877" s="16"/>
      <c r="BW877" s="16"/>
      <c r="BX877" s="16"/>
      <c r="BY877" s="16"/>
      <c r="BZ877" s="16"/>
      <c r="CA877" s="16"/>
      <c r="CB877" s="16"/>
      <c r="CC877" s="16"/>
      <c r="CD877" s="16"/>
      <c r="CE877" s="16"/>
      <c r="CF877" s="16"/>
      <c r="CG877" s="16"/>
      <c r="CH877" s="16"/>
      <c r="CI877" s="16"/>
      <c r="CJ877" s="16"/>
      <c r="CK877" s="16"/>
      <c r="CL877" s="16"/>
      <c r="CM877" s="16"/>
      <c r="CN877" s="16"/>
      <c r="CO877" s="16"/>
      <c r="CP877" s="16"/>
      <c r="CQ877" s="16"/>
      <c r="CR877" s="16"/>
      <c r="CS877" s="16"/>
      <c r="CT877" s="16"/>
      <c r="CU877" s="16"/>
      <c r="CV877" s="16"/>
      <c r="CW877" s="16"/>
      <c r="CX877" s="16"/>
      <c r="CY877" s="16"/>
      <c r="CZ877" s="16"/>
      <c r="DA877" s="16"/>
      <c r="DB877" s="16"/>
      <c r="DC877" s="16"/>
      <c r="DD877" s="16"/>
      <c r="DE877" s="16"/>
      <c r="DF877" s="16"/>
      <c r="DG877" s="16"/>
      <c r="DH877" s="16"/>
      <c r="DI877" s="16"/>
      <c r="DJ877" s="16"/>
      <c r="DK877" s="16"/>
      <c r="DL877" s="16"/>
      <c r="DM877" s="16"/>
      <c r="DN877" s="16"/>
      <c r="DO877" s="16"/>
      <c r="DP877" s="16"/>
      <c r="DQ877" s="16"/>
      <c r="DR877" s="16"/>
      <c r="DS877" s="16"/>
      <c r="DT877" s="16"/>
      <c r="DU877" s="16"/>
      <c r="DV877" s="16"/>
      <c r="DW877" s="16"/>
      <c r="DX877" s="16"/>
      <c r="DY877" s="16"/>
      <c r="DZ877" s="16"/>
      <c r="EA877" s="16"/>
      <c r="EB877" s="16"/>
      <c r="EC877" s="16"/>
      <c r="ED877" s="16"/>
      <c r="EE877" s="16"/>
      <c r="EF877" s="16"/>
      <c r="EG877" s="16"/>
      <c r="EH877" s="16"/>
      <c r="EI877" s="16"/>
      <c r="EJ877" s="16"/>
      <c r="EK877" s="16"/>
      <c r="EL877" s="16"/>
      <c r="EM877" s="16"/>
      <c r="EN877" s="16"/>
      <c r="EO877" s="16"/>
      <c r="EP877" s="16"/>
      <c r="EQ877" s="16"/>
      <c r="ER877" s="16"/>
      <c r="ES877" s="16"/>
      <c r="ET877" s="16"/>
      <c r="EU877" s="16"/>
      <c r="EV877" s="16"/>
      <c r="EW877" s="16"/>
      <c r="EX877" s="16"/>
      <c r="EY877" s="16"/>
      <c r="EZ877" s="16"/>
      <c r="FA877" s="16"/>
      <c r="FB877" s="16"/>
      <c r="FC877" s="16"/>
      <c r="FD877" s="16"/>
      <c r="FE877" s="16"/>
      <c r="FF877" s="16"/>
      <c r="FG877" s="16"/>
      <c r="FH877" s="16"/>
      <c r="FI877" s="16"/>
      <c r="FJ877" s="16"/>
      <c r="FK877" s="16"/>
      <c r="FL877" s="16"/>
      <c r="FM877" s="16"/>
      <c r="FN877" s="16"/>
      <c r="FO877" s="16"/>
      <c r="FP877" s="16"/>
      <c r="FQ877" s="16"/>
      <c r="FR877" s="16"/>
      <c r="FS877" s="16"/>
      <c r="FT877" s="16"/>
      <c r="FU877" s="16"/>
      <c r="FV877" s="16"/>
      <c r="FW877" s="16"/>
      <c r="FX877" s="16"/>
      <c r="FY877" s="16"/>
      <c r="FZ877" s="16"/>
      <c r="GA877" s="16"/>
      <c r="GB877" s="16"/>
      <c r="GC877" s="16"/>
      <c r="GD877" s="16"/>
      <c r="GE877" s="16"/>
      <c r="GF877" s="16"/>
      <c r="GG877" s="16"/>
      <c r="GH877" s="16"/>
      <c r="GI877" s="16"/>
      <c r="GJ877" s="16"/>
      <c r="GK877" s="16"/>
      <c r="GL877" s="16"/>
      <c r="GM877" s="16"/>
      <c r="GN877" s="16"/>
      <c r="GO877" s="16"/>
      <c r="GP877" s="16"/>
      <c r="GQ877" s="16"/>
      <c r="GR877" s="16"/>
      <c r="GS877" s="16"/>
      <c r="GT877" s="16"/>
      <c r="GU877" s="16"/>
      <c r="GV877" s="16"/>
      <c r="GW877" s="16"/>
      <c r="GX877" s="16"/>
      <c r="GY877" s="16"/>
      <c r="GZ877" s="16"/>
      <c r="HA877" s="16"/>
      <c r="HB877" s="16"/>
      <c r="HC877" s="16"/>
      <c r="HD877" s="16"/>
      <c r="HE877" s="16"/>
      <c r="HF877" s="16"/>
      <c r="HG877" s="16"/>
      <c r="HH877" s="16"/>
      <c r="HI877" s="16"/>
      <c r="HJ877" s="16"/>
      <c r="HK877" s="16"/>
      <c r="HL877" s="16"/>
      <c r="HM877" s="16"/>
      <c r="HN877" s="16"/>
      <c r="HO877" s="16"/>
      <c r="HP877" s="16"/>
      <c r="HQ877" s="16"/>
      <c r="HR877" s="16"/>
      <c r="HS877" s="16"/>
      <c r="HT877" s="16"/>
      <c r="HU877" s="16"/>
      <c r="HV877" s="16"/>
      <c r="HW877" s="16"/>
      <c r="HX877" s="16"/>
      <c r="HY877" s="16"/>
      <c r="HZ877" s="16"/>
      <c r="IA877" s="16"/>
      <c r="IB877" s="16"/>
      <c r="IC877" s="16"/>
      <c r="ID877" s="16"/>
      <c r="IE877" s="16"/>
      <c r="IF877" s="16"/>
      <c r="IG877" s="16"/>
      <c r="IH877" s="16"/>
      <c r="II877" s="16"/>
      <c r="IJ877" s="16"/>
      <c r="IK877" s="16"/>
      <c r="IL877" s="16"/>
      <c r="IM877" s="16"/>
      <c r="IN877" s="16"/>
      <c r="IO877" s="16"/>
      <c r="IP877" s="16"/>
      <c r="IQ877" s="16"/>
      <c r="IR877" s="16"/>
      <c r="IS877" s="16"/>
      <c r="IT877" s="16"/>
      <c r="IU877" s="16"/>
      <c r="IV877" s="16"/>
      <c r="IW877" s="16"/>
      <c r="IX877" s="16"/>
      <c r="IY877" s="16"/>
      <c r="IZ877" s="16"/>
      <c r="JA877" s="16"/>
      <c r="JB877" s="16"/>
      <c r="JC877" s="16"/>
      <c r="JD877" s="16"/>
      <c r="JE877" s="16"/>
      <c r="JF877" s="16"/>
      <c r="JG877" s="16"/>
      <c r="JH877" s="16"/>
      <c r="JI877" s="16"/>
      <c r="JJ877" s="16"/>
      <c r="JK877" s="16"/>
      <c r="JL877" s="16"/>
      <c r="JM877" s="16"/>
      <c r="JN877" s="16"/>
      <c r="JO877" s="16"/>
      <c r="JP877" s="16"/>
      <c r="JQ877" s="16"/>
      <c r="JR877" s="16"/>
      <c r="JS877" s="16"/>
      <c r="JT877" s="16"/>
      <c r="JU877" s="16"/>
      <c r="JV877" s="16"/>
      <c r="JW877" s="16"/>
      <c r="JX877" s="16"/>
      <c r="JY877" s="16"/>
      <c r="JZ877" s="16"/>
      <c r="KA877" s="16"/>
      <c r="KB877" s="16"/>
      <c r="KC877" s="16"/>
      <c r="KD877" s="16"/>
      <c r="KE877" s="16"/>
      <c r="KF877" s="16"/>
      <c r="KG877" s="16"/>
      <c r="KH877" s="16"/>
      <c r="KI877" s="16"/>
      <c r="KJ877" s="16"/>
      <c r="KK877" s="16"/>
      <c r="KL877" s="16"/>
      <c r="KM877" s="16"/>
      <c r="KN877" s="16"/>
      <c r="KO877" s="16"/>
      <c r="KP877" s="16"/>
      <c r="KQ877" s="16"/>
      <c r="KR877" s="16"/>
      <c r="KS877" s="16"/>
      <c r="KT877" s="16"/>
      <c r="KU877" s="16"/>
      <c r="KV877" s="16"/>
      <c r="KW877" s="16"/>
      <c r="KX877" s="16"/>
      <c r="KY877" s="16"/>
      <c r="KZ877" s="16"/>
      <c r="LA877" s="16"/>
      <c r="LB877" s="16"/>
      <c r="LC877" s="16"/>
      <c r="LD877" s="16"/>
      <c r="LE877" s="16"/>
      <c r="LF877" s="16"/>
      <c r="LG877" s="16"/>
      <c r="LH877" s="16"/>
      <c r="LI877" s="16"/>
      <c r="LJ877" s="16"/>
      <c r="LK877" s="16"/>
      <c r="LL877" s="16"/>
      <c r="LM877" s="16"/>
      <c r="LN877" s="16"/>
      <c r="LO877" s="16"/>
      <c r="LP877" s="16"/>
      <c r="LQ877" s="16"/>
      <c r="LR877" s="16"/>
      <c r="LS877" s="16"/>
      <c r="LT877" s="16"/>
      <c r="LU877" s="16"/>
      <c r="LV877" s="16"/>
      <c r="LW877" s="16"/>
      <c r="LX877" s="16"/>
      <c r="LY877" s="16"/>
      <c r="LZ877" s="16"/>
      <c r="MA877" s="16"/>
      <c r="MB877" s="16"/>
      <c r="MC877" s="16"/>
      <c r="MD877" s="16"/>
      <c r="ME877" s="16"/>
      <c r="MF877" s="16"/>
      <c r="MG877" s="16"/>
      <c r="MH877" s="16"/>
      <c r="MI877" s="16"/>
      <c r="MJ877" s="16"/>
      <c r="MK877" s="16"/>
      <c r="ML877" s="16"/>
      <c r="MM877" s="16"/>
      <c r="MN877" s="16"/>
      <c r="MO877" s="16"/>
      <c r="MP877" s="16"/>
      <c r="MQ877" s="16"/>
      <c r="MR877" s="16"/>
      <c r="MS877" s="16"/>
      <c r="MT877" s="16"/>
      <c r="MU877" s="16"/>
      <c r="MV877" s="16"/>
      <c r="MW877" s="16"/>
      <c r="MX877" s="16"/>
      <c r="MY877" s="16"/>
      <c r="MZ877" s="16"/>
      <c r="NA877" s="16"/>
      <c r="NB877" s="16"/>
      <c r="NC877" s="16"/>
      <c r="ND877" s="16"/>
      <c r="NE877" s="16"/>
      <c r="NF877" s="16"/>
      <c r="NG877" s="16"/>
      <c r="NH877" s="16"/>
      <c r="NI877" s="16"/>
      <c r="NJ877" s="16"/>
      <c r="NK877" s="16"/>
      <c r="NL877" s="16"/>
      <c r="NM877" s="16"/>
      <c r="NN877" s="16"/>
      <c r="NO877" s="16"/>
      <c r="NP877" s="16"/>
      <c r="NQ877" s="16"/>
      <c r="NR877" s="16"/>
      <c r="NS877" s="16"/>
      <c r="NT877" s="16"/>
      <c r="NU877" s="16"/>
      <c r="NV877" s="16"/>
      <c r="NW877" s="16"/>
      <c r="NX877" s="16"/>
      <c r="NY877" s="16"/>
      <c r="NZ877" s="16"/>
      <c r="OA877" s="16"/>
      <c r="OB877" s="16"/>
      <c r="OC877" s="16"/>
      <c r="OD877" s="16"/>
      <c r="OE877" s="16"/>
      <c r="OF877" s="16"/>
      <c r="OG877" s="16"/>
      <c r="OH877" s="16"/>
      <c r="OI877" s="16"/>
      <c r="OJ877" s="16"/>
      <c r="OK877" s="16"/>
      <c r="OL877" s="16"/>
      <c r="OM877" s="16"/>
      <c r="ON877" s="16"/>
      <c r="OO877" s="16"/>
      <c r="OP877" s="16"/>
      <c r="OQ877" s="16"/>
      <c r="OR877" s="16"/>
      <c r="OS877" s="16"/>
      <c r="OT877" s="16"/>
      <c r="OU877" s="16"/>
      <c r="OV877" s="16"/>
      <c r="OW877" s="16"/>
      <c r="OX877" s="16"/>
      <c r="OY877" s="16"/>
      <c r="OZ877" s="16"/>
      <c r="PA877" s="16"/>
      <c r="PB877" s="16"/>
      <c r="PC877" s="16"/>
      <c r="PD877" s="16"/>
      <c r="PE877" s="16"/>
      <c r="PF877" s="16"/>
      <c r="PG877" s="16"/>
      <c r="PH877" s="16"/>
      <c r="PI877" s="16"/>
      <c r="PJ877" s="16"/>
      <c r="PK877" s="16"/>
      <c r="PL877" s="16"/>
      <c r="PM877" s="16"/>
      <c r="PN877" s="16"/>
      <c r="PO877" s="16"/>
      <c r="PP877" s="16"/>
      <c r="PQ877" s="16"/>
      <c r="PR877" s="16"/>
      <c r="PS877" s="16"/>
      <c r="PT877" s="16"/>
      <c r="PU877" s="16"/>
      <c r="PV877" s="16"/>
      <c r="PW877" s="16"/>
      <c r="PX877" s="16"/>
      <c r="PY877" s="16"/>
      <c r="PZ877" s="16"/>
      <c r="QA877" s="16"/>
      <c r="QB877" s="16"/>
      <c r="QC877" s="16"/>
      <c r="QD877" s="16"/>
      <c r="QE877" s="16"/>
      <c r="QF877" s="16"/>
      <c r="QG877" s="16"/>
      <c r="QH877" s="16"/>
      <c r="QI877" s="16"/>
      <c r="QJ877" s="16"/>
      <c r="QK877" s="16"/>
      <c r="QL877" s="16"/>
      <c r="QM877" s="16"/>
      <c r="QN877" s="16"/>
      <c r="QO877" s="16"/>
      <c r="QP877" s="16"/>
      <c r="QQ877" s="16"/>
      <c r="QR877" s="16"/>
      <c r="QS877" s="16"/>
      <c r="QT877" s="16"/>
      <c r="QU877" s="16"/>
      <c r="QV877" s="16"/>
      <c r="QW877" s="16"/>
      <c r="QX877" s="16"/>
      <c r="QY877" s="16"/>
      <c r="QZ877" s="16"/>
      <c r="RA877" s="16"/>
      <c r="RB877" s="16"/>
      <c r="RC877" s="16"/>
      <c r="RD877" s="16"/>
      <c r="RE877" s="16"/>
      <c r="RF877" s="16"/>
      <c r="RG877" s="16"/>
      <c r="RH877" s="16"/>
      <c r="RI877" s="16"/>
      <c r="RJ877" s="16"/>
      <c r="RK877" s="16"/>
      <c r="RL877" s="16"/>
      <c r="RM877" s="16"/>
      <c r="RN877" s="16"/>
      <c r="RO877" s="16"/>
      <c r="RP877" s="16"/>
      <c r="RQ877" s="16"/>
      <c r="RR877" s="16"/>
      <c r="RS877" s="16"/>
      <c r="RT877" s="16"/>
      <c r="RU877" s="16"/>
      <c r="RV877" s="16"/>
      <c r="RW877" s="16"/>
      <c r="RX877" s="16"/>
      <c r="RY877" s="16"/>
      <c r="RZ877" s="16"/>
      <c r="SA877" s="16"/>
      <c r="SB877" s="16"/>
      <c r="SC877" s="16"/>
      <c r="SD877" s="16"/>
      <c r="SE877" s="16"/>
      <c r="SF877" s="16"/>
      <c r="SG877" s="16"/>
      <c r="SH877" s="16"/>
      <c r="SI877" s="16"/>
      <c r="SJ877" s="16"/>
      <c r="SK877" s="16"/>
      <c r="SL877" s="16"/>
      <c r="SM877" s="16"/>
      <c r="SN877" s="16"/>
      <c r="SO877" s="16"/>
      <c r="SP877" s="16"/>
      <c r="SQ877" s="16"/>
      <c r="SR877" s="16"/>
      <c r="SS877" s="16"/>
      <c r="ST877" s="16"/>
      <c r="SU877" s="16"/>
      <c r="SV877" s="16"/>
      <c r="SW877" s="16"/>
      <c r="SX877" s="16"/>
      <c r="SY877" s="16"/>
      <c r="SZ877" s="16"/>
      <c r="TA877" s="16"/>
      <c r="TB877" s="16"/>
      <c r="TC877" s="16"/>
      <c r="TD877" s="16"/>
      <c r="TE877" s="16"/>
      <c r="TF877" s="16"/>
      <c r="TG877" s="16"/>
      <c r="TH877" s="16"/>
      <c r="TI877" s="16"/>
      <c r="TJ877" s="16"/>
      <c r="TK877" s="16"/>
      <c r="TL877" s="16"/>
      <c r="TM877" s="16"/>
      <c r="TN877" s="16"/>
      <c r="TO877" s="16"/>
      <c r="TP877" s="16"/>
      <c r="TQ877" s="16"/>
      <c r="TR877" s="16"/>
      <c r="TS877" s="16"/>
      <c r="TT877" s="16"/>
      <c r="TU877" s="16"/>
      <c r="TV877" s="16"/>
      <c r="TW877" s="16"/>
      <c r="TX877" s="16"/>
      <c r="TY877" s="16"/>
      <c r="TZ877" s="16"/>
      <c r="UA877" s="16"/>
      <c r="UB877" s="16"/>
      <c r="UC877" s="16"/>
      <c r="UD877" s="16"/>
      <c r="UE877" s="16"/>
      <c r="UF877" s="16"/>
      <c r="UG877" s="16"/>
      <c r="UH877" s="16"/>
      <c r="UI877" s="16"/>
      <c r="UJ877" s="16"/>
      <c r="UK877" s="16"/>
      <c r="UL877" s="16"/>
      <c r="UM877" s="16"/>
      <c r="UN877" s="16"/>
      <c r="UO877" s="16"/>
      <c r="UP877" s="16"/>
      <c r="UQ877" s="16"/>
      <c r="UR877" s="16"/>
      <c r="US877" s="16"/>
      <c r="UT877" s="16"/>
      <c r="UU877" s="16"/>
      <c r="UV877" s="16"/>
      <c r="UW877" s="16"/>
      <c r="UX877" s="16"/>
      <c r="UY877" s="16"/>
      <c r="UZ877" s="16"/>
      <c r="VA877" s="16"/>
      <c r="VB877" s="16"/>
      <c r="VC877" s="16"/>
      <c r="VD877" s="16"/>
      <c r="VE877" s="16"/>
      <c r="VF877" s="16"/>
      <c r="VG877" s="16"/>
      <c r="VH877" s="16"/>
      <c r="VI877" s="16"/>
      <c r="VJ877" s="16"/>
      <c r="VK877" s="16"/>
      <c r="VL877" s="16"/>
      <c r="VM877" s="16"/>
      <c r="VN877" s="16"/>
      <c r="VO877" s="16"/>
      <c r="VP877" s="16"/>
      <c r="VQ877" s="16"/>
      <c r="VR877" s="16"/>
      <c r="VS877" s="16"/>
      <c r="VT877" s="16"/>
      <c r="VU877" s="16"/>
      <c r="VV877" s="16"/>
      <c r="VW877" s="16"/>
      <c r="VX877" s="16"/>
      <c r="VY877" s="16"/>
      <c r="VZ877" s="16"/>
      <c r="WA877" s="16"/>
      <c r="WB877" s="16"/>
      <c r="WC877" s="16"/>
      <c r="WD877" s="16"/>
      <c r="WE877" s="16"/>
      <c r="WF877" s="16"/>
      <c r="WG877" s="16"/>
      <c r="WH877" s="16"/>
      <c r="WI877" s="16"/>
      <c r="WJ877" s="16"/>
      <c r="WK877" s="16"/>
      <c r="WL877" s="16"/>
      <c r="WM877" s="16"/>
      <c r="WN877" s="16"/>
      <c r="WO877" s="16"/>
      <c r="WP877" s="16"/>
      <c r="WQ877" s="16"/>
      <c r="WR877" s="16"/>
      <c r="WS877" s="16"/>
      <c r="WT877" s="16"/>
      <c r="WU877" s="16"/>
      <c r="WV877" s="16"/>
      <c r="WW877" s="16"/>
      <c r="WX877" s="16"/>
      <c r="WY877" s="16"/>
      <c r="WZ877" s="16"/>
      <c r="XA877" s="16"/>
      <c r="XB877" s="16"/>
      <c r="XC877" s="16"/>
      <c r="XD877" s="16"/>
      <c r="XE877" s="16"/>
      <c r="XF877" s="16"/>
      <c r="XG877" s="16"/>
      <c r="XH877" s="16"/>
      <c r="XI877" s="16"/>
      <c r="XJ877" s="16"/>
      <c r="XK877" s="16"/>
      <c r="XL877" s="16"/>
      <c r="XM877" s="16"/>
      <c r="XN877" s="16"/>
      <c r="XO877" s="16"/>
      <c r="XP877" s="16"/>
      <c r="XQ877" s="16"/>
      <c r="XR877" s="16"/>
      <c r="XS877" s="16"/>
      <c r="XT877" s="16"/>
      <c r="XU877" s="16"/>
      <c r="XV877" s="16"/>
      <c r="XW877" s="16"/>
      <c r="XX877" s="16"/>
      <c r="XY877" s="16"/>
      <c r="XZ877" s="16"/>
      <c r="YA877" s="16"/>
      <c r="YB877" s="16"/>
      <c r="YC877" s="16"/>
      <c r="YD877" s="16"/>
      <c r="YE877" s="16"/>
      <c r="YF877" s="16"/>
      <c r="YG877" s="16"/>
      <c r="YH877" s="16"/>
      <c r="YI877" s="16"/>
      <c r="YJ877" s="16"/>
      <c r="YK877" s="16"/>
      <c r="YL877" s="16"/>
      <c r="YM877" s="16"/>
      <c r="YN877" s="16"/>
      <c r="YO877" s="16"/>
      <c r="YP877" s="16"/>
      <c r="YQ877" s="16"/>
      <c r="YR877" s="16"/>
      <c r="YS877" s="16"/>
      <c r="YT877" s="16"/>
      <c r="YU877" s="16"/>
      <c r="YV877" s="16"/>
      <c r="YW877" s="16"/>
      <c r="YX877" s="16"/>
      <c r="YY877" s="16"/>
      <c r="YZ877" s="16"/>
      <c r="ZA877" s="16"/>
      <c r="ZB877" s="16"/>
      <c r="ZC877" s="16"/>
      <c r="ZD877" s="16"/>
      <c r="ZE877" s="16"/>
      <c r="ZF877" s="16"/>
      <c r="ZG877" s="16"/>
      <c r="ZH877" s="16"/>
      <c r="ZI877" s="16"/>
      <c r="ZJ877" s="16"/>
      <c r="ZK877" s="16"/>
      <c r="ZL877" s="16"/>
      <c r="ZM877" s="16"/>
      <c r="ZN877" s="16"/>
      <c r="ZO877" s="16"/>
      <c r="ZP877" s="16"/>
      <c r="ZQ877" s="16"/>
      <c r="ZR877" s="16"/>
      <c r="ZS877" s="16"/>
      <c r="ZT877" s="16"/>
      <c r="ZU877" s="16"/>
      <c r="ZV877" s="16"/>
      <c r="ZW877" s="16"/>
      <c r="ZX877" s="16"/>
      <c r="ZY877" s="16"/>
      <c r="ZZ877" s="16"/>
      <c r="AAA877" s="16"/>
      <c r="AAB877" s="16"/>
      <c r="AAC877" s="16"/>
      <c r="AAD877" s="16"/>
      <c r="AAE877" s="16"/>
      <c r="AAF877" s="16"/>
      <c r="AAG877" s="16"/>
      <c r="AAH877" s="16"/>
      <c r="AAI877" s="16"/>
      <c r="AAJ877" s="16"/>
      <c r="AAK877" s="16"/>
      <c r="AAL877" s="16"/>
      <c r="AAM877" s="16"/>
      <c r="AAN877" s="16"/>
      <c r="AAO877" s="16"/>
      <c r="AAP877" s="16"/>
      <c r="AAQ877" s="16"/>
      <c r="AAR877" s="16"/>
      <c r="AAS877" s="16"/>
      <c r="AAT877" s="16"/>
      <c r="AAU877" s="16"/>
      <c r="AAV877" s="16"/>
      <c r="AAW877" s="16"/>
      <c r="AAX877" s="16"/>
      <c r="AAY877" s="16"/>
      <c r="AAZ877" s="16"/>
      <c r="ABA877" s="16"/>
      <c r="ABB877" s="16"/>
      <c r="ABC877" s="16"/>
      <c r="ABD877" s="16"/>
      <c r="ABE877" s="16"/>
      <c r="ABF877" s="16"/>
      <c r="ABG877" s="16"/>
      <c r="ABH877" s="16"/>
      <c r="ABI877" s="16"/>
      <c r="ABJ877" s="16"/>
      <c r="ABK877" s="16"/>
      <c r="ABL877" s="16"/>
      <c r="ABM877" s="16"/>
      <c r="ABN877" s="16"/>
      <c r="ABO877" s="16"/>
      <c r="ABP877" s="16"/>
      <c r="ABQ877" s="16"/>
      <c r="ABR877" s="16"/>
      <c r="ABS877" s="16"/>
      <c r="ABT877" s="16"/>
      <c r="ABU877" s="16"/>
      <c r="ABV877" s="16"/>
      <c r="ABW877" s="16"/>
      <c r="ABX877" s="16"/>
      <c r="ABY877" s="16"/>
      <c r="ABZ877" s="16"/>
      <c r="ACA877" s="16"/>
      <c r="ACB877" s="16"/>
      <c r="ACC877" s="16"/>
      <c r="ACD877" s="16"/>
      <c r="ACE877" s="16"/>
      <c r="ACF877" s="16"/>
      <c r="ACG877" s="16"/>
      <c r="ACH877" s="16"/>
      <c r="ACI877" s="16"/>
      <c r="ACJ877" s="16"/>
      <c r="ACK877" s="16"/>
      <c r="ACL877" s="16"/>
      <c r="ACM877" s="16"/>
      <c r="ACN877" s="16"/>
      <c r="ACO877" s="16"/>
      <c r="ACP877" s="16"/>
      <c r="ACQ877" s="16"/>
      <c r="ACR877" s="16"/>
      <c r="ACS877" s="16"/>
      <c r="ACT877" s="16"/>
      <c r="ACU877" s="16"/>
      <c r="ACV877" s="16"/>
      <c r="ACW877" s="16"/>
      <c r="ACX877" s="16"/>
      <c r="ACY877" s="16"/>
      <c r="ACZ877" s="16"/>
      <c r="ADA877" s="16"/>
      <c r="ADB877" s="16"/>
      <c r="ADC877" s="16"/>
      <c r="ADD877" s="16"/>
      <c r="ADE877" s="16"/>
      <c r="ADF877" s="16"/>
      <c r="ADG877" s="16"/>
      <c r="ADH877" s="16"/>
      <c r="ADI877" s="16"/>
      <c r="ADJ877" s="16"/>
      <c r="ADK877" s="16"/>
      <c r="ADL877" s="16"/>
      <c r="ADM877" s="16"/>
      <c r="ADN877" s="16"/>
      <c r="ADO877" s="16"/>
      <c r="ADP877" s="16"/>
      <c r="ADQ877" s="16"/>
      <c r="ADR877" s="16"/>
      <c r="ADS877" s="16"/>
      <c r="ADT877" s="16"/>
      <c r="ADU877" s="16"/>
      <c r="ADV877" s="16"/>
      <c r="ADW877" s="16"/>
      <c r="ADX877" s="16"/>
      <c r="ADY877" s="16"/>
      <c r="ADZ877" s="16"/>
      <c r="AEA877" s="16"/>
      <c r="AEB877" s="16"/>
      <c r="AEC877" s="16"/>
      <c r="AED877" s="16"/>
      <c r="AEE877" s="16"/>
      <c r="AEF877" s="16"/>
      <c r="AEG877" s="16"/>
      <c r="AEH877" s="16"/>
      <c r="AEI877" s="16"/>
      <c r="AEJ877" s="16"/>
      <c r="AEK877" s="16"/>
      <c r="AEL877" s="16"/>
      <c r="AEM877" s="16"/>
      <c r="AEN877" s="16"/>
      <c r="AEO877" s="16"/>
      <c r="AEP877" s="16"/>
      <c r="AEQ877" s="16"/>
      <c r="AER877" s="16"/>
      <c r="AES877" s="16"/>
      <c r="AET877" s="16"/>
      <c r="AEU877" s="16"/>
      <c r="AEV877" s="16"/>
      <c r="AEW877" s="16"/>
      <c r="AEX877" s="16"/>
      <c r="AEY877" s="16"/>
      <c r="AEZ877" s="16"/>
      <c r="AFA877" s="16"/>
      <c r="AFB877" s="16"/>
      <c r="AFC877" s="16"/>
      <c r="AFD877" s="16"/>
      <c r="AFE877" s="16"/>
      <c r="AFF877" s="16"/>
      <c r="AFG877" s="16"/>
      <c r="AFH877" s="16"/>
      <c r="AFI877" s="16"/>
      <c r="AFJ877" s="16"/>
      <c r="AFK877" s="16"/>
      <c r="AFL877" s="16"/>
      <c r="AFM877" s="16"/>
      <c r="AFN877" s="16"/>
      <c r="AFO877" s="16"/>
      <c r="AFP877" s="16"/>
      <c r="AFQ877" s="16"/>
      <c r="AFR877" s="16"/>
      <c r="AFS877" s="16"/>
      <c r="AFT877" s="16"/>
      <c r="AFU877" s="16"/>
      <c r="AFV877" s="16"/>
      <c r="AFW877" s="16"/>
      <c r="AFX877" s="16"/>
      <c r="AFY877" s="16"/>
      <c r="AFZ877" s="16"/>
      <c r="AGA877" s="16"/>
      <c r="AGB877" s="16"/>
      <c r="AGC877" s="16"/>
      <c r="AGD877" s="16"/>
      <c r="AGE877" s="16"/>
      <c r="AGF877" s="16"/>
      <c r="AGG877" s="16"/>
      <c r="AGH877" s="16"/>
      <c r="AGI877" s="16"/>
      <c r="AGJ877" s="16"/>
    </row>
    <row r="878" spans="1:868" s="853" customFormat="1" hidden="1">
      <c r="A878" s="152" t="s">
        <v>130</v>
      </c>
      <c r="B878" s="34" t="s">
        <v>358</v>
      </c>
      <c r="C878" s="40" t="s">
        <v>147</v>
      </c>
      <c r="D878" s="34" t="s">
        <v>103</v>
      </c>
      <c r="E878" s="260">
        <v>0.13697999666323399</v>
      </c>
      <c r="F878" s="235">
        <v>1</v>
      </c>
      <c r="G878" s="40"/>
      <c r="H878" s="29">
        <v>2</v>
      </c>
      <c r="I878" s="9">
        <v>2</v>
      </c>
      <c r="J878" s="9">
        <v>2</v>
      </c>
      <c r="K878" s="9">
        <v>2</v>
      </c>
      <c r="L878" s="9">
        <v>1</v>
      </c>
      <c r="M878" s="9">
        <v>2</v>
      </c>
      <c r="N878" s="186">
        <f t="shared" si="47"/>
        <v>0.38795788889711302</v>
      </c>
      <c r="O878" s="160">
        <f t="shared" si="48"/>
        <v>0.38795788889711302</v>
      </c>
      <c r="P878" s="63"/>
      <c r="Q878" s="16"/>
      <c r="R878" s="16"/>
      <c r="S878" s="16"/>
      <c r="T878" s="16"/>
      <c r="U878" s="16"/>
      <c r="V878" s="16"/>
      <c r="W878" s="16"/>
      <c r="X878" s="16"/>
      <c r="Y878" s="16"/>
      <c r="Z878" s="16"/>
      <c r="AA878" s="16"/>
      <c r="AB878" s="16"/>
      <c r="AC878" s="16"/>
      <c r="AD878" s="16"/>
      <c r="AE878" s="16"/>
      <c r="AF878" s="16"/>
      <c r="AG878" s="16"/>
      <c r="AH878" s="16"/>
      <c r="AI878" s="16"/>
      <c r="AJ878" s="16"/>
      <c r="AK878" s="16"/>
      <c r="AL878" s="16"/>
      <c r="AM878" s="16"/>
      <c r="AN878" s="16"/>
      <c r="AO878" s="16"/>
      <c r="AP878" s="16"/>
      <c r="AQ878" s="16"/>
      <c r="AR878" s="16"/>
      <c r="AS878" s="16"/>
      <c r="AT878" s="16"/>
      <c r="AU878" s="16"/>
      <c r="AV878" s="16"/>
      <c r="AW878" s="16"/>
      <c r="AX878" s="16"/>
      <c r="AY878" s="16"/>
      <c r="AZ878" s="16"/>
      <c r="BA878" s="16"/>
      <c r="BB878" s="16"/>
      <c r="BC878" s="16"/>
      <c r="BD878" s="16"/>
      <c r="BE878" s="16"/>
      <c r="BF878" s="16"/>
      <c r="BG878" s="16"/>
      <c r="BH878" s="16"/>
      <c r="BI878" s="16"/>
      <c r="BJ878" s="16"/>
      <c r="BK878" s="16"/>
      <c r="BL878" s="16"/>
      <c r="BM878" s="16"/>
      <c r="BN878" s="16"/>
      <c r="BO878" s="16"/>
      <c r="BP878" s="16"/>
      <c r="BQ878" s="16"/>
      <c r="BR878" s="16"/>
      <c r="BS878" s="16"/>
      <c r="BT878" s="16"/>
      <c r="BU878" s="16"/>
      <c r="BV878" s="16"/>
      <c r="BW878" s="16"/>
      <c r="BX878" s="16"/>
      <c r="BY878" s="16"/>
      <c r="BZ878" s="16"/>
      <c r="CA878" s="16"/>
      <c r="CB878" s="16"/>
      <c r="CC878" s="16"/>
      <c r="CD878" s="16"/>
      <c r="CE878" s="16"/>
      <c r="CF878" s="16"/>
      <c r="CG878" s="16"/>
      <c r="CH878" s="16"/>
      <c r="CI878" s="16"/>
      <c r="CJ878" s="16"/>
      <c r="CK878" s="16"/>
      <c r="CL878" s="16"/>
      <c r="CM878" s="16"/>
      <c r="CN878" s="16"/>
      <c r="CO878" s="16"/>
      <c r="CP878" s="16"/>
      <c r="CQ878" s="16"/>
      <c r="CR878" s="16"/>
      <c r="CS878" s="16"/>
      <c r="CT878" s="16"/>
      <c r="CU878" s="16"/>
      <c r="CV878" s="16"/>
      <c r="CW878" s="16"/>
      <c r="CX878" s="16"/>
      <c r="CY878" s="16"/>
      <c r="CZ878" s="16"/>
      <c r="DA878" s="16"/>
      <c r="DB878" s="16"/>
      <c r="DC878" s="16"/>
      <c r="DD878" s="16"/>
      <c r="DE878" s="16"/>
      <c r="DF878" s="16"/>
      <c r="DG878" s="16"/>
      <c r="DH878" s="16"/>
      <c r="DI878" s="16"/>
      <c r="DJ878" s="16"/>
      <c r="DK878" s="16"/>
      <c r="DL878" s="16"/>
      <c r="DM878" s="16"/>
      <c r="DN878" s="16"/>
      <c r="DO878" s="16"/>
      <c r="DP878" s="16"/>
      <c r="DQ878" s="16"/>
      <c r="DR878" s="16"/>
      <c r="DS878" s="16"/>
      <c r="DT878" s="16"/>
      <c r="DU878" s="16"/>
      <c r="DV878" s="16"/>
      <c r="DW878" s="16"/>
      <c r="DX878" s="16"/>
      <c r="DY878" s="16"/>
      <c r="DZ878" s="16"/>
      <c r="EA878" s="16"/>
      <c r="EB878" s="16"/>
      <c r="EC878" s="16"/>
      <c r="ED878" s="16"/>
      <c r="EE878" s="16"/>
      <c r="EF878" s="16"/>
      <c r="EG878" s="16"/>
      <c r="EH878" s="16"/>
      <c r="EI878" s="16"/>
      <c r="EJ878" s="16"/>
      <c r="EK878" s="16"/>
      <c r="EL878" s="16"/>
      <c r="EM878" s="16"/>
      <c r="EN878" s="16"/>
      <c r="EO878" s="16"/>
      <c r="EP878" s="16"/>
      <c r="EQ878" s="16"/>
      <c r="ER878" s="16"/>
      <c r="ES878" s="16"/>
      <c r="ET878" s="16"/>
      <c r="EU878" s="16"/>
      <c r="EV878" s="16"/>
      <c r="EW878" s="16"/>
      <c r="EX878" s="16"/>
      <c r="EY878" s="16"/>
      <c r="EZ878" s="16"/>
      <c r="FA878" s="16"/>
      <c r="FB878" s="16"/>
      <c r="FC878" s="16"/>
      <c r="FD878" s="16"/>
      <c r="FE878" s="16"/>
      <c r="FF878" s="16"/>
      <c r="FG878" s="16"/>
      <c r="FH878" s="16"/>
      <c r="FI878" s="16"/>
      <c r="FJ878" s="16"/>
      <c r="FK878" s="16"/>
      <c r="FL878" s="16"/>
      <c r="FM878" s="16"/>
      <c r="FN878" s="16"/>
      <c r="FO878" s="16"/>
      <c r="FP878" s="16"/>
      <c r="FQ878" s="16"/>
      <c r="FR878" s="16"/>
      <c r="FS878" s="16"/>
      <c r="FT878" s="16"/>
      <c r="FU878" s="16"/>
      <c r="FV878" s="16"/>
      <c r="FW878" s="16"/>
      <c r="FX878" s="16"/>
      <c r="FY878" s="16"/>
      <c r="FZ878" s="16"/>
      <c r="GA878" s="16"/>
      <c r="GB878" s="16"/>
      <c r="GC878" s="16"/>
      <c r="GD878" s="16"/>
      <c r="GE878" s="16"/>
      <c r="GF878" s="16"/>
      <c r="GG878" s="16"/>
      <c r="GH878" s="16"/>
      <c r="GI878" s="16"/>
      <c r="GJ878" s="16"/>
      <c r="GK878" s="16"/>
      <c r="GL878" s="16"/>
      <c r="GM878" s="16"/>
      <c r="GN878" s="16"/>
      <c r="GO878" s="16"/>
      <c r="GP878" s="16"/>
      <c r="GQ878" s="16"/>
      <c r="GR878" s="16"/>
      <c r="GS878" s="16"/>
      <c r="GT878" s="16"/>
      <c r="GU878" s="16"/>
      <c r="GV878" s="16"/>
      <c r="GW878" s="16"/>
      <c r="GX878" s="16"/>
      <c r="GY878" s="16"/>
      <c r="GZ878" s="16"/>
      <c r="HA878" s="16"/>
      <c r="HB878" s="16"/>
      <c r="HC878" s="16"/>
      <c r="HD878" s="16"/>
      <c r="HE878" s="16"/>
      <c r="HF878" s="16"/>
      <c r="HG878" s="16"/>
      <c r="HH878" s="16"/>
      <c r="HI878" s="16"/>
      <c r="HJ878" s="16"/>
      <c r="HK878" s="16"/>
      <c r="HL878" s="16"/>
      <c r="HM878" s="16"/>
      <c r="HN878" s="16"/>
      <c r="HO878" s="16"/>
      <c r="HP878" s="16"/>
      <c r="HQ878" s="16"/>
      <c r="HR878" s="16"/>
      <c r="HS878" s="16"/>
      <c r="HT878" s="16"/>
      <c r="HU878" s="16"/>
      <c r="HV878" s="16"/>
      <c r="HW878" s="16"/>
      <c r="HX878" s="16"/>
      <c r="HY878" s="16"/>
      <c r="HZ878" s="16"/>
      <c r="IA878" s="16"/>
      <c r="IB878" s="16"/>
      <c r="IC878" s="16"/>
      <c r="ID878" s="16"/>
      <c r="IE878" s="16"/>
      <c r="IF878" s="16"/>
      <c r="IG878" s="16"/>
      <c r="IH878" s="16"/>
      <c r="II878" s="16"/>
      <c r="IJ878" s="16"/>
      <c r="IK878" s="16"/>
      <c r="IL878" s="16"/>
      <c r="IM878" s="16"/>
      <c r="IN878" s="16"/>
      <c r="IO878" s="16"/>
      <c r="IP878" s="16"/>
      <c r="IQ878" s="16"/>
      <c r="IR878" s="16"/>
      <c r="IS878" s="16"/>
      <c r="IT878" s="16"/>
      <c r="IU878" s="16"/>
      <c r="IV878" s="16"/>
      <c r="IW878" s="16"/>
      <c r="IX878" s="16"/>
      <c r="IY878" s="16"/>
      <c r="IZ878" s="16"/>
      <c r="JA878" s="16"/>
      <c r="JB878" s="16"/>
      <c r="JC878" s="16"/>
      <c r="JD878" s="16"/>
      <c r="JE878" s="16"/>
      <c r="JF878" s="16"/>
      <c r="JG878" s="16"/>
      <c r="JH878" s="16"/>
      <c r="JI878" s="16"/>
      <c r="JJ878" s="16"/>
      <c r="JK878" s="16"/>
      <c r="JL878" s="16"/>
      <c r="JM878" s="16"/>
      <c r="JN878" s="16"/>
      <c r="JO878" s="16"/>
      <c r="JP878" s="16"/>
      <c r="JQ878" s="16"/>
      <c r="JR878" s="16"/>
      <c r="JS878" s="16"/>
      <c r="JT878" s="16"/>
      <c r="JU878" s="16"/>
      <c r="JV878" s="16"/>
      <c r="JW878" s="16"/>
      <c r="JX878" s="16"/>
      <c r="JY878" s="16"/>
      <c r="JZ878" s="16"/>
      <c r="KA878" s="16"/>
      <c r="KB878" s="16"/>
      <c r="KC878" s="16"/>
      <c r="KD878" s="16"/>
      <c r="KE878" s="16"/>
      <c r="KF878" s="16"/>
      <c r="KG878" s="16"/>
      <c r="KH878" s="16"/>
      <c r="KI878" s="16"/>
      <c r="KJ878" s="16"/>
      <c r="KK878" s="16"/>
      <c r="KL878" s="16"/>
      <c r="KM878" s="16"/>
      <c r="KN878" s="16"/>
      <c r="KO878" s="16"/>
      <c r="KP878" s="16"/>
      <c r="KQ878" s="16"/>
      <c r="KR878" s="16"/>
      <c r="KS878" s="16"/>
      <c r="KT878" s="16"/>
      <c r="KU878" s="16"/>
      <c r="KV878" s="16"/>
      <c r="KW878" s="16"/>
      <c r="KX878" s="16"/>
      <c r="KY878" s="16"/>
      <c r="KZ878" s="16"/>
      <c r="LA878" s="16"/>
      <c r="LB878" s="16"/>
      <c r="LC878" s="16"/>
      <c r="LD878" s="16"/>
      <c r="LE878" s="16"/>
      <c r="LF878" s="16"/>
      <c r="LG878" s="16"/>
      <c r="LH878" s="16"/>
      <c r="LI878" s="16"/>
      <c r="LJ878" s="16"/>
      <c r="LK878" s="16"/>
      <c r="LL878" s="16"/>
      <c r="LM878" s="16"/>
      <c r="LN878" s="16"/>
      <c r="LO878" s="16"/>
      <c r="LP878" s="16"/>
      <c r="LQ878" s="16"/>
      <c r="LR878" s="16"/>
      <c r="LS878" s="16"/>
      <c r="LT878" s="16"/>
      <c r="LU878" s="16"/>
      <c r="LV878" s="16"/>
      <c r="LW878" s="16"/>
      <c r="LX878" s="16"/>
      <c r="LY878" s="16"/>
      <c r="LZ878" s="16"/>
      <c r="MA878" s="16"/>
      <c r="MB878" s="16"/>
      <c r="MC878" s="16"/>
      <c r="MD878" s="16"/>
      <c r="ME878" s="16"/>
      <c r="MF878" s="16"/>
      <c r="MG878" s="16"/>
      <c r="MH878" s="16"/>
      <c r="MI878" s="16"/>
      <c r="MJ878" s="16"/>
      <c r="MK878" s="16"/>
      <c r="ML878" s="16"/>
      <c r="MM878" s="16"/>
      <c r="MN878" s="16"/>
      <c r="MO878" s="16"/>
      <c r="MP878" s="16"/>
      <c r="MQ878" s="16"/>
      <c r="MR878" s="16"/>
      <c r="MS878" s="16"/>
      <c r="MT878" s="16"/>
      <c r="MU878" s="16"/>
      <c r="MV878" s="16"/>
      <c r="MW878" s="16"/>
      <c r="MX878" s="16"/>
      <c r="MY878" s="16"/>
      <c r="MZ878" s="16"/>
      <c r="NA878" s="16"/>
      <c r="NB878" s="16"/>
      <c r="NC878" s="16"/>
      <c r="ND878" s="16"/>
      <c r="NE878" s="16"/>
      <c r="NF878" s="16"/>
      <c r="NG878" s="16"/>
      <c r="NH878" s="16"/>
      <c r="NI878" s="16"/>
      <c r="NJ878" s="16"/>
      <c r="NK878" s="16"/>
      <c r="NL878" s="16"/>
      <c r="NM878" s="16"/>
      <c r="NN878" s="16"/>
      <c r="NO878" s="16"/>
      <c r="NP878" s="16"/>
      <c r="NQ878" s="16"/>
      <c r="NR878" s="16"/>
      <c r="NS878" s="16"/>
      <c r="NT878" s="16"/>
      <c r="NU878" s="16"/>
      <c r="NV878" s="16"/>
      <c r="NW878" s="16"/>
      <c r="NX878" s="16"/>
      <c r="NY878" s="16"/>
      <c r="NZ878" s="16"/>
      <c r="OA878" s="16"/>
      <c r="OB878" s="16"/>
      <c r="OC878" s="16"/>
      <c r="OD878" s="16"/>
      <c r="OE878" s="16"/>
      <c r="OF878" s="16"/>
      <c r="OG878" s="16"/>
      <c r="OH878" s="16"/>
      <c r="OI878" s="16"/>
      <c r="OJ878" s="16"/>
      <c r="OK878" s="16"/>
      <c r="OL878" s="16"/>
      <c r="OM878" s="16"/>
      <c r="ON878" s="16"/>
      <c r="OO878" s="16"/>
      <c r="OP878" s="16"/>
      <c r="OQ878" s="16"/>
      <c r="OR878" s="16"/>
      <c r="OS878" s="16"/>
      <c r="OT878" s="16"/>
      <c r="OU878" s="16"/>
      <c r="OV878" s="16"/>
      <c r="OW878" s="16"/>
      <c r="OX878" s="16"/>
      <c r="OY878" s="16"/>
      <c r="OZ878" s="16"/>
      <c r="PA878" s="16"/>
      <c r="PB878" s="16"/>
      <c r="PC878" s="16"/>
      <c r="PD878" s="16"/>
      <c r="PE878" s="16"/>
      <c r="PF878" s="16"/>
      <c r="PG878" s="16"/>
      <c r="PH878" s="16"/>
      <c r="PI878" s="16"/>
      <c r="PJ878" s="16"/>
      <c r="PK878" s="16"/>
      <c r="PL878" s="16"/>
      <c r="PM878" s="16"/>
      <c r="PN878" s="16"/>
      <c r="PO878" s="16"/>
      <c r="PP878" s="16"/>
      <c r="PQ878" s="16"/>
      <c r="PR878" s="16"/>
      <c r="PS878" s="16"/>
      <c r="PT878" s="16"/>
      <c r="PU878" s="16"/>
      <c r="PV878" s="16"/>
      <c r="PW878" s="16"/>
      <c r="PX878" s="16"/>
      <c r="PY878" s="16"/>
      <c r="PZ878" s="16"/>
      <c r="QA878" s="16"/>
      <c r="QB878" s="16"/>
      <c r="QC878" s="16"/>
      <c r="QD878" s="16"/>
      <c r="QE878" s="16"/>
      <c r="QF878" s="16"/>
      <c r="QG878" s="16"/>
      <c r="QH878" s="16"/>
      <c r="QI878" s="16"/>
      <c r="QJ878" s="16"/>
      <c r="QK878" s="16"/>
      <c r="QL878" s="16"/>
      <c r="QM878" s="16"/>
      <c r="QN878" s="16"/>
      <c r="QO878" s="16"/>
      <c r="QP878" s="16"/>
      <c r="QQ878" s="16"/>
      <c r="QR878" s="16"/>
      <c r="QS878" s="16"/>
      <c r="QT878" s="16"/>
      <c r="QU878" s="16"/>
      <c r="QV878" s="16"/>
      <c r="QW878" s="16"/>
      <c r="QX878" s="16"/>
      <c r="QY878" s="16"/>
      <c r="QZ878" s="16"/>
      <c r="RA878" s="16"/>
      <c r="RB878" s="16"/>
      <c r="RC878" s="16"/>
      <c r="RD878" s="16"/>
      <c r="RE878" s="16"/>
      <c r="RF878" s="16"/>
      <c r="RG878" s="16"/>
      <c r="RH878" s="16"/>
      <c r="RI878" s="16"/>
      <c r="RJ878" s="16"/>
      <c r="RK878" s="16"/>
      <c r="RL878" s="16"/>
      <c r="RM878" s="16"/>
      <c r="RN878" s="16"/>
      <c r="RO878" s="16"/>
      <c r="RP878" s="16"/>
      <c r="RQ878" s="16"/>
      <c r="RR878" s="16"/>
      <c r="RS878" s="16"/>
      <c r="RT878" s="16"/>
      <c r="RU878" s="16"/>
      <c r="RV878" s="16"/>
      <c r="RW878" s="16"/>
      <c r="RX878" s="16"/>
      <c r="RY878" s="16"/>
      <c r="RZ878" s="16"/>
      <c r="SA878" s="16"/>
      <c r="SB878" s="16"/>
      <c r="SC878" s="16"/>
      <c r="SD878" s="16"/>
      <c r="SE878" s="16"/>
      <c r="SF878" s="16"/>
      <c r="SG878" s="16"/>
      <c r="SH878" s="16"/>
      <c r="SI878" s="16"/>
      <c r="SJ878" s="16"/>
      <c r="SK878" s="16"/>
      <c r="SL878" s="16"/>
      <c r="SM878" s="16"/>
      <c r="SN878" s="16"/>
      <c r="SO878" s="16"/>
      <c r="SP878" s="16"/>
      <c r="SQ878" s="16"/>
      <c r="SR878" s="16"/>
      <c r="SS878" s="16"/>
      <c r="ST878" s="16"/>
      <c r="SU878" s="16"/>
      <c r="SV878" s="16"/>
      <c r="SW878" s="16"/>
      <c r="SX878" s="16"/>
      <c r="SY878" s="16"/>
      <c r="SZ878" s="16"/>
      <c r="TA878" s="16"/>
      <c r="TB878" s="16"/>
      <c r="TC878" s="16"/>
      <c r="TD878" s="16"/>
      <c r="TE878" s="16"/>
      <c r="TF878" s="16"/>
      <c r="TG878" s="16"/>
      <c r="TH878" s="16"/>
      <c r="TI878" s="16"/>
      <c r="TJ878" s="16"/>
      <c r="TK878" s="16"/>
      <c r="TL878" s="16"/>
      <c r="TM878" s="16"/>
      <c r="TN878" s="16"/>
      <c r="TO878" s="16"/>
      <c r="TP878" s="16"/>
      <c r="TQ878" s="16"/>
      <c r="TR878" s="16"/>
      <c r="TS878" s="16"/>
      <c r="TT878" s="16"/>
      <c r="TU878" s="16"/>
      <c r="TV878" s="16"/>
      <c r="TW878" s="16"/>
      <c r="TX878" s="16"/>
      <c r="TY878" s="16"/>
      <c r="TZ878" s="16"/>
      <c r="UA878" s="16"/>
      <c r="UB878" s="16"/>
      <c r="UC878" s="16"/>
      <c r="UD878" s="16"/>
      <c r="UE878" s="16"/>
      <c r="UF878" s="16"/>
      <c r="UG878" s="16"/>
      <c r="UH878" s="16"/>
      <c r="UI878" s="16"/>
      <c r="UJ878" s="16"/>
      <c r="UK878" s="16"/>
      <c r="UL878" s="16"/>
      <c r="UM878" s="16"/>
      <c r="UN878" s="16"/>
      <c r="UO878" s="16"/>
      <c r="UP878" s="16"/>
      <c r="UQ878" s="16"/>
      <c r="UR878" s="16"/>
      <c r="US878" s="16"/>
      <c r="UT878" s="16"/>
      <c r="UU878" s="16"/>
      <c r="UV878" s="16"/>
      <c r="UW878" s="16"/>
      <c r="UX878" s="16"/>
      <c r="UY878" s="16"/>
      <c r="UZ878" s="16"/>
      <c r="VA878" s="16"/>
      <c r="VB878" s="16"/>
      <c r="VC878" s="16"/>
      <c r="VD878" s="16"/>
      <c r="VE878" s="16"/>
      <c r="VF878" s="16"/>
      <c r="VG878" s="16"/>
      <c r="VH878" s="16"/>
      <c r="VI878" s="16"/>
      <c r="VJ878" s="16"/>
      <c r="VK878" s="16"/>
      <c r="VL878" s="16"/>
      <c r="VM878" s="16"/>
      <c r="VN878" s="16"/>
      <c r="VO878" s="16"/>
      <c r="VP878" s="16"/>
      <c r="VQ878" s="16"/>
      <c r="VR878" s="16"/>
      <c r="VS878" s="16"/>
      <c r="VT878" s="16"/>
      <c r="VU878" s="16"/>
      <c r="VV878" s="16"/>
      <c r="VW878" s="16"/>
      <c r="VX878" s="16"/>
      <c r="VY878" s="16"/>
      <c r="VZ878" s="16"/>
      <c r="WA878" s="16"/>
      <c r="WB878" s="16"/>
      <c r="WC878" s="16"/>
      <c r="WD878" s="16"/>
      <c r="WE878" s="16"/>
      <c r="WF878" s="16"/>
      <c r="WG878" s="16"/>
      <c r="WH878" s="16"/>
      <c r="WI878" s="16"/>
      <c r="WJ878" s="16"/>
      <c r="WK878" s="16"/>
      <c r="WL878" s="16"/>
      <c r="WM878" s="16"/>
      <c r="WN878" s="16"/>
      <c r="WO878" s="16"/>
      <c r="WP878" s="16"/>
      <c r="WQ878" s="16"/>
      <c r="WR878" s="16"/>
      <c r="WS878" s="16"/>
      <c r="WT878" s="16"/>
      <c r="WU878" s="16"/>
      <c r="WV878" s="16"/>
      <c r="WW878" s="16"/>
      <c r="WX878" s="16"/>
      <c r="WY878" s="16"/>
      <c r="WZ878" s="16"/>
      <c r="XA878" s="16"/>
      <c r="XB878" s="16"/>
      <c r="XC878" s="16"/>
      <c r="XD878" s="16"/>
      <c r="XE878" s="16"/>
      <c r="XF878" s="16"/>
      <c r="XG878" s="16"/>
      <c r="XH878" s="16"/>
      <c r="XI878" s="16"/>
      <c r="XJ878" s="16"/>
      <c r="XK878" s="16"/>
      <c r="XL878" s="16"/>
      <c r="XM878" s="16"/>
      <c r="XN878" s="16"/>
      <c r="XO878" s="16"/>
      <c r="XP878" s="16"/>
      <c r="XQ878" s="16"/>
      <c r="XR878" s="16"/>
      <c r="XS878" s="16"/>
      <c r="XT878" s="16"/>
      <c r="XU878" s="16"/>
      <c r="XV878" s="16"/>
      <c r="XW878" s="16"/>
      <c r="XX878" s="16"/>
      <c r="XY878" s="16"/>
      <c r="XZ878" s="16"/>
      <c r="YA878" s="16"/>
      <c r="YB878" s="16"/>
      <c r="YC878" s="16"/>
      <c r="YD878" s="16"/>
      <c r="YE878" s="16"/>
      <c r="YF878" s="16"/>
      <c r="YG878" s="16"/>
      <c r="YH878" s="16"/>
      <c r="YI878" s="16"/>
      <c r="YJ878" s="16"/>
      <c r="YK878" s="16"/>
      <c r="YL878" s="16"/>
      <c r="YM878" s="16"/>
      <c r="YN878" s="16"/>
      <c r="YO878" s="16"/>
      <c r="YP878" s="16"/>
      <c r="YQ878" s="16"/>
      <c r="YR878" s="16"/>
      <c r="YS878" s="16"/>
      <c r="YT878" s="16"/>
      <c r="YU878" s="16"/>
      <c r="YV878" s="16"/>
      <c r="YW878" s="16"/>
      <c r="YX878" s="16"/>
      <c r="YY878" s="16"/>
      <c r="YZ878" s="16"/>
      <c r="ZA878" s="16"/>
      <c r="ZB878" s="16"/>
      <c r="ZC878" s="16"/>
      <c r="ZD878" s="16"/>
      <c r="ZE878" s="16"/>
      <c r="ZF878" s="16"/>
      <c r="ZG878" s="16"/>
      <c r="ZH878" s="16"/>
      <c r="ZI878" s="16"/>
      <c r="ZJ878" s="16"/>
      <c r="ZK878" s="16"/>
      <c r="ZL878" s="16"/>
      <c r="ZM878" s="16"/>
      <c r="ZN878" s="16"/>
      <c r="ZO878" s="16"/>
      <c r="ZP878" s="16"/>
      <c r="ZQ878" s="16"/>
      <c r="ZR878" s="16"/>
      <c r="ZS878" s="16"/>
      <c r="ZT878" s="16"/>
      <c r="ZU878" s="16"/>
      <c r="ZV878" s="16"/>
      <c r="ZW878" s="16"/>
      <c r="ZX878" s="16"/>
      <c r="ZY878" s="16"/>
      <c r="ZZ878" s="16"/>
      <c r="AAA878" s="16"/>
      <c r="AAB878" s="16"/>
      <c r="AAC878" s="16"/>
      <c r="AAD878" s="16"/>
      <c r="AAE878" s="16"/>
      <c r="AAF878" s="16"/>
      <c r="AAG878" s="16"/>
      <c r="AAH878" s="16"/>
      <c r="AAI878" s="16"/>
      <c r="AAJ878" s="16"/>
      <c r="AAK878" s="16"/>
      <c r="AAL878" s="16"/>
      <c r="AAM878" s="16"/>
      <c r="AAN878" s="16"/>
      <c r="AAO878" s="16"/>
      <c r="AAP878" s="16"/>
      <c r="AAQ878" s="16"/>
      <c r="AAR878" s="16"/>
      <c r="AAS878" s="16"/>
      <c r="AAT878" s="16"/>
      <c r="AAU878" s="16"/>
      <c r="AAV878" s="16"/>
      <c r="AAW878" s="16"/>
      <c r="AAX878" s="16"/>
      <c r="AAY878" s="16"/>
      <c r="AAZ878" s="16"/>
      <c r="ABA878" s="16"/>
      <c r="ABB878" s="16"/>
      <c r="ABC878" s="16"/>
      <c r="ABD878" s="16"/>
      <c r="ABE878" s="16"/>
      <c r="ABF878" s="16"/>
      <c r="ABG878" s="16"/>
      <c r="ABH878" s="16"/>
      <c r="ABI878" s="16"/>
      <c r="ABJ878" s="16"/>
      <c r="ABK878" s="16"/>
      <c r="ABL878" s="16"/>
      <c r="ABM878" s="16"/>
      <c r="ABN878" s="16"/>
      <c r="ABO878" s="16"/>
      <c r="ABP878" s="16"/>
      <c r="ABQ878" s="16"/>
      <c r="ABR878" s="16"/>
      <c r="ABS878" s="16"/>
      <c r="ABT878" s="16"/>
      <c r="ABU878" s="16"/>
      <c r="ABV878" s="16"/>
      <c r="ABW878" s="16"/>
      <c r="ABX878" s="16"/>
      <c r="ABY878" s="16"/>
      <c r="ABZ878" s="16"/>
      <c r="ACA878" s="16"/>
      <c r="ACB878" s="16"/>
      <c r="ACC878" s="16"/>
      <c r="ACD878" s="16"/>
      <c r="ACE878" s="16"/>
      <c r="ACF878" s="16"/>
      <c r="ACG878" s="16"/>
      <c r="ACH878" s="16"/>
      <c r="ACI878" s="16"/>
      <c r="ACJ878" s="16"/>
      <c r="ACK878" s="16"/>
      <c r="ACL878" s="16"/>
      <c r="ACM878" s="16"/>
      <c r="ACN878" s="16"/>
      <c r="ACO878" s="16"/>
      <c r="ACP878" s="16"/>
      <c r="ACQ878" s="16"/>
      <c r="ACR878" s="16"/>
      <c r="ACS878" s="16"/>
      <c r="ACT878" s="16"/>
      <c r="ACU878" s="16"/>
      <c r="ACV878" s="16"/>
      <c r="ACW878" s="16"/>
      <c r="ACX878" s="16"/>
      <c r="ACY878" s="16"/>
      <c r="ACZ878" s="16"/>
      <c r="ADA878" s="16"/>
      <c r="ADB878" s="16"/>
      <c r="ADC878" s="16"/>
      <c r="ADD878" s="16"/>
      <c r="ADE878" s="16"/>
      <c r="ADF878" s="16"/>
      <c r="ADG878" s="16"/>
      <c r="ADH878" s="16"/>
      <c r="ADI878" s="16"/>
      <c r="ADJ878" s="16"/>
      <c r="ADK878" s="16"/>
      <c r="ADL878" s="16"/>
      <c r="ADM878" s="16"/>
      <c r="ADN878" s="16"/>
      <c r="ADO878" s="16"/>
      <c r="ADP878" s="16"/>
      <c r="ADQ878" s="16"/>
      <c r="ADR878" s="16"/>
      <c r="ADS878" s="16"/>
      <c r="ADT878" s="16"/>
      <c r="ADU878" s="16"/>
      <c r="ADV878" s="16"/>
      <c r="ADW878" s="16"/>
      <c r="ADX878" s="16"/>
      <c r="ADY878" s="16"/>
      <c r="ADZ878" s="16"/>
      <c r="AEA878" s="16"/>
      <c r="AEB878" s="16"/>
      <c r="AEC878" s="16"/>
      <c r="AED878" s="16"/>
      <c r="AEE878" s="16"/>
      <c r="AEF878" s="16"/>
      <c r="AEG878" s="16"/>
      <c r="AEH878" s="16"/>
      <c r="AEI878" s="16"/>
      <c r="AEJ878" s="16"/>
      <c r="AEK878" s="16"/>
      <c r="AEL878" s="16"/>
      <c r="AEM878" s="16"/>
      <c r="AEN878" s="16"/>
      <c r="AEO878" s="16"/>
      <c r="AEP878" s="16"/>
      <c r="AEQ878" s="16"/>
      <c r="AER878" s="16"/>
      <c r="AES878" s="16"/>
      <c r="AET878" s="16"/>
      <c r="AEU878" s="16"/>
      <c r="AEV878" s="16"/>
      <c r="AEW878" s="16"/>
      <c r="AEX878" s="16"/>
      <c r="AEY878" s="16"/>
      <c r="AEZ878" s="16"/>
      <c r="AFA878" s="16"/>
      <c r="AFB878" s="16"/>
      <c r="AFC878" s="16"/>
      <c r="AFD878" s="16"/>
      <c r="AFE878" s="16"/>
      <c r="AFF878" s="16"/>
      <c r="AFG878" s="16"/>
      <c r="AFH878" s="16"/>
      <c r="AFI878" s="16"/>
      <c r="AFJ878" s="16"/>
      <c r="AFK878" s="16"/>
      <c r="AFL878" s="16"/>
      <c r="AFM878" s="16"/>
      <c r="AFN878" s="16"/>
      <c r="AFO878" s="16"/>
      <c r="AFP878" s="16"/>
      <c r="AFQ878" s="16"/>
      <c r="AFR878" s="16"/>
      <c r="AFS878" s="16"/>
      <c r="AFT878" s="16"/>
      <c r="AFU878" s="16"/>
      <c r="AFV878" s="16"/>
      <c r="AFW878" s="16"/>
      <c r="AFX878" s="16"/>
      <c r="AFY878" s="16"/>
      <c r="AFZ878" s="16"/>
      <c r="AGA878" s="16"/>
      <c r="AGB878" s="16"/>
      <c r="AGC878" s="16"/>
      <c r="AGD878" s="16"/>
      <c r="AGE878" s="16"/>
      <c r="AGF878" s="16"/>
      <c r="AGG878" s="16"/>
      <c r="AGH878" s="16"/>
      <c r="AGI878" s="16"/>
      <c r="AGJ878" s="16"/>
    </row>
    <row r="879" spans="1:868" hidden="1">
      <c r="A879" s="152" t="s">
        <v>130</v>
      </c>
      <c r="B879" s="34" t="s">
        <v>358</v>
      </c>
      <c r="C879" s="40" t="s">
        <v>147</v>
      </c>
      <c r="D879" s="34" t="s">
        <v>107</v>
      </c>
      <c r="E879" s="260">
        <v>0</v>
      </c>
      <c r="F879" s="235">
        <v>1</v>
      </c>
      <c r="G879" s="40"/>
      <c r="H879" s="29"/>
      <c r="I879" s="9"/>
      <c r="J879" s="9"/>
      <c r="K879" s="9"/>
      <c r="L879" s="9"/>
      <c r="M879" s="9"/>
      <c r="N879" s="186" t="str">
        <f t="shared" si="47"/>
        <v/>
      </c>
      <c r="O879" s="160" t="str">
        <f t="shared" si="48"/>
        <v/>
      </c>
      <c r="P879" s="63"/>
    </row>
    <row r="880" spans="1:868" hidden="1">
      <c r="A880" s="152" t="s">
        <v>130</v>
      </c>
      <c r="B880" s="34" t="s">
        <v>251</v>
      </c>
      <c r="C880" s="40" t="s">
        <v>147</v>
      </c>
      <c r="D880" s="34" t="s">
        <v>93</v>
      </c>
      <c r="E880" s="260">
        <v>0</v>
      </c>
      <c r="F880" s="235">
        <v>1</v>
      </c>
      <c r="G880" s="40"/>
      <c r="H880" s="29"/>
      <c r="I880" s="9"/>
      <c r="J880" s="9"/>
      <c r="K880" s="9"/>
      <c r="L880" s="9"/>
      <c r="M880" s="9"/>
      <c r="N880" s="186" t="str">
        <f t="shared" si="47"/>
        <v/>
      </c>
      <c r="O880" s="160" t="str">
        <f t="shared" si="48"/>
        <v/>
      </c>
      <c r="P880" s="63"/>
    </row>
    <row r="881" spans="1:868" hidden="1">
      <c r="A881" s="152" t="s">
        <v>130</v>
      </c>
      <c r="B881" s="34" t="s">
        <v>251</v>
      </c>
      <c r="C881" s="40" t="s">
        <v>147</v>
      </c>
      <c r="D881" s="34" t="s">
        <v>94</v>
      </c>
      <c r="E881" s="260">
        <v>0</v>
      </c>
      <c r="F881" s="235">
        <v>1</v>
      </c>
      <c r="G881" s="40"/>
      <c r="H881" s="29"/>
      <c r="I881" s="9"/>
      <c r="J881" s="9"/>
      <c r="K881" s="9"/>
      <c r="L881" s="9"/>
      <c r="M881" s="9"/>
      <c r="N881" s="186" t="str">
        <f t="shared" si="47"/>
        <v/>
      </c>
      <c r="O881" s="160" t="str">
        <f t="shared" si="48"/>
        <v/>
      </c>
      <c r="P881" s="63"/>
    </row>
    <row r="882" spans="1:868" hidden="1">
      <c r="A882" s="152" t="s">
        <v>130</v>
      </c>
      <c r="B882" s="34" t="s">
        <v>251</v>
      </c>
      <c r="C882" s="40" t="s">
        <v>147</v>
      </c>
      <c r="D882" s="34" t="s">
        <v>95</v>
      </c>
      <c r="E882" s="260">
        <v>0.13862266398762429</v>
      </c>
      <c r="F882" s="235">
        <v>1</v>
      </c>
      <c r="G882" s="40"/>
      <c r="H882" s="29">
        <v>2</v>
      </c>
      <c r="I882" s="9">
        <v>2</v>
      </c>
      <c r="J882" s="9">
        <v>2</v>
      </c>
      <c r="K882" s="9">
        <v>2</v>
      </c>
      <c r="L882" s="9">
        <v>1</v>
      </c>
      <c r="M882" s="9">
        <v>2</v>
      </c>
      <c r="N882" s="186">
        <f t="shared" si="47"/>
        <v>0.38795788889711302</v>
      </c>
      <c r="O882" s="160">
        <f t="shared" si="48"/>
        <v>0.38795788889711302</v>
      </c>
      <c r="P882" s="63"/>
    </row>
    <row r="883" spans="1:868" hidden="1">
      <c r="A883" s="152" t="s">
        <v>130</v>
      </c>
      <c r="B883" s="34" t="s">
        <v>251</v>
      </c>
      <c r="C883" s="40" t="s">
        <v>147</v>
      </c>
      <c r="D883" s="34" t="s">
        <v>96</v>
      </c>
      <c r="E883" s="260">
        <v>0</v>
      </c>
      <c r="F883" s="235">
        <v>1</v>
      </c>
      <c r="G883" s="40"/>
      <c r="H883" s="29"/>
      <c r="I883" s="9"/>
      <c r="J883" s="9"/>
      <c r="K883" s="9"/>
      <c r="L883" s="9"/>
      <c r="M883" s="9"/>
      <c r="N883" s="186" t="str">
        <f t="shared" si="47"/>
        <v/>
      </c>
      <c r="O883" s="160" t="str">
        <f t="shared" si="48"/>
        <v/>
      </c>
      <c r="P883" s="63"/>
    </row>
    <row r="884" spans="1:868" hidden="1">
      <c r="A884" s="152" t="s">
        <v>130</v>
      </c>
      <c r="B884" s="34" t="s">
        <v>251</v>
      </c>
      <c r="C884" s="40" t="s">
        <v>147</v>
      </c>
      <c r="D884" s="34" t="s">
        <v>97</v>
      </c>
      <c r="E884" s="260">
        <v>0</v>
      </c>
      <c r="F884" s="235">
        <v>1</v>
      </c>
      <c r="G884" s="40"/>
      <c r="H884" s="29"/>
      <c r="I884" s="9"/>
      <c r="J884" s="9"/>
      <c r="K884" s="9"/>
      <c r="L884" s="9"/>
      <c r="M884" s="9"/>
      <c r="N884" s="186" t="str">
        <f t="shared" si="47"/>
        <v/>
      </c>
      <c r="O884" s="160" t="str">
        <f t="shared" si="48"/>
        <v/>
      </c>
      <c r="P884" s="63"/>
    </row>
    <row r="885" spans="1:868" hidden="1">
      <c r="A885" s="152" t="s">
        <v>130</v>
      </c>
      <c r="B885" s="34" t="s">
        <v>251</v>
      </c>
      <c r="C885" s="40" t="s">
        <v>147</v>
      </c>
      <c r="D885" s="34" t="s">
        <v>98</v>
      </c>
      <c r="E885" s="260">
        <v>0</v>
      </c>
      <c r="F885" s="235">
        <v>1</v>
      </c>
      <c r="G885" s="40"/>
      <c r="H885" s="29"/>
      <c r="I885" s="9"/>
      <c r="J885" s="9"/>
      <c r="K885" s="9"/>
      <c r="L885" s="9"/>
      <c r="M885" s="9"/>
      <c r="N885" s="186" t="str">
        <f t="shared" si="47"/>
        <v/>
      </c>
      <c r="O885" s="160" t="str">
        <f t="shared" si="48"/>
        <v/>
      </c>
      <c r="P885" s="63"/>
    </row>
    <row r="886" spans="1:868" hidden="1">
      <c r="A886" s="152" t="s">
        <v>411</v>
      </c>
      <c r="B886" s="34" t="s">
        <v>297</v>
      </c>
      <c r="C886" s="40" t="s">
        <v>147</v>
      </c>
      <c r="D886" s="34" t="s">
        <v>147</v>
      </c>
      <c r="E886" s="260">
        <v>0</v>
      </c>
      <c r="F886" s="235">
        <v>2</v>
      </c>
      <c r="G886" s="40" t="s">
        <v>165</v>
      </c>
      <c r="H886" s="29"/>
      <c r="I886" s="9"/>
      <c r="J886" s="9"/>
      <c r="K886" s="9"/>
      <c r="L886" s="9"/>
      <c r="M886" s="9"/>
      <c r="N886" s="186" t="str">
        <f t="shared" si="47"/>
        <v/>
      </c>
      <c r="O886" s="160" t="str">
        <f t="shared" si="48"/>
        <v/>
      </c>
      <c r="P886" s="63"/>
    </row>
    <row r="887" spans="1:868" s="211" customFormat="1" ht="15.75" hidden="1" thickBot="1">
      <c r="A887" s="152" t="s">
        <v>413</v>
      </c>
      <c r="B887" s="34" t="s">
        <v>299</v>
      </c>
      <c r="C887" s="40" t="s">
        <v>147</v>
      </c>
      <c r="D887" s="34" t="s">
        <v>147</v>
      </c>
      <c r="E887" s="260">
        <v>0</v>
      </c>
      <c r="F887" s="235">
        <v>2</v>
      </c>
      <c r="G887" s="40" t="s">
        <v>430</v>
      </c>
      <c r="H887" s="29"/>
      <c r="I887" s="9"/>
      <c r="J887" s="9"/>
      <c r="K887" s="9"/>
      <c r="L887" s="9"/>
      <c r="M887" s="9"/>
      <c r="N887" s="186" t="str">
        <f t="shared" si="47"/>
        <v/>
      </c>
      <c r="O887" s="160" t="str">
        <f t="shared" si="48"/>
        <v/>
      </c>
      <c r="P887" s="63" t="s">
        <v>432</v>
      </c>
      <c r="Q887" s="16"/>
      <c r="R887" s="16"/>
      <c r="S887" s="16"/>
      <c r="T887" s="16"/>
      <c r="U887" s="16"/>
      <c r="V887" s="16"/>
      <c r="W887" s="16"/>
      <c r="X887" s="16"/>
      <c r="Y887" s="16"/>
      <c r="Z887" s="16"/>
      <c r="AA887" s="16"/>
      <c r="AB887" s="16"/>
      <c r="AC887" s="16"/>
      <c r="AD887" s="16"/>
      <c r="AE887" s="16"/>
      <c r="AF887" s="16"/>
      <c r="AG887" s="16"/>
      <c r="AH887" s="16"/>
      <c r="AI887" s="16"/>
      <c r="AJ887" s="16"/>
      <c r="AK887" s="16"/>
      <c r="AL887" s="16"/>
      <c r="AM887" s="16"/>
      <c r="AN887" s="16"/>
      <c r="AO887" s="16"/>
      <c r="AP887" s="16"/>
      <c r="AQ887" s="16"/>
      <c r="AR887" s="16"/>
      <c r="AS887" s="16"/>
      <c r="AT887" s="16"/>
      <c r="AU887" s="16"/>
      <c r="AV887" s="16"/>
      <c r="AW887" s="16"/>
      <c r="AX887" s="16"/>
      <c r="AY887" s="16"/>
      <c r="AZ887" s="16"/>
      <c r="BA887" s="16"/>
      <c r="BB887" s="16"/>
      <c r="BC887" s="16"/>
      <c r="BD887" s="16"/>
      <c r="BE887" s="16"/>
      <c r="BF887" s="16"/>
      <c r="BG887" s="16"/>
      <c r="BH887" s="16"/>
      <c r="BI887" s="16"/>
      <c r="BJ887" s="16"/>
      <c r="BK887" s="16"/>
      <c r="BL887" s="16"/>
      <c r="BM887" s="16"/>
      <c r="BN887" s="16"/>
      <c r="BO887" s="16"/>
      <c r="BP887" s="16"/>
      <c r="BQ887" s="16"/>
      <c r="BR887" s="16"/>
      <c r="BS887" s="16"/>
      <c r="BT887" s="16"/>
      <c r="BU887" s="16"/>
      <c r="BV887" s="16"/>
      <c r="BW887" s="16"/>
      <c r="BX887" s="16"/>
      <c r="BY887" s="16"/>
      <c r="BZ887" s="16"/>
      <c r="CA887" s="16"/>
      <c r="CB887" s="16"/>
      <c r="CC887" s="16"/>
      <c r="CD887" s="16"/>
      <c r="CE887" s="16"/>
      <c r="CF887" s="16"/>
      <c r="CG887" s="16"/>
      <c r="CH887" s="16"/>
      <c r="CI887" s="16"/>
      <c r="CJ887" s="16"/>
      <c r="CK887" s="16"/>
      <c r="CL887" s="16"/>
      <c r="CM887" s="16"/>
      <c r="CN887" s="16"/>
      <c r="CO887" s="16"/>
      <c r="CP887" s="16"/>
      <c r="CQ887" s="16"/>
      <c r="CR887" s="16"/>
      <c r="CS887" s="16"/>
      <c r="CT887" s="16"/>
      <c r="CU887" s="16"/>
      <c r="CV887" s="16"/>
      <c r="CW887" s="16"/>
      <c r="CX887" s="16"/>
      <c r="CY887" s="16"/>
      <c r="CZ887" s="16"/>
      <c r="DA887" s="16"/>
      <c r="DB887" s="16"/>
      <c r="DC887" s="16"/>
      <c r="DD887" s="16"/>
      <c r="DE887" s="16"/>
      <c r="DF887" s="16"/>
      <c r="DG887" s="16"/>
      <c r="DH887" s="16"/>
      <c r="DI887" s="16"/>
      <c r="DJ887" s="16"/>
      <c r="DK887" s="16"/>
      <c r="DL887" s="16"/>
      <c r="DM887" s="16"/>
      <c r="DN887" s="16"/>
      <c r="DO887" s="16"/>
      <c r="DP887" s="16"/>
      <c r="DQ887" s="16"/>
      <c r="DR887" s="16"/>
      <c r="DS887" s="16"/>
      <c r="DT887" s="16"/>
      <c r="DU887" s="16"/>
      <c r="DV887" s="16"/>
      <c r="DW887" s="16"/>
      <c r="DX887" s="16"/>
      <c r="DY887" s="16"/>
      <c r="DZ887" s="16"/>
      <c r="EA887" s="16"/>
      <c r="EB887" s="16"/>
      <c r="EC887" s="16"/>
      <c r="ED887" s="16"/>
      <c r="EE887" s="16"/>
      <c r="EF887" s="16"/>
      <c r="EG887" s="16"/>
      <c r="EH887" s="16"/>
      <c r="EI887" s="16"/>
      <c r="EJ887" s="16"/>
      <c r="EK887" s="16"/>
      <c r="EL887" s="16"/>
      <c r="EM887" s="16"/>
      <c r="EN887" s="16"/>
      <c r="EO887" s="16"/>
      <c r="EP887" s="16"/>
      <c r="EQ887" s="16"/>
      <c r="ER887" s="16"/>
      <c r="ES887" s="16"/>
      <c r="ET887" s="16"/>
      <c r="EU887" s="16"/>
      <c r="EV887" s="16"/>
      <c r="EW887" s="16"/>
      <c r="EX887" s="16"/>
      <c r="EY887" s="16"/>
      <c r="EZ887" s="16"/>
      <c r="FA887" s="16"/>
      <c r="FB887" s="16"/>
      <c r="FC887" s="16"/>
      <c r="FD887" s="16"/>
      <c r="FE887" s="16"/>
      <c r="FF887" s="16"/>
      <c r="FG887" s="16"/>
      <c r="FH887" s="16"/>
      <c r="FI887" s="16"/>
      <c r="FJ887" s="16"/>
      <c r="FK887" s="16"/>
      <c r="FL887" s="16"/>
      <c r="FM887" s="16"/>
      <c r="FN887" s="16"/>
      <c r="FO887" s="16"/>
      <c r="FP887" s="16"/>
      <c r="FQ887" s="16"/>
      <c r="FR887" s="16"/>
      <c r="FS887" s="16"/>
      <c r="FT887" s="16"/>
      <c r="FU887" s="16"/>
      <c r="FV887" s="16"/>
      <c r="FW887" s="16"/>
      <c r="FX887" s="16"/>
      <c r="FY887" s="16"/>
      <c r="FZ887" s="16"/>
      <c r="GA887" s="16"/>
      <c r="GB887" s="16"/>
      <c r="GC887" s="16"/>
      <c r="GD887" s="16"/>
      <c r="GE887" s="16"/>
      <c r="GF887" s="16"/>
      <c r="GG887" s="16"/>
      <c r="GH887" s="16"/>
      <c r="GI887" s="16"/>
      <c r="GJ887" s="16"/>
      <c r="GK887" s="16"/>
      <c r="GL887" s="16"/>
      <c r="GM887" s="16"/>
      <c r="GN887" s="16"/>
      <c r="GO887" s="16"/>
      <c r="GP887" s="16"/>
      <c r="GQ887" s="16"/>
      <c r="GR887" s="16"/>
      <c r="GS887" s="16"/>
      <c r="GT887" s="16"/>
      <c r="GU887" s="16"/>
      <c r="GV887" s="16"/>
      <c r="GW887" s="16"/>
      <c r="GX887" s="16"/>
      <c r="GY887" s="16"/>
      <c r="GZ887" s="16"/>
      <c r="HA887" s="16"/>
      <c r="HB887" s="16"/>
      <c r="HC887" s="16"/>
      <c r="HD887" s="16"/>
      <c r="HE887" s="16"/>
      <c r="HF887" s="16"/>
      <c r="HG887" s="16"/>
      <c r="HH887" s="16"/>
      <c r="HI887" s="16"/>
      <c r="HJ887" s="16"/>
      <c r="HK887" s="16"/>
      <c r="HL887" s="16"/>
      <c r="HM887" s="16"/>
      <c r="HN887" s="16"/>
      <c r="HO887" s="16"/>
      <c r="HP887" s="16"/>
      <c r="HQ887" s="16"/>
      <c r="HR887" s="16"/>
      <c r="HS887" s="16"/>
      <c r="HT887" s="16"/>
      <c r="HU887" s="16"/>
      <c r="HV887" s="16"/>
      <c r="HW887" s="16"/>
      <c r="HX887" s="16"/>
      <c r="HY887" s="16"/>
      <c r="HZ887" s="16"/>
      <c r="IA887" s="16"/>
      <c r="IB887" s="16"/>
      <c r="IC887" s="16"/>
      <c r="ID887" s="16"/>
      <c r="IE887" s="16"/>
      <c r="IF887" s="16"/>
      <c r="IG887" s="16"/>
      <c r="IH887" s="16"/>
      <c r="II887" s="16"/>
      <c r="IJ887" s="16"/>
      <c r="IK887" s="16"/>
      <c r="IL887" s="16"/>
      <c r="IM887" s="16"/>
      <c r="IN887" s="16"/>
      <c r="IO887" s="16"/>
      <c r="IP887" s="16"/>
      <c r="IQ887" s="16"/>
      <c r="IR887" s="16"/>
      <c r="IS887" s="16"/>
      <c r="IT887" s="16"/>
      <c r="IU887" s="16"/>
      <c r="IV887" s="16"/>
      <c r="IW887" s="16"/>
      <c r="IX887" s="16"/>
      <c r="IY887" s="16"/>
      <c r="IZ887" s="16"/>
      <c r="JA887" s="16"/>
      <c r="JB887" s="16"/>
      <c r="JC887" s="16"/>
      <c r="JD887" s="16"/>
      <c r="JE887" s="16"/>
      <c r="JF887" s="16"/>
      <c r="JG887" s="16"/>
      <c r="JH887" s="16"/>
      <c r="JI887" s="16"/>
      <c r="JJ887" s="16"/>
      <c r="JK887" s="16"/>
      <c r="JL887" s="16"/>
      <c r="JM887" s="16"/>
      <c r="JN887" s="16"/>
      <c r="JO887" s="16"/>
      <c r="JP887" s="16"/>
      <c r="JQ887" s="16"/>
      <c r="JR887" s="16"/>
      <c r="JS887" s="16"/>
      <c r="JT887" s="16"/>
      <c r="JU887" s="16"/>
      <c r="JV887" s="16"/>
      <c r="JW887" s="16"/>
      <c r="JX887" s="16"/>
      <c r="JY887" s="16"/>
      <c r="JZ887" s="16"/>
      <c r="KA887" s="16"/>
      <c r="KB887" s="16"/>
      <c r="KC887" s="16"/>
      <c r="KD887" s="16"/>
      <c r="KE887" s="16"/>
      <c r="KF887" s="16"/>
      <c r="KG887" s="16"/>
      <c r="KH887" s="16"/>
      <c r="KI887" s="16"/>
      <c r="KJ887" s="16"/>
      <c r="KK887" s="16"/>
      <c r="KL887" s="16"/>
      <c r="KM887" s="16"/>
      <c r="KN887" s="16"/>
      <c r="KO887" s="16"/>
      <c r="KP887" s="16"/>
      <c r="KQ887" s="16"/>
      <c r="KR887" s="16"/>
      <c r="KS887" s="16"/>
      <c r="KT887" s="16"/>
      <c r="KU887" s="16"/>
      <c r="KV887" s="16"/>
      <c r="KW887" s="16"/>
      <c r="KX887" s="16"/>
      <c r="KY887" s="16"/>
      <c r="KZ887" s="16"/>
      <c r="LA887" s="16"/>
      <c r="LB887" s="16"/>
      <c r="LC887" s="16"/>
      <c r="LD887" s="16"/>
      <c r="LE887" s="16"/>
      <c r="LF887" s="16"/>
      <c r="LG887" s="16"/>
      <c r="LH887" s="16"/>
      <c r="LI887" s="16"/>
      <c r="LJ887" s="16"/>
      <c r="LK887" s="16"/>
      <c r="LL887" s="16"/>
      <c r="LM887" s="16"/>
      <c r="LN887" s="16"/>
      <c r="LO887" s="16"/>
      <c r="LP887" s="16"/>
      <c r="LQ887" s="16"/>
      <c r="LR887" s="16"/>
      <c r="LS887" s="16"/>
      <c r="LT887" s="16"/>
      <c r="LU887" s="16"/>
      <c r="LV887" s="16"/>
      <c r="LW887" s="16"/>
      <c r="LX887" s="16"/>
      <c r="LY887" s="16"/>
      <c r="LZ887" s="16"/>
      <c r="MA887" s="16"/>
      <c r="MB887" s="16"/>
      <c r="MC887" s="16"/>
      <c r="MD887" s="16"/>
      <c r="ME887" s="16"/>
      <c r="MF887" s="16"/>
      <c r="MG887" s="16"/>
      <c r="MH887" s="16"/>
      <c r="MI887" s="16"/>
      <c r="MJ887" s="16"/>
      <c r="MK887" s="16"/>
      <c r="ML887" s="16"/>
      <c r="MM887" s="16"/>
      <c r="MN887" s="16"/>
      <c r="MO887" s="16"/>
      <c r="MP887" s="16"/>
      <c r="MQ887" s="16"/>
      <c r="MR887" s="16"/>
      <c r="MS887" s="16"/>
      <c r="MT887" s="16"/>
      <c r="MU887" s="16"/>
      <c r="MV887" s="16"/>
      <c r="MW887" s="16"/>
      <c r="MX887" s="16"/>
      <c r="MY887" s="16"/>
      <c r="MZ887" s="16"/>
      <c r="NA887" s="16"/>
      <c r="NB887" s="16"/>
      <c r="NC887" s="16"/>
      <c r="ND887" s="16"/>
      <c r="NE887" s="16"/>
      <c r="NF887" s="16"/>
      <c r="NG887" s="16"/>
      <c r="NH887" s="16"/>
      <c r="NI887" s="16"/>
      <c r="NJ887" s="16"/>
      <c r="NK887" s="16"/>
      <c r="NL887" s="16"/>
      <c r="NM887" s="16"/>
      <c r="NN887" s="16"/>
      <c r="NO887" s="16"/>
      <c r="NP887" s="16"/>
      <c r="NQ887" s="16"/>
      <c r="NR887" s="16"/>
      <c r="NS887" s="16"/>
      <c r="NT887" s="16"/>
      <c r="NU887" s="16"/>
      <c r="NV887" s="16"/>
      <c r="NW887" s="16"/>
      <c r="NX887" s="16"/>
      <c r="NY887" s="16"/>
      <c r="NZ887" s="16"/>
      <c r="OA887" s="16"/>
      <c r="OB887" s="16"/>
      <c r="OC887" s="16"/>
      <c r="OD887" s="16"/>
      <c r="OE887" s="16"/>
      <c r="OF887" s="16"/>
      <c r="OG887" s="16"/>
      <c r="OH887" s="16"/>
      <c r="OI887" s="16"/>
      <c r="OJ887" s="16"/>
      <c r="OK887" s="16"/>
      <c r="OL887" s="16"/>
      <c r="OM887" s="16"/>
      <c r="ON887" s="16"/>
      <c r="OO887" s="16"/>
      <c r="OP887" s="16"/>
      <c r="OQ887" s="16"/>
      <c r="OR887" s="16"/>
      <c r="OS887" s="16"/>
      <c r="OT887" s="16"/>
      <c r="OU887" s="16"/>
      <c r="OV887" s="16"/>
      <c r="OW887" s="16"/>
      <c r="OX887" s="16"/>
      <c r="OY887" s="16"/>
      <c r="OZ887" s="16"/>
      <c r="PA887" s="16"/>
      <c r="PB887" s="16"/>
      <c r="PC887" s="16"/>
      <c r="PD887" s="16"/>
      <c r="PE887" s="16"/>
      <c r="PF887" s="16"/>
      <c r="PG887" s="16"/>
      <c r="PH887" s="16"/>
      <c r="PI887" s="16"/>
      <c r="PJ887" s="16"/>
      <c r="PK887" s="16"/>
      <c r="PL887" s="16"/>
      <c r="PM887" s="16"/>
      <c r="PN887" s="16"/>
      <c r="PO887" s="16"/>
      <c r="PP887" s="16"/>
      <c r="PQ887" s="16"/>
      <c r="PR887" s="16"/>
      <c r="PS887" s="16"/>
      <c r="PT887" s="16"/>
      <c r="PU887" s="16"/>
      <c r="PV887" s="16"/>
      <c r="PW887" s="16"/>
      <c r="PX887" s="16"/>
      <c r="PY887" s="16"/>
      <c r="PZ887" s="16"/>
      <c r="QA887" s="16"/>
      <c r="QB887" s="16"/>
      <c r="QC887" s="16"/>
      <c r="QD887" s="16"/>
      <c r="QE887" s="16"/>
      <c r="QF887" s="16"/>
      <c r="QG887" s="16"/>
      <c r="QH887" s="16"/>
      <c r="QI887" s="16"/>
      <c r="QJ887" s="16"/>
      <c r="QK887" s="16"/>
      <c r="QL887" s="16"/>
      <c r="QM887" s="16"/>
      <c r="QN887" s="16"/>
      <c r="QO887" s="16"/>
      <c r="QP887" s="16"/>
      <c r="QQ887" s="16"/>
      <c r="QR887" s="16"/>
      <c r="QS887" s="16"/>
      <c r="QT887" s="16"/>
      <c r="QU887" s="16"/>
      <c r="QV887" s="16"/>
      <c r="QW887" s="16"/>
      <c r="QX887" s="16"/>
      <c r="QY887" s="16"/>
      <c r="QZ887" s="16"/>
      <c r="RA887" s="16"/>
      <c r="RB887" s="16"/>
      <c r="RC887" s="16"/>
      <c r="RD887" s="16"/>
      <c r="RE887" s="16"/>
      <c r="RF887" s="16"/>
      <c r="RG887" s="16"/>
      <c r="RH887" s="16"/>
      <c r="RI887" s="16"/>
      <c r="RJ887" s="16"/>
      <c r="RK887" s="16"/>
      <c r="RL887" s="16"/>
      <c r="RM887" s="16"/>
      <c r="RN887" s="16"/>
      <c r="RO887" s="16"/>
      <c r="RP887" s="16"/>
      <c r="RQ887" s="16"/>
      <c r="RR887" s="16"/>
      <c r="RS887" s="16"/>
      <c r="RT887" s="16"/>
      <c r="RU887" s="16"/>
      <c r="RV887" s="16"/>
      <c r="RW887" s="16"/>
      <c r="RX887" s="16"/>
      <c r="RY887" s="16"/>
      <c r="RZ887" s="16"/>
      <c r="SA887" s="16"/>
      <c r="SB887" s="16"/>
      <c r="SC887" s="16"/>
      <c r="SD887" s="16"/>
      <c r="SE887" s="16"/>
      <c r="SF887" s="16"/>
      <c r="SG887" s="16"/>
      <c r="SH887" s="16"/>
      <c r="SI887" s="16"/>
      <c r="SJ887" s="16"/>
      <c r="SK887" s="16"/>
      <c r="SL887" s="16"/>
      <c r="SM887" s="16"/>
      <c r="SN887" s="16"/>
      <c r="SO887" s="16"/>
      <c r="SP887" s="16"/>
      <c r="SQ887" s="16"/>
      <c r="SR887" s="16"/>
      <c r="SS887" s="16"/>
      <c r="ST887" s="16"/>
      <c r="SU887" s="16"/>
      <c r="SV887" s="16"/>
      <c r="SW887" s="16"/>
      <c r="SX887" s="16"/>
      <c r="SY887" s="16"/>
      <c r="SZ887" s="16"/>
      <c r="TA887" s="16"/>
      <c r="TB887" s="16"/>
      <c r="TC887" s="16"/>
      <c r="TD887" s="16"/>
      <c r="TE887" s="16"/>
      <c r="TF887" s="16"/>
      <c r="TG887" s="16"/>
      <c r="TH887" s="16"/>
      <c r="TI887" s="16"/>
      <c r="TJ887" s="16"/>
      <c r="TK887" s="16"/>
      <c r="TL887" s="16"/>
      <c r="TM887" s="16"/>
      <c r="TN887" s="16"/>
      <c r="TO887" s="16"/>
      <c r="TP887" s="16"/>
      <c r="TQ887" s="16"/>
      <c r="TR887" s="16"/>
      <c r="TS887" s="16"/>
      <c r="TT887" s="16"/>
      <c r="TU887" s="16"/>
      <c r="TV887" s="16"/>
      <c r="TW887" s="16"/>
      <c r="TX887" s="16"/>
      <c r="TY887" s="16"/>
      <c r="TZ887" s="16"/>
      <c r="UA887" s="16"/>
      <c r="UB887" s="16"/>
      <c r="UC887" s="16"/>
      <c r="UD887" s="16"/>
      <c r="UE887" s="16"/>
      <c r="UF887" s="16"/>
      <c r="UG887" s="16"/>
      <c r="UH887" s="16"/>
      <c r="UI887" s="16"/>
      <c r="UJ887" s="16"/>
      <c r="UK887" s="16"/>
      <c r="UL887" s="16"/>
      <c r="UM887" s="16"/>
      <c r="UN887" s="16"/>
      <c r="UO887" s="16"/>
      <c r="UP887" s="16"/>
      <c r="UQ887" s="16"/>
      <c r="UR887" s="16"/>
      <c r="US887" s="16"/>
      <c r="UT887" s="16"/>
      <c r="UU887" s="16"/>
      <c r="UV887" s="16"/>
      <c r="UW887" s="16"/>
      <c r="UX887" s="16"/>
      <c r="UY887" s="16"/>
      <c r="UZ887" s="16"/>
      <c r="VA887" s="16"/>
      <c r="VB887" s="16"/>
      <c r="VC887" s="16"/>
      <c r="VD887" s="16"/>
      <c r="VE887" s="16"/>
      <c r="VF887" s="16"/>
      <c r="VG887" s="16"/>
      <c r="VH887" s="16"/>
      <c r="VI887" s="16"/>
      <c r="VJ887" s="16"/>
      <c r="VK887" s="16"/>
      <c r="VL887" s="16"/>
      <c r="VM887" s="16"/>
      <c r="VN887" s="16"/>
      <c r="VO887" s="16"/>
      <c r="VP887" s="16"/>
      <c r="VQ887" s="16"/>
      <c r="VR887" s="16"/>
      <c r="VS887" s="16"/>
      <c r="VT887" s="16"/>
      <c r="VU887" s="16"/>
      <c r="VV887" s="16"/>
      <c r="VW887" s="16"/>
      <c r="VX887" s="16"/>
      <c r="VY887" s="16"/>
      <c r="VZ887" s="16"/>
      <c r="WA887" s="16"/>
      <c r="WB887" s="16"/>
      <c r="WC887" s="16"/>
      <c r="WD887" s="16"/>
      <c r="WE887" s="16"/>
      <c r="WF887" s="16"/>
      <c r="WG887" s="16"/>
      <c r="WH887" s="16"/>
      <c r="WI887" s="16"/>
      <c r="WJ887" s="16"/>
      <c r="WK887" s="16"/>
      <c r="WL887" s="16"/>
      <c r="WM887" s="16"/>
      <c r="WN887" s="16"/>
      <c r="WO887" s="16"/>
      <c r="WP887" s="16"/>
      <c r="WQ887" s="16"/>
      <c r="WR887" s="16"/>
      <c r="WS887" s="16"/>
      <c r="WT887" s="16"/>
      <c r="WU887" s="16"/>
      <c r="WV887" s="16"/>
      <c r="WW887" s="16"/>
      <c r="WX887" s="16"/>
      <c r="WY887" s="16"/>
      <c r="WZ887" s="16"/>
      <c r="XA887" s="16"/>
      <c r="XB887" s="16"/>
      <c r="XC887" s="16"/>
      <c r="XD887" s="16"/>
      <c r="XE887" s="16"/>
      <c r="XF887" s="16"/>
      <c r="XG887" s="16"/>
      <c r="XH887" s="16"/>
      <c r="XI887" s="16"/>
      <c r="XJ887" s="16"/>
      <c r="XK887" s="16"/>
      <c r="XL887" s="16"/>
      <c r="XM887" s="16"/>
      <c r="XN887" s="16"/>
      <c r="XO887" s="16"/>
      <c r="XP887" s="16"/>
      <c r="XQ887" s="16"/>
      <c r="XR887" s="16"/>
      <c r="XS887" s="16"/>
      <c r="XT887" s="16"/>
      <c r="XU887" s="16"/>
      <c r="XV887" s="16"/>
      <c r="XW887" s="16"/>
      <c r="XX887" s="16"/>
      <c r="XY887" s="16"/>
      <c r="XZ887" s="16"/>
      <c r="YA887" s="16"/>
      <c r="YB887" s="16"/>
      <c r="YC887" s="16"/>
      <c r="YD887" s="16"/>
      <c r="YE887" s="16"/>
      <c r="YF887" s="16"/>
      <c r="YG887" s="16"/>
      <c r="YH887" s="16"/>
      <c r="YI887" s="16"/>
      <c r="YJ887" s="16"/>
      <c r="YK887" s="16"/>
      <c r="YL887" s="16"/>
      <c r="YM887" s="16"/>
      <c r="YN887" s="16"/>
      <c r="YO887" s="16"/>
      <c r="YP887" s="16"/>
      <c r="YQ887" s="16"/>
      <c r="YR887" s="16"/>
      <c r="YS887" s="16"/>
      <c r="YT887" s="16"/>
      <c r="YU887" s="16"/>
      <c r="YV887" s="16"/>
      <c r="YW887" s="16"/>
      <c r="YX887" s="16"/>
      <c r="YY887" s="16"/>
      <c r="YZ887" s="16"/>
      <c r="ZA887" s="16"/>
      <c r="ZB887" s="16"/>
      <c r="ZC887" s="16"/>
      <c r="ZD887" s="16"/>
      <c r="ZE887" s="16"/>
      <c r="ZF887" s="16"/>
      <c r="ZG887" s="16"/>
      <c r="ZH887" s="16"/>
      <c r="ZI887" s="16"/>
      <c r="ZJ887" s="16"/>
      <c r="ZK887" s="16"/>
      <c r="ZL887" s="16"/>
      <c r="ZM887" s="16"/>
      <c r="ZN887" s="16"/>
      <c r="ZO887" s="16"/>
      <c r="ZP887" s="16"/>
      <c r="ZQ887" s="16"/>
      <c r="ZR887" s="16"/>
      <c r="ZS887" s="16"/>
      <c r="ZT887" s="16"/>
      <c r="ZU887" s="16"/>
      <c r="ZV887" s="16"/>
      <c r="ZW887" s="16"/>
      <c r="ZX887" s="16"/>
      <c r="ZY887" s="16"/>
      <c r="ZZ887" s="16"/>
      <c r="AAA887" s="16"/>
      <c r="AAB887" s="16"/>
      <c r="AAC887" s="16"/>
      <c r="AAD887" s="16"/>
      <c r="AAE887" s="16"/>
      <c r="AAF887" s="16"/>
      <c r="AAG887" s="16"/>
      <c r="AAH887" s="16"/>
      <c r="AAI887" s="16"/>
      <c r="AAJ887" s="16"/>
      <c r="AAK887" s="16"/>
      <c r="AAL887" s="16"/>
      <c r="AAM887" s="16"/>
      <c r="AAN887" s="16"/>
      <c r="AAO887" s="16"/>
      <c r="AAP887" s="16"/>
      <c r="AAQ887" s="16"/>
      <c r="AAR887" s="16"/>
      <c r="AAS887" s="16"/>
      <c r="AAT887" s="16"/>
      <c r="AAU887" s="16"/>
      <c r="AAV887" s="16"/>
      <c r="AAW887" s="16"/>
      <c r="AAX887" s="16"/>
      <c r="AAY887" s="16"/>
      <c r="AAZ887" s="16"/>
      <c r="ABA887" s="16"/>
      <c r="ABB887" s="16"/>
      <c r="ABC887" s="16"/>
      <c r="ABD887" s="16"/>
      <c r="ABE887" s="16"/>
      <c r="ABF887" s="16"/>
      <c r="ABG887" s="16"/>
      <c r="ABH887" s="16"/>
      <c r="ABI887" s="16"/>
      <c r="ABJ887" s="16"/>
      <c r="ABK887" s="16"/>
      <c r="ABL887" s="16"/>
      <c r="ABM887" s="16"/>
      <c r="ABN887" s="16"/>
      <c r="ABO887" s="16"/>
      <c r="ABP887" s="16"/>
      <c r="ABQ887" s="16"/>
      <c r="ABR887" s="16"/>
      <c r="ABS887" s="16"/>
      <c r="ABT887" s="16"/>
      <c r="ABU887" s="16"/>
      <c r="ABV887" s="16"/>
      <c r="ABW887" s="16"/>
      <c r="ABX887" s="16"/>
      <c r="ABY887" s="16"/>
      <c r="ABZ887" s="16"/>
      <c r="ACA887" s="16"/>
      <c r="ACB887" s="16"/>
      <c r="ACC887" s="16"/>
      <c r="ACD887" s="16"/>
      <c r="ACE887" s="16"/>
      <c r="ACF887" s="16"/>
      <c r="ACG887" s="16"/>
      <c r="ACH887" s="16"/>
      <c r="ACI887" s="16"/>
      <c r="ACJ887" s="16"/>
      <c r="ACK887" s="16"/>
      <c r="ACL887" s="16"/>
      <c r="ACM887" s="16"/>
      <c r="ACN887" s="16"/>
      <c r="ACO887" s="16"/>
      <c r="ACP887" s="16"/>
      <c r="ACQ887" s="16"/>
      <c r="ACR887" s="16"/>
      <c r="ACS887" s="16"/>
      <c r="ACT887" s="16"/>
      <c r="ACU887" s="16"/>
      <c r="ACV887" s="16"/>
      <c r="ACW887" s="16"/>
      <c r="ACX887" s="16"/>
      <c r="ACY887" s="16"/>
      <c r="ACZ887" s="16"/>
      <c r="ADA887" s="16"/>
      <c r="ADB887" s="16"/>
      <c r="ADC887" s="16"/>
      <c r="ADD887" s="16"/>
      <c r="ADE887" s="16"/>
      <c r="ADF887" s="16"/>
      <c r="ADG887" s="16"/>
      <c r="ADH887" s="16"/>
      <c r="ADI887" s="16"/>
      <c r="ADJ887" s="16"/>
      <c r="ADK887" s="16"/>
      <c r="ADL887" s="16"/>
      <c r="ADM887" s="16"/>
      <c r="ADN887" s="16"/>
      <c r="ADO887" s="16"/>
      <c r="ADP887" s="16"/>
      <c r="ADQ887" s="16"/>
      <c r="ADR887" s="16"/>
      <c r="ADS887" s="16"/>
      <c r="ADT887" s="16"/>
      <c r="ADU887" s="16"/>
      <c r="ADV887" s="16"/>
      <c r="ADW887" s="16"/>
      <c r="ADX887" s="16"/>
      <c r="ADY887" s="16"/>
      <c r="ADZ887" s="16"/>
      <c r="AEA887" s="16"/>
      <c r="AEB887" s="16"/>
      <c r="AEC887" s="16"/>
      <c r="AED887" s="16"/>
      <c r="AEE887" s="16"/>
      <c r="AEF887" s="16"/>
      <c r="AEG887" s="16"/>
      <c r="AEH887" s="16"/>
      <c r="AEI887" s="16"/>
      <c r="AEJ887" s="16"/>
      <c r="AEK887" s="16"/>
      <c r="AEL887" s="16"/>
      <c r="AEM887" s="16"/>
      <c r="AEN887" s="16"/>
      <c r="AEO887" s="16"/>
      <c r="AEP887" s="16"/>
      <c r="AEQ887" s="16"/>
      <c r="AER887" s="16"/>
      <c r="AES887" s="16"/>
      <c r="AET887" s="16"/>
      <c r="AEU887" s="16"/>
      <c r="AEV887" s="16"/>
      <c r="AEW887" s="16"/>
      <c r="AEX887" s="16"/>
      <c r="AEY887" s="16"/>
      <c r="AEZ887" s="16"/>
      <c r="AFA887" s="16"/>
      <c r="AFB887" s="16"/>
      <c r="AFC887" s="16"/>
      <c r="AFD887" s="16"/>
      <c r="AFE887" s="16"/>
      <c r="AFF887" s="16"/>
      <c r="AFG887" s="16"/>
      <c r="AFH887" s="16"/>
      <c r="AFI887" s="16"/>
      <c r="AFJ887" s="16"/>
      <c r="AFK887" s="16"/>
      <c r="AFL887" s="16"/>
      <c r="AFM887" s="16"/>
      <c r="AFN887" s="16"/>
      <c r="AFO887" s="16"/>
      <c r="AFP887" s="16"/>
      <c r="AFQ887" s="16"/>
      <c r="AFR887" s="16"/>
      <c r="AFS887" s="16"/>
      <c r="AFT887" s="16"/>
      <c r="AFU887" s="16"/>
      <c r="AFV887" s="16"/>
      <c r="AFW887" s="16"/>
      <c r="AFX887" s="16"/>
      <c r="AFY887" s="16"/>
      <c r="AFZ887" s="16"/>
      <c r="AGA887" s="16"/>
      <c r="AGB887" s="16"/>
      <c r="AGC887" s="16"/>
      <c r="AGD887" s="16"/>
      <c r="AGE887" s="16"/>
      <c r="AGF887" s="16"/>
      <c r="AGG887" s="16"/>
      <c r="AGH887" s="16"/>
      <c r="AGI887" s="16"/>
      <c r="AGJ887" s="16"/>
    </row>
    <row r="888" spans="1:868" s="853" customFormat="1" hidden="1">
      <c r="A888" s="152" t="s">
        <v>130</v>
      </c>
      <c r="B888" s="34" t="s">
        <v>251</v>
      </c>
      <c r="C888" s="40" t="s">
        <v>147</v>
      </c>
      <c r="D888" s="34" t="s">
        <v>99</v>
      </c>
      <c r="E888" s="260">
        <v>0.14560939849272989</v>
      </c>
      <c r="F888" s="235">
        <v>1</v>
      </c>
      <c r="G888" s="40"/>
      <c r="H888" s="29">
        <v>2</v>
      </c>
      <c r="I888" s="9">
        <v>2</v>
      </c>
      <c r="J888" s="9">
        <v>2</v>
      </c>
      <c r="K888" s="9">
        <v>2</v>
      </c>
      <c r="L888" s="9">
        <v>1</v>
      </c>
      <c r="M888" s="9">
        <v>2</v>
      </c>
      <c r="N888" s="186">
        <f t="shared" ref="N888:N951" si="49">IF( OR( ISBLANK(H888),ISBLANK(J888), ISBLANK(K888), ISBLANK(L888), ISBLANK(M888) ), "", 1.5*SQRT(   EXP(2.21*(H888-1)) + EXP(2.21*(J888-1)) + EXP(2.21*(K888-1)) + EXP(2.21*(L888-1)) + EXP(2.21*M888)   )/100*2.45 )</f>
        <v>0.38795788889711302</v>
      </c>
      <c r="O888" s="160">
        <f t="shared" ref="O888:O940" si="50">IF( OR( ISBLANK(I888),ISBLANK(J888), ISBLANK(K888), ISBLANK(L888), ISBLANK(M888) ), "", 1.5*SQRT( EXP(2.21*(I888-1)) + EXP(2.21*(J888-1)) + EXP(2.21*(K888-1)) + EXP(2.21*(L888-1)) + EXP(2.21*M888)   )/100*2.45 )</f>
        <v>0.38795788889711302</v>
      </c>
      <c r="P888" s="63"/>
      <c r="Q888" s="16"/>
      <c r="R888" s="16"/>
      <c r="S888" s="16"/>
      <c r="T888" s="16"/>
      <c r="U888" s="16"/>
      <c r="V888" s="16"/>
      <c r="W888" s="16"/>
      <c r="X888" s="16"/>
      <c r="Y888" s="16"/>
      <c r="Z888" s="16"/>
      <c r="AA888" s="16"/>
      <c r="AB888" s="16"/>
      <c r="AC888" s="16"/>
      <c r="AD888" s="16"/>
      <c r="AE888" s="16"/>
      <c r="AF888" s="16"/>
      <c r="AG888" s="16"/>
      <c r="AH888" s="16"/>
      <c r="AI888" s="16"/>
      <c r="AJ888" s="16"/>
      <c r="AK888" s="16"/>
      <c r="AL888" s="16"/>
      <c r="AM888" s="16"/>
      <c r="AN888" s="16"/>
      <c r="AO888" s="16"/>
      <c r="AP888" s="16"/>
      <c r="AQ888" s="16"/>
      <c r="AR888" s="16"/>
      <c r="AS888" s="16"/>
      <c r="AT888" s="16"/>
      <c r="AU888" s="16"/>
      <c r="AV888" s="16"/>
      <c r="AW888" s="16"/>
      <c r="AX888" s="16"/>
      <c r="AY888" s="16"/>
      <c r="AZ888" s="16"/>
      <c r="BA888" s="16"/>
      <c r="BB888" s="16"/>
      <c r="BC888" s="16"/>
      <c r="BD888" s="16"/>
      <c r="BE888" s="16"/>
      <c r="BF888" s="16"/>
      <c r="BG888" s="16"/>
      <c r="BH888" s="16"/>
      <c r="BI888" s="16"/>
      <c r="BJ888" s="16"/>
      <c r="BK888" s="16"/>
      <c r="BL888" s="16"/>
      <c r="BM888" s="16"/>
      <c r="BN888" s="16"/>
      <c r="BO888" s="16"/>
      <c r="BP888" s="16"/>
      <c r="BQ888" s="16"/>
      <c r="BR888" s="16"/>
      <c r="BS888" s="16"/>
      <c r="BT888" s="16"/>
      <c r="BU888" s="16"/>
      <c r="BV888" s="16"/>
      <c r="BW888" s="16"/>
      <c r="BX888" s="16"/>
      <c r="BY888" s="16"/>
      <c r="BZ888" s="16"/>
      <c r="CA888" s="16"/>
      <c r="CB888" s="16"/>
      <c r="CC888" s="16"/>
      <c r="CD888" s="16"/>
      <c r="CE888" s="16"/>
      <c r="CF888" s="16"/>
      <c r="CG888" s="16"/>
      <c r="CH888" s="16"/>
      <c r="CI888" s="16"/>
      <c r="CJ888" s="16"/>
      <c r="CK888" s="16"/>
      <c r="CL888" s="16"/>
      <c r="CM888" s="16"/>
      <c r="CN888" s="16"/>
      <c r="CO888" s="16"/>
      <c r="CP888" s="16"/>
      <c r="CQ888" s="16"/>
      <c r="CR888" s="16"/>
      <c r="CS888" s="16"/>
      <c r="CT888" s="16"/>
      <c r="CU888" s="16"/>
      <c r="CV888" s="16"/>
      <c r="CW888" s="16"/>
      <c r="CX888" s="16"/>
      <c r="CY888" s="16"/>
      <c r="CZ888" s="16"/>
      <c r="DA888" s="16"/>
      <c r="DB888" s="16"/>
      <c r="DC888" s="16"/>
      <c r="DD888" s="16"/>
      <c r="DE888" s="16"/>
      <c r="DF888" s="16"/>
      <c r="DG888" s="16"/>
      <c r="DH888" s="16"/>
      <c r="DI888" s="16"/>
      <c r="DJ888" s="16"/>
      <c r="DK888" s="16"/>
      <c r="DL888" s="16"/>
      <c r="DM888" s="16"/>
      <c r="DN888" s="16"/>
      <c r="DO888" s="16"/>
      <c r="DP888" s="16"/>
      <c r="DQ888" s="16"/>
      <c r="DR888" s="16"/>
      <c r="DS888" s="16"/>
      <c r="DT888" s="16"/>
      <c r="DU888" s="16"/>
      <c r="DV888" s="16"/>
      <c r="DW888" s="16"/>
      <c r="DX888" s="16"/>
      <c r="DY888" s="16"/>
      <c r="DZ888" s="16"/>
      <c r="EA888" s="16"/>
      <c r="EB888" s="16"/>
      <c r="EC888" s="16"/>
      <c r="ED888" s="16"/>
      <c r="EE888" s="16"/>
      <c r="EF888" s="16"/>
      <c r="EG888" s="16"/>
      <c r="EH888" s="16"/>
      <c r="EI888" s="16"/>
      <c r="EJ888" s="16"/>
      <c r="EK888" s="16"/>
      <c r="EL888" s="16"/>
      <c r="EM888" s="16"/>
      <c r="EN888" s="16"/>
      <c r="EO888" s="16"/>
      <c r="EP888" s="16"/>
      <c r="EQ888" s="16"/>
      <c r="ER888" s="16"/>
      <c r="ES888" s="16"/>
      <c r="ET888" s="16"/>
      <c r="EU888" s="16"/>
      <c r="EV888" s="16"/>
      <c r="EW888" s="16"/>
      <c r="EX888" s="16"/>
      <c r="EY888" s="16"/>
      <c r="EZ888" s="16"/>
      <c r="FA888" s="16"/>
      <c r="FB888" s="16"/>
      <c r="FC888" s="16"/>
      <c r="FD888" s="16"/>
      <c r="FE888" s="16"/>
      <c r="FF888" s="16"/>
      <c r="FG888" s="16"/>
      <c r="FH888" s="16"/>
      <c r="FI888" s="16"/>
      <c r="FJ888" s="16"/>
      <c r="FK888" s="16"/>
      <c r="FL888" s="16"/>
      <c r="FM888" s="16"/>
      <c r="FN888" s="16"/>
      <c r="FO888" s="16"/>
      <c r="FP888" s="16"/>
      <c r="FQ888" s="16"/>
      <c r="FR888" s="16"/>
      <c r="FS888" s="16"/>
      <c r="FT888" s="16"/>
      <c r="FU888" s="16"/>
      <c r="FV888" s="16"/>
      <c r="FW888" s="16"/>
      <c r="FX888" s="16"/>
      <c r="FY888" s="16"/>
      <c r="FZ888" s="16"/>
      <c r="GA888" s="16"/>
      <c r="GB888" s="16"/>
      <c r="GC888" s="16"/>
      <c r="GD888" s="16"/>
      <c r="GE888" s="16"/>
      <c r="GF888" s="16"/>
      <c r="GG888" s="16"/>
      <c r="GH888" s="16"/>
      <c r="GI888" s="16"/>
      <c r="GJ888" s="16"/>
      <c r="GK888" s="16"/>
      <c r="GL888" s="16"/>
      <c r="GM888" s="16"/>
      <c r="GN888" s="16"/>
      <c r="GO888" s="16"/>
      <c r="GP888" s="16"/>
      <c r="GQ888" s="16"/>
      <c r="GR888" s="16"/>
      <c r="GS888" s="16"/>
      <c r="GT888" s="16"/>
      <c r="GU888" s="16"/>
      <c r="GV888" s="16"/>
      <c r="GW888" s="16"/>
      <c r="GX888" s="16"/>
      <c r="GY888" s="16"/>
      <c r="GZ888" s="16"/>
      <c r="HA888" s="16"/>
      <c r="HB888" s="16"/>
      <c r="HC888" s="16"/>
      <c r="HD888" s="16"/>
      <c r="HE888" s="16"/>
      <c r="HF888" s="16"/>
      <c r="HG888" s="16"/>
      <c r="HH888" s="16"/>
      <c r="HI888" s="16"/>
      <c r="HJ888" s="16"/>
      <c r="HK888" s="16"/>
      <c r="HL888" s="16"/>
      <c r="HM888" s="16"/>
      <c r="HN888" s="16"/>
      <c r="HO888" s="16"/>
      <c r="HP888" s="16"/>
      <c r="HQ888" s="16"/>
      <c r="HR888" s="16"/>
      <c r="HS888" s="16"/>
      <c r="HT888" s="16"/>
      <c r="HU888" s="16"/>
      <c r="HV888" s="16"/>
      <c r="HW888" s="16"/>
      <c r="HX888" s="16"/>
      <c r="HY888" s="16"/>
      <c r="HZ888" s="16"/>
      <c r="IA888" s="16"/>
      <c r="IB888" s="16"/>
      <c r="IC888" s="16"/>
      <c r="ID888" s="16"/>
      <c r="IE888" s="16"/>
      <c r="IF888" s="16"/>
      <c r="IG888" s="16"/>
      <c r="IH888" s="16"/>
      <c r="II888" s="16"/>
      <c r="IJ888" s="16"/>
      <c r="IK888" s="16"/>
      <c r="IL888" s="16"/>
      <c r="IM888" s="16"/>
      <c r="IN888" s="16"/>
      <c r="IO888" s="16"/>
      <c r="IP888" s="16"/>
      <c r="IQ888" s="16"/>
      <c r="IR888" s="16"/>
      <c r="IS888" s="16"/>
      <c r="IT888" s="16"/>
      <c r="IU888" s="16"/>
      <c r="IV888" s="16"/>
      <c r="IW888" s="16"/>
      <c r="IX888" s="16"/>
      <c r="IY888" s="16"/>
      <c r="IZ888" s="16"/>
      <c r="JA888" s="16"/>
      <c r="JB888" s="16"/>
      <c r="JC888" s="16"/>
      <c r="JD888" s="16"/>
      <c r="JE888" s="16"/>
      <c r="JF888" s="16"/>
      <c r="JG888" s="16"/>
      <c r="JH888" s="16"/>
      <c r="JI888" s="16"/>
      <c r="JJ888" s="16"/>
      <c r="JK888" s="16"/>
      <c r="JL888" s="16"/>
      <c r="JM888" s="16"/>
      <c r="JN888" s="16"/>
      <c r="JO888" s="16"/>
      <c r="JP888" s="16"/>
      <c r="JQ888" s="16"/>
      <c r="JR888" s="16"/>
      <c r="JS888" s="16"/>
      <c r="JT888" s="16"/>
      <c r="JU888" s="16"/>
      <c r="JV888" s="16"/>
      <c r="JW888" s="16"/>
      <c r="JX888" s="16"/>
      <c r="JY888" s="16"/>
      <c r="JZ888" s="16"/>
      <c r="KA888" s="16"/>
      <c r="KB888" s="16"/>
      <c r="KC888" s="16"/>
      <c r="KD888" s="16"/>
      <c r="KE888" s="16"/>
      <c r="KF888" s="16"/>
      <c r="KG888" s="16"/>
      <c r="KH888" s="16"/>
      <c r="KI888" s="16"/>
      <c r="KJ888" s="16"/>
      <c r="KK888" s="16"/>
      <c r="KL888" s="16"/>
      <c r="KM888" s="16"/>
      <c r="KN888" s="16"/>
      <c r="KO888" s="16"/>
      <c r="KP888" s="16"/>
      <c r="KQ888" s="16"/>
      <c r="KR888" s="16"/>
      <c r="KS888" s="16"/>
      <c r="KT888" s="16"/>
      <c r="KU888" s="16"/>
      <c r="KV888" s="16"/>
      <c r="KW888" s="16"/>
      <c r="KX888" s="16"/>
      <c r="KY888" s="16"/>
      <c r="KZ888" s="16"/>
      <c r="LA888" s="16"/>
      <c r="LB888" s="16"/>
      <c r="LC888" s="16"/>
      <c r="LD888" s="16"/>
      <c r="LE888" s="16"/>
      <c r="LF888" s="16"/>
      <c r="LG888" s="16"/>
      <c r="LH888" s="16"/>
      <c r="LI888" s="16"/>
      <c r="LJ888" s="16"/>
      <c r="LK888" s="16"/>
      <c r="LL888" s="16"/>
      <c r="LM888" s="16"/>
      <c r="LN888" s="16"/>
      <c r="LO888" s="16"/>
      <c r="LP888" s="16"/>
      <c r="LQ888" s="16"/>
      <c r="LR888" s="16"/>
      <c r="LS888" s="16"/>
      <c r="LT888" s="16"/>
      <c r="LU888" s="16"/>
      <c r="LV888" s="16"/>
      <c r="LW888" s="16"/>
      <c r="LX888" s="16"/>
      <c r="LY888" s="16"/>
      <c r="LZ888" s="16"/>
      <c r="MA888" s="16"/>
      <c r="MB888" s="16"/>
      <c r="MC888" s="16"/>
      <c r="MD888" s="16"/>
      <c r="ME888" s="16"/>
      <c r="MF888" s="16"/>
      <c r="MG888" s="16"/>
      <c r="MH888" s="16"/>
      <c r="MI888" s="16"/>
      <c r="MJ888" s="16"/>
      <c r="MK888" s="16"/>
      <c r="ML888" s="16"/>
      <c r="MM888" s="16"/>
      <c r="MN888" s="16"/>
      <c r="MO888" s="16"/>
      <c r="MP888" s="16"/>
      <c r="MQ888" s="16"/>
      <c r="MR888" s="16"/>
      <c r="MS888" s="16"/>
      <c r="MT888" s="16"/>
      <c r="MU888" s="16"/>
      <c r="MV888" s="16"/>
      <c r="MW888" s="16"/>
      <c r="MX888" s="16"/>
      <c r="MY888" s="16"/>
      <c r="MZ888" s="16"/>
      <c r="NA888" s="16"/>
      <c r="NB888" s="16"/>
      <c r="NC888" s="16"/>
      <c r="ND888" s="16"/>
      <c r="NE888" s="16"/>
      <c r="NF888" s="16"/>
      <c r="NG888" s="16"/>
      <c r="NH888" s="16"/>
      <c r="NI888" s="16"/>
      <c r="NJ888" s="16"/>
      <c r="NK888" s="16"/>
      <c r="NL888" s="16"/>
      <c r="NM888" s="16"/>
      <c r="NN888" s="16"/>
      <c r="NO888" s="16"/>
      <c r="NP888" s="16"/>
      <c r="NQ888" s="16"/>
      <c r="NR888" s="16"/>
      <c r="NS888" s="16"/>
      <c r="NT888" s="16"/>
      <c r="NU888" s="16"/>
      <c r="NV888" s="16"/>
      <c r="NW888" s="16"/>
      <c r="NX888" s="16"/>
      <c r="NY888" s="16"/>
      <c r="NZ888" s="16"/>
      <c r="OA888" s="16"/>
      <c r="OB888" s="16"/>
      <c r="OC888" s="16"/>
      <c r="OD888" s="16"/>
      <c r="OE888" s="16"/>
      <c r="OF888" s="16"/>
      <c r="OG888" s="16"/>
      <c r="OH888" s="16"/>
      <c r="OI888" s="16"/>
      <c r="OJ888" s="16"/>
      <c r="OK888" s="16"/>
      <c r="OL888" s="16"/>
      <c r="OM888" s="16"/>
      <c r="ON888" s="16"/>
      <c r="OO888" s="16"/>
      <c r="OP888" s="16"/>
      <c r="OQ888" s="16"/>
      <c r="OR888" s="16"/>
      <c r="OS888" s="16"/>
      <c r="OT888" s="16"/>
      <c r="OU888" s="16"/>
      <c r="OV888" s="16"/>
      <c r="OW888" s="16"/>
      <c r="OX888" s="16"/>
      <c r="OY888" s="16"/>
      <c r="OZ888" s="16"/>
      <c r="PA888" s="16"/>
      <c r="PB888" s="16"/>
      <c r="PC888" s="16"/>
      <c r="PD888" s="16"/>
      <c r="PE888" s="16"/>
      <c r="PF888" s="16"/>
      <c r="PG888" s="16"/>
      <c r="PH888" s="16"/>
      <c r="PI888" s="16"/>
      <c r="PJ888" s="16"/>
      <c r="PK888" s="16"/>
      <c r="PL888" s="16"/>
      <c r="PM888" s="16"/>
      <c r="PN888" s="16"/>
      <c r="PO888" s="16"/>
      <c r="PP888" s="16"/>
      <c r="PQ888" s="16"/>
      <c r="PR888" s="16"/>
      <c r="PS888" s="16"/>
      <c r="PT888" s="16"/>
      <c r="PU888" s="16"/>
      <c r="PV888" s="16"/>
      <c r="PW888" s="16"/>
      <c r="PX888" s="16"/>
      <c r="PY888" s="16"/>
      <c r="PZ888" s="16"/>
      <c r="QA888" s="16"/>
      <c r="QB888" s="16"/>
      <c r="QC888" s="16"/>
      <c r="QD888" s="16"/>
      <c r="QE888" s="16"/>
      <c r="QF888" s="16"/>
      <c r="QG888" s="16"/>
      <c r="QH888" s="16"/>
      <c r="QI888" s="16"/>
      <c r="QJ888" s="16"/>
      <c r="QK888" s="16"/>
      <c r="QL888" s="16"/>
      <c r="QM888" s="16"/>
      <c r="QN888" s="16"/>
      <c r="QO888" s="16"/>
      <c r="QP888" s="16"/>
      <c r="QQ888" s="16"/>
      <c r="QR888" s="16"/>
      <c r="QS888" s="16"/>
      <c r="QT888" s="16"/>
      <c r="QU888" s="16"/>
      <c r="QV888" s="16"/>
      <c r="QW888" s="16"/>
      <c r="QX888" s="16"/>
      <c r="QY888" s="16"/>
      <c r="QZ888" s="16"/>
      <c r="RA888" s="16"/>
      <c r="RB888" s="16"/>
      <c r="RC888" s="16"/>
      <c r="RD888" s="16"/>
      <c r="RE888" s="16"/>
      <c r="RF888" s="16"/>
      <c r="RG888" s="16"/>
      <c r="RH888" s="16"/>
      <c r="RI888" s="16"/>
      <c r="RJ888" s="16"/>
      <c r="RK888" s="16"/>
      <c r="RL888" s="16"/>
      <c r="RM888" s="16"/>
      <c r="RN888" s="16"/>
      <c r="RO888" s="16"/>
      <c r="RP888" s="16"/>
      <c r="RQ888" s="16"/>
      <c r="RR888" s="16"/>
      <c r="RS888" s="16"/>
      <c r="RT888" s="16"/>
      <c r="RU888" s="16"/>
      <c r="RV888" s="16"/>
      <c r="RW888" s="16"/>
      <c r="RX888" s="16"/>
      <c r="RY888" s="16"/>
      <c r="RZ888" s="16"/>
      <c r="SA888" s="16"/>
      <c r="SB888" s="16"/>
      <c r="SC888" s="16"/>
      <c r="SD888" s="16"/>
      <c r="SE888" s="16"/>
      <c r="SF888" s="16"/>
      <c r="SG888" s="16"/>
      <c r="SH888" s="16"/>
      <c r="SI888" s="16"/>
      <c r="SJ888" s="16"/>
      <c r="SK888" s="16"/>
      <c r="SL888" s="16"/>
      <c r="SM888" s="16"/>
      <c r="SN888" s="16"/>
      <c r="SO888" s="16"/>
      <c r="SP888" s="16"/>
      <c r="SQ888" s="16"/>
      <c r="SR888" s="16"/>
      <c r="SS888" s="16"/>
      <c r="ST888" s="16"/>
      <c r="SU888" s="16"/>
      <c r="SV888" s="16"/>
      <c r="SW888" s="16"/>
      <c r="SX888" s="16"/>
      <c r="SY888" s="16"/>
      <c r="SZ888" s="16"/>
      <c r="TA888" s="16"/>
      <c r="TB888" s="16"/>
      <c r="TC888" s="16"/>
      <c r="TD888" s="16"/>
      <c r="TE888" s="16"/>
      <c r="TF888" s="16"/>
      <c r="TG888" s="16"/>
      <c r="TH888" s="16"/>
      <c r="TI888" s="16"/>
      <c r="TJ888" s="16"/>
      <c r="TK888" s="16"/>
      <c r="TL888" s="16"/>
      <c r="TM888" s="16"/>
      <c r="TN888" s="16"/>
      <c r="TO888" s="16"/>
      <c r="TP888" s="16"/>
      <c r="TQ888" s="16"/>
      <c r="TR888" s="16"/>
      <c r="TS888" s="16"/>
      <c r="TT888" s="16"/>
      <c r="TU888" s="16"/>
      <c r="TV888" s="16"/>
      <c r="TW888" s="16"/>
      <c r="TX888" s="16"/>
      <c r="TY888" s="16"/>
      <c r="TZ888" s="16"/>
      <c r="UA888" s="16"/>
      <c r="UB888" s="16"/>
      <c r="UC888" s="16"/>
      <c r="UD888" s="16"/>
      <c r="UE888" s="16"/>
      <c r="UF888" s="16"/>
      <c r="UG888" s="16"/>
      <c r="UH888" s="16"/>
      <c r="UI888" s="16"/>
      <c r="UJ888" s="16"/>
      <c r="UK888" s="16"/>
      <c r="UL888" s="16"/>
      <c r="UM888" s="16"/>
      <c r="UN888" s="16"/>
      <c r="UO888" s="16"/>
      <c r="UP888" s="16"/>
      <c r="UQ888" s="16"/>
      <c r="UR888" s="16"/>
      <c r="US888" s="16"/>
      <c r="UT888" s="16"/>
      <c r="UU888" s="16"/>
      <c r="UV888" s="16"/>
      <c r="UW888" s="16"/>
      <c r="UX888" s="16"/>
      <c r="UY888" s="16"/>
      <c r="UZ888" s="16"/>
      <c r="VA888" s="16"/>
      <c r="VB888" s="16"/>
      <c r="VC888" s="16"/>
      <c r="VD888" s="16"/>
      <c r="VE888" s="16"/>
      <c r="VF888" s="16"/>
      <c r="VG888" s="16"/>
      <c r="VH888" s="16"/>
      <c r="VI888" s="16"/>
      <c r="VJ888" s="16"/>
      <c r="VK888" s="16"/>
      <c r="VL888" s="16"/>
      <c r="VM888" s="16"/>
      <c r="VN888" s="16"/>
      <c r="VO888" s="16"/>
      <c r="VP888" s="16"/>
      <c r="VQ888" s="16"/>
      <c r="VR888" s="16"/>
      <c r="VS888" s="16"/>
      <c r="VT888" s="16"/>
      <c r="VU888" s="16"/>
      <c r="VV888" s="16"/>
      <c r="VW888" s="16"/>
      <c r="VX888" s="16"/>
      <c r="VY888" s="16"/>
      <c r="VZ888" s="16"/>
      <c r="WA888" s="16"/>
      <c r="WB888" s="16"/>
      <c r="WC888" s="16"/>
      <c r="WD888" s="16"/>
      <c r="WE888" s="16"/>
      <c r="WF888" s="16"/>
      <c r="WG888" s="16"/>
      <c r="WH888" s="16"/>
      <c r="WI888" s="16"/>
      <c r="WJ888" s="16"/>
      <c r="WK888" s="16"/>
      <c r="WL888" s="16"/>
      <c r="WM888" s="16"/>
      <c r="WN888" s="16"/>
      <c r="WO888" s="16"/>
      <c r="WP888" s="16"/>
      <c r="WQ888" s="16"/>
      <c r="WR888" s="16"/>
      <c r="WS888" s="16"/>
      <c r="WT888" s="16"/>
      <c r="WU888" s="16"/>
      <c r="WV888" s="16"/>
      <c r="WW888" s="16"/>
      <c r="WX888" s="16"/>
      <c r="WY888" s="16"/>
      <c r="WZ888" s="16"/>
      <c r="XA888" s="16"/>
      <c r="XB888" s="16"/>
      <c r="XC888" s="16"/>
      <c r="XD888" s="16"/>
      <c r="XE888" s="16"/>
      <c r="XF888" s="16"/>
      <c r="XG888" s="16"/>
      <c r="XH888" s="16"/>
      <c r="XI888" s="16"/>
      <c r="XJ888" s="16"/>
      <c r="XK888" s="16"/>
      <c r="XL888" s="16"/>
      <c r="XM888" s="16"/>
      <c r="XN888" s="16"/>
      <c r="XO888" s="16"/>
      <c r="XP888" s="16"/>
      <c r="XQ888" s="16"/>
      <c r="XR888" s="16"/>
      <c r="XS888" s="16"/>
      <c r="XT888" s="16"/>
      <c r="XU888" s="16"/>
      <c r="XV888" s="16"/>
      <c r="XW888" s="16"/>
      <c r="XX888" s="16"/>
      <c r="XY888" s="16"/>
      <c r="XZ888" s="16"/>
      <c r="YA888" s="16"/>
      <c r="YB888" s="16"/>
      <c r="YC888" s="16"/>
      <c r="YD888" s="16"/>
      <c r="YE888" s="16"/>
      <c r="YF888" s="16"/>
      <c r="YG888" s="16"/>
      <c r="YH888" s="16"/>
      <c r="YI888" s="16"/>
      <c r="YJ888" s="16"/>
      <c r="YK888" s="16"/>
      <c r="YL888" s="16"/>
      <c r="YM888" s="16"/>
      <c r="YN888" s="16"/>
      <c r="YO888" s="16"/>
      <c r="YP888" s="16"/>
      <c r="YQ888" s="16"/>
      <c r="YR888" s="16"/>
      <c r="YS888" s="16"/>
      <c r="YT888" s="16"/>
      <c r="YU888" s="16"/>
      <c r="YV888" s="16"/>
      <c r="YW888" s="16"/>
      <c r="YX888" s="16"/>
      <c r="YY888" s="16"/>
      <c r="YZ888" s="16"/>
      <c r="ZA888" s="16"/>
      <c r="ZB888" s="16"/>
      <c r="ZC888" s="16"/>
      <c r="ZD888" s="16"/>
      <c r="ZE888" s="16"/>
      <c r="ZF888" s="16"/>
      <c r="ZG888" s="16"/>
      <c r="ZH888" s="16"/>
      <c r="ZI888" s="16"/>
      <c r="ZJ888" s="16"/>
      <c r="ZK888" s="16"/>
      <c r="ZL888" s="16"/>
      <c r="ZM888" s="16"/>
      <c r="ZN888" s="16"/>
      <c r="ZO888" s="16"/>
      <c r="ZP888" s="16"/>
      <c r="ZQ888" s="16"/>
      <c r="ZR888" s="16"/>
      <c r="ZS888" s="16"/>
      <c r="ZT888" s="16"/>
      <c r="ZU888" s="16"/>
      <c r="ZV888" s="16"/>
      <c r="ZW888" s="16"/>
      <c r="ZX888" s="16"/>
      <c r="ZY888" s="16"/>
      <c r="ZZ888" s="16"/>
      <c r="AAA888" s="16"/>
      <c r="AAB888" s="16"/>
      <c r="AAC888" s="16"/>
      <c r="AAD888" s="16"/>
      <c r="AAE888" s="16"/>
      <c r="AAF888" s="16"/>
      <c r="AAG888" s="16"/>
      <c r="AAH888" s="16"/>
      <c r="AAI888" s="16"/>
      <c r="AAJ888" s="16"/>
      <c r="AAK888" s="16"/>
      <c r="AAL888" s="16"/>
      <c r="AAM888" s="16"/>
      <c r="AAN888" s="16"/>
      <c r="AAO888" s="16"/>
      <c r="AAP888" s="16"/>
      <c r="AAQ888" s="16"/>
      <c r="AAR888" s="16"/>
      <c r="AAS888" s="16"/>
      <c r="AAT888" s="16"/>
      <c r="AAU888" s="16"/>
      <c r="AAV888" s="16"/>
      <c r="AAW888" s="16"/>
      <c r="AAX888" s="16"/>
      <c r="AAY888" s="16"/>
      <c r="AAZ888" s="16"/>
      <c r="ABA888" s="16"/>
      <c r="ABB888" s="16"/>
      <c r="ABC888" s="16"/>
      <c r="ABD888" s="16"/>
      <c r="ABE888" s="16"/>
      <c r="ABF888" s="16"/>
      <c r="ABG888" s="16"/>
      <c r="ABH888" s="16"/>
      <c r="ABI888" s="16"/>
      <c r="ABJ888" s="16"/>
      <c r="ABK888" s="16"/>
      <c r="ABL888" s="16"/>
      <c r="ABM888" s="16"/>
      <c r="ABN888" s="16"/>
      <c r="ABO888" s="16"/>
      <c r="ABP888" s="16"/>
      <c r="ABQ888" s="16"/>
      <c r="ABR888" s="16"/>
      <c r="ABS888" s="16"/>
      <c r="ABT888" s="16"/>
      <c r="ABU888" s="16"/>
      <c r="ABV888" s="16"/>
      <c r="ABW888" s="16"/>
      <c r="ABX888" s="16"/>
      <c r="ABY888" s="16"/>
      <c r="ABZ888" s="16"/>
      <c r="ACA888" s="16"/>
      <c r="ACB888" s="16"/>
      <c r="ACC888" s="16"/>
      <c r="ACD888" s="16"/>
      <c r="ACE888" s="16"/>
      <c r="ACF888" s="16"/>
      <c r="ACG888" s="16"/>
      <c r="ACH888" s="16"/>
      <c r="ACI888" s="16"/>
      <c r="ACJ888" s="16"/>
      <c r="ACK888" s="16"/>
      <c r="ACL888" s="16"/>
      <c r="ACM888" s="16"/>
      <c r="ACN888" s="16"/>
      <c r="ACO888" s="16"/>
      <c r="ACP888" s="16"/>
      <c r="ACQ888" s="16"/>
      <c r="ACR888" s="16"/>
      <c r="ACS888" s="16"/>
      <c r="ACT888" s="16"/>
      <c r="ACU888" s="16"/>
      <c r="ACV888" s="16"/>
      <c r="ACW888" s="16"/>
      <c r="ACX888" s="16"/>
      <c r="ACY888" s="16"/>
      <c r="ACZ888" s="16"/>
      <c r="ADA888" s="16"/>
      <c r="ADB888" s="16"/>
      <c r="ADC888" s="16"/>
      <c r="ADD888" s="16"/>
      <c r="ADE888" s="16"/>
      <c r="ADF888" s="16"/>
      <c r="ADG888" s="16"/>
      <c r="ADH888" s="16"/>
      <c r="ADI888" s="16"/>
      <c r="ADJ888" s="16"/>
      <c r="ADK888" s="16"/>
      <c r="ADL888" s="16"/>
      <c r="ADM888" s="16"/>
      <c r="ADN888" s="16"/>
      <c r="ADO888" s="16"/>
      <c r="ADP888" s="16"/>
      <c r="ADQ888" s="16"/>
      <c r="ADR888" s="16"/>
      <c r="ADS888" s="16"/>
      <c r="ADT888" s="16"/>
      <c r="ADU888" s="16"/>
      <c r="ADV888" s="16"/>
      <c r="ADW888" s="16"/>
      <c r="ADX888" s="16"/>
      <c r="ADY888" s="16"/>
      <c r="ADZ888" s="16"/>
      <c r="AEA888" s="16"/>
      <c r="AEB888" s="16"/>
      <c r="AEC888" s="16"/>
      <c r="AED888" s="16"/>
      <c r="AEE888" s="16"/>
      <c r="AEF888" s="16"/>
      <c r="AEG888" s="16"/>
      <c r="AEH888" s="16"/>
      <c r="AEI888" s="16"/>
      <c r="AEJ888" s="16"/>
      <c r="AEK888" s="16"/>
      <c r="AEL888" s="16"/>
      <c r="AEM888" s="16"/>
      <c r="AEN888" s="16"/>
      <c r="AEO888" s="16"/>
      <c r="AEP888" s="16"/>
      <c r="AEQ888" s="16"/>
      <c r="AER888" s="16"/>
      <c r="AES888" s="16"/>
      <c r="AET888" s="16"/>
      <c r="AEU888" s="16"/>
      <c r="AEV888" s="16"/>
      <c r="AEW888" s="16"/>
      <c r="AEX888" s="16"/>
      <c r="AEY888" s="16"/>
      <c r="AEZ888" s="16"/>
      <c r="AFA888" s="16"/>
      <c r="AFB888" s="16"/>
      <c r="AFC888" s="16"/>
      <c r="AFD888" s="16"/>
      <c r="AFE888" s="16"/>
      <c r="AFF888" s="16"/>
      <c r="AFG888" s="16"/>
      <c r="AFH888" s="16"/>
      <c r="AFI888" s="16"/>
      <c r="AFJ888" s="16"/>
      <c r="AFK888" s="16"/>
      <c r="AFL888" s="16"/>
      <c r="AFM888" s="16"/>
      <c r="AFN888" s="16"/>
      <c r="AFO888" s="16"/>
      <c r="AFP888" s="16"/>
      <c r="AFQ888" s="16"/>
      <c r="AFR888" s="16"/>
      <c r="AFS888" s="16"/>
      <c r="AFT888" s="16"/>
      <c r="AFU888" s="16"/>
      <c r="AFV888" s="16"/>
      <c r="AFW888" s="16"/>
      <c r="AFX888" s="16"/>
      <c r="AFY888" s="16"/>
      <c r="AFZ888" s="16"/>
      <c r="AGA888" s="16"/>
      <c r="AGB888" s="16"/>
      <c r="AGC888" s="16"/>
      <c r="AGD888" s="16"/>
      <c r="AGE888" s="16"/>
      <c r="AGF888" s="16"/>
      <c r="AGG888" s="16"/>
      <c r="AGH888" s="16"/>
      <c r="AGI888" s="16"/>
      <c r="AGJ888" s="16"/>
    </row>
    <row r="889" spans="1:868" hidden="1">
      <c r="A889" s="152" t="s">
        <v>130</v>
      </c>
      <c r="B889" s="34" t="s">
        <v>251</v>
      </c>
      <c r="C889" s="40" t="s">
        <v>147</v>
      </c>
      <c r="D889" s="34" t="s">
        <v>103</v>
      </c>
      <c r="E889" s="260">
        <v>0.11212684313172752</v>
      </c>
      <c r="F889" s="235">
        <v>1</v>
      </c>
      <c r="G889" s="40"/>
      <c r="H889" s="29">
        <v>2</v>
      </c>
      <c r="I889" s="9">
        <v>2</v>
      </c>
      <c r="J889" s="9">
        <v>2</v>
      </c>
      <c r="K889" s="9">
        <v>2</v>
      </c>
      <c r="L889" s="9">
        <v>1</v>
      </c>
      <c r="M889" s="9">
        <v>2</v>
      </c>
      <c r="N889" s="186">
        <f t="shared" si="49"/>
        <v>0.38795788889711302</v>
      </c>
      <c r="O889" s="160">
        <f t="shared" si="50"/>
        <v>0.38795788889711302</v>
      </c>
      <c r="P889" s="63"/>
    </row>
    <row r="890" spans="1:868" hidden="1">
      <c r="A890" s="152" t="s">
        <v>130</v>
      </c>
      <c r="B890" s="34" t="s">
        <v>251</v>
      </c>
      <c r="C890" s="40" t="s">
        <v>147</v>
      </c>
      <c r="D890" s="34" t="s">
        <v>107</v>
      </c>
      <c r="E890" s="260">
        <v>0</v>
      </c>
      <c r="F890" s="235">
        <v>1</v>
      </c>
      <c r="G890" s="40"/>
      <c r="H890" s="29"/>
      <c r="I890" s="9"/>
      <c r="J890" s="9"/>
      <c r="K890" s="9"/>
      <c r="L890" s="9"/>
      <c r="M890" s="9"/>
      <c r="N890" s="186" t="str">
        <f t="shared" si="49"/>
        <v/>
      </c>
      <c r="O890" s="160" t="str">
        <f t="shared" si="50"/>
        <v/>
      </c>
      <c r="P890" s="63"/>
    </row>
    <row r="891" spans="1:868" hidden="1">
      <c r="A891" s="152" t="s">
        <v>130</v>
      </c>
      <c r="B891" s="34" t="s">
        <v>365</v>
      </c>
      <c r="C891" s="40" t="s">
        <v>147</v>
      </c>
      <c r="D891" s="34" t="s">
        <v>93</v>
      </c>
      <c r="E891" s="260">
        <v>0</v>
      </c>
      <c r="F891" s="235">
        <v>1</v>
      </c>
      <c r="G891" s="40"/>
      <c r="H891" s="29"/>
      <c r="I891" s="9"/>
      <c r="J891" s="9"/>
      <c r="K891" s="9"/>
      <c r="L891" s="9"/>
      <c r="M891" s="9"/>
      <c r="N891" s="186" t="str">
        <f t="shared" si="49"/>
        <v/>
      </c>
      <c r="O891" s="160" t="str">
        <f t="shared" si="50"/>
        <v/>
      </c>
      <c r="P891" s="63"/>
    </row>
    <row r="892" spans="1:868" hidden="1">
      <c r="A892" s="152" t="s">
        <v>130</v>
      </c>
      <c r="B892" s="34" t="s">
        <v>365</v>
      </c>
      <c r="C892" s="40" t="s">
        <v>147</v>
      </c>
      <c r="D892" s="34" t="s">
        <v>94</v>
      </c>
      <c r="E892" s="260">
        <v>0</v>
      </c>
      <c r="F892" s="235">
        <v>1</v>
      </c>
      <c r="G892" s="40"/>
      <c r="H892" s="29"/>
      <c r="I892" s="9"/>
      <c r="J892" s="9"/>
      <c r="K892" s="9"/>
      <c r="L892" s="9"/>
      <c r="M892" s="9"/>
      <c r="N892" s="186" t="str">
        <f t="shared" si="49"/>
        <v/>
      </c>
      <c r="O892" s="160" t="str">
        <f t="shared" si="50"/>
        <v/>
      </c>
      <c r="P892" s="63"/>
    </row>
    <row r="893" spans="1:868" s="211" customFormat="1" ht="15.75" hidden="1" thickBot="1">
      <c r="A893" s="152" t="s">
        <v>130</v>
      </c>
      <c r="B893" s="34" t="s">
        <v>365</v>
      </c>
      <c r="C893" s="40" t="s">
        <v>147</v>
      </c>
      <c r="D893" s="34" t="s">
        <v>95</v>
      </c>
      <c r="E893" s="260">
        <v>0.23131990255872262</v>
      </c>
      <c r="F893" s="235">
        <v>1</v>
      </c>
      <c r="G893" s="40"/>
      <c r="H893" s="29">
        <v>3</v>
      </c>
      <c r="I893" s="9">
        <v>3</v>
      </c>
      <c r="J893" s="9">
        <v>2</v>
      </c>
      <c r="K893" s="9">
        <v>2</v>
      </c>
      <c r="L893" s="9">
        <v>1</v>
      </c>
      <c r="M893" s="9">
        <v>2</v>
      </c>
      <c r="N893" s="186">
        <f t="shared" si="49"/>
        <v>0.50042652380814845</v>
      </c>
      <c r="O893" s="160">
        <f t="shared" si="50"/>
        <v>0.50042652380814845</v>
      </c>
      <c r="P893" s="63"/>
      <c r="Q893" s="16"/>
      <c r="R893" s="16"/>
      <c r="S893" s="16"/>
      <c r="T893" s="16"/>
      <c r="U893" s="16"/>
      <c r="V893" s="16"/>
      <c r="W893" s="16"/>
      <c r="X893" s="16"/>
      <c r="Y893" s="16"/>
      <c r="Z893" s="16"/>
      <c r="AA893" s="16"/>
      <c r="AB893" s="16"/>
      <c r="AC893" s="16"/>
      <c r="AD893" s="16"/>
      <c r="AE893" s="16"/>
      <c r="AF893" s="16"/>
      <c r="AG893" s="16"/>
      <c r="AH893" s="16"/>
      <c r="AI893" s="16"/>
      <c r="AJ893" s="16"/>
      <c r="AK893" s="16"/>
      <c r="AL893" s="16"/>
      <c r="AM893" s="16"/>
      <c r="AN893" s="16"/>
      <c r="AO893" s="16"/>
      <c r="AP893" s="16"/>
      <c r="AQ893" s="16"/>
      <c r="AR893" s="16"/>
      <c r="AS893" s="16"/>
      <c r="AT893" s="16"/>
      <c r="AU893" s="16"/>
      <c r="AV893" s="16"/>
      <c r="AW893" s="16"/>
      <c r="AX893" s="16"/>
      <c r="AY893" s="16"/>
      <c r="AZ893" s="16"/>
      <c r="BA893" s="16"/>
      <c r="BB893" s="16"/>
      <c r="BC893" s="16"/>
      <c r="BD893" s="16"/>
      <c r="BE893" s="16"/>
      <c r="BF893" s="16"/>
      <c r="BG893" s="16"/>
      <c r="BH893" s="16"/>
      <c r="BI893" s="16"/>
      <c r="BJ893" s="16"/>
      <c r="BK893" s="16"/>
      <c r="BL893" s="16"/>
      <c r="BM893" s="16"/>
      <c r="BN893" s="16"/>
      <c r="BO893" s="16"/>
      <c r="BP893" s="16"/>
      <c r="BQ893" s="16"/>
      <c r="BR893" s="16"/>
      <c r="BS893" s="16"/>
      <c r="BT893" s="16"/>
      <c r="BU893" s="16"/>
      <c r="BV893" s="16"/>
      <c r="BW893" s="16"/>
      <c r="BX893" s="16"/>
      <c r="BY893" s="16"/>
      <c r="BZ893" s="16"/>
      <c r="CA893" s="16"/>
      <c r="CB893" s="16"/>
      <c r="CC893" s="16"/>
      <c r="CD893" s="16"/>
      <c r="CE893" s="16"/>
      <c r="CF893" s="16"/>
      <c r="CG893" s="16"/>
      <c r="CH893" s="16"/>
      <c r="CI893" s="16"/>
      <c r="CJ893" s="16"/>
      <c r="CK893" s="16"/>
      <c r="CL893" s="16"/>
      <c r="CM893" s="16"/>
      <c r="CN893" s="16"/>
      <c r="CO893" s="16"/>
      <c r="CP893" s="16"/>
      <c r="CQ893" s="16"/>
      <c r="CR893" s="16"/>
      <c r="CS893" s="16"/>
      <c r="CT893" s="16"/>
      <c r="CU893" s="16"/>
      <c r="CV893" s="16"/>
      <c r="CW893" s="16"/>
      <c r="CX893" s="16"/>
      <c r="CY893" s="16"/>
      <c r="CZ893" s="16"/>
      <c r="DA893" s="16"/>
      <c r="DB893" s="16"/>
      <c r="DC893" s="16"/>
      <c r="DD893" s="16"/>
      <c r="DE893" s="16"/>
      <c r="DF893" s="16"/>
      <c r="DG893" s="16"/>
      <c r="DH893" s="16"/>
      <c r="DI893" s="16"/>
      <c r="DJ893" s="16"/>
      <c r="DK893" s="16"/>
      <c r="DL893" s="16"/>
      <c r="DM893" s="16"/>
      <c r="DN893" s="16"/>
      <c r="DO893" s="16"/>
      <c r="DP893" s="16"/>
      <c r="DQ893" s="16"/>
      <c r="DR893" s="16"/>
      <c r="DS893" s="16"/>
      <c r="DT893" s="16"/>
      <c r="DU893" s="16"/>
      <c r="DV893" s="16"/>
      <c r="DW893" s="16"/>
      <c r="DX893" s="16"/>
      <c r="DY893" s="16"/>
      <c r="DZ893" s="16"/>
      <c r="EA893" s="16"/>
      <c r="EB893" s="16"/>
      <c r="EC893" s="16"/>
      <c r="ED893" s="16"/>
      <c r="EE893" s="16"/>
      <c r="EF893" s="16"/>
      <c r="EG893" s="16"/>
      <c r="EH893" s="16"/>
      <c r="EI893" s="16"/>
      <c r="EJ893" s="16"/>
      <c r="EK893" s="16"/>
      <c r="EL893" s="16"/>
      <c r="EM893" s="16"/>
      <c r="EN893" s="16"/>
      <c r="EO893" s="16"/>
      <c r="EP893" s="16"/>
      <c r="EQ893" s="16"/>
      <c r="ER893" s="16"/>
      <c r="ES893" s="16"/>
      <c r="ET893" s="16"/>
      <c r="EU893" s="16"/>
      <c r="EV893" s="16"/>
      <c r="EW893" s="16"/>
      <c r="EX893" s="16"/>
      <c r="EY893" s="16"/>
      <c r="EZ893" s="16"/>
      <c r="FA893" s="16"/>
      <c r="FB893" s="16"/>
      <c r="FC893" s="16"/>
      <c r="FD893" s="16"/>
      <c r="FE893" s="16"/>
      <c r="FF893" s="16"/>
      <c r="FG893" s="16"/>
      <c r="FH893" s="16"/>
      <c r="FI893" s="16"/>
      <c r="FJ893" s="16"/>
      <c r="FK893" s="16"/>
      <c r="FL893" s="16"/>
      <c r="FM893" s="16"/>
      <c r="FN893" s="16"/>
      <c r="FO893" s="16"/>
      <c r="FP893" s="16"/>
      <c r="FQ893" s="16"/>
      <c r="FR893" s="16"/>
      <c r="FS893" s="16"/>
      <c r="FT893" s="16"/>
      <c r="FU893" s="16"/>
      <c r="FV893" s="16"/>
      <c r="FW893" s="16"/>
      <c r="FX893" s="16"/>
      <c r="FY893" s="16"/>
      <c r="FZ893" s="16"/>
      <c r="GA893" s="16"/>
      <c r="GB893" s="16"/>
      <c r="GC893" s="16"/>
      <c r="GD893" s="16"/>
      <c r="GE893" s="16"/>
      <c r="GF893" s="16"/>
      <c r="GG893" s="16"/>
      <c r="GH893" s="16"/>
      <c r="GI893" s="16"/>
      <c r="GJ893" s="16"/>
      <c r="GK893" s="16"/>
      <c r="GL893" s="16"/>
      <c r="GM893" s="16"/>
      <c r="GN893" s="16"/>
      <c r="GO893" s="16"/>
      <c r="GP893" s="16"/>
      <c r="GQ893" s="16"/>
      <c r="GR893" s="16"/>
      <c r="GS893" s="16"/>
      <c r="GT893" s="16"/>
      <c r="GU893" s="16"/>
      <c r="GV893" s="16"/>
      <c r="GW893" s="16"/>
      <c r="GX893" s="16"/>
      <c r="GY893" s="16"/>
      <c r="GZ893" s="16"/>
      <c r="HA893" s="16"/>
      <c r="HB893" s="16"/>
      <c r="HC893" s="16"/>
      <c r="HD893" s="16"/>
      <c r="HE893" s="16"/>
      <c r="HF893" s="16"/>
      <c r="HG893" s="16"/>
      <c r="HH893" s="16"/>
      <c r="HI893" s="16"/>
      <c r="HJ893" s="16"/>
      <c r="HK893" s="16"/>
      <c r="HL893" s="16"/>
      <c r="HM893" s="16"/>
      <c r="HN893" s="16"/>
      <c r="HO893" s="16"/>
      <c r="HP893" s="16"/>
      <c r="HQ893" s="16"/>
      <c r="HR893" s="16"/>
      <c r="HS893" s="16"/>
      <c r="HT893" s="16"/>
      <c r="HU893" s="16"/>
      <c r="HV893" s="16"/>
      <c r="HW893" s="16"/>
      <c r="HX893" s="16"/>
      <c r="HY893" s="16"/>
      <c r="HZ893" s="16"/>
      <c r="IA893" s="16"/>
      <c r="IB893" s="16"/>
      <c r="IC893" s="16"/>
      <c r="ID893" s="16"/>
      <c r="IE893" s="16"/>
      <c r="IF893" s="16"/>
      <c r="IG893" s="16"/>
      <c r="IH893" s="16"/>
      <c r="II893" s="16"/>
      <c r="IJ893" s="16"/>
      <c r="IK893" s="16"/>
      <c r="IL893" s="16"/>
      <c r="IM893" s="16"/>
      <c r="IN893" s="16"/>
      <c r="IO893" s="16"/>
      <c r="IP893" s="16"/>
      <c r="IQ893" s="16"/>
      <c r="IR893" s="16"/>
      <c r="IS893" s="16"/>
      <c r="IT893" s="16"/>
      <c r="IU893" s="16"/>
      <c r="IV893" s="16"/>
      <c r="IW893" s="16"/>
      <c r="IX893" s="16"/>
      <c r="IY893" s="16"/>
      <c r="IZ893" s="16"/>
      <c r="JA893" s="16"/>
      <c r="JB893" s="16"/>
      <c r="JC893" s="16"/>
      <c r="JD893" s="16"/>
      <c r="JE893" s="16"/>
      <c r="JF893" s="16"/>
      <c r="JG893" s="16"/>
      <c r="JH893" s="16"/>
      <c r="JI893" s="16"/>
      <c r="JJ893" s="16"/>
      <c r="JK893" s="16"/>
      <c r="JL893" s="16"/>
      <c r="JM893" s="16"/>
      <c r="JN893" s="16"/>
      <c r="JO893" s="16"/>
      <c r="JP893" s="16"/>
      <c r="JQ893" s="16"/>
      <c r="JR893" s="16"/>
      <c r="JS893" s="16"/>
      <c r="JT893" s="16"/>
      <c r="JU893" s="16"/>
      <c r="JV893" s="16"/>
      <c r="JW893" s="16"/>
      <c r="JX893" s="16"/>
      <c r="JY893" s="16"/>
      <c r="JZ893" s="16"/>
      <c r="KA893" s="16"/>
      <c r="KB893" s="16"/>
      <c r="KC893" s="16"/>
      <c r="KD893" s="16"/>
      <c r="KE893" s="16"/>
      <c r="KF893" s="16"/>
      <c r="KG893" s="16"/>
      <c r="KH893" s="16"/>
      <c r="KI893" s="16"/>
      <c r="KJ893" s="16"/>
      <c r="KK893" s="16"/>
      <c r="KL893" s="16"/>
      <c r="KM893" s="16"/>
      <c r="KN893" s="16"/>
      <c r="KO893" s="16"/>
      <c r="KP893" s="16"/>
      <c r="KQ893" s="16"/>
      <c r="KR893" s="16"/>
      <c r="KS893" s="16"/>
      <c r="KT893" s="16"/>
      <c r="KU893" s="16"/>
      <c r="KV893" s="16"/>
      <c r="KW893" s="16"/>
      <c r="KX893" s="16"/>
      <c r="KY893" s="16"/>
      <c r="KZ893" s="16"/>
      <c r="LA893" s="16"/>
      <c r="LB893" s="16"/>
      <c r="LC893" s="16"/>
      <c r="LD893" s="16"/>
      <c r="LE893" s="16"/>
      <c r="LF893" s="16"/>
      <c r="LG893" s="16"/>
      <c r="LH893" s="16"/>
      <c r="LI893" s="16"/>
      <c r="LJ893" s="16"/>
      <c r="LK893" s="16"/>
      <c r="LL893" s="16"/>
      <c r="LM893" s="16"/>
      <c r="LN893" s="16"/>
      <c r="LO893" s="16"/>
      <c r="LP893" s="16"/>
      <c r="LQ893" s="16"/>
      <c r="LR893" s="16"/>
      <c r="LS893" s="16"/>
      <c r="LT893" s="16"/>
      <c r="LU893" s="16"/>
      <c r="LV893" s="16"/>
      <c r="LW893" s="16"/>
      <c r="LX893" s="16"/>
      <c r="LY893" s="16"/>
      <c r="LZ893" s="16"/>
      <c r="MA893" s="16"/>
      <c r="MB893" s="16"/>
      <c r="MC893" s="16"/>
      <c r="MD893" s="16"/>
      <c r="ME893" s="16"/>
      <c r="MF893" s="16"/>
      <c r="MG893" s="16"/>
      <c r="MH893" s="16"/>
      <c r="MI893" s="16"/>
      <c r="MJ893" s="16"/>
      <c r="MK893" s="16"/>
      <c r="ML893" s="16"/>
      <c r="MM893" s="16"/>
      <c r="MN893" s="16"/>
      <c r="MO893" s="16"/>
      <c r="MP893" s="16"/>
      <c r="MQ893" s="16"/>
      <c r="MR893" s="16"/>
      <c r="MS893" s="16"/>
      <c r="MT893" s="16"/>
      <c r="MU893" s="16"/>
      <c r="MV893" s="16"/>
      <c r="MW893" s="16"/>
      <c r="MX893" s="16"/>
      <c r="MY893" s="16"/>
      <c r="MZ893" s="16"/>
      <c r="NA893" s="16"/>
      <c r="NB893" s="16"/>
      <c r="NC893" s="16"/>
      <c r="ND893" s="16"/>
      <c r="NE893" s="16"/>
      <c r="NF893" s="16"/>
      <c r="NG893" s="16"/>
      <c r="NH893" s="16"/>
      <c r="NI893" s="16"/>
      <c r="NJ893" s="16"/>
      <c r="NK893" s="16"/>
      <c r="NL893" s="16"/>
      <c r="NM893" s="16"/>
      <c r="NN893" s="16"/>
      <c r="NO893" s="16"/>
      <c r="NP893" s="16"/>
      <c r="NQ893" s="16"/>
      <c r="NR893" s="16"/>
      <c r="NS893" s="16"/>
      <c r="NT893" s="16"/>
      <c r="NU893" s="16"/>
      <c r="NV893" s="16"/>
      <c r="NW893" s="16"/>
      <c r="NX893" s="16"/>
      <c r="NY893" s="16"/>
      <c r="NZ893" s="16"/>
      <c r="OA893" s="16"/>
      <c r="OB893" s="16"/>
      <c r="OC893" s="16"/>
      <c r="OD893" s="16"/>
      <c r="OE893" s="16"/>
      <c r="OF893" s="16"/>
      <c r="OG893" s="16"/>
      <c r="OH893" s="16"/>
      <c r="OI893" s="16"/>
      <c r="OJ893" s="16"/>
      <c r="OK893" s="16"/>
      <c r="OL893" s="16"/>
      <c r="OM893" s="16"/>
      <c r="ON893" s="16"/>
      <c r="OO893" s="16"/>
      <c r="OP893" s="16"/>
      <c r="OQ893" s="16"/>
      <c r="OR893" s="16"/>
      <c r="OS893" s="16"/>
      <c r="OT893" s="16"/>
      <c r="OU893" s="16"/>
      <c r="OV893" s="16"/>
      <c r="OW893" s="16"/>
      <c r="OX893" s="16"/>
      <c r="OY893" s="16"/>
      <c r="OZ893" s="16"/>
      <c r="PA893" s="16"/>
      <c r="PB893" s="16"/>
      <c r="PC893" s="16"/>
      <c r="PD893" s="16"/>
      <c r="PE893" s="16"/>
      <c r="PF893" s="16"/>
      <c r="PG893" s="16"/>
      <c r="PH893" s="16"/>
      <c r="PI893" s="16"/>
      <c r="PJ893" s="16"/>
      <c r="PK893" s="16"/>
      <c r="PL893" s="16"/>
      <c r="PM893" s="16"/>
      <c r="PN893" s="16"/>
      <c r="PO893" s="16"/>
      <c r="PP893" s="16"/>
      <c r="PQ893" s="16"/>
      <c r="PR893" s="16"/>
      <c r="PS893" s="16"/>
      <c r="PT893" s="16"/>
      <c r="PU893" s="16"/>
      <c r="PV893" s="16"/>
      <c r="PW893" s="16"/>
      <c r="PX893" s="16"/>
      <c r="PY893" s="16"/>
      <c r="PZ893" s="16"/>
      <c r="QA893" s="16"/>
      <c r="QB893" s="16"/>
      <c r="QC893" s="16"/>
      <c r="QD893" s="16"/>
      <c r="QE893" s="16"/>
      <c r="QF893" s="16"/>
      <c r="QG893" s="16"/>
      <c r="QH893" s="16"/>
      <c r="QI893" s="16"/>
      <c r="QJ893" s="16"/>
      <c r="QK893" s="16"/>
      <c r="QL893" s="16"/>
      <c r="QM893" s="16"/>
      <c r="QN893" s="16"/>
      <c r="QO893" s="16"/>
      <c r="QP893" s="16"/>
      <c r="QQ893" s="16"/>
      <c r="QR893" s="16"/>
      <c r="QS893" s="16"/>
      <c r="QT893" s="16"/>
      <c r="QU893" s="16"/>
      <c r="QV893" s="16"/>
      <c r="QW893" s="16"/>
      <c r="QX893" s="16"/>
      <c r="QY893" s="16"/>
      <c r="QZ893" s="16"/>
      <c r="RA893" s="16"/>
      <c r="RB893" s="16"/>
      <c r="RC893" s="16"/>
      <c r="RD893" s="16"/>
      <c r="RE893" s="16"/>
      <c r="RF893" s="16"/>
      <c r="RG893" s="16"/>
      <c r="RH893" s="16"/>
      <c r="RI893" s="16"/>
      <c r="RJ893" s="16"/>
      <c r="RK893" s="16"/>
      <c r="RL893" s="16"/>
      <c r="RM893" s="16"/>
      <c r="RN893" s="16"/>
      <c r="RO893" s="16"/>
      <c r="RP893" s="16"/>
      <c r="RQ893" s="16"/>
      <c r="RR893" s="16"/>
      <c r="RS893" s="16"/>
      <c r="RT893" s="16"/>
      <c r="RU893" s="16"/>
      <c r="RV893" s="16"/>
      <c r="RW893" s="16"/>
      <c r="RX893" s="16"/>
      <c r="RY893" s="16"/>
      <c r="RZ893" s="16"/>
      <c r="SA893" s="16"/>
      <c r="SB893" s="16"/>
      <c r="SC893" s="16"/>
      <c r="SD893" s="16"/>
      <c r="SE893" s="16"/>
      <c r="SF893" s="16"/>
      <c r="SG893" s="16"/>
      <c r="SH893" s="16"/>
      <c r="SI893" s="16"/>
      <c r="SJ893" s="16"/>
      <c r="SK893" s="16"/>
      <c r="SL893" s="16"/>
      <c r="SM893" s="16"/>
      <c r="SN893" s="16"/>
      <c r="SO893" s="16"/>
      <c r="SP893" s="16"/>
      <c r="SQ893" s="16"/>
      <c r="SR893" s="16"/>
      <c r="SS893" s="16"/>
      <c r="ST893" s="16"/>
      <c r="SU893" s="16"/>
      <c r="SV893" s="16"/>
      <c r="SW893" s="16"/>
      <c r="SX893" s="16"/>
      <c r="SY893" s="16"/>
      <c r="SZ893" s="16"/>
      <c r="TA893" s="16"/>
      <c r="TB893" s="16"/>
      <c r="TC893" s="16"/>
      <c r="TD893" s="16"/>
      <c r="TE893" s="16"/>
      <c r="TF893" s="16"/>
      <c r="TG893" s="16"/>
      <c r="TH893" s="16"/>
      <c r="TI893" s="16"/>
      <c r="TJ893" s="16"/>
      <c r="TK893" s="16"/>
      <c r="TL893" s="16"/>
      <c r="TM893" s="16"/>
      <c r="TN893" s="16"/>
      <c r="TO893" s="16"/>
      <c r="TP893" s="16"/>
      <c r="TQ893" s="16"/>
      <c r="TR893" s="16"/>
      <c r="TS893" s="16"/>
      <c r="TT893" s="16"/>
      <c r="TU893" s="16"/>
      <c r="TV893" s="16"/>
      <c r="TW893" s="16"/>
      <c r="TX893" s="16"/>
      <c r="TY893" s="16"/>
      <c r="TZ893" s="16"/>
      <c r="UA893" s="16"/>
      <c r="UB893" s="16"/>
      <c r="UC893" s="16"/>
      <c r="UD893" s="16"/>
      <c r="UE893" s="16"/>
      <c r="UF893" s="16"/>
      <c r="UG893" s="16"/>
      <c r="UH893" s="16"/>
      <c r="UI893" s="16"/>
      <c r="UJ893" s="16"/>
      <c r="UK893" s="16"/>
      <c r="UL893" s="16"/>
      <c r="UM893" s="16"/>
      <c r="UN893" s="16"/>
      <c r="UO893" s="16"/>
      <c r="UP893" s="16"/>
      <c r="UQ893" s="16"/>
      <c r="UR893" s="16"/>
      <c r="US893" s="16"/>
      <c r="UT893" s="16"/>
      <c r="UU893" s="16"/>
      <c r="UV893" s="16"/>
      <c r="UW893" s="16"/>
      <c r="UX893" s="16"/>
      <c r="UY893" s="16"/>
      <c r="UZ893" s="16"/>
      <c r="VA893" s="16"/>
      <c r="VB893" s="16"/>
      <c r="VC893" s="16"/>
      <c r="VD893" s="16"/>
      <c r="VE893" s="16"/>
      <c r="VF893" s="16"/>
      <c r="VG893" s="16"/>
      <c r="VH893" s="16"/>
      <c r="VI893" s="16"/>
      <c r="VJ893" s="16"/>
      <c r="VK893" s="16"/>
      <c r="VL893" s="16"/>
      <c r="VM893" s="16"/>
      <c r="VN893" s="16"/>
      <c r="VO893" s="16"/>
      <c r="VP893" s="16"/>
      <c r="VQ893" s="16"/>
      <c r="VR893" s="16"/>
      <c r="VS893" s="16"/>
      <c r="VT893" s="16"/>
      <c r="VU893" s="16"/>
      <c r="VV893" s="16"/>
      <c r="VW893" s="16"/>
      <c r="VX893" s="16"/>
      <c r="VY893" s="16"/>
      <c r="VZ893" s="16"/>
      <c r="WA893" s="16"/>
      <c r="WB893" s="16"/>
      <c r="WC893" s="16"/>
      <c r="WD893" s="16"/>
      <c r="WE893" s="16"/>
      <c r="WF893" s="16"/>
      <c r="WG893" s="16"/>
      <c r="WH893" s="16"/>
      <c r="WI893" s="16"/>
      <c r="WJ893" s="16"/>
      <c r="WK893" s="16"/>
      <c r="WL893" s="16"/>
      <c r="WM893" s="16"/>
      <c r="WN893" s="16"/>
      <c r="WO893" s="16"/>
      <c r="WP893" s="16"/>
      <c r="WQ893" s="16"/>
      <c r="WR893" s="16"/>
      <c r="WS893" s="16"/>
      <c r="WT893" s="16"/>
      <c r="WU893" s="16"/>
      <c r="WV893" s="16"/>
      <c r="WW893" s="16"/>
      <c r="WX893" s="16"/>
      <c r="WY893" s="16"/>
      <c r="WZ893" s="16"/>
      <c r="XA893" s="16"/>
      <c r="XB893" s="16"/>
      <c r="XC893" s="16"/>
      <c r="XD893" s="16"/>
      <c r="XE893" s="16"/>
      <c r="XF893" s="16"/>
      <c r="XG893" s="16"/>
      <c r="XH893" s="16"/>
      <c r="XI893" s="16"/>
      <c r="XJ893" s="16"/>
      <c r="XK893" s="16"/>
      <c r="XL893" s="16"/>
      <c r="XM893" s="16"/>
      <c r="XN893" s="16"/>
      <c r="XO893" s="16"/>
      <c r="XP893" s="16"/>
      <c r="XQ893" s="16"/>
      <c r="XR893" s="16"/>
      <c r="XS893" s="16"/>
      <c r="XT893" s="16"/>
      <c r="XU893" s="16"/>
      <c r="XV893" s="16"/>
      <c r="XW893" s="16"/>
      <c r="XX893" s="16"/>
      <c r="XY893" s="16"/>
      <c r="XZ893" s="16"/>
      <c r="YA893" s="16"/>
      <c r="YB893" s="16"/>
      <c r="YC893" s="16"/>
      <c r="YD893" s="16"/>
      <c r="YE893" s="16"/>
      <c r="YF893" s="16"/>
      <c r="YG893" s="16"/>
      <c r="YH893" s="16"/>
      <c r="YI893" s="16"/>
      <c r="YJ893" s="16"/>
      <c r="YK893" s="16"/>
      <c r="YL893" s="16"/>
      <c r="YM893" s="16"/>
      <c r="YN893" s="16"/>
      <c r="YO893" s="16"/>
      <c r="YP893" s="16"/>
      <c r="YQ893" s="16"/>
      <c r="YR893" s="16"/>
      <c r="YS893" s="16"/>
      <c r="YT893" s="16"/>
      <c r="YU893" s="16"/>
      <c r="YV893" s="16"/>
      <c r="YW893" s="16"/>
      <c r="YX893" s="16"/>
      <c r="YY893" s="16"/>
      <c r="YZ893" s="16"/>
      <c r="ZA893" s="16"/>
      <c r="ZB893" s="16"/>
      <c r="ZC893" s="16"/>
      <c r="ZD893" s="16"/>
      <c r="ZE893" s="16"/>
      <c r="ZF893" s="16"/>
      <c r="ZG893" s="16"/>
      <c r="ZH893" s="16"/>
      <c r="ZI893" s="16"/>
      <c r="ZJ893" s="16"/>
      <c r="ZK893" s="16"/>
      <c r="ZL893" s="16"/>
      <c r="ZM893" s="16"/>
      <c r="ZN893" s="16"/>
      <c r="ZO893" s="16"/>
      <c r="ZP893" s="16"/>
      <c r="ZQ893" s="16"/>
      <c r="ZR893" s="16"/>
      <c r="ZS893" s="16"/>
      <c r="ZT893" s="16"/>
      <c r="ZU893" s="16"/>
      <c r="ZV893" s="16"/>
      <c r="ZW893" s="16"/>
      <c r="ZX893" s="16"/>
      <c r="ZY893" s="16"/>
      <c r="ZZ893" s="16"/>
      <c r="AAA893" s="16"/>
      <c r="AAB893" s="16"/>
      <c r="AAC893" s="16"/>
      <c r="AAD893" s="16"/>
      <c r="AAE893" s="16"/>
      <c r="AAF893" s="16"/>
      <c r="AAG893" s="16"/>
      <c r="AAH893" s="16"/>
      <c r="AAI893" s="16"/>
      <c r="AAJ893" s="16"/>
      <c r="AAK893" s="16"/>
      <c r="AAL893" s="16"/>
      <c r="AAM893" s="16"/>
      <c r="AAN893" s="16"/>
      <c r="AAO893" s="16"/>
      <c r="AAP893" s="16"/>
      <c r="AAQ893" s="16"/>
      <c r="AAR893" s="16"/>
      <c r="AAS893" s="16"/>
      <c r="AAT893" s="16"/>
      <c r="AAU893" s="16"/>
      <c r="AAV893" s="16"/>
      <c r="AAW893" s="16"/>
      <c r="AAX893" s="16"/>
      <c r="AAY893" s="16"/>
      <c r="AAZ893" s="16"/>
      <c r="ABA893" s="16"/>
      <c r="ABB893" s="16"/>
      <c r="ABC893" s="16"/>
      <c r="ABD893" s="16"/>
      <c r="ABE893" s="16"/>
      <c r="ABF893" s="16"/>
      <c r="ABG893" s="16"/>
      <c r="ABH893" s="16"/>
      <c r="ABI893" s="16"/>
      <c r="ABJ893" s="16"/>
      <c r="ABK893" s="16"/>
      <c r="ABL893" s="16"/>
      <c r="ABM893" s="16"/>
      <c r="ABN893" s="16"/>
      <c r="ABO893" s="16"/>
      <c r="ABP893" s="16"/>
      <c r="ABQ893" s="16"/>
      <c r="ABR893" s="16"/>
      <c r="ABS893" s="16"/>
      <c r="ABT893" s="16"/>
      <c r="ABU893" s="16"/>
      <c r="ABV893" s="16"/>
      <c r="ABW893" s="16"/>
      <c r="ABX893" s="16"/>
      <c r="ABY893" s="16"/>
      <c r="ABZ893" s="16"/>
      <c r="ACA893" s="16"/>
      <c r="ACB893" s="16"/>
      <c r="ACC893" s="16"/>
      <c r="ACD893" s="16"/>
      <c r="ACE893" s="16"/>
      <c r="ACF893" s="16"/>
      <c r="ACG893" s="16"/>
      <c r="ACH893" s="16"/>
      <c r="ACI893" s="16"/>
      <c r="ACJ893" s="16"/>
      <c r="ACK893" s="16"/>
      <c r="ACL893" s="16"/>
      <c r="ACM893" s="16"/>
      <c r="ACN893" s="16"/>
      <c r="ACO893" s="16"/>
      <c r="ACP893" s="16"/>
      <c r="ACQ893" s="16"/>
      <c r="ACR893" s="16"/>
      <c r="ACS893" s="16"/>
      <c r="ACT893" s="16"/>
      <c r="ACU893" s="16"/>
      <c r="ACV893" s="16"/>
      <c r="ACW893" s="16"/>
      <c r="ACX893" s="16"/>
      <c r="ACY893" s="16"/>
      <c r="ACZ893" s="16"/>
      <c r="ADA893" s="16"/>
      <c r="ADB893" s="16"/>
      <c r="ADC893" s="16"/>
      <c r="ADD893" s="16"/>
      <c r="ADE893" s="16"/>
      <c r="ADF893" s="16"/>
      <c r="ADG893" s="16"/>
      <c r="ADH893" s="16"/>
      <c r="ADI893" s="16"/>
      <c r="ADJ893" s="16"/>
      <c r="ADK893" s="16"/>
      <c r="ADL893" s="16"/>
      <c r="ADM893" s="16"/>
      <c r="ADN893" s="16"/>
      <c r="ADO893" s="16"/>
      <c r="ADP893" s="16"/>
      <c r="ADQ893" s="16"/>
      <c r="ADR893" s="16"/>
      <c r="ADS893" s="16"/>
      <c r="ADT893" s="16"/>
      <c r="ADU893" s="16"/>
      <c r="ADV893" s="16"/>
      <c r="ADW893" s="16"/>
      <c r="ADX893" s="16"/>
      <c r="ADY893" s="16"/>
      <c r="ADZ893" s="16"/>
      <c r="AEA893" s="16"/>
      <c r="AEB893" s="16"/>
      <c r="AEC893" s="16"/>
      <c r="AED893" s="16"/>
      <c r="AEE893" s="16"/>
      <c r="AEF893" s="16"/>
      <c r="AEG893" s="16"/>
      <c r="AEH893" s="16"/>
      <c r="AEI893" s="16"/>
      <c r="AEJ893" s="16"/>
      <c r="AEK893" s="16"/>
      <c r="AEL893" s="16"/>
      <c r="AEM893" s="16"/>
      <c r="AEN893" s="16"/>
      <c r="AEO893" s="16"/>
      <c r="AEP893" s="16"/>
      <c r="AEQ893" s="16"/>
      <c r="AER893" s="16"/>
      <c r="AES893" s="16"/>
      <c r="AET893" s="16"/>
      <c r="AEU893" s="16"/>
      <c r="AEV893" s="16"/>
      <c r="AEW893" s="16"/>
      <c r="AEX893" s="16"/>
      <c r="AEY893" s="16"/>
      <c r="AEZ893" s="16"/>
      <c r="AFA893" s="16"/>
      <c r="AFB893" s="16"/>
      <c r="AFC893" s="16"/>
      <c r="AFD893" s="16"/>
      <c r="AFE893" s="16"/>
      <c r="AFF893" s="16"/>
      <c r="AFG893" s="16"/>
      <c r="AFH893" s="16"/>
      <c r="AFI893" s="16"/>
      <c r="AFJ893" s="16"/>
      <c r="AFK893" s="16"/>
      <c r="AFL893" s="16"/>
      <c r="AFM893" s="16"/>
      <c r="AFN893" s="16"/>
      <c r="AFO893" s="16"/>
      <c r="AFP893" s="16"/>
      <c r="AFQ893" s="16"/>
      <c r="AFR893" s="16"/>
      <c r="AFS893" s="16"/>
      <c r="AFT893" s="16"/>
      <c r="AFU893" s="16"/>
      <c r="AFV893" s="16"/>
      <c r="AFW893" s="16"/>
      <c r="AFX893" s="16"/>
      <c r="AFY893" s="16"/>
      <c r="AFZ893" s="16"/>
      <c r="AGA893" s="16"/>
      <c r="AGB893" s="16"/>
      <c r="AGC893" s="16"/>
      <c r="AGD893" s="16"/>
      <c r="AGE893" s="16"/>
      <c r="AGF893" s="16"/>
      <c r="AGG893" s="16"/>
      <c r="AGH893" s="16"/>
      <c r="AGI893" s="16"/>
      <c r="AGJ893" s="16"/>
    </row>
    <row r="894" spans="1:868" s="853" customFormat="1" hidden="1">
      <c r="A894" s="152" t="s">
        <v>130</v>
      </c>
      <c r="B894" s="34" t="s">
        <v>365</v>
      </c>
      <c r="C894" s="40" t="s">
        <v>147</v>
      </c>
      <c r="D894" s="34" t="s">
        <v>96</v>
      </c>
      <c r="E894" s="260">
        <v>0</v>
      </c>
      <c r="F894" s="235">
        <v>1</v>
      </c>
      <c r="G894" s="40"/>
      <c r="H894" s="29"/>
      <c r="I894" s="9"/>
      <c r="J894" s="9"/>
      <c r="K894" s="9"/>
      <c r="L894" s="9"/>
      <c r="M894" s="9"/>
      <c r="N894" s="186" t="str">
        <f t="shared" si="49"/>
        <v/>
      </c>
      <c r="O894" s="160" t="str">
        <f t="shared" si="50"/>
        <v/>
      </c>
      <c r="P894" s="63"/>
      <c r="Q894" s="16"/>
      <c r="R894" s="16"/>
      <c r="S894" s="16"/>
      <c r="T894" s="16"/>
      <c r="U894" s="16"/>
      <c r="V894" s="16"/>
      <c r="W894" s="16"/>
      <c r="X894" s="16"/>
      <c r="Y894" s="16"/>
      <c r="Z894" s="16"/>
      <c r="AA894" s="16"/>
      <c r="AB894" s="16"/>
      <c r="AC894" s="16"/>
      <c r="AD894" s="16"/>
      <c r="AE894" s="16"/>
      <c r="AF894" s="16"/>
      <c r="AG894" s="16"/>
      <c r="AH894" s="16"/>
      <c r="AI894" s="16"/>
      <c r="AJ894" s="16"/>
      <c r="AK894" s="16"/>
      <c r="AL894" s="16"/>
      <c r="AM894" s="16"/>
      <c r="AN894" s="16"/>
      <c r="AO894" s="16"/>
      <c r="AP894" s="16"/>
      <c r="AQ894" s="16"/>
      <c r="AR894" s="16"/>
      <c r="AS894" s="16"/>
      <c r="AT894" s="16"/>
      <c r="AU894" s="16"/>
      <c r="AV894" s="16"/>
      <c r="AW894" s="16"/>
      <c r="AX894" s="16"/>
      <c r="AY894" s="16"/>
      <c r="AZ894" s="16"/>
      <c r="BA894" s="16"/>
      <c r="BB894" s="16"/>
      <c r="BC894" s="16"/>
      <c r="BD894" s="16"/>
      <c r="BE894" s="16"/>
      <c r="BF894" s="16"/>
      <c r="BG894" s="16"/>
      <c r="BH894" s="16"/>
      <c r="BI894" s="16"/>
      <c r="BJ894" s="16"/>
      <c r="BK894" s="16"/>
      <c r="BL894" s="16"/>
      <c r="BM894" s="16"/>
      <c r="BN894" s="16"/>
      <c r="BO894" s="16"/>
      <c r="BP894" s="16"/>
      <c r="BQ894" s="16"/>
      <c r="BR894" s="16"/>
      <c r="BS894" s="16"/>
      <c r="BT894" s="16"/>
      <c r="BU894" s="16"/>
      <c r="BV894" s="16"/>
      <c r="BW894" s="16"/>
      <c r="BX894" s="16"/>
      <c r="BY894" s="16"/>
      <c r="BZ894" s="16"/>
      <c r="CA894" s="16"/>
      <c r="CB894" s="16"/>
      <c r="CC894" s="16"/>
      <c r="CD894" s="16"/>
      <c r="CE894" s="16"/>
      <c r="CF894" s="16"/>
      <c r="CG894" s="16"/>
      <c r="CH894" s="16"/>
      <c r="CI894" s="16"/>
      <c r="CJ894" s="16"/>
      <c r="CK894" s="16"/>
      <c r="CL894" s="16"/>
      <c r="CM894" s="16"/>
      <c r="CN894" s="16"/>
      <c r="CO894" s="16"/>
      <c r="CP894" s="16"/>
      <c r="CQ894" s="16"/>
      <c r="CR894" s="16"/>
      <c r="CS894" s="16"/>
      <c r="CT894" s="16"/>
      <c r="CU894" s="16"/>
      <c r="CV894" s="16"/>
      <c r="CW894" s="16"/>
      <c r="CX894" s="16"/>
      <c r="CY894" s="16"/>
      <c r="CZ894" s="16"/>
      <c r="DA894" s="16"/>
      <c r="DB894" s="16"/>
      <c r="DC894" s="16"/>
      <c r="DD894" s="16"/>
      <c r="DE894" s="16"/>
      <c r="DF894" s="16"/>
      <c r="DG894" s="16"/>
      <c r="DH894" s="16"/>
      <c r="DI894" s="16"/>
      <c r="DJ894" s="16"/>
      <c r="DK894" s="16"/>
      <c r="DL894" s="16"/>
      <c r="DM894" s="16"/>
      <c r="DN894" s="16"/>
      <c r="DO894" s="16"/>
      <c r="DP894" s="16"/>
      <c r="DQ894" s="16"/>
      <c r="DR894" s="16"/>
      <c r="DS894" s="16"/>
      <c r="DT894" s="16"/>
      <c r="DU894" s="16"/>
      <c r="DV894" s="16"/>
      <c r="DW894" s="16"/>
      <c r="DX894" s="16"/>
      <c r="DY894" s="16"/>
      <c r="DZ894" s="16"/>
      <c r="EA894" s="16"/>
      <c r="EB894" s="16"/>
      <c r="EC894" s="16"/>
      <c r="ED894" s="16"/>
      <c r="EE894" s="16"/>
      <c r="EF894" s="16"/>
      <c r="EG894" s="16"/>
      <c r="EH894" s="16"/>
      <c r="EI894" s="16"/>
      <c r="EJ894" s="16"/>
      <c r="EK894" s="16"/>
      <c r="EL894" s="16"/>
      <c r="EM894" s="16"/>
      <c r="EN894" s="16"/>
      <c r="EO894" s="16"/>
      <c r="EP894" s="16"/>
      <c r="EQ894" s="16"/>
      <c r="ER894" s="16"/>
      <c r="ES894" s="16"/>
      <c r="ET894" s="16"/>
      <c r="EU894" s="16"/>
      <c r="EV894" s="16"/>
      <c r="EW894" s="16"/>
      <c r="EX894" s="16"/>
      <c r="EY894" s="16"/>
      <c r="EZ894" s="16"/>
      <c r="FA894" s="16"/>
      <c r="FB894" s="16"/>
      <c r="FC894" s="16"/>
      <c r="FD894" s="16"/>
      <c r="FE894" s="16"/>
      <c r="FF894" s="16"/>
      <c r="FG894" s="16"/>
      <c r="FH894" s="16"/>
      <c r="FI894" s="16"/>
      <c r="FJ894" s="16"/>
      <c r="FK894" s="16"/>
      <c r="FL894" s="16"/>
      <c r="FM894" s="16"/>
      <c r="FN894" s="16"/>
      <c r="FO894" s="16"/>
      <c r="FP894" s="16"/>
      <c r="FQ894" s="16"/>
      <c r="FR894" s="16"/>
      <c r="FS894" s="16"/>
      <c r="FT894" s="16"/>
      <c r="FU894" s="16"/>
      <c r="FV894" s="16"/>
      <c r="FW894" s="16"/>
      <c r="FX894" s="16"/>
      <c r="FY894" s="16"/>
      <c r="FZ894" s="16"/>
      <c r="GA894" s="16"/>
      <c r="GB894" s="16"/>
      <c r="GC894" s="16"/>
      <c r="GD894" s="16"/>
      <c r="GE894" s="16"/>
      <c r="GF894" s="16"/>
      <c r="GG894" s="16"/>
      <c r="GH894" s="16"/>
      <c r="GI894" s="16"/>
      <c r="GJ894" s="16"/>
      <c r="GK894" s="16"/>
      <c r="GL894" s="16"/>
      <c r="GM894" s="16"/>
      <c r="GN894" s="16"/>
      <c r="GO894" s="16"/>
      <c r="GP894" s="16"/>
      <c r="GQ894" s="16"/>
      <c r="GR894" s="16"/>
      <c r="GS894" s="16"/>
      <c r="GT894" s="16"/>
      <c r="GU894" s="16"/>
      <c r="GV894" s="16"/>
      <c r="GW894" s="16"/>
      <c r="GX894" s="16"/>
      <c r="GY894" s="16"/>
      <c r="GZ894" s="16"/>
      <c r="HA894" s="16"/>
      <c r="HB894" s="16"/>
      <c r="HC894" s="16"/>
      <c r="HD894" s="16"/>
      <c r="HE894" s="16"/>
      <c r="HF894" s="16"/>
      <c r="HG894" s="16"/>
      <c r="HH894" s="16"/>
      <c r="HI894" s="16"/>
      <c r="HJ894" s="16"/>
      <c r="HK894" s="16"/>
      <c r="HL894" s="16"/>
      <c r="HM894" s="16"/>
      <c r="HN894" s="16"/>
      <c r="HO894" s="16"/>
      <c r="HP894" s="16"/>
      <c r="HQ894" s="16"/>
      <c r="HR894" s="16"/>
      <c r="HS894" s="16"/>
      <c r="HT894" s="16"/>
      <c r="HU894" s="16"/>
      <c r="HV894" s="16"/>
      <c r="HW894" s="16"/>
      <c r="HX894" s="16"/>
      <c r="HY894" s="16"/>
      <c r="HZ894" s="16"/>
      <c r="IA894" s="16"/>
      <c r="IB894" s="16"/>
      <c r="IC894" s="16"/>
      <c r="ID894" s="16"/>
      <c r="IE894" s="16"/>
      <c r="IF894" s="16"/>
      <c r="IG894" s="16"/>
      <c r="IH894" s="16"/>
      <c r="II894" s="16"/>
      <c r="IJ894" s="16"/>
      <c r="IK894" s="16"/>
      <c r="IL894" s="16"/>
      <c r="IM894" s="16"/>
      <c r="IN894" s="16"/>
      <c r="IO894" s="16"/>
      <c r="IP894" s="16"/>
      <c r="IQ894" s="16"/>
      <c r="IR894" s="16"/>
      <c r="IS894" s="16"/>
      <c r="IT894" s="16"/>
      <c r="IU894" s="16"/>
      <c r="IV894" s="16"/>
      <c r="IW894" s="16"/>
      <c r="IX894" s="16"/>
      <c r="IY894" s="16"/>
      <c r="IZ894" s="16"/>
      <c r="JA894" s="16"/>
      <c r="JB894" s="16"/>
      <c r="JC894" s="16"/>
      <c r="JD894" s="16"/>
      <c r="JE894" s="16"/>
      <c r="JF894" s="16"/>
      <c r="JG894" s="16"/>
      <c r="JH894" s="16"/>
      <c r="JI894" s="16"/>
      <c r="JJ894" s="16"/>
      <c r="JK894" s="16"/>
      <c r="JL894" s="16"/>
      <c r="JM894" s="16"/>
      <c r="JN894" s="16"/>
      <c r="JO894" s="16"/>
      <c r="JP894" s="16"/>
      <c r="JQ894" s="16"/>
      <c r="JR894" s="16"/>
      <c r="JS894" s="16"/>
      <c r="JT894" s="16"/>
      <c r="JU894" s="16"/>
      <c r="JV894" s="16"/>
      <c r="JW894" s="16"/>
      <c r="JX894" s="16"/>
      <c r="JY894" s="16"/>
      <c r="JZ894" s="16"/>
      <c r="KA894" s="16"/>
      <c r="KB894" s="16"/>
      <c r="KC894" s="16"/>
      <c r="KD894" s="16"/>
      <c r="KE894" s="16"/>
      <c r="KF894" s="16"/>
      <c r="KG894" s="16"/>
      <c r="KH894" s="16"/>
      <c r="KI894" s="16"/>
      <c r="KJ894" s="16"/>
      <c r="KK894" s="16"/>
      <c r="KL894" s="16"/>
      <c r="KM894" s="16"/>
      <c r="KN894" s="16"/>
      <c r="KO894" s="16"/>
      <c r="KP894" s="16"/>
      <c r="KQ894" s="16"/>
      <c r="KR894" s="16"/>
      <c r="KS894" s="16"/>
      <c r="KT894" s="16"/>
      <c r="KU894" s="16"/>
      <c r="KV894" s="16"/>
      <c r="KW894" s="16"/>
      <c r="KX894" s="16"/>
      <c r="KY894" s="16"/>
      <c r="KZ894" s="16"/>
      <c r="LA894" s="16"/>
      <c r="LB894" s="16"/>
      <c r="LC894" s="16"/>
      <c r="LD894" s="16"/>
      <c r="LE894" s="16"/>
      <c r="LF894" s="16"/>
      <c r="LG894" s="16"/>
      <c r="LH894" s="16"/>
      <c r="LI894" s="16"/>
      <c r="LJ894" s="16"/>
      <c r="LK894" s="16"/>
      <c r="LL894" s="16"/>
      <c r="LM894" s="16"/>
      <c r="LN894" s="16"/>
      <c r="LO894" s="16"/>
      <c r="LP894" s="16"/>
      <c r="LQ894" s="16"/>
      <c r="LR894" s="16"/>
      <c r="LS894" s="16"/>
      <c r="LT894" s="16"/>
      <c r="LU894" s="16"/>
      <c r="LV894" s="16"/>
      <c r="LW894" s="16"/>
      <c r="LX894" s="16"/>
      <c r="LY894" s="16"/>
      <c r="LZ894" s="16"/>
      <c r="MA894" s="16"/>
      <c r="MB894" s="16"/>
      <c r="MC894" s="16"/>
      <c r="MD894" s="16"/>
      <c r="ME894" s="16"/>
      <c r="MF894" s="16"/>
      <c r="MG894" s="16"/>
      <c r="MH894" s="16"/>
      <c r="MI894" s="16"/>
      <c r="MJ894" s="16"/>
      <c r="MK894" s="16"/>
      <c r="ML894" s="16"/>
      <c r="MM894" s="16"/>
      <c r="MN894" s="16"/>
      <c r="MO894" s="16"/>
      <c r="MP894" s="16"/>
      <c r="MQ894" s="16"/>
      <c r="MR894" s="16"/>
      <c r="MS894" s="16"/>
      <c r="MT894" s="16"/>
      <c r="MU894" s="16"/>
      <c r="MV894" s="16"/>
      <c r="MW894" s="16"/>
      <c r="MX894" s="16"/>
      <c r="MY894" s="16"/>
      <c r="MZ894" s="16"/>
      <c r="NA894" s="16"/>
      <c r="NB894" s="16"/>
      <c r="NC894" s="16"/>
      <c r="ND894" s="16"/>
      <c r="NE894" s="16"/>
      <c r="NF894" s="16"/>
      <c r="NG894" s="16"/>
      <c r="NH894" s="16"/>
      <c r="NI894" s="16"/>
      <c r="NJ894" s="16"/>
      <c r="NK894" s="16"/>
      <c r="NL894" s="16"/>
      <c r="NM894" s="16"/>
      <c r="NN894" s="16"/>
      <c r="NO894" s="16"/>
      <c r="NP894" s="16"/>
      <c r="NQ894" s="16"/>
      <c r="NR894" s="16"/>
      <c r="NS894" s="16"/>
      <c r="NT894" s="16"/>
      <c r="NU894" s="16"/>
      <c r="NV894" s="16"/>
      <c r="NW894" s="16"/>
      <c r="NX894" s="16"/>
      <c r="NY894" s="16"/>
      <c r="NZ894" s="16"/>
      <c r="OA894" s="16"/>
      <c r="OB894" s="16"/>
      <c r="OC894" s="16"/>
      <c r="OD894" s="16"/>
      <c r="OE894" s="16"/>
      <c r="OF894" s="16"/>
      <c r="OG894" s="16"/>
      <c r="OH894" s="16"/>
      <c r="OI894" s="16"/>
      <c r="OJ894" s="16"/>
      <c r="OK894" s="16"/>
      <c r="OL894" s="16"/>
      <c r="OM894" s="16"/>
      <c r="ON894" s="16"/>
      <c r="OO894" s="16"/>
      <c r="OP894" s="16"/>
      <c r="OQ894" s="16"/>
      <c r="OR894" s="16"/>
      <c r="OS894" s="16"/>
      <c r="OT894" s="16"/>
      <c r="OU894" s="16"/>
      <c r="OV894" s="16"/>
      <c r="OW894" s="16"/>
      <c r="OX894" s="16"/>
      <c r="OY894" s="16"/>
      <c r="OZ894" s="16"/>
      <c r="PA894" s="16"/>
      <c r="PB894" s="16"/>
      <c r="PC894" s="16"/>
      <c r="PD894" s="16"/>
      <c r="PE894" s="16"/>
      <c r="PF894" s="16"/>
      <c r="PG894" s="16"/>
      <c r="PH894" s="16"/>
      <c r="PI894" s="16"/>
      <c r="PJ894" s="16"/>
      <c r="PK894" s="16"/>
      <c r="PL894" s="16"/>
      <c r="PM894" s="16"/>
      <c r="PN894" s="16"/>
      <c r="PO894" s="16"/>
      <c r="PP894" s="16"/>
      <c r="PQ894" s="16"/>
      <c r="PR894" s="16"/>
      <c r="PS894" s="16"/>
      <c r="PT894" s="16"/>
      <c r="PU894" s="16"/>
      <c r="PV894" s="16"/>
      <c r="PW894" s="16"/>
      <c r="PX894" s="16"/>
      <c r="PY894" s="16"/>
      <c r="PZ894" s="16"/>
      <c r="QA894" s="16"/>
      <c r="QB894" s="16"/>
      <c r="QC894" s="16"/>
      <c r="QD894" s="16"/>
      <c r="QE894" s="16"/>
      <c r="QF894" s="16"/>
      <c r="QG894" s="16"/>
      <c r="QH894" s="16"/>
      <c r="QI894" s="16"/>
      <c r="QJ894" s="16"/>
      <c r="QK894" s="16"/>
      <c r="QL894" s="16"/>
      <c r="QM894" s="16"/>
      <c r="QN894" s="16"/>
      <c r="QO894" s="16"/>
      <c r="QP894" s="16"/>
      <c r="QQ894" s="16"/>
      <c r="QR894" s="16"/>
      <c r="QS894" s="16"/>
      <c r="QT894" s="16"/>
      <c r="QU894" s="16"/>
      <c r="QV894" s="16"/>
      <c r="QW894" s="16"/>
      <c r="QX894" s="16"/>
      <c r="QY894" s="16"/>
      <c r="QZ894" s="16"/>
      <c r="RA894" s="16"/>
      <c r="RB894" s="16"/>
      <c r="RC894" s="16"/>
      <c r="RD894" s="16"/>
      <c r="RE894" s="16"/>
      <c r="RF894" s="16"/>
      <c r="RG894" s="16"/>
      <c r="RH894" s="16"/>
      <c r="RI894" s="16"/>
      <c r="RJ894" s="16"/>
      <c r="RK894" s="16"/>
      <c r="RL894" s="16"/>
      <c r="RM894" s="16"/>
      <c r="RN894" s="16"/>
      <c r="RO894" s="16"/>
      <c r="RP894" s="16"/>
      <c r="RQ894" s="16"/>
      <c r="RR894" s="16"/>
      <c r="RS894" s="16"/>
      <c r="RT894" s="16"/>
      <c r="RU894" s="16"/>
      <c r="RV894" s="16"/>
      <c r="RW894" s="16"/>
      <c r="RX894" s="16"/>
      <c r="RY894" s="16"/>
      <c r="RZ894" s="16"/>
      <c r="SA894" s="16"/>
      <c r="SB894" s="16"/>
      <c r="SC894" s="16"/>
      <c r="SD894" s="16"/>
      <c r="SE894" s="16"/>
      <c r="SF894" s="16"/>
      <c r="SG894" s="16"/>
      <c r="SH894" s="16"/>
      <c r="SI894" s="16"/>
      <c r="SJ894" s="16"/>
      <c r="SK894" s="16"/>
      <c r="SL894" s="16"/>
      <c r="SM894" s="16"/>
      <c r="SN894" s="16"/>
      <c r="SO894" s="16"/>
      <c r="SP894" s="16"/>
      <c r="SQ894" s="16"/>
      <c r="SR894" s="16"/>
      <c r="SS894" s="16"/>
      <c r="ST894" s="16"/>
      <c r="SU894" s="16"/>
      <c r="SV894" s="16"/>
      <c r="SW894" s="16"/>
      <c r="SX894" s="16"/>
      <c r="SY894" s="16"/>
      <c r="SZ894" s="16"/>
      <c r="TA894" s="16"/>
      <c r="TB894" s="16"/>
      <c r="TC894" s="16"/>
      <c r="TD894" s="16"/>
      <c r="TE894" s="16"/>
      <c r="TF894" s="16"/>
      <c r="TG894" s="16"/>
      <c r="TH894" s="16"/>
      <c r="TI894" s="16"/>
      <c r="TJ894" s="16"/>
      <c r="TK894" s="16"/>
      <c r="TL894" s="16"/>
      <c r="TM894" s="16"/>
      <c r="TN894" s="16"/>
      <c r="TO894" s="16"/>
      <c r="TP894" s="16"/>
      <c r="TQ894" s="16"/>
      <c r="TR894" s="16"/>
      <c r="TS894" s="16"/>
      <c r="TT894" s="16"/>
      <c r="TU894" s="16"/>
      <c r="TV894" s="16"/>
      <c r="TW894" s="16"/>
      <c r="TX894" s="16"/>
      <c r="TY894" s="16"/>
      <c r="TZ894" s="16"/>
      <c r="UA894" s="16"/>
      <c r="UB894" s="16"/>
      <c r="UC894" s="16"/>
      <c r="UD894" s="16"/>
      <c r="UE894" s="16"/>
      <c r="UF894" s="16"/>
      <c r="UG894" s="16"/>
      <c r="UH894" s="16"/>
      <c r="UI894" s="16"/>
      <c r="UJ894" s="16"/>
      <c r="UK894" s="16"/>
      <c r="UL894" s="16"/>
      <c r="UM894" s="16"/>
      <c r="UN894" s="16"/>
      <c r="UO894" s="16"/>
      <c r="UP894" s="16"/>
      <c r="UQ894" s="16"/>
      <c r="UR894" s="16"/>
      <c r="US894" s="16"/>
      <c r="UT894" s="16"/>
      <c r="UU894" s="16"/>
      <c r="UV894" s="16"/>
      <c r="UW894" s="16"/>
      <c r="UX894" s="16"/>
      <c r="UY894" s="16"/>
      <c r="UZ894" s="16"/>
      <c r="VA894" s="16"/>
      <c r="VB894" s="16"/>
      <c r="VC894" s="16"/>
      <c r="VD894" s="16"/>
      <c r="VE894" s="16"/>
      <c r="VF894" s="16"/>
      <c r="VG894" s="16"/>
      <c r="VH894" s="16"/>
      <c r="VI894" s="16"/>
      <c r="VJ894" s="16"/>
      <c r="VK894" s="16"/>
      <c r="VL894" s="16"/>
      <c r="VM894" s="16"/>
      <c r="VN894" s="16"/>
      <c r="VO894" s="16"/>
      <c r="VP894" s="16"/>
      <c r="VQ894" s="16"/>
      <c r="VR894" s="16"/>
      <c r="VS894" s="16"/>
      <c r="VT894" s="16"/>
      <c r="VU894" s="16"/>
      <c r="VV894" s="16"/>
      <c r="VW894" s="16"/>
      <c r="VX894" s="16"/>
      <c r="VY894" s="16"/>
      <c r="VZ894" s="16"/>
      <c r="WA894" s="16"/>
      <c r="WB894" s="16"/>
      <c r="WC894" s="16"/>
      <c r="WD894" s="16"/>
      <c r="WE894" s="16"/>
      <c r="WF894" s="16"/>
      <c r="WG894" s="16"/>
      <c r="WH894" s="16"/>
      <c r="WI894" s="16"/>
      <c r="WJ894" s="16"/>
      <c r="WK894" s="16"/>
      <c r="WL894" s="16"/>
      <c r="WM894" s="16"/>
      <c r="WN894" s="16"/>
      <c r="WO894" s="16"/>
      <c r="WP894" s="16"/>
      <c r="WQ894" s="16"/>
      <c r="WR894" s="16"/>
      <c r="WS894" s="16"/>
      <c r="WT894" s="16"/>
      <c r="WU894" s="16"/>
      <c r="WV894" s="16"/>
      <c r="WW894" s="16"/>
      <c r="WX894" s="16"/>
      <c r="WY894" s="16"/>
      <c r="WZ894" s="16"/>
      <c r="XA894" s="16"/>
      <c r="XB894" s="16"/>
      <c r="XC894" s="16"/>
      <c r="XD894" s="16"/>
      <c r="XE894" s="16"/>
      <c r="XF894" s="16"/>
      <c r="XG894" s="16"/>
      <c r="XH894" s="16"/>
      <c r="XI894" s="16"/>
      <c r="XJ894" s="16"/>
      <c r="XK894" s="16"/>
      <c r="XL894" s="16"/>
      <c r="XM894" s="16"/>
      <c r="XN894" s="16"/>
      <c r="XO894" s="16"/>
      <c r="XP894" s="16"/>
      <c r="XQ894" s="16"/>
      <c r="XR894" s="16"/>
      <c r="XS894" s="16"/>
      <c r="XT894" s="16"/>
      <c r="XU894" s="16"/>
      <c r="XV894" s="16"/>
      <c r="XW894" s="16"/>
      <c r="XX894" s="16"/>
      <c r="XY894" s="16"/>
      <c r="XZ894" s="16"/>
      <c r="YA894" s="16"/>
      <c r="YB894" s="16"/>
      <c r="YC894" s="16"/>
      <c r="YD894" s="16"/>
      <c r="YE894" s="16"/>
      <c r="YF894" s="16"/>
      <c r="YG894" s="16"/>
      <c r="YH894" s="16"/>
      <c r="YI894" s="16"/>
      <c r="YJ894" s="16"/>
      <c r="YK894" s="16"/>
      <c r="YL894" s="16"/>
      <c r="YM894" s="16"/>
      <c r="YN894" s="16"/>
      <c r="YO894" s="16"/>
      <c r="YP894" s="16"/>
      <c r="YQ894" s="16"/>
      <c r="YR894" s="16"/>
      <c r="YS894" s="16"/>
      <c r="YT894" s="16"/>
      <c r="YU894" s="16"/>
      <c r="YV894" s="16"/>
      <c r="YW894" s="16"/>
      <c r="YX894" s="16"/>
      <c r="YY894" s="16"/>
      <c r="YZ894" s="16"/>
      <c r="ZA894" s="16"/>
      <c r="ZB894" s="16"/>
      <c r="ZC894" s="16"/>
      <c r="ZD894" s="16"/>
      <c r="ZE894" s="16"/>
      <c r="ZF894" s="16"/>
      <c r="ZG894" s="16"/>
      <c r="ZH894" s="16"/>
      <c r="ZI894" s="16"/>
      <c r="ZJ894" s="16"/>
      <c r="ZK894" s="16"/>
      <c r="ZL894" s="16"/>
      <c r="ZM894" s="16"/>
      <c r="ZN894" s="16"/>
      <c r="ZO894" s="16"/>
      <c r="ZP894" s="16"/>
      <c r="ZQ894" s="16"/>
      <c r="ZR894" s="16"/>
      <c r="ZS894" s="16"/>
      <c r="ZT894" s="16"/>
      <c r="ZU894" s="16"/>
      <c r="ZV894" s="16"/>
      <c r="ZW894" s="16"/>
      <c r="ZX894" s="16"/>
      <c r="ZY894" s="16"/>
      <c r="ZZ894" s="16"/>
      <c r="AAA894" s="16"/>
      <c r="AAB894" s="16"/>
      <c r="AAC894" s="16"/>
      <c r="AAD894" s="16"/>
      <c r="AAE894" s="16"/>
      <c r="AAF894" s="16"/>
      <c r="AAG894" s="16"/>
      <c r="AAH894" s="16"/>
      <c r="AAI894" s="16"/>
      <c r="AAJ894" s="16"/>
      <c r="AAK894" s="16"/>
      <c r="AAL894" s="16"/>
      <c r="AAM894" s="16"/>
      <c r="AAN894" s="16"/>
      <c r="AAO894" s="16"/>
      <c r="AAP894" s="16"/>
      <c r="AAQ894" s="16"/>
      <c r="AAR894" s="16"/>
      <c r="AAS894" s="16"/>
      <c r="AAT894" s="16"/>
      <c r="AAU894" s="16"/>
      <c r="AAV894" s="16"/>
      <c r="AAW894" s="16"/>
      <c r="AAX894" s="16"/>
      <c r="AAY894" s="16"/>
      <c r="AAZ894" s="16"/>
      <c r="ABA894" s="16"/>
      <c r="ABB894" s="16"/>
      <c r="ABC894" s="16"/>
      <c r="ABD894" s="16"/>
      <c r="ABE894" s="16"/>
      <c r="ABF894" s="16"/>
      <c r="ABG894" s="16"/>
      <c r="ABH894" s="16"/>
      <c r="ABI894" s="16"/>
      <c r="ABJ894" s="16"/>
      <c r="ABK894" s="16"/>
      <c r="ABL894" s="16"/>
      <c r="ABM894" s="16"/>
      <c r="ABN894" s="16"/>
      <c r="ABO894" s="16"/>
      <c r="ABP894" s="16"/>
      <c r="ABQ894" s="16"/>
      <c r="ABR894" s="16"/>
      <c r="ABS894" s="16"/>
      <c r="ABT894" s="16"/>
      <c r="ABU894" s="16"/>
      <c r="ABV894" s="16"/>
      <c r="ABW894" s="16"/>
      <c r="ABX894" s="16"/>
      <c r="ABY894" s="16"/>
      <c r="ABZ894" s="16"/>
      <c r="ACA894" s="16"/>
      <c r="ACB894" s="16"/>
      <c r="ACC894" s="16"/>
      <c r="ACD894" s="16"/>
      <c r="ACE894" s="16"/>
      <c r="ACF894" s="16"/>
      <c r="ACG894" s="16"/>
      <c r="ACH894" s="16"/>
      <c r="ACI894" s="16"/>
      <c r="ACJ894" s="16"/>
      <c r="ACK894" s="16"/>
      <c r="ACL894" s="16"/>
      <c r="ACM894" s="16"/>
      <c r="ACN894" s="16"/>
      <c r="ACO894" s="16"/>
      <c r="ACP894" s="16"/>
      <c r="ACQ894" s="16"/>
      <c r="ACR894" s="16"/>
      <c r="ACS894" s="16"/>
      <c r="ACT894" s="16"/>
      <c r="ACU894" s="16"/>
      <c r="ACV894" s="16"/>
      <c r="ACW894" s="16"/>
      <c r="ACX894" s="16"/>
      <c r="ACY894" s="16"/>
      <c r="ACZ894" s="16"/>
      <c r="ADA894" s="16"/>
      <c r="ADB894" s="16"/>
      <c r="ADC894" s="16"/>
      <c r="ADD894" s="16"/>
      <c r="ADE894" s="16"/>
      <c r="ADF894" s="16"/>
      <c r="ADG894" s="16"/>
      <c r="ADH894" s="16"/>
      <c r="ADI894" s="16"/>
      <c r="ADJ894" s="16"/>
      <c r="ADK894" s="16"/>
      <c r="ADL894" s="16"/>
      <c r="ADM894" s="16"/>
      <c r="ADN894" s="16"/>
      <c r="ADO894" s="16"/>
      <c r="ADP894" s="16"/>
      <c r="ADQ894" s="16"/>
      <c r="ADR894" s="16"/>
      <c r="ADS894" s="16"/>
      <c r="ADT894" s="16"/>
      <c r="ADU894" s="16"/>
      <c r="ADV894" s="16"/>
      <c r="ADW894" s="16"/>
      <c r="ADX894" s="16"/>
      <c r="ADY894" s="16"/>
      <c r="ADZ894" s="16"/>
      <c r="AEA894" s="16"/>
      <c r="AEB894" s="16"/>
      <c r="AEC894" s="16"/>
      <c r="AED894" s="16"/>
      <c r="AEE894" s="16"/>
      <c r="AEF894" s="16"/>
      <c r="AEG894" s="16"/>
      <c r="AEH894" s="16"/>
      <c r="AEI894" s="16"/>
      <c r="AEJ894" s="16"/>
      <c r="AEK894" s="16"/>
      <c r="AEL894" s="16"/>
      <c r="AEM894" s="16"/>
      <c r="AEN894" s="16"/>
      <c r="AEO894" s="16"/>
      <c r="AEP894" s="16"/>
      <c r="AEQ894" s="16"/>
      <c r="AER894" s="16"/>
      <c r="AES894" s="16"/>
      <c r="AET894" s="16"/>
      <c r="AEU894" s="16"/>
      <c r="AEV894" s="16"/>
      <c r="AEW894" s="16"/>
      <c r="AEX894" s="16"/>
      <c r="AEY894" s="16"/>
      <c r="AEZ894" s="16"/>
      <c r="AFA894" s="16"/>
      <c r="AFB894" s="16"/>
      <c r="AFC894" s="16"/>
      <c r="AFD894" s="16"/>
      <c r="AFE894" s="16"/>
      <c r="AFF894" s="16"/>
      <c r="AFG894" s="16"/>
      <c r="AFH894" s="16"/>
      <c r="AFI894" s="16"/>
      <c r="AFJ894" s="16"/>
      <c r="AFK894" s="16"/>
      <c r="AFL894" s="16"/>
      <c r="AFM894" s="16"/>
      <c r="AFN894" s="16"/>
      <c r="AFO894" s="16"/>
      <c r="AFP894" s="16"/>
      <c r="AFQ894" s="16"/>
      <c r="AFR894" s="16"/>
      <c r="AFS894" s="16"/>
      <c r="AFT894" s="16"/>
      <c r="AFU894" s="16"/>
      <c r="AFV894" s="16"/>
      <c r="AFW894" s="16"/>
      <c r="AFX894" s="16"/>
      <c r="AFY894" s="16"/>
      <c r="AFZ894" s="16"/>
      <c r="AGA894" s="16"/>
      <c r="AGB894" s="16"/>
      <c r="AGC894" s="16"/>
      <c r="AGD894" s="16"/>
      <c r="AGE894" s="16"/>
      <c r="AGF894" s="16"/>
      <c r="AGG894" s="16"/>
      <c r="AGH894" s="16"/>
      <c r="AGI894" s="16"/>
      <c r="AGJ894" s="16"/>
    </row>
    <row r="895" spans="1:868" hidden="1">
      <c r="A895" s="152" t="s">
        <v>130</v>
      </c>
      <c r="B895" s="34" t="s">
        <v>365</v>
      </c>
      <c r="C895" s="40" t="s">
        <v>147</v>
      </c>
      <c r="D895" s="34" t="s">
        <v>97</v>
      </c>
      <c r="E895" s="260">
        <v>0</v>
      </c>
      <c r="F895" s="235">
        <v>1</v>
      </c>
      <c r="G895" s="40"/>
      <c r="H895" s="29"/>
      <c r="I895" s="9"/>
      <c r="J895" s="9"/>
      <c r="K895" s="9"/>
      <c r="L895" s="9"/>
      <c r="M895" s="9"/>
      <c r="N895" s="186" t="str">
        <f t="shared" si="49"/>
        <v/>
      </c>
      <c r="O895" s="160" t="str">
        <f t="shared" si="50"/>
        <v/>
      </c>
      <c r="P895" s="63"/>
    </row>
    <row r="896" spans="1:868" hidden="1">
      <c r="A896" s="152" t="s">
        <v>130</v>
      </c>
      <c r="B896" s="34" t="s">
        <v>365</v>
      </c>
      <c r="C896" s="40" t="s">
        <v>147</v>
      </c>
      <c r="D896" s="34" t="s">
        <v>98</v>
      </c>
      <c r="E896" s="260">
        <v>0</v>
      </c>
      <c r="F896" s="235">
        <v>1</v>
      </c>
      <c r="G896" s="40"/>
      <c r="H896" s="29"/>
      <c r="I896" s="9"/>
      <c r="J896" s="9"/>
      <c r="K896" s="9"/>
      <c r="L896" s="9"/>
      <c r="M896" s="9"/>
      <c r="N896" s="186" t="str">
        <f t="shared" si="49"/>
        <v/>
      </c>
      <c r="O896" s="160" t="str">
        <f t="shared" si="50"/>
        <v/>
      </c>
      <c r="P896" s="63"/>
    </row>
    <row r="897" spans="1:868" hidden="1">
      <c r="A897" s="292" t="s">
        <v>433</v>
      </c>
      <c r="B897" s="55" t="s">
        <v>360</v>
      </c>
      <c r="C897" s="265" t="s">
        <v>147</v>
      </c>
      <c r="D897" s="55" t="s">
        <v>147</v>
      </c>
      <c r="E897" s="260" t="s">
        <v>158</v>
      </c>
      <c r="F897" s="235">
        <v>1</v>
      </c>
      <c r="G897" s="265"/>
      <c r="H897" s="29"/>
      <c r="I897" s="9"/>
      <c r="J897" s="9"/>
      <c r="K897" s="9"/>
      <c r="L897" s="9"/>
      <c r="M897" s="9"/>
      <c r="N897" s="186" t="str">
        <f t="shared" si="49"/>
        <v/>
      </c>
      <c r="O897" s="160" t="str">
        <f t="shared" si="50"/>
        <v/>
      </c>
      <c r="P897" s="63"/>
    </row>
    <row r="898" spans="1:868" hidden="1">
      <c r="A898" s="292" t="s">
        <v>433</v>
      </c>
      <c r="B898" s="55" t="s">
        <v>370</v>
      </c>
      <c r="C898" s="265" t="s">
        <v>147</v>
      </c>
      <c r="D898" s="55" t="s">
        <v>147</v>
      </c>
      <c r="E898" s="260">
        <v>1.0400000000000001E-2</v>
      </c>
      <c r="F898" s="235">
        <v>2</v>
      </c>
      <c r="G898" s="260" t="s">
        <v>171</v>
      </c>
      <c r="H898" s="29">
        <v>2</v>
      </c>
      <c r="I898" s="9">
        <v>2</v>
      </c>
      <c r="J898" s="9">
        <v>1</v>
      </c>
      <c r="K898" s="9">
        <v>1</v>
      </c>
      <c r="L898" s="9">
        <v>1</v>
      </c>
      <c r="M898" s="9">
        <v>3</v>
      </c>
      <c r="N898" s="186">
        <f t="shared" si="49"/>
        <v>1.0195048044558224</v>
      </c>
      <c r="O898" s="160">
        <f t="shared" si="50"/>
        <v>1.0195048044558224</v>
      </c>
      <c r="P898" s="63" t="s">
        <v>434</v>
      </c>
    </row>
    <row r="899" spans="1:868" s="211" customFormat="1" ht="15.75" hidden="1" thickBot="1">
      <c r="A899" s="292" t="s">
        <v>433</v>
      </c>
      <c r="B899" s="55" t="s">
        <v>370</v>
      </c>
      <c r="C899" s="265" t="s">
        <v>147</v>
      </c>
      <c r="D899" s="55" t="s">
        <v>147</v>
      </c>
      <c r="E899" s="260">
        <v>1.8599999999999998E-2</v>
      </c>
      <c r="F899" s="235">
        <v>2</v>
      </c>
      <c r="G899" s="260" t="s">
        <v>171</v>
      </c>
      <c r="H899" s="29">
        <v>2</v>
      </c>
      <c r="I899" s="9">
        <v>2</v>
      </c>
      <c r="J899" s="9">
        <v>1</v>
      </c>
      <c r="K899" s="9">
        <v>1</v>
      </c>
      <c r="L899" s="9">
        <v>1</v>
      </c>
      <c r="M899" s="9">
        <v>3</v>
      </c>
      <c r="N899" s="186">
        <f t="shared" si="49"/>
        <v>1.0195048044558224</v>
      </c>
      <c r="O899" s="160">
        <f t="shared" si="50"/>
        <v>1.0195048044558224</v>
      </c>
      <c r="P899" s="63" t="s">
        <v>435</v>
      </c>
      <c r="Q899" s="16"/>
      <c r="R899" s="16"/>
      <c r="S899" s="16"/>
      <c r="T899" s="16"/>
      <c r="U899" s="16"/>
      <c r="V899" s="16"/>
      <c r="W899" s="16"/>
      <c r="X899" s="16"/>
      <c r="Y899" s="16"/>
      <c r="Z899" s="16"/>
      <c r="AA899" s="16"/>
      <c r="AB899" s="16"/>
      <c r="AC899" s="16"/>
      <c r="AD899" s="16"/>
      <c r="AE899" s="16"/>
      <c r="AF899" s="16"/>
      <c r="AG899" s="16"/>
      <c r="AH899" s="16"/>
      <c r="AI899" s="16"/>
      <c r="AJ899" s="16"/>
      <c r="AK899" s="16"/>
      <c r="AL899" s="16"/>
      <c r="AM899" s="16"/>
      <c r="AN899" s="16"/>
      <c r="AO899" s="16"/>
      <c r="AP899" s="16"/>
      <c r="AQ899" s="16"/>
      <c r="AR899" s="16"/>
      <c r="AS899" s="16"/>
      <c r="AT899" s="16"/>
      <c r="AU899" s="16"/>
      <c r="AV899" s="16"/>
      <c r="AW899" s="16"/>
      <c r="AX899" s="16"/>
      <c r="AY899" s="16"/>
      <c r="AZ899" s="16"/>
      <c r="BA899" s="16"/>
      <c r="BB899" s="16"/>
      <c r="BC899" s="16"/>
      <c r="BD899" s="16"/>
      <c r="BE899" s="16"/>
      <c r="BF899" s="16"/>
      <c r="BG899" s="16"/>
      <c r="BH899" s="16"/>
      <c r="BI899" s="16"/>
      <c r="BJ899" s="16"/>
      <c r="BK899" s="16"/>
      <c r="BL899" s="16"/>
      <c r="BM899" s="16"/>
      <c r="BN899" s="16"/>
      <c r="BO899" s="16"/>
      <c r="BP899" s="16"/>
      <c r="BQ899" s="16"/>
      <c r="BR899" s="16"/>
      <c r="BS899" s="16"/>
      <c r="BT899" s="16"/>
      <c r="BU899" s="16"/>
      <c r="BV899" s="16"/>
      <c r="BW899" s="16"/>
      <c r="BX899" s="16"/>
      <c r="BY899" s="16"/>
      <c r="BZ899" s="16"/>
      <c r="CA899" s="16"/>
      <c r="CB899" s="16"/>
      <c r="CC899" s="16"/>
      <c r="CD899" s="16"/>
      <c r="CE899" s="16"/>
      <c r="CF899" s="16"/>
      <c r="CG899" s="16"/>
      <c r="CH899" s="16"/>
      <c r="CI899" s="16"/>
      <c r="CJ899" s="16"/>
      <c r="CK899" s="16"/>
      <c r="CL899" s="16"/>
      <c r="CM899" s="16"/>
      <c r="CN899" s="16"/>
      <c r="CO899" s="16"/>
      <c r="CP899" s="16"/>
      <c r="CQ899" s="16"/>
      <c r="CR899" s="16"/>
      <c r="CS899" s="16"/>
      <c r="CT899" s="16"/>
      <c r="CU899" s="16"/>
      <c r="CV899" s="16"/>
      <c r="CW899" s="16"/>
      <c r="CX899" s="16"/>
      <c r="CY899" s="16"/>
      <c r="CZ899" s="16"/>
      <c r="DA899" s="16"/>
      <c r="DB899" s="16"/>
      <c r="DC899" s="16"/>
      <c r="DD899" s="16"/>
      <c r="DE899" s="16"/>
      <c r="DF899" s="16"/>
      <c r="DG899" s="16"/>
      <c r="DH899" s="16"/>
      <c r="DI899" s="16"/>
      <c r="DJ899" s="16"/>
      <c r="DK899" s="16"/>
      <c r="DL899" s="16"/>
      <c r="DM899" s="16"/>
      <c r="DN899" s="16"/>
      <c r="DO899" s="16"/>
      <c r="DP899" s="16"/>
      <c r="DQ899" s="16"/>
      <c r="DR899" s="16"/>
      <c r="DS899" s="16"/>
      <c r="DT899" s="16"/>
      <c r="DU899" s="16"/>
      <c r="DV899" s="16"/>
      <c r="DW899" s="16"/>
      <c r="DX899" s="16"/>
      <c r="DY899" s="16"/>
      <c r="DZ899" s="16"/>
      <c r="EA899" s="16"/>
      <c r="EB899" s="16"/>
      <c r="EC899" s="16"/>
      <c r="ED899" s="16"/>
      <c r="EE899" s="16"/>
      <c r="EF899" s="16"/>
      <c r="EG899" s="16"/>
      <c r="EH899" s="16"/>
      <c r="EI899" s="16"/>
      <c r="EJ899" s="16"/>
      <c r="EK899" s="16"/>
      <c r="EL899" s="16"/>
      <c r="EM899" s="16"/>
      <c r="EN899" s="16"/>
      <c r="EO899" s="16"/>
      <c r="EP899" s="16"/>
      <c r="EQ899" s="16"/>
      <c r="ER899" s="16"/>
      <c r="ES899" s="16"/>
      <c r="ET899" s="16"/>
      <c r="EU899" s="16"/>
      <c r="EV899" s="16"/>
      <c r="EW899" s="16"/>
      <c r="EX899" s="16"/>
      <c r="EY899" s="16"/>
      <c r="EZ899" s="16"/>
      <c r="FA899" s="16"/>
      <c r="FB899" s="16"/>
      <c r="FC899" s="16"/>
      <c r="FD899" s="16"/>
      <c r="FE899" s="16"/>
      <c r="FF899" s="16"/>
      <c r="FG899" s="16"/>
      <c r="FH899" s="16"/>
      <c r="FI899" s="16"/>
      <c r="FJ899" s="16"/>
      <c r="FK899" s="16"/>
      <c r="FL899" s="16"/>
      <c r="FM899" s="16"/>
      <c r="FN899" s="16"/>
      <c r="FO899" s="16"/>
      <c r="FP899" s="16"/>
      <c r="FQ899" s="16"/>
      <c r="FR899" s="16"/>
      <c r="FS899" s="16"/>
      <c r="FT899" s="16"/>
      <c r="FU899" s="16"/>
      <c r="FV899" s="16"/>
      <c r="FW899" s="16"/>
      <c r="FX899" s="16"/>
      <c r="FY899" s="16"/>
      <c r="FZ899" s="16"/>
      <c r="GA899" s="16"/>
      <c r="GB899" s="16"/>
      <c r="GC899" s="16"/>
      <c r="GD899" s="16"/>
      <c r="GE899" s="16"/>
      <c r="GF899" s="16"/>
      <c r="GG899" s="16"/>
      <c r="GH899" s="16"/>
      <c r="GI899" s="16"/>
      <c r="GJ899" s="16"/>
      <c r="GK899" s="16"/>
      <c r="GL899" s="16"/>
      <c r="GM899" s="16"/>
      <c r="GN899" s="16"/>
      <c r="GO899" s="16"/>
      <c r="GP899" s="16"/>
      <c r="GQ899" s="16"/>
      <c r="GR899" s="16"/>
      <c r="GS899" s="16"/>
      <c r="GT899" s="16"/>
      <c r="GU899" s="16"/>
      <c r="GV899" s="16"/>
      <c r="GW899" s="16"/>
      <c r="GX899" s="16"/>
      <c r="GY899" s="16"/>
      <c r="GZ899" s="16"/>
      <c r="HA899" s="16"/>
      <c r="HB899" s="16"/>
      <c r="HC899" s="16"/>
      <c r="HD899" s="16"/>
      <c r="HE899" s="16"/>
      <c r="HF899" s="16"/>
      <c r="HG899" s="16"/>
      <c r="HH899" s="16"/>
      <c r="HI899" s="16"/>
      <c r="HJ899" s="16"/>
      <c r="HK899" s="16"/>
      <c r="HL899" s="16"/>
      <c r="HM899" s="16"/>
      <c r="HN899" s="16"/>
      <c r="HO899" s="16"/>
      <c r="HP899" s="16"/>
      <c r="HQ899" s="16"/>
      <c r="HR899" s="16"/>
      <c r="HS899" s="16"/>
      <c r="HT899" s="16"/>
      <c r="HU899" s="16"/>
      <c r="HV899" s="16"/>
      <c r="HW899" s="16"/>
      <c r="HX899" s="16"/>
      <c r="HY899" s="16"/>
      <c r="HZ899" s="16"/>
      <c r="IA899" s="16"/>
      <c r="IB899" s="16"/>
      <c r="IC899" s="16"/>
      <c r="ID899" s="16"/>
      <c r="IE899" s="16"/>
      <c r="IF899" s="16"/>
      <c r="IG899" s="16"/>
      <c r="IH899" s="16"/>
      <c r="II899" s="16"/>
      <c r="IJ899" s="16"/>
      <c r="IK899" s="16"/>
      <c r="IL899" s="16"/>
      <c r="IM899" s="16"/>
      <c r="IN899" s="16"/>
      <c r="IO899" s="16"/>
      <c r="IP899" s="16"/>
      <c r="IQ899" s="16"/>
      <c r="IR899" s="16"/>
      <c r="IS899" s="16"/>
      <c r="IT899" s="16"/>
      <c r="IU899" s="16"/>
      <c r="IV899" s="16"/>
      <c r="IW899" s="16"/>
      <c r="IX899" s="16"/>
      <c r="IY899" s="16"/>
      <c r="IZ899" s="16"/>
      <c r="JA899" s="16"/>
      <c r="JB899" s="16"/>
      <c r="JC899" s="16"/>
      <c r="JD899" s="16"/>
      <c r="JE899" s="16"/>
      <c r="JF899" s="16"/>
      <c r="JG899" s="16"/>
      <c r="JH899" s="16"/>
      <c r="JI899" s="16"/>
      <c r="JJ899" s="16"/>
      <c r="JK899" s="16"/>
      <c r="JL899" s="16"/>
      <c r="JM899" s="16"/>
      <c r="JN899" s="16"/>
      <c r="JO899" s="16"/>
      <c r="JP899" s="16"/>
      <c r="JQ899" s="16"/>
      <c r="JR899" s="16"/>
      <c r="JS899" s="16"/>
      <c r="JT899" s="16"/>
      <c r="JU899" s="16"/>
      <c r="JV899" s="16"/>
      <c r="JW899" s="16"/>
      <c r="JX899" s="16"/>
      <c r="JY899" s="16"/>
      <c r="JZ899" s="16"/>
      <c r="KA899" s="16"/>
      <c r="KB899" s="16"/>
      <c r="KC899" s="16"/>
      <c r="KD899" s="16"/>
      <c r="KE899" s="16"/>
      <c r="KF899" s="16"/>
      <c r="KG899" s="16"/>
      <c r="KH899" s="16"/>
      <c r="KI899" s="16"/>
      <c r="KJ899" s="16"/>
      <c r="KK899" s="16"/>
      <c r="KL899" s="16"/>
      <c r="KM899" s="16"/>
      <c r="KN899" s="16"/>
      <c r="KO899" s="16"/>
      <c r="KP899" s="16"/>
      <c r="KQ899" s="16"/>
      <c r="KR899" s="16"/>
      <c r="KS899" s="16"/>
      <c r="KT899" s="16"/>
      <c r="KU899" s="16"/>
      <c r="KV899" s="16"/>
      <c r="KW899" s="16"/>
      <c r="KX899" s="16"/>
      <c r="KY899" s="16"/>
      <c r="KZ899" s="16"/>
      <c r="LA899" s="16"/>
      <c r="LB899" s="16"/>
      <c r="LC899" s="16"/>
      <c r="LD899" s="16"/>
      <c r="LE899" s="16"/>
      <c r="LF899" s="16"/>
      <c r="LG899" s="16"/>
      <c r="LH899" s="16"/>
      <c r="LI899" s="16"/>
      <c r="LJ899" s="16"/>
      <c r="LK899" s="16"/>
      <c r="LL899" s="16"/>
      <c r="LM899" s="16"/>
      <c r="LN899" s="16"/>
      <c r="LO899" s="16"/>
      <c r="LP899" s="16"/>
      <c r="LQ899" s="16"/>
      <c r="LR899" s="16"/>
      <c r="LS899" s="16"/>
      <c r="LT899" s="16"/>
      <c r="LU899" s="16"/>
      <c r="LV899" s="16"/>
      <c r="LW899" s="16"/>
      <c r="LX899" s="16"/>
      <c r="LY899" s="16"/>
      <c r="LZ899" s="16"/>
      <c r="MA899" s="16"/>
      <c r="MB899" s="16"/>
      <c r="MC899" s="16"/>
      <c r="MD899" s="16"/>
      <c r="ME899" s="16"/>
      <c r="MF899" s="16"/>
      <c r="MG899" s="16"/>
      <c r="MH899" s="16"/>
      <c r="MI899" s="16"/>
      <c r="MJ899" s="16"/>
      <c r="MK899" s="16"/>
      <c r="ML899" s="16"/>
      <c r="MM899" s="16"/>
      <c r="MN899" s="16"/>
      <c r="MO899" s="16"/>
      <c r="MP899" s="16"/>
      <c r="MQ899" s="16"/>
      <c r="MR899" s="16"/>
      <c r="MS899" s="16"/>
      <c r="MT899" s="16"/>
      <c r="MU899" s="16"/>
      <c r="MV899" s="16"/>
      <c r="MW899" s="16"/>
      <c r="MX899" s="16"/>
      <c r="MY899" s="16"/>
      <c r="MZ899" s="16"/>
      <c r="NA899" s="16"/>
      <c r="NB899" s="16"/>
      <c r="NC899" s="16"/>
      <c r="ND899" s="16"/>
      <c r="NE899" s="16"/>
      <c r="NF899" s="16"/>
      <c r="NG899" s="16"/>
      <c r="NH899" s="16"/>
      <c r="NI899" s="16"/>
      <c r="NJ899" s="16"/>
      <c r="NK899" s="16"/>
      <c r="NL899" s="16"/>
      <c r="NM899" s="16"/>
      <c r="NN899" s="16"/>
      <c r="NO899" s="16"/>
      <c r="NP899" s="16"/>
      <c r="NQ899" s="16"/>
      <c r="NR899" s="16"/>
      <c r="NS899" s="16"/>
      <c r="NT899" s="16"/>
      <c r="NU899" s="16"/>
      <c r="NV899" s="16"/>
      <c r="NW899" s="16"/>
      <c r="NX899" s="16"/>
      <c r="NY899" s="16"/>
      <c r="NZ899" s="16"/>
      <c r="OA899" s="16"/>
      <c r="OB899" s="16"/>
      <c r="OC899" s="16"/>
      <c r="OD899" s="16"/>
      <c r="OE899" s="16"/>
      <c r="OF899" s="16"/>
      <c r="OG899" s="16"/>
      <c r="OH899" s="16"/>
      <c r="OI899" s="16"/>
      <c r="OJ899" s="16"/>
      <c r="OK899" s="16"/>
      <c r="OL899" s="16"/>
      <c r="OM899" s="16"/>
      <c r="ON899" s="16"/>
      <c r="OO899" s="16"/>
      <c r="OP899" s="16"/>
      <c r="OQ899" s="16"/>
      <c r="OR899" s="16"/>
      <c r="OS899" s="16"/>
      <c r="OT899" s="16"/>
      <c r="OU899" s="16"/>
      <c r="OV899" s="16"/>
      <c r="OW899" s="16"/>
      <c r="OX899" s="16"/>
      <c r="OY899" s="16"/>
      <c r="OZ899" s="16"/>
      <c r="PA899" s="16"/>
      <c r="PB899" s="16"/>
      <c r="PC899" s="16"/>
      <c r="PD899" s="16"/>
      <c r="PE899" s="16"/>
      <c r="PF899" s="16"/>
      <c r="PG899" s="16"/>
      <c r="PH899" s="16"/>
      <c r="PI899" s="16"/>
      <c r="PJ899" s="16"/>
      <c r="PK899" s="16"/>
      <c r="PL899" s="16"/>
      <c r="PM899" s="16"/>
      <c r="PN899" s="16"/>
      <c r="PO899" s="16"/>
      <c r="PP899" s="16"/>
      <c r="PQ899" s="16"/>
      <c r="PR899" s="16"/>
      <c r="PS899" s="16"/>
      <c r="PT899" s="16"/>
      <c r="PU899" s="16"/>
      <c r="PV899" s="16"/>
      <c r="PW899" s="16"/>
      <c r="PX899" s="16"/>
      <c r="PY899" s="16"/>
      <c r="PZ899" s="16"/>
      <c r="QA899" s="16"/>
      <c r="QB899" s="16"/>
      <c r="QC899" s="16"/>
      <c r="QD899" s="16"/>
      <c r="QE899" s="16"/>
      <c r="QF899" s="16"/>
      <c r="QG899" s="16"/>
      <c r="QH899" s="16"/>
      <c r="QI899" s="16"/>
      <c r="QJ899" s="16"/>
      <c r="QK899" s="16"/>
      <c r="QL899" s="16"/>
      <c r="QM899" s="16"/>
      <c r="QN899" s="16"/>
      <c r="QO899" s="16"/>
      <c r="QP899" s="16"/>
      <c r="QQ899" s="16"/>
      <c r="QR899" s="16"/>
      <c r="QS899" s="16"/>
      <c r="QT899" s="16"/>
      <c r="QU899" s="16"/>
      <c r="QV899" s="16"/>
      <c r="QW899" s="16"/>
      <c r="QX899" s="16"/>
      <c r="QY899" s="16"/>
      <c r="QZ899" s="16"/>
      <c r="RA899" s="16"/>
      <c r="RB899" s="16"/>
      <c r="RC899" s="16"/>
      <c r="RD899" s="16"/>
      <c r="RE899" s="16"/>
      <c r="RF899" s="16"/>
      <c r="RG899" s="16"/>
      <c r="RH899" s="16"/>
      <c r="RI899" s="16"/>
      <c r="RJ899" s="16"/>
      <c r="RK899" s="16"/>
      <c r="RL899" s="16"/>
      <c r="RM899" s="16"/>
      <c r="RN899" s="16"/>
      <c r="RO899" s="16"/>
      <c r="RP899" s="16"/>
      <c r="RQ899" s="16"/>
      <c r="RR899" s="16"/>
      <c r="RS899" s="16"/>
      <c r="RT899" s="16"/>
      <c r="RU899" s="16"/>
      <c r="RV899" s="16"/>
      <c r="RW899" s="16"/>
      <c r="RX899" s="16"/>
      <c r="RY899" s="16"/>
      <c r="RZ899" s="16"/>
      <c r="SA899" s="16"/>
      <c r="SB899" s="16"/>
      <c r="SC899" s="16"/>
      <c r="SD899" s="16"/>
      <c r="SE899" s="16"/>
      <c r="SF899" s="16"/>
      <c r="SG899" s="16"/>
      <c r="SH899" s="16"/>
      <c r="SI899" s="16"/>
      <c r="SJ899" s="16"/>
      <c r="SK899" s="16"/>
      <c r="SL899" s="16"/>
      <c r="SM899" s="16"/>
      <c r="SN899" s="16"/>
      <c r="SO899" s="16"/>
      <c r="SP899" s="16"/>
      <c r="SQ899" s="16"/>
      <c r="SR899" s="16"/>
      <c r="SS899" s="16"/>
      <c r="ST899" s="16"/>
      <c r="SU899" s="16"/>
      <c r="SV899" s="16"/>
      <c r="SW899" s="16"/>
      <c r="SX899" s="16"/>
      <c r="SY899" s="16"/>
      <c r="SZ899" s="16"/>
      <c r="TA899" s="16"/>
      <c r="TB899" s="16"/>
      <c r="TC899" s="16"/>
      <c r="TD899" s="16"/>
      <c r="TE899" s="16"/>
      <c r="TF899" s="16"/>
      <c r="TG899" s="16"/>
      <c r="TH899" s="16"/>
      <c r="TI899" s="16"/>
      <c r="TJ899" s="16"/>
      <c r="TK899" s="16"/>
      <c r="TL899" s="16"/>
      <c r="TM899" s="16"/>
      <c r="TN899" s="16"/>
      <c r="TO899" s="16"/>
      <c r="TP899" s="16"/>
      <c r="TQ899" s="16"/>
      <c r="TR899" s="16"/>
      <c r="TS899" s="16"/>
      <c r="TT899" s="16"/>
      <c r="TU899" s="16"/>
      <c r="TV899" s="16"/>
      <c r="TW899" s="16"/>
      <c r="TX899" s="16"/>
      <c r="TY899" s="16"/>
      <c r="TZ899" s="16"/>
      <c r="UA899" s="16"/>
      <c r="UB899" s="16"/>
      <c r="UC899" s="16"/>
      <c r="UD899" s="16"/>
      <c r="UE899" s="16"/>
      <c r="UF899" s="16"/>
      <c r="UG899" s="16"/>
      <c r="UH899" s="16"/>
      <c r="UI899" s="16"/>
      <c r="UJ899" s="16"/>
      <c r="UK899" s="16"/>
      <c r="UL899" s="16"/>
      <c r="UM899" s="16"/>
      <c r="UN899" s="16"/>
      <c r="UO899" s="16"/>
      <c r="UP899" s="16"/>
      <c r="UQ899" s="16"/>
      <c r="UR899" s="16"/>
      <c r="US899" s="16"/>
      <c r="UT899" s="16"/>
      <c r="UU899" s="16"/>
      <c r="UV899" s="16"/>
      <c r="UW899" s="16"/>
      <c r="UX899" s="16"/>
      <c r="UY899" s="16"/>
      <c r="UZ899" s="16"/>
      <c r="VA899" s="16"/>
      <c r="VB899" s="16"/>
      <c r="VC899" s="16"/>
      <c r="VD899" s="16"/>
      <c r="VE899" s="16"/>
      <c r="VF899" s="16"/>
      <c r="VG899" s="16"/>
      <c r="VH899" s="16"/>
      <c r="VI899" s="16"/>
      <c r="VJ899" s="16"/>
      <c r="VK899" s="16"/>
      <c r="VL899" s="16"/>
      <c r="VM899" s="16"/>
      <c r="VN899" s="16"/>
      <c r="VO899" s="16"/>
      <c r="VP899" s="16"/>
      <c r="VQ899" s="16"/>
      <c r="VR899" s="16"/>
      <c r="VS899" s="16"/>
      <c r="VT899" s="16"/>
      <c r="VU899" s="16"/>
      <c r="VV899" s="16"/>
      <c r="VW899" s="16"/>
      <c r="VX899" s="16"/>
      <c r="VY899" s="16"/>
      <c r="VZ899" s="16"/>
      <c r="WA899" s="16"/>
      <c r="WB899" s="16"/>
      <c r="WC899" s="16"/>
      <c r="WD899" s="16"/>
      <c r="WE899" s="16"/>
      <c r="WF899" s="16"/>
      <c r="WG899" s="16"/>
      <c r="WH899" s="16"/>
      <c r="WI899" s="16"/>
      <c r="WJ899" s="16"/>
      <c r="WK899" s="16"/>
      <c r="WL899" s="16"/>
      <c r="WM899" s="16"/>
      <c r="WN899" s="16"/>
      <c r="WO899" s="16"/>
      <c r="WP899" s="16"/>
      <c r="WQ899" s="16"/>
      <c r="WR899" s="16"/>
      <c r="WS899" s="16"/>
      <c r="WT899" s="16"/>
      <c r="WU899" s="16"/>
      <c r="WV899" s="16"/>
      <c r="WW899" s="16"/>
      <c r="WX899" s="16"/>
      <c r="WY899" s="16"/>
      <c r="WZ899" s="16"/>
      <c r="XA899" s="16"/>
      <c r="XB899" s="16"/>
      <c r="XC899" s="16"/>
      <c r="XD899" s="16"/>
      <c r="XE899" s="16"/>
      <c r="XF899" s="16"/>
      <c r="XG899" s="16"/>
      <c r="XH899" s="16"/>
      <c r="XI899" s="16"/>
      <c r="XJ899" s="16"/>
      <c r="XK899" s="16"/>
      <c r="XL899" s="16"/>
      <c r="XM899" s="16"/>
      <c r="XN899" s="16"/>
      <c r="XO899" s="16"/>
      <c r="XP899" s="16"/>
      <c r="XQ899" s="16"/>
      <c r="XR899" s="16"/>
      <c r="XS899" s="16"/>
      <c r="XT899" s="16"/>
      <c r="XU899" s="16"/>
      <c r="XV899" s="16"/>
      <c r="XW899" s="16"/>
      <c r="XX899" s="16"/>
      <c r="XY899" s="16"/>
      <c r="XZ899" s="16"/>
      <c r="YA899" s="16"/>
      <c r="YB899" s="16"/>
      <c r="YC899" s="16"/>
      <c r="YD899" s="16"/>
      <c r="YE899" s="16"/>
      <c r="YF899" s="16"/>
      <c r="YG899" s="16"/>
      <c r="YH899" s="16"/>
      <c r="YI899" s="16"/>
      <c r="YJ899" s="16"/>
      <c r="YK899" s="16"/>
      <c r="YL899" s="16"/>
      <c r="YM899" s="16"/>
      <c r="YN899" s="16"/>
      <c r="YO899" s="16"/>
      <c r="YP899" s="16"/>
      <c r="YQ899" s="16"/>
      <c r="YR899" s="16"/>
      <c r="YS899" s="16"/>
      <c r="YT899" s="16"/>
      <c r="YU899" s="16"/>
      <c r="YV899" s="16"/>
      <c r="YW899" s="16"/>
      <c r="YX899" s="16"/>
      <c r="YY899" s="16"/>
      <c r="YZ899" s="16"/>
      <c r="ZA899" s="16"/>
      <c r="ZB899" s="16"/>
      <c r="ZC899" s="16"/>
      <c r="ZD899" s="16"/>
      <c r="ZE899" s="16"/>
      <c r="ZF899" s="16"/>
      <c r="ZG899" s="16"/>
      <c r="ZH899" s="16"/>
      <c r="ZI899" s="16"/>
      <c r="ZJ899" s="16"/>
      <c r="ZK899" s="16"/>
      <c r="ZL899" s="16"/>
      <c r="ZM899" s="16"/>
      <c r="ZN899" s="16"/>
      <c r="ZO899" s="16"/>
      <c r="ZP899" s="16"/>
      <c r="ZQ899" s="16"/>
      <c r="ZR899" s="16"/>
      <c r="ZS899" s="16"/>
      <c r="ZT899" s="16"/>
      <c r="ZU899" s="16"/>
      <c r="ZV899" s="16"/>
      <c r="ZW899" s="16"/>
      <c r="ZX899" s="16"/>
      <c r="ZY899" s="16"/>
      <c r="ZZ899" s="16"/>
      <c r="AAA899" s="16"/>
      <c r="AAB899" s="16"/>
      <c r="AAC899" s="16"/>
      <c r="AAD899" s="16"/>
      <c r="AAE899" s="16"/>
      <c r="AAF899" s="16"/>
      <c r="AAG899" s="16"/>
      <c r="AAH899" s="16"/>
      <c r="AAI899" s="16"/>
      <c r="AAJ899" s="16"/>
      <c r="AAK899" s="16"/>
      <c r="AAL899" s="16"/>
      <c r="AAM899" s="16"/>
      <c r="AAN899" s="16"/>
      <c r="AAO899" s="16"/>
      <c r="AAP899" s="16"/>
      <c r="AAQ899" s="16"/>
      <c r="AAR899" s="16"/>
      <c r="AAS899" s="16"/>
      <c r="AAT899" s="16"/>
      <c r="AAU899" s="16"/>
      <c r="AAV899" s="16"/>
      <c r="AAW899" s="16"/>
      <c r="AAX899" s="16"/>
      <c r="AAY899" s="16"/>
      <c r="AAZ899" s="16"/>
      <c r="ABA899" s="16"/>
      <c r="ABB899" s="16"/>
      <c r="ABC899" s="16"/>
      <c r="ABD899" s="16"/>
      <c r="ABE899" s="16"/>
      <c r="ABF899" s="16"/>
      <c r="ABG899" s="16"/>
      <c r="ABH899" s="16"/>
      <c r="ABI899" s="16"/>
      <c r="ABJ899" s="16"/>
      <c r="ABK899" s="16"/>
      <c r="ABL899" s="16"/>
      <c r="ABM899" s="16"/>
      <c r="ABN899" s="16"/>
      <c r="ABO899" s="16"/>
      <c r="ABP899" s="16"/>
      <c r="ABQ899" s="16"/>
      <c r="ABR899" s="16"/>
      <c r="ABS899" s="16"/>
      <c r="ABT899" s="16"/>
      <c r="ABU899" s="16"/>
      <c r="ABV899" s="16"/>
      <c r="ABW899" s="16"/>
      <c r="ABX899" s="16"/>
      <c r="ABY899" s="16"/>
      <c r="ABZ899" s="16"/>
      <c r="ACA899" s="16"/>
      <c r="ACB899" s="16"/>
      <c r="ACC899" s="16"/>
      <c r="ACD899" s="16"/>
      <c r="ACE899" s="16"/>
      <c r="ACF899" s="16"/>
      <c r="ACG899" s="16"/>
      <c r="ACH899" s="16"/>
      <c r="ACI899" s="16"/>
      <c r="ACJ899" s="16"/>
      <c r="ACK899" s="16"/>
      <c r="ACL899" s="16"/>
      <c r="ACM899" s="16"/>
      <c r="ACN899" s="16"/>
      <c r="ACO899" s="16"/>
      <c r="ACP899" s="16"/>
      <c r="ACQ899" s="16"/>
      <c r="ACR899" s="16"/>
      <c r="ACS899" s="16"/>
      <c r="ACT899" s="16"/>
      <c r="ACU899" s="16"/>
      <c r="ACV899" s="16"/>
      <c r="ACW899" s="16"/>
      <c r="ACX899" s="16"/>
      <c r="ACY899" s="16"/>
      <c r="ACZ899" s="16"/>
      <c r="ADA899" s="16"/>
      <c r="ADB899" s="16"/>
      <c r="ADC899" s="16"/>
      <c r="ADD899" s="16"/>
      <c r="ADE899" s="16"/>
      <c r="ADF899" s="16"/>
      <c r="ADG899" s="16"/>
      <c r="ADH899" s="16"/>
      <c r="ADI899" s="16"/>
      <c r="ADJ899" s="16"/>
      <c r="ADK899" s="16"/>
      <c r="ADL899" s="16"/>
      <c r="ADM899" s="16"/>
      <c r="ADN899" s="16"/>
      <c r="ADO899" s="16"/>
      <c r="ADP899" s="16"/>
      <c r="ADQ899" s="16"/>
      <c r="ADR899" s="16"/>
      <c r="ADS899" s="16"/>
      <c r="ADT899" s="16"/>
      <c r="ADU899" s="16"/>
      <c r="ADV899" s="16"/>
      <c r="ADW899" s="16"/>
      <c r="ADX899" s="16"/>
      <c r="ADY899" s="16"/>
      <c r="ADZ899" s="16"/>
      <c r="AEA899" s="16"/>
      <c r="AEB899" s="16"/>
      <c r="AEC899" s="16"/>
      <c r="AED899" s="16"/>
      <c r="AEE899" s="16"/>
      <c r="AEF899" s="16"/>
      <c r="AEG899" s="16"/>
      <c r="AEH899" s="16"/>
      <c r="AEI899" s="16"/>
      <c r="AEJ899" s="16"/>
      <c r="AEK899" s="16"/>
      <c r="AEL899" s="16"/>
      <c r="AEM899" s="16"/>
      <c r="AEN899" s="16"/>
      <c r="AEO899" s="16"/>
      <c r="AEP899" s="16"/>
      <c r="AEQ899" s="16"/>
      <c r="AER899" s="16"/>
      <c r="AES899" s="16"/>
      <c r="AET899" s="16"/>
      <c r="AEU899" s="16"/>
      <c r="AEV899" s="16"/>
      <c r="AEW899" s="16"/>
      <c r="AEX899" s="16"/>
      <c r="AEY899" s="16"/>
      <c r="AEZ899" s="16"/>
      <c r="AFA899" s="16"/>
      <c r="AFB899" s="16"/>
      <c r="AFC899" s="16"/>
      <c r="AFD899" s="16"/>
      <c r="AFE899" s="16"/>
      <c r="AFF899" s="16"/>
      <c r="AFG899" s="16"/>
      <c r="AFH899" s="16"/>
      <c r="AFI899" s="16"/>
      <c r="AFJ899" s="16"/>
      <c r="AFK899" s="16"/>
      <c r="AFL899" s="16"/>
      <c r="AFM899" s="16"/>
      <c r="AFN899" s="16"/>
      <c r="AFO899" s="16"/>
      <c r="AFP899" s="16"/>
      <c r="AFQ899" s="16"/>
      <c r="AFR899" s="16"/>
      <c r="AFS899" s="16"/>
      <c r="AFT899" s="16"/>
      <c r="AFU899" s="16"/>
      <c r="AFV899" s="16"/>
      <c r="AFW899" s="16"/>
      <c r="AFX899" s="16"/>
      <c r="AFY899" s="16"/>
      <c r="AFZ899" s="16"/>
      <c r="AGA899" s="16"/>
      <c r="AGB899" s="16"/>
      <c r="AGC899" s="16"/>
      <c r="AGD899" s="16"/>
      <c r="AGE899" s="16"/>
      <c r="AGF899" s="16"/>
      <c r="AGG899" s="16"/>
      <c r="AGH899" s="16"/>
      <c r="AGI899" s="16"/>
      <c r="AGJ899" s="16"/>
    </row>
    <row r="900" spans="1:868" s="853" customFormat="1" hidden="1">
      <c r="A900" s="292" t="s">
        <v>238</v>
      </c>
      <c r="B900" s="55" t="s">
        <v>436</v>
      </c>
      <c r="C900" s="265" t="s">
        <v>147</v>
      </c>
      <c r="D900" s="55" t="s">
        <v>147</v>
      </c>
      <c r="E900" s="260">
        <v>4.48E-2</v>
      </c>
      <c r="F900" s="235">
        <v>2</v>
      </c>
      <c r="G900" s="265" t="s">
        <v>237</v>
      </c>
      <c r="H900" s="29">
        <v>1</v>
      </c>
      <c r="I900" s="9">
        <v>2</v>
      </c>
      <c r="J900" s="9">
        <v>2</v>
      </c>
      <c r="K900" s="9">
        <v>1</v>
      </c>
      <c r="L900" s="9">
        <v>2</v>
      </c>
      <c r="M900" s="9">
        <v>2</v>
      </c>
      <c r="N900" s="186">
        <f t="shared" si="49"/>
        <v>0.37356464144298934</v>
      </c>
      <c r="O900" s="160">
        <f t="shared" si="50"/>
        <v>0.38795788889711302</v>
      </c>
      <c r="P900" s="63"/>
      <c r="Q900" s="16"/>
      <c r="R900" s="16"/>
      <c r="S900" s="16"/>
      <c r="T900" s="16"/>
      <c r="U900" s="16"/>
      <c r="V900" s="16"/>
      <c r="W900" s="16"/>
      <c r="X900" s="16"/>
      <c r="Y900" s="16"/>
      <c r="Z900" s="16"/>
      <c r="AA900" s="16"/>
      <c r="AB900" s="16"/>
      <c r="AC900" s="16"/>
      <c r="AD900" s="16"/>
      <c r="AE900" s="16"/>
      <c r="AF900" s="16"/>
      <c r="AG900" s="16"/>
      <c r="AH900" s="16"/>
      <c r="AI900" s="16"/>
      <c r="AJ900" s="16"/>
      <c r="AK900" s="16"/>
      <c r="AL900" s="16"/>
      <c r="AM900" s="16"/>
      <c r="AN900" s="16"/>
      <c r="AO900" s="16"/>
      <c r="AP900" s="16"/>
      <c r="AQ900" s="16"/>
      <c r="AR900" s="16"/>
      <c r="AS900" s="16"/>
      <c r="AT900" s="16"/>
      <c r="AU900" s="16"/>
      <c r="AV900" s="16"/>
      <c r="AW900" s="16"/>
      <c r="AX900" s="16"/>
      <c r="AY900" s="16"/>
      <c r="AZ900" s="16"/>
      <c r="BA900" s="16"/>
      <c r="BB900" s="16"/>
      <c r="BC900" s="16"/>
      <c r="BD900" s="16"/>
      <c r="BE900" s="16"/>
      <c r="BF900" s="16"/>
      <c r="BG900" s="16"/>
      <c r="BH900" s="16"/>
      <c r="BI900" s="16"/>
      <c r="BJ900" s="16"/>
      <c r="BK900" s="16"/>
      <c r="BL900" s="16"/>
      <c r="BM900" s="16"/>
      <c r="BN900" s="16"/>
      <c r="BO900" s="16"/>
      <c r="BP900" s="16"/>
      <c r="BQ900" s="16"/>
      <c r="BR900" s="16"/>
      <c r="BS900" s="16"/>
      <c r="BT900" s="16"/>
      <c r="BU900" s="16"/>
      <c r="BV900" s="16"/>
      <c r="BW900" s="16"/>
      <c r="BX900" s="16"/>
      <c r="BY900" s="16"/>
      <c r="BZ900" s="16"/>
      <c r="CA900" s="16"/>
      <c r="CB900" s="16"/>
      <c r="CC900" s="16"/>
      <c r="CD900" s="16"/>
      <c r="CE900" s="16"/>
      <c r="CF900" s="16"/>
      <c r="CG900" s="16"/>
      <c r="CH900" s="16"/>
      <c r="CI900" s="16"/>
      <c r="CJ900" s="16"/>
      <c r="CK900" s="16"/>
      <c r="CL900" s="16"/>
      <c r="CM900" s="16"/>
      <c r="CN900" s="16"/>
      <c r="CO900" s="16"/>
      <c r="CP900" s="16"/>
      <c r="CQ900" s="16"/>
      <c r="CR900" s="16"/>
      <c r="CS900" s="16"/>
      <c r="CT900" s="16"/>
      <c r="CU900" s="16"/>
      <c r="CV900" s="16"/>
      <c r="CW900" s="16"/>
      <c r="CX900" s="16"/>
      <c r="CY900" s="16"/>
      <c r="CZ900" s="16"/>
      <c r="DA900" s="16"/>
      <c r="DB900" s="16"/>
      <c r="DC900" s="16"/>
      <c r="DD900" s="16"/>
      <c r="DE900" s="16"/>
      <c r="DF900" s="16"/>
      <c r="DG900" s="16"/>
      <c r="DH900" s="16"/>
      <c r="DI900" s="16"/>
      <c r="DJ900" s="16"/>
      <c r="DK900" s="16"/>
      <c r="DL900" s="16"/>
      <c r="DM900" s="16"/>
      <c r="DN900" s="16"/>
      <c r="DO900" s="16"/>
      <c r="DP900" s="16"/>
      <c r="DQ900" s="16"/>
      <c r="DR900" s="16"/>
      <c r="DS900" s="16"/>
      <c r="DT900" s="16"/>
      <c r="DU900" s="16"/>
      <c r="DV900" s="16"/>
      <c r="DW900" s="16"/>
      <c r="DX900" s="16"/>
      <c r="DY900" s="16"/>
      <c r="DZ900" s="16"/>
      <c r="EA900" s="16"/>
      <c r="EB900" s="16"/>
      <c r="EC900" s="16"/>
      <c r="ED900" s="16"/>
      <c r="EE900" s="16"/>
      <c r="EF900" s="16"/>
      <c r="EG900" s="16"/>
      <c r="EH900" s="16"/>
      <c r="EI900" s="16"/>
      <c r="EJ900" s="16"/>
      <c r="EK900" s="16"/>
      <c r="EL900" s="16"/>
      <c r="EM900" s="16"/>
      <c r="EN900" s="16"/>
      <c r="EO900" s="16"/>
      <c r="EP900" s="16"/>
      <c r="EQ900" s="16"/>
      <c r="ER900" s="16"/>
      <c r="ES900" s="16"/>
      <c r="ET900" s="16"/>
      <c r="EU900" s="16"/>
      <c r="EV900" s="16"/>
      <c r="EW900" s="16"/>
      <c r="EX900" s="16"/>
      <c r="EY900" s="16"/>
      <c r="EZ900" s="16"/>
      <c r="FA900" s="16"/>
      <c r="FB900" s="16"/>
      <c r="FC900" s="16"/>
      <c r="FD900" s="16"/>
      <c r="FE900" s="16"/>
      <c r="FF900" s="16"/>
      <c r="FG900" s="16"/>
      <c r="FH900" s="16"/>
      <c r="FI900" s="16"/>
      <c r="FJ900" s="16"/>
      <c r="FK900" s="16"/>
      <c r="FL900" s="16"/>
      <c r="FM900" s="16"/>
      <c r="FN900" s="16"/>
      <c r="FO900" s="16"/>
      <c r="FP900" s="16"/>
      <c r="FQ900" s="16"/>
      <c r="FR900" s="16"/>
      <c r="FS900" s="16"/>
      <c r="FT900" s="16"/>
      <c r="FU900" s="16"/>
      <c r="FV900" s="16"/>
      <c r="FW900" s="16"/>
      <c r="FX900" s="16"/>
      <c r="FY900" s="16"/>
      <c r="FZ900" s="16"/>
      <c r="GA900" s="16"/>
      <c r="GB900" s="16"/>
      <c r="GC900" s="16"/>
      <c r="GD900" s="16"/>
      <c r="GE900" s="16"/>
      <c r="GF900" s="16"/>
      <c r="GG900" s="16"/>
      <c r="GH900" s="16"/>
      <c r="GI900" s="16"/>
      <c r="GJ900" s="16"/>
      <c r="GK900" s="16"/>
      <c r="GL900" s="16"/>
      <c r="GM900" s="16"/>
      <c r="GN900" s="16"/>
      <c r="GO900" s="16"/>
      <c r="GP900" s="16"/>
      <c r="GQ900" s="16"/>
      <c r="GR900" s="16"/>
      <c r="GS900" s="16"/>
      <c r="GT900" s="16"/>
      <c r="GU900" s="16"/>
      <c r="GV900" s="16"/>
      <c r="GW900" s="16"/>
      <c r="GX900" s="16"/>
      <c r="GY900" s="16"/>
      <c r="GZ900" s="16"/>
      <c r="HA900" s="16"/>
      <c r="HB900" s="16"/>
      <c r="HC900" s="16"/>
      <c r="HD900" s="16"/>
      <c r="HE900" s="16"/>
      <c r="HF900" s="16"/>
      <c r="HG900" s="16"/>
      <c r="HH900" s="16"/>
      <c r="HI900" s="16"/>
      <c r="HJ900" s="16"/>
      <c r="HK900" s="16"/>
      <c r="HL900" s="16"/>
      <c r="HM900" s="16"/>
      <c r="HN900" s="16"/>
      <c r="HO900" s="16"/>
      <c r="HP900" s="16"/>
      <c r="HQ900" s="16"/>
      <c r="HR900" s="16"/>
      <c r="HS900" s="16"/>
      <c r="HT900" s="16"/>
      <c r="HU900" s="16"/>
      <c r="HV900" s="16"/>
      <c r="HW900" s="16"/>
      <c r="HX900" s="16"/>
      <c r="HY900" s="16"/>
      <c r="HZ900" s="16"/>
      <c r="IA900" s="16"/>
      <c r="IB900" s="16"/>
      <c r="IC900" s="16"/>
      <c r="ID900" s="16"/>
      <c r="IE900" s="16"/>
      <c r="IF900" s="16"/>
      <c r="IG900" s="16"/>
      <c r="IH900" s="16"/>
      <c r="II900" s="16"/>
      <c r="IJ900" s="16"/>
      <c r="IK900" s="16"/>
      <c r="IL900" s="16"/>
      <c r="IM900" s="16"/>
      <c r="IN900" s="16"/>
      <c r="IO900" s="16"/>
      <c r="IP900" s="16"/>
      <c r="IQ900" s="16"/>
      <c r="IR900" s="16"/>
      <c r="IS900" s="16"/>
      <c r="IT900" s="16"/>
      <c r="IU900" s="16"/>
      <c r="IV900" s="16"/>
      <c r="IW900" s="16"/>
      <c r="IX900" s="16"/>
      <c r="IY900" s="16"/>
      <c r="IZ900" s="16"/>
      <c r="JA900" s="16"/>
      <c r="JB900" s="16"/>
      <c r="JC900" s="16"/>
      <c r="JD900" s="16"/>
      <c r="JE900" s="16"/>
      <c r="JF900" s="16"/>
      <c r="JG900" s="16"/>
      <c r="JH900" s="16"/>
      <c r="JI900" s="16"/>
      <c r="JJ900" s="16"/>
      <c r="JK900" s="16"/>
      <c r="JL900" s="16"/>
      <c r="JM900" s="16"/>
      <c r="JN900" s="16"/>
      <c r="JO900" s="16"/>
      <c r="JP900" s="16"/>
      <c r="JQ900" s="16"/>
      <c r="JR900" s="16"/>
      <c r="JS900" s="16"/>
      <c r="JT900" s="16"/>
      <c r="JU900" s="16"/>
      <c r="JV900" s="16"/>
      <c r="JW900" s="16"/>
      <c r="JX900" s="16"/>
      <c r="JY900" s="16"/>
      <c r="JZ900" s="16"/>
      <c r="KA900" s="16"/>
      <c r="KB900" s="16"/>
      <c r="KC900" s="16"/>
      <c r="KD900" s="16"/>
      <c r="KE900" s="16"/>
      <c r="KF900" s="16"/>
      <c r="KG900" s="16"/>
      <c r="KH900" s="16"/>
      <c r="KI900" s="16"/>
      <c r="KJ900" s="16"/>
      <c r="KK900" s="16"/>
      <c r="KL900" s="16"/>
      <c r="KM900" s="16"/>
      <c r="KN900" s="16"/>
      <c r="KO900" s="16"/>
      <c r="KP900" s="16"/>
      <c r="KQ900" s="16"/>
      <c r="KR900" s="16"/>
      <c r="KS900" s="16"/>
      <c r="KT900" s="16"/>
      <c r="KU900" s="16"/>
      <c r="KV900" s="16"/>
      <c r="KW900" s="16"/>
      <c r="KX900" s="16"/>
      <c r="KY900" s="16"/>
      <c r="KZ900" s="16"/>
      <c r="LA900" s="16"/>
      <c r="LB900" s="16"/>
      <c r="LC900" s="16"/>
      <c r="LD900" s="16"/>
      <c r="LE900" s="16"/>
      <c r="LF900" s="16"/>
      <c r="LG900" s="16"/>
      <c r="LH900" s="16"/>
      <c r="LI900" s="16"/>
      <c r="LJ900" s="16"/>
      <c r="LK900" s="16"/>
      <c r="LL900" s="16"/>
      <c r="LM900" s="16"/>
      <c r="LN900" s="16"/>
      <c r="LO900" s="16"/>
      <c r="LP900" s="16"/>
      <c r="LQ900" s="16"/>
      <c r="LR900" s="16"/>
      <c r="LS900" s="16"/>
      <c r="LT900" s="16"/>
      <c r="LU900" s="16"/>
      <c r="LV900" s="16"/>
      <c r="LW900" s="16"/>
      <c r="LX900" s="16"/>
      <c r="LY900" s="16"/>
      <c r="LZ900" s="16"/>
      <c r="MA900" s="16"/>
      <c r="MB900" s="16"/>
      <c r="MC900" s="16"/>
      <c r="MD900" s="16"/>
      <c r="ME900" s="16"/>
      <c r="MF900" s="16"/>
      <c r="MG900" s="16"/>
      <c r="MH900" s="16"/>
      <c r="MI900" s="16"/>
      <c r="MJ900" s="16"/>
      <c r="MK900" s="16"/>
      <c r="ML900" s="16"/>
      <c r="MM900" s="16"/>
      <c r="MN900" s="16"/>
      <c r="MO900" s="16"/>
      <c r="MP900" s="16"/>
      <c r="MQ900" s="16"/>
      <c r="MR900" s="16"/>
      <c r="MS900" s="16"/>
      <c r="MT900" s="16"/>
      <c r="MU900" s="16"/>
      <c r="MV900" s="16"/>
      <c r="MW900" s="16"/>
      <c r="MX900" s="16"/>
      <c r="MY900" s="16"/>
      <c r="MZ900" s="16"/>
      <c r="NA900" s="16"/>
      <c r="NB900" s="16"/>
      <c r="NC900" s="16"/>
      <c r="ND900" s="16"/>
      <c r="NE900" s="16"/>
      <c r="NF900" s="16"/>
      <c r="NG900" s="16"/>
      <c r="NH900" s="16"/>
      <c r="NI900" s="16"/>
      <c r="NJ900" s="16"/>
      <c r="NK900" s="16"/>
      <c r="NL900" s="16"/>
      <c r="NM900" s="16"/>
      <c r="NN900" s="16"/>
      <c r="NO900" s="16"/>
      <c r="NP900" s="16"/>
      <c r="NQ900" s="16"/>
      <c r="NR900" s="16"/>
      <c r="NS900" s="16"/>
      <c r="NT900" s="16"/>
      <c r="NU900" s="16"/>
      <c r="NV900" s="16"/>
      <c r="NW900" s="16"/>
      <c r="NX900" s="16"/>
      <c r="NY900" s="16"/>
      <c r="NZ900" s="16"/>
      <c r="OA900" s="16"/>
      <c r="OB900" s="16"/>
      <c r="OC900" s="16"/>
      <c r="OD900" s="16"/>
      <c r="OE900" s="16"/>
      <c r="OF900" s="16"/>
      <c r="OG900" s="16"/>
      <c r="OH900" s="16"/>
      <c r="OI900" s="16"/>
      <c r="OJ900" s="16"/>
      <c r="OK900" s="16"/>
      <c r="OL900" s="16"/>
      <c r="OM900" s="16"/>
      <c r="ON900" s="16"/>
      <c r="OO900" s="16"/>
      <c r="OP900" s="16"/>
      <c r="OQ900" s="16"/>
      <c r="OR900" s="16"/>
      <c r="OS900" s="16"/>
      <c r="OT900" s="16"/>
      <c r="OU900" s="16"/>
      <c r="OV900" s="16"/>
      <c r="OW900" s="16"/>
      <c r="OX900" s="16"/>
      <c r="OY900" s="16"/>
      <c r="OZ900" s="16"/>
      <c r="PA900" s="16"/>
      <c r="PB900" s="16"/>
      <c r="PC900" s="16"/>
      <c r="PD900" s="16"/>
      <c r="PE900" s="16"/>
      <c r="PF900" s="16"/>
      <c r="PG900" s="16"/>
      <c r="PH900" s="16"/>
      <c r="PI900" s="16"/>
      <c r="PJ900" s="16"/>
      <c r="PK900" s="16"/>
      <c r="PL900" s="16"/>
      <c r="PM900" s="16"/>
      <c r="PN900" s="16"/>
      <c r="PO900" s="16"/>
      <c r="PP900" s="16"/>
      <c r="PQ900" s="16"/>
      <c r="PR900" s="16"/>
      <c r="PS900" s="16"/>
      <c r="PT900" s="16"/>
      <c r="PU900" s="16"/>
      <c r="PV900" s="16"/>
      <c r="PW900" s="16"/>
      <c r="PX900" s="16"/>
      <c r="PY900" s="16"/>
      <c r="PZ900" s="16"/>
      <c r="QA900" s="16"/>
      <c r="QB900" s="16"/>
      <c r="QC900" s="16"/>
      <c r="QD900" s="16"/>
      <c r="QE900" s="16"/>
      <c r="QF900" s="16"/>
      <c r="QG900" s="16"/>
      <c r="QH900" s="16"/>
      <c r="QI900" s="16"/>
      <c r="QJ900" s="16"/>
      <c r="QK900" s="16"/>
      <c r="QL900" s="16"/>
      <c r="QM900" s="16"/>
      <c r="QN900" s="16"/>
      <c r="QO900" s="16"/>
      <c r="QP900" s="16"/>
      <c r="QQ900" s="16"/>
      <c r="QR900" s="16"/>
      <c r="QS900" s="16"/>
      <c r="QT900" s="16"/>
      <c r="QU900" s="16"/>
      <c r="QV900" s="16"/>
      <c r="QW900" s="16"/>
      <c r="QX900" s="16"/>
      <c r="QY900" s="16"/>
      <c r="QZ900" s="16"/>
      <c r="RA900" s="16"/>
      <c r="RB900" s="16"/>
      <c r="RC900" s="16"/>
      <c r="RD900" s="16"/>
      <c r="RE900" s="16"/>
      <c r="RF900" s="16"/>
      <c r="RG900" s="16"/>
      <c r="RH900" s="16"/>
      <c r="RI900" s="16"/>
      <c r="RJ900" s="16"/>
      <c r="RK900" s="16"/>
      <c r="RL900" s="16"/>
      <c r="RM900" s="16"/>
      <c r="RN900" s="16"/>
      <c r="RO900" s="16"/>
      <c r="RP900" s="16"/>
      <c r="RQ900" s="16"/>
      <c r="RR900" s="16"/>
      <c r="RS900" s="16"/>
      <c r="RT900" s="16"/>
      <c r="RU900" s="16"/>
      <c r="RV900" s="16"/>
      <c r="RW900" s="16"/>
      <c r="RX900" s="16"/>
      <c r="RY900" s="16"/>
      <c r="RZ900" s="16"/>
      <c r="SA900" s="16"/>
      <c r="SB900" s="16"/>
      <c r="SC900" s="16"/>
      <c r="SD900" s="16"/>
      <c r="SE900" s="16"/>
      <c r="SF900" s="16"/>
      <c r="SG900" s="16"/>
      <c r="SH900" s="16"/>
      <c r="SI900" s="16"/>
      <c r="SJ900" s="16"/>
      <c r="SK900" s="16"/>
      <c r="SL900" s="16"/>
      <c r="SM900" s="16"/>
      <c r="SN900" s="16"/>
      <c r="SO900" s="16"/>
      <c r="SP900" s="16"/>
      <c r="SQ900" s="16"/>
      <c r="SR900" s="16"/>
      <c r="SS900" s="16"/>
      <c r="ST900" s="16"/>
      <c r="SU900" s="16"/>
      <c r="SV900" s="16"/>
      <c r="SW900" s="16"/>
      <c r="SX900" s="16"/>
      <c r="SY900" s="16"/>
      <c r="SZ900" s="16"/>
      <c r="TA900" s="16"/>
      <c r="TB900" s="16"/>
      <c r="TC900" s="16"/>
      <c r="TD900" s="16"/>
      <c r="TE900" s="16"/>
      <c r="TF900" s="16"/>
      <c r="TG900" s="16"/>
      <c r="TH900" s="16"/>
      <c r="TI900" s="16"/>
      <c r="TJ900" s="16"/>
      <c r="TK900" s="16"/>
      <c r="TL900" s="16"/>
      <c r="TM900" s="16"/>
      <c r="TN900" s="16"/>
      <c r="TO900" s="16"/>
      <c r="TP900" s="16"/>
      <c r="TQ900" s="16"/>
      <c r="TR900" s="16"/>
      <c r="TS900" s="16"/>
      <c r="TT900" s="16"/>
      <c r="TU900" s="16"/>
      <c r="TV900" s="16"/>
      <c r="TW900" s="16"/>
      <c r="TX900" s="16"/>
      <c r="TY900" s="16"/>
      <c r="TZ900" s="16"/>
      <c r="UA900" s="16"/>
      <c r="UB900" s="16"/>
      <c r="UC900" s="16"/>
      <c r="UD900" s="16"/>
      <c r="UE900" s="16"/>
      <c r="UF900" s="16"/>
      <c r="UG900" s="16"/>
      <c r="UH900" s="16"/>
      <c r="UI900" s="16"/>
      <c r="UJ900" s="16"/>
      <c r="UK900" s="16"/>
      <c r="UL900" s="16"/>
      <c r="UM900" s="16"/>
      <c r="UN900" s="16"/>
      <c r="UO900" s="16"/>
      <c r="UP900" s="16"/>
      <c r="UQ900" s="16"/>
      <c r="UR900" s="16"/>
      <c r="US900" s="16"/>
      <c r="UT900" s="16"/>
      <c r="UU900" s="16"/>
      <c r="UV900" s="16"/>
      <c r="UW900" s="16"/>
      <c r="UX900" s="16"/>
      <c r="UY900" s="16"/>
      <c r="UZ900" s="16"/>
      <c r="VA900" s="16"/>
      <c r="VB900" s="16"/>
      <c r="VC900" s="16"/>
      <c r="VD900" s="16"/>
      <c r="VE900" s="16"/>
      <c r="VF900" s="16"/>
      <c r="VG900" s="16"/>
      <c r="VH900" s="16"/>
      <c r="VI900" s="16"/>
      <c r="VJ900" s="16"/>
      <c r="VK900" s="16"/>
      <c r="VL900" s="16"/>
      <c r="VM900" s="16"/>
      <c r="VN900" s="16"/>
      <c r="VO900" s="16"/>
      <c r="VP900" s="16"/>
      <c r="VQ900" s="16"/>
      <c r="VR900" s="16"/>
      <c r="VS900" s="16"/>
      <c r="VT900" s="16"/>
      <c r="VU900" s="16"/>
      <c r="VV900" s="16"/>
      <c r="VW900" s="16"/>
      <c r="VX900" s="16"/>
      <c r="VY900" s="16"/>
      <c r="VZ900" s="16"/>
      <c r="WA900" s="16"/>
      <c r="WB900" s="16"/>
      <c r="WC900" s="16"/>
      <c r="WD900" s="16"/>
      <c r="WE900" s="16"/>
      <c r="WF900" s="16"/>
      <c r="WG900" s="16"/>
      <c r="WH900" s="16"/>
      <c r="WI900" s="16"/>
      <c r="WJ900" s="16"/>
      <c r="WK900" s="16"/>
      <c r="WL900" s="16"/>
      <c r="WM900" s="16"/>
      <c r="WN900" s="16"/>
      <c r="WO900" s="16"/>
      <c r="WP900" s="16"/>
      <c r="WQ900" s="16"/>
      <c r="WR900" s="16"/>
      <c r="WS900" s="16"/>
      <c r="WT900" s="16"/>
      <c r="WU900" s="16"/>
      <c r="WV900" s="16"/>
      <c r="WW900" s="16"/>
      <c r="WX900" s="16"/>
      <c r="WY900" s="16"/>
      <c r="WZ900" s="16"/>
      <c r="XA900" s="16"/>
      <c r="XB900" s="16"/>
      <c r="XC900" s="16"/>
      <c r="XD900" s="16"/>
      <c r="XE900" s="16"/>
      <c r="XF900" s="16"/>
      <c r="XG900" s="16"/>
      <c r="XH900" s="16"/>
      <c r="XI900" s="16"/>
      <c r="XJ900" s="16"/>
      <c r="XK900" s="16"/>
      <c r="XL900" s="16"/>
      <c r="XM900" s="16"/>
      <c r="XN900" s="16"/>
      <c r="XO900" s="16"/>
      <c r="XP900" s="16"/>
      <c r="XQ900" s="16"/>
      <c r="XR900" s="16"/>
      <c r="XS900" s="16"/>
      <c r="XT900" s="16"/>
      <c r="XU900" s="16"/>
      <c r="XV900" s="16"/>
      <c r="XW900" s="16"/>
      <c r="XX900" s="16"/>
      <c r="XY900" s="16"/>
      <c r="XZ900" s="16"/>
      <c r="YA900" s="16"/>
      <c r="YB900" s="16"/>
      <c r="YC900" s="16"/>
      <c r="YD900" s="16"/>
      <c r="YE900" s="16"/>
      <c r="YF900" s="16"/>
      <c r="YG900" s="16"/>
      <c r="YH900" s="16"/>
      <c r="YI900" s="16"/>
      <c r="YJ900" s="16"/>
      <c r="YK900" s="16"/>
      <c r="YL900" s="16"/>
      <c r="YM900" s="16"/>
      <c r="YN900" s="16"/>
      <c r="YO900" s="16"/>
      <c r="YP900" s="16"/>
      <c r="YQ900" s="16"/>
      <c r="YR900" s="16"/>
      <c r="YS900" s="16"/>
      <c r="YT900" s="16"/>
      <c r="YU900" s="16"/>
      <c r="YV900" s="16"/>
      <c r="YW900" s="16"/>
      <c r="YX900" s="16"/>
      <c r="YY900" s="16"/>
      <c r="YZ900" s="16"/>
      <c r="ZA900" s="16"/>
      <c r="ZB900" s="16"/>
      <c r="ZC900" s="16"/>
      <c r="ZD900" s="16"/>
      <c r="ZE900" s="16"/>
      <c r="ZF900" s="16"/>
      <c r="ZG900" s="16"/>
      <c r="ZH900" s="16"/>
      <c r="ZI900" s="16"/>
      <c r="ZJ900" s="16"/>
      <c r="ZK900" s="16"/>
      <c r="ZL900" s="16"/>
      <c r="ZM900" s="16"/>
      <c r="ZN900" s="16"/>
      <c r="ZO900" s="16"/>
      <c r="ZP900" s="16"/>
      <c r="ZQ900" s="16"/>
      <c r="ZR900" s="16"/>
      <c r="ZS900" s="16"/>
      <c r="ZT900" s="16"/>
      <c r="ZU900" s="16"/>
      <c r="ZV900" s="16"/>
      <c r="ZW900" s="16"/>
      <c r="ZX900" s="16"/>
      <c r="ZY900" s="16"/>
      <c r="ZZ900" s="16"/>
      <c r="AAA900" s="16"/>
      <c r="AAB900" s="16"/>
      <c r="AAC900" s="16"/>
      <c r="AAD900" s="16"/>
      <c r="AAE900" s="16"/>
      <c r="AAF900" s="16"/>
      <c r="AAG900" s="16"/>
      <c r="AAH900" s="16"/>
      <c r="AAI900" s="16"/>
      <c r="AAJ900" s="16"/>
      <c r="AAK900" s="16"/>
      <c r="AAL900" s="16"/>
      <c r="AAM900" s="16"/>
      <c r="AAN900" s="16"/>
      <c r="AAO900" s="16"/>
      <c r="AAP900" s="16"/>
      <c r="AAQ900" s="16"/>
      <c r="AAR900" s="16"/>
      <c r="AAS900" s="16"/>
      <c r="AAT900" s="16"/>
      <c r="AAU900" s="16"/>
      <c r="AAV900" s="16"/>
      <c r="AAW900" s="16"/>
      <c r="AAX900" s="16"/>
      <c r="AAY900" s="16"/>
      <c r="AAZ900" s="16"/>
      <c r="ABA900" s="16"/>
      <c r="ABB900" s="16"/>
      <c r="ABC900" s="16"/>
      <c r="ABD900" s="16"/>
      <c r="ABE900" s="16"/>
      <c r="ABF900" s="16"/>
      <c r="ABG900" s="16"/>
      <c r="ABH900" s="16"/>
      <c r="ABI900" s="16"/>
      <c r="ABJ900" s="16"/>
      <c r="ABK900" s="16"/>
      <c r="ABL900" s="16"/>
      <c r="ABM900" s="16"/>
      <c r="ABN900" s="16"/>
      <c r="ABO900" s="16"/>
      <c r="ABP900" s="16"/>
      <c r="ABQ900" s="16"/>
      <c r="ABR900" s="16"/>
      <c r="ABS900" s="16"/>
      <c r="ABT900" s="16"/>
      <c r="ABU900" s="16"/>
      <c r="ABV900" s="16"/>
      <c r="ABW900" s="16"/>
      <c r="ABX900" s="16"/>
      <c r="ABY900" s="16"/>
      <c r="ABZ900" s="16"/>
      <c r="ACA900" s="16"/>
      <c r="ACB900" s="16"/>
      <c r="ACC900" s="16"/>
      <c r="ACD900" s="16"/>
      <c r="ACE900" s="16"/>
      <c r="ACF900" s="16"/>
      <c r="ACG900" s="16"/>
      <c r="ACH900" s="16"/>
      <c r="ACI900" s="16"/>
      <c r="ACJ900" s="16"/>
      <c r="ACK900" s="16"/>
      <c r="ACL900" s="16"/>
      <c r="ACM900" s="16"/>
      <c r="ACN900" s="16"/>
      <c r="ACO900" s="16"/>
      <c r="ACP900" s="16"/>
      <c r="ACQ900" s="16"/>
      <c r="ACR900" s="16"/>
      <c r="ACS900" s="16"/>
      <c r="ACT900" s="16"/>
      <c r="ACU900" s="16"/>
      <c r="ACV900" s="16"/>
      <c r="ACW900" s="16"/>
      <c r="ACX900" s="16"/>
      <c r="ACY900" s="16"/>
      <c r="ACZ900" s="16"/>
      <c r="ADA900" s="16"/>
      <c r="ADB900" s="16"/>
      <c r="ADC900" s="16"/>
      <c r="ADD900" s="16"/>
      <c r="ADE900" s="16"/>
      <c r="ADF900" s="16"/>
      <c r="ADG900" s="16"/>
      <c r="ADH900" s="16"/>
      <c r="ADI900" s="16"/>
      <c r="ADJ900" s="16"/>
      <c r="ADK900" s="16"/>
      <c r="ADL900" s="16"/>
      <c r="ADM900" s="16"/>
      <c r="ADN900" s="16"/>
      <c r="ADO900" s="16"/>
      <c r="ADP900" s="16"/>
      <c r="ADQ900" s="16"/>
      <c r="ADR900" s="16"/>
      <c r="ADS900" s="16"/>
      <c r="ADT900" s="16"/>
      <c r="ADU900" s="16"/>
      <c r="ADV900" s="16"/>
      <c r="ADW900" s="16"/>
      <c r="ADX900" s="16"/>
      <c r="ADY900" s="16"/>
      <c r="ADZ900" s="16"/>
      <c r="AEA900" s="16"/>
      <c r="AEB900" s="16"/>
      <c r="AEC900" s="16"/>
      <c r="AED900" s="16"/>
      <c r="AEE900" s="16"/>
      <c r="AEF900" s="16"/>
      <c r="AEG900" s="16"/>
      <c r="AEH900" s="16"/>
      <c r="AEI900" s="16"/>
      <c r="AEJ900" s="16"/>
      <c r="AEK900" s="16"/>
      <c r="AEL900" s="16"/>
      <c r="AEM900" s="16"/>
      <c r="AEN900" s="16"/>
      <c r="AEO900" s="16"/>
      <c r="AEP900" s="16"/>
      <c r="AEQ900" s="16"/>
      <c r="AER900" s="16"/>
      <c r="AES900" s="16"/>
      <c r="AET900" s="16"/>
      <c r="AEU900" s="16"/>
      <c r="AEV900" s="16"/>
      <c r="AEW900" s="16"/>
      <c r="AEX900" s="16"/>
      <c r="AEY900" s="16"/>
      <c r="AEZ900" s="16"/>
      <c r="AFA900" s="16"/>
      <c r="AFB900" s="16"/>
      <c r="AFC900" s="16"/>
      <c r="AFD900" s="16"/>
      <c r="AFE900" s="16"/>
      <c r="AFF900" s="16"/>
      <c r="AFG900" s="16"/>
      <c r="AFH900" s="16"/>
      <c r="AFI900" s="16"/>
      <c r="AFJ900" s="16"/>
      <c r="AFK900" s="16"/>
      <c r="AFL900" s="16"/>
      <c r="AFM900" s="16"/>
      <c r="AFN900" s="16"/>
      <c r="AFO900" s="16"/>
      <c r="AFP900" s="16"/>
      <c r="AFQ900" s="16"/>
      <c r="AFR900" s="16"/>
      <c r="AFS900" s="16"/>
      <c r="AFT900" s="16"/>
      <c r="AFU900" s="16"/>
      <c r="AFV900" s="16"/>
      <c r="AFW900" s="16"/>
      <c r="AFX900" s="16"/>
      <c r="AFY900" s="16"/>
      <c r="AFZ900" s="16"/>
      <c r="AGA900" s="16"/>
      <c r="AGB900" s="16"/>
      <c r="AGC900" s="16"/>
      <c r="AGD900" s="16"/>
      <c r="AGE900" s="16"/>
      <c r="AGF900" s="16"/>
      <c r="AGG900" s="16"/>
      <c r="AGH900" s="16"/>
      <c r="AGI900" s="16"/>
      <c r="AGJ900" s="16"/>
    </row>
    <row r="901" spans="1:868" hidden="1">
      <c r="A901" s="292" t="s">
        <v>202</v>
      </c>
      <c r="B901" s="55" t="s">
        <v>238</v>
      </c>
      <c r="C901" s="265" t="s">
        <v>147</v>
      </c>
      <c r="D901" s="55" t="s">
        <v>147</v>
      </c>
      <c r="E901" s="260">
        <v>0.44587958</v>
      </c>
      <c r="F901" s="235">
        <v>2</v>
      </c>
      <c r="G901" s="265" t="s">
        <v>237</v>
      </c>
      <c r="H901" s="29">
        <v>1</v>
      </c>
      <c r="I901" s="9">
        <v>2</v>
      </c>
      <c r="J901" s="9">
        <v>2</v>
      </c>
      <c r="K901" s="9">
        <v>1</v>
      </c>
      <c r="L901" s="9">
        <v>2</v>
      </c>
      <c r="M901" s="9">
        <v>2</v>
      </c>
      <c r="N901" s="186">
        <f t="shared" si="49"/>
        <v>0.37356464144298934</v>
      </c>
      <c r="O901" s="160">
        <f t="shared" si="50"/>
        <v>0.38795788889711302</v>
      </c>
      <c r="P901" s="63"/>
    </row>
    <row r="902" spans="1:868" hidden="1">
      <c r="A902" s="152" t="s">
        <v>130</v>
      </c>
      <c r="B902" s="34" t="s">
        <v>365</v>
      </c>
      <c r="C902" s="40" t="s">
        <v>147</v>
      </c>
      <c r="D902" s="34" t="s">
        <v>99</v>
      </c>
      <c r="E902" s="260">
        <v>0.30372334961384378</v>
      </c>
      <c r="F902" s="235">
        <v>1</v>
      </c>
      <c r="G902" s="40"/>
      <c r="H902" s="29">
        <v>3</v>
      </c>
      <c r="I902" s="9">
        <v>3</v>
      </c>
      <c r="J902" s="9">
        <v>2</v>
      </c>
      <c r="K902" s="9">
        <v>2</v>
      </c>
      <c r="L902" s="9">
        <v>1</v>
      </c>
      <c r="M902" s="9">
        <v>2</v>
      </c>
      <c r="N902" s="186">
        <f t="shared" si="49"/>
        <v>0.50042652380814845</v>
      </c>
      <c r="O902" s="160">
        <f t="shared" si="50"/>
        <v>0.50042652380814845</v>
      </c>
      <c r="P902" s="63"/>
    </row>
    <row r="903" spans="1:868" hidden="1">
      <c r="A903" s="152" t="s">
        <v>130</v>
      </c>
      <c r="B903" s="34" t="s">
        <v>365</v>
      </c>
      <c r="C903" s="40" t="s">
        <v>147</v>
      </c>
      <c r="D903" s="34" t="s">
        <v>103</v>
      </c>
      <c r="E903" s="260">
        <v>0.46776568999142792</v>
      </c>
      <c r="F903" s="235">
        <v>1</v>
      </c>
      <c r="G903" s="40"/>
      <c r="H903" s="29">
        <v>3</v>
      </c>
      <c r="I903" s="9">
        <v>3</v>
      </c>
      <c r="J903" s="9">
        <v>2</v>
      </c>
      <c r="K903" s="9">
        <v>2</v>
      </c>
      <c r="L903" s="9">
        <v>1</v>
      </c>
      <c r="M903" s="9">
        <v>2</v>
      </c>
      <c r="N903" s="186">
        <f t="shared" si="49"/>
        <v>0.50042652380814845</v>
      </c>
      <c r="O903" s="160">
        <f t="shared" si="50"/>
        <v>0.50042652380814845</v>
      </c>
      <c r="P903" s="63"/>
    </row>
    <row r="904" spans="1:868" hidden="1">
      <c r="A904" s="292" t="s">
        <v>360</v>
      </c>
      <c r="B904" s="55" t="s">
        <v>238</v>
      </c>
      <c r="C904" s="265" t="s">
        <v>147</v>
      </c>
      <c r="D904" s="55" t="s">
        <v>147</v>
      </c>
      <c r="E904" s="260">
        <v>0.33810000000000001</v>
      </c>
      <c r="F904" s="235">
        <v>2</v>
      </c>
      <c r="G904" s="265" t="s">
        <v>171</v>
      </c>
      <c r="H904" s="29">
        <v>2</v>
      </c>
      <c r="I904" s="9">
        <v>2</v>
      </c>
      <c r="J904" s="9">
        <v>2</v>
      </c>
      <c r="K904" s="9">
        <v>3</v>
      </c>
      <c r="L904" s="9">
        <v>1</v>
      </c>
      <c r="M904" s="9">
        <v>2</v>
      </c>
      <c r="N904" s="186">
        <f t="shared" si="49"/>
        <v>0.50042652380814845</v>
      </c>
      <c r="O904" s="160">
        <f t="shared" si="50"/>
        <v>0.50042652380814845</v>
      </c>
      <c r="P904" s="63" t="s">
        <v>437</v>
      </c>
    </row>
    <row r="905" spans="1:868">
      <c r="A905" s="152" t="s">
        <v>269</v>
      </c>
      <c r="B905" s="34" t="s">
        <v>258</v>
      </c>
      <c r="C905" s="40" t="s">
        <v>190</v>
      </c>
      <c r="D905" s="69" t="s">
        <v>103</v>
      </c>
      <c r="E905" s="868">
        <v>0.2368318376902068</v>
      </c>
      <c r="F905" s="34">
        <v>1</v>
      </c>
      <c r="G905" s="344" t="s">
        <v>135</v>
      </c>
      <c r="H905" s="29"/>
      <c r="I905" s="9">
        <v>1</v>
      </c>
      <c r="J905" s="9">
        <v>1</v>
      </c>
      <c r="K905" s="9">
        <v>1</v>
      </c>
      <c r="L905" s="9">
        <v>2</v>
      </c>
      <c r="M905" s="9">
        <v>2</v>
      </c>
      <c r="N905" s="186" t="str">
        <f t="shared" si="49"/>
        <v/>
      </c>
      <c r="O905" s="160">
        <f t="shared" si="50"/>
        <v>0.35859414261160716</v>
      </c>
      <c r="P905" s="63"/>
    </row>
    <row r="906" spans="1:868">
      <c r="A906" s="152" t="s">
        <v>269</v>
      </c>
      <c r="B906" s="34" t="s">
        <v>258</v>
      </c>
      <c r="C906" s="40" t="s">
        <v>190</v>
      </c>
      <c r="D906" s="69" t="s">
        <v>101</v>
      </c>
      <c r="E906" s="868">
        <v>0.16604287172507659</v>
      </c>
      <c r="F906" s="34">
        <v>1</v>
      </c>
      <c r="G906" s="344" t="s">
        <v>135</v>
      </c>
      <c r="H906" s="29"/>
      <c r="I906" s="9">
        <v>1</v>
      </c>
      <c r="J906" s="9">
        <v>1</v>
      </c>
      <c r="K906" s="9">
        <v>1</v>
      </c>
      <c r="L906" s="9">
        <v>2</v>
      </c>
      <c r="M906" s="9">
        <v>2</v>
      </c>
      <c r="N906" s="186" t="str">
        <f t="shared" si="49"/>
        <v/>
      </c>
      <c r="O906" s="160">
        <f t="shared" si="50"/>
        <v>0.35859414261160716</v>
      </c>
      <c r="P906" s="63"/>
    </row>
    <row r="907" spans="1:868">
      <c r="A907" s="152" t="s">
        <v>269</v>
      </c>
      <c r="B907" s="34" t="s">
        <v>258</v>
      </c>
      <c r="C907" s="40" t="s">
        <v>190</v>
      </c>
      <c r="D907" s="69" t="s">
        <v>106</v>
      </c>
      <c r="E907" s="868">
        <v>0.34568127636163581</v>
      </c>
      <c r="F907" s="34">
        <v>1</v>
      </c>
      <c r="G907" s="344" t="s">
        <v>135</v>
      </c>
      <c r="H907" s="29"/>
      <c r="I907" s="9">
        <v>1</v>
      </c>
      <c r="J907" s="9">
        <v>1</v>
      </c>
      <c r="K907" s="9">
        <v>1</v>
      </c>
      <c r="L907" s="9">
        <v>2</v>
      </c>
      <c r="M907" s="9">
        <v>2</v>
      </c>
      <c r="N907" s="186" t="str">
        <f t="shared" si="49"/>
        <v/>
      </c>
      <c r="O907" s="160">
        <f t="shared" si="50"/>
        <v>0.35859414261160716</v>
      </c>
      <c r="P907" s="63"/>
    </row>
    <row r="908" spans="1:868" s="211" customFormat="1" ht="15.75" hidden="1" thickBot="1">
      <c r="A908" s="152" t="s">
        <v>409</v>
      </c>
      <c r="B908" s="34" t="s">
        <v>244</v>
      </c>
      <c r="C908" s="40" t="s">
        <v>147</v>
      </c>
      <c r="D908" s="34" t="s">
        <v>147</v>
      </c>
      <c r="E908" s="265">
        <v>0.05</v>
      </c>
      <c r="F908" s="235">
        <v>2</v>
      </c>
      <c r="G908" s="40" t="s">
        <v>286</v>
      </c>
      <c r="H908" s="29">
        <v>1</v>
      </c>
      <c r="I908" s="9">
        <v>2</v>
      </c>
      <c r="J908" s="9">
        <v>1</v>
      </c>
      <c r="K908" s="9">
        <v>1</v>
      </c>
      <c r="L908" s="9">
        <v>2</v>
      </c>
      <c r="M908" s="9">
        <v>3</v>
      </c>
      <c r="N908" s="186">
        <f t="shared" si="49"/>
        <v>1.0195048044558224</v>
      </c>
      <c r="O908" s="160">
        <f t="shared" si="50"/>
        <v>1.0248662490928169</v>
      </c>
      <c r="P908" s="858"/>
      <c r="Q908" s="16"/>
      <c r="R908" s="16"/>
      <c r="S908" s="16"/>
      <c r="T908" s="16"/>
      <c r="U908" s="16"/>
      <c r="V908" s="16"/>
      <c r="W908" s="16"/>
      <c r="X908" s="16"/>
      <c r="Y908" s="16"/>
      <c r="Z908" s="16"/>
      <c r="AA908" s="16"/>
      <c r="AB908" s="16"/>
      <c r="AC908" s="16"/>
      <c r="AD908" s="16"/>
      <c r="AE908" s="16"/>
      <c r="AF908" s="16"/>
      <c r="AG908" s="16"/>
      <c r="AH908" s="16"/>
      <c r="AI908" s="16"/>
      <c r="AJ908" s="16"/>
      <c r="AK908" s="16"/>
      <c r="AL908" s="16"/>
      <c r="AM908" s="16"/>
      <c r="AN908" s="16"/>
      <c r="AO908" s="16"/>
      <c r="AP908" s="16"/>
      <c r="AQ908" s="16"/>
      <c r="AR908" s="16"/>
      <c r="AS908" s="16"/>
      <c r="AT908" s="16"/>
      <c r="AU908" s="16"/>
      <c r="AV908" s="16"/>
      <c r="AW908" s="16"/>
      <c r="AX908" s="16"/>
      <c r="AY908" s="16"/>
      <c r="AZ908" s="16"/>
      <c r="BA908" s="16"/>
      <c r="BB908" s="16"/>
      <c r="BC908" s="16"/>
      <c r="BD908" s="16"/>
      <c r="BE908" s="16"/>
      <c r="BF908" s="16"/>
      <c r="BG908" s="16"/>
      <c r="BH908" s="16"/>
      <c r="BI908" s="16"/>
      <c r="BJ908" s="16"/>
      <c r="BK908" s="16"/>
      <c r="BL908" s="16"/>
      <c r="BM908" s="16"/>
      <c r="BN908" s="16"/>
      <c r="BO908" s="16"/>
      <c r="BP908" s="16"/>
      <c r="BQ908" s="16"/>
      <c r="BR908" s="16"/>
      <c r="BS908" s="16"/>
      <c r="BT908" s="16"/>
      <c r="BU908" s="16"/>
      <c r="BV908" s="16"/>
      <c r="BW908" s="16"/>
      <c r="BX908" s="16"/>
      <c r="BY908" s="16"/>
      <c r="BZ908" s="16"/>
      <c r="CA908" s="16"/>
      <c r="CB908" s="16"/>
      <c r="CC908" s="16"/>
      <c r="CD908" s="16"/>
      <c r="CE908" s="16"/>
      <c r="CF908" s="16"/>
      <c r="CG908" s="16"/>
      <c r="CH908" s="16"/>
      <c r="CI908" s="16"/>
      <c r="CJ908" s="16"/>
      <c r="CK908" s="16"/>
      <c r="CL908" s="16"/>
      <c r="CM908" s="16"/>
      <c r="CN908" s="16"/>
      <c r="CO908" s="16"/>
      <c r="CP908" s="16"/>
      <c r="CQ908" s="16"/>
      <c r="CR908" s="16"/>
      <c r="CS908" s="16"/>
      <c r="CT908" s="16"/>
      <c r="CU908" s="16"/>
      <c r="CV908" s="16"/>
      <c r="CW908" s="16"/>
      <c r="CX908" s="16"/>
      <c r="CY908" s="16"/>
      <c r="CZ908" s="16"/>
      <c r="DA908" s="16"/>
      <c r="DB908" s="16"/>
      <c r="DC908" s="16"/>
      <c r="DD908" s="16"/>
      <c r="DE908" s="16"/>
      <c r="DF908" s="16"/>
      <c r="DG908" s="16"/>
      <c r="DH908" s="16"/>
      <c r="DI908" s="16"/>
      <c r="DJ908" s="16"/>
      <c r="DK908" s="16"/>
      <c r="DL908" s="16"/>
      <c r="DM908" s="16"/>
      <c r="DN908" s="16"/>
      <c r="DO908" s="16"/>
      <c r="DP908" s="16"/>
      <c r="DQ908" s="16"/>
      <c r="DR908" s="16"/>
      <c r="DS908" s="16"/>
      <c r="DT908" s="16"/>
      <c r="DU908" s="16"/>
      <c r="DV908" s="16"/>
      <c r="DW908" s="16"/>
      <c r="DX908" s="16"/>
      <c r="DY908" s="16"/>
      <c r="DZ908" s="16"/>
      <c r="EA908" s="16"/>
      <c r="EB908" s="16"/>
      <c r="EC908" s="16"/>
      <c r="ED908" s="16"/>
      <c r="EE908" s="16"/>
      <c r="EF908" s="16"/>
      <c r="EG908" s="16"/>
      <c r="EH908" s="16"/>
      <c r="EI908" s="16"/>
      <c r="EJ908" s="16"/>
      <c r="EK908" s="16"/>
      <c r="EL908" s="16"/>
      <c r="EM908" s="16"/>
      <c r="EN908" s="16"/>
      <c r="EO908" s="16"/>
      <c r="EP908" s="16"/>
      <c r="EQ908" s="16"/>
      <c r="ER908" s="16"/>
      <c r="ES908" s="16"/>
      <c r="ET908" s="16"/>
      <c r="EU908" s="16"/>
      <c r="EV908" s="16"/>
      <c r="EW908" s="16"/>
      <c r="EX908" s="16"/>
      <c r="EY908" s="16"/>
      <c r="EZ908" s="16"/>
      <c r="FA908" s="16"/>
      <c r="FB908" s="16"/>
      <c r="FC908" s="16"/>
      <c r="FD908" s="16"/>
      <c r="FE908" s="16"/>
      <c r="FF908" s="16"/>
      <c r="FG908" s="16"/>
      <c r="FH908" s="16"/>
      <c r="FI908" s="16"/>
      <c r="FJ908" s="16"/>
      <c r="FK908" s="16"/>
      <c r="FL908" s="16"/>
      <c r="FM908" s="16"/>
      <c r="FN908" s="16"/>
      <c r="FO908" s="16"/>
      <c r="FP908" s="16"/>
      <c r="FQ908" s="16"/>
      <c r="FR908" s="16"/>
      <c r="FS908" s="16"/>
      <c r="FT908" s="16"/>
      <c r="FU908" s="16"/>
      <c r="FV908" s="16"/>
      <c r="FW908" s="16"/>
      <c r="FX908" s="16"/>
      <c r="FY908" s="16"/>
      <c r="FZ908" s="16"/>
      <c r="GA908" s="16"/>
      <c r="GB908" s="16"/>
      <c r="GC908" s="16"/>
      <c r="GD908" s="16"/>
      <c r="GE908" s="16"/>
      <c r="GF908" s="16"/>
      <c r="GG908" s="16"/>
      <c r="GH908" s="16"/>
      <c r="GI908" s="16"/>
      <c r="GJ908" s="16"/>
      <c r="GK908" s="16"/>
      <c r="GL908" s="16"/>
      <c r="GM908" s="16"/>
      <c r="GN908" s="16"/>
      <c r="GO908" s="16"/>
      <c r="GP908" s="16"/>
      <c r="GQ908" s="16"/>
      <c r="GR908" s="16"/>
      <c r="GS908" s="16"/>
      <c r="GT908" s="16"/>
      <c r="GU908" s="16"/>
      <c r="GV908" s="16"/>
      <c r="GW908" s="16"/>
      <c r="GX908" s="16"/>
      <c r="GY908" s="16"/>
      <c r="GZ908" s="16"/>
      <c r="HA908" s="16"/>
      <c r="HB908" s="16"/>
      <c r="HC908" s="16"/>
      <c r="HD908" s="16"/>
      <c r="HE908" s="16"/>
      <c r="HF908" s="16"/>
      <c r="HG908" s="16"/>
      <c r="HH908" s="16"/>
      <c r="HI908" s="16"/>
      <c r="HJ908" s="16"/>
      <c r="HK908" s="16"/>
      <c r="HL908" s="16"/>
      <c r="HM908" s="16"/>
      <c r="HN908" s="16"/>
      <c r="HO908" s="16"/>
      <c r="HP908" s="16"/>
      <c r="HQ908" s="16"/>
      <c r="HR908" s="16"/>
      <c r="HS908" s="16"/>
      <c r="HT908" s="16"/>
      <c r="HU908" s="16"/>
      <c r="HV908" s="16"/>
      <c r="HW908" s="16"/>
      <c r="HX908" s="16"/>
      <c r="HY908" s="16"/>
      <c r="HZ908" s="16"/>
      <c r="IA908" s="16"/>
      <c r="IB908" s="16"/>
      <c r="IC908" s="16"/>
      <c r="ID908" s="16"/>
      <c r="IE908" s="16"/>
      <c r="IF908" s="16"/>
      <c r="IG908" s="16"/>
      <c r="IH908" s="16"/>
      <c r="II908" s="16"/>
      <c r="IJ908" s="16"/>
      <c r="IK908" s="16"/>
      <c r="IL908" s="16"/>
      <c r="IM908" s="16"/>
      <c r="IN908" s="16"/>
      <c r="IO908" s="16"/>
      <c r="IP908" s="16"/>
      <c r="IQ908" s="16"/>
      <c r="IR908" s="16"/>
      <c r="IS908" s="16"/>
      <c r="IT908" s="16"/>
      <c r="IU908" s="16"/>
      <c r="IV908" s="16"/>
      <c r="IW908" s="16"/>
      <c r="IX908" s="16"/>
      <c r="IY908" s="16"/>
      <c r="IZ908" s="16"/>
      <c r="JA908" s="16"/>
      <c r="JB908" s="16"/>
      <c r="JC908" s="16"/>
      <c r="JD908" s="16"/>
      <c r="JE908" s="16"/>
      <c r="JF908" s="16"/>
      <c r="JG908" s="16"/>
      <c r="JH908" s="16"/>
      <c r="JI908" s="16"/>
      <c r="JJ908" s="16"/>
      <c r="JK908" s="16"/>
      <c r="JL908" s="16"/>
      <c r="JM908" s="16"/>
      <c r="JN908" s="16"/>
      <c r="JO908" s="16"/>
      <c r="JP908" s="16"/>
      <c r="JQ908" s="16"/>
      <c r="JR908" s="16"/>
      <c r="JS908" s="16"/>
      <c r="JT908" s="16"/>
      <c r="JU908" s="16"/>
      <c r="JV908" s="16"/>
      <c r="JW908" s="16"/>
      <c r="JX908" s="16"/>
      <c r="JY908" s="16"/>
      <c r="JZ908" s="16"/>
      <c r="KA908" s="16"/>
      <c r="KB908" s="16"/>
      <c r="KC908" s="16"/>
      <c r="KD908" s="16"/>
      <c r="KE908" s="16"/>
      <c r="KF908" s="16"/>
      <c r="KG908" s="16"/>
      <c r="KH908" s="16"/>
      <c r="KI908" s="16"/>
      <c r="KJ908" s="16"/>
      <c r="KK908" s="16"/>
      <c r="KL908" s="16"/>
      <c r="KM908" s="16"/>
      <c r="KN908" s="16"/>
      <c r="KO908" s="16"/>
      <c r="KP908" s="16"/>
      <c r="KQ908" s="16"/>
      <c r="KR908" s="16"/>
      <c r="KS908" s="16"/>
      <c r="KT908" s="16"/>
      <c r="KU908" s="16"/>
      <c r="KV908" s="16"/>
      <c r="KW908" s="16"/>
      <c r="KX908" s="16"/>
      <c r="KY908" s="16"/>
      <c r="KZ908" s="16"/>
      <c r="LA908" s="16"/>
      <c r="LB908" s="16"/>
      <c r="LC908" s="16"/>
      <c r="LD908" s="16"/>
      <c r="LE908" s="16"/>
      <c r="LF908" s="16"/>
      <c r="LG908" s="16"/>
      <c r="LH908" s="16"/>
      <c r="LI908" s="16"/>
      <c r="LJ908" s="16"/>
      <c r="LK908" s="16"/>
      <c r="LL908" s="16"/>
      <c r="LM908" s="16"/>
      <c r="LN908" s="16"/>
      <c r="LO908" s="16"/>
      <c r="LP908" s="16"/>
      <c r="LQ908" s="16"/>
      <c r="LR908" s="16"/>
      <c r="LS908" s="16"/>
      <c r="LT908" s="16"/>
      <c r="LU908" s="16"/>
      <c r="LV908" s="16"/>
      <c r="LW908" s="16"/>
      <c r="LX908" s="16"/>
      <c r="LY908" s="16"/>
      <c r="LZ908" s="16"/>
      <c r="MA908" s="16"/>
      <c r="MB908" s="16"/>
      <c r="MC908" s="16"/>
      <c r="MD908" s="16"/>
      <c r="ME908" s="16"/>
      <c r="MF908" s="16"/>
      <c r="MG908" s="16"/>
      <c r="MH908" s="16"/>
      <c r="MI908" s="16"/>
      <c r="MJ908" s="16"/>
      <c r="MK908" s="16"/>
      <c r="ML908" s="16"/>
      <c r="MM908" s="16"/>
      <c r="MN908" s="16"/>
      <c r="MO908" s="16"/>
      <c r="MP908" s="16"/>
      <c r="MQ908" s="16"/>
      <c r="MR908" s="16"/>
      <c r="MS908" s="16"/>
      <c r="MT908" s="16"/>
      <c r="MU908" s="16"/>
      <c r="MV908" s="16"/>
      <c r="MW908" s="16"/>
      <c r="MX908" s="16"/>
      <c r="MY908" s="16"/>
      <c r="MZ908" s="16"/>
      <c r="NA908" s="16"/>
      <c r="NB908" s="16"/>
      <c r="NC908" s="16"/>
      <c r="ND908" s="16"/>
      <c r="NE908" s="16"/>
      <c r="NF908" s="16"/>
      <c r="NG908" s="16"/>
      <c r="NH908" s="16"/>
      <c r="NI908" s="16"/>
      <c r="NJ908" s="16"/>
      <c r="NK908" s="16"/>
      <c r="NL908" s="16"/>
      <c r="NM908" s="16"/>
      <c r="NN908" s="16"/>
      <c r="NO908" s="16"/>
      <c r="NP908" s="16"/>
      <c r="NQ908" s="16"/>
      <c r="NR908" s="16"/>
      <c r="NS908" s="16"/>
      <c r="NT908" s="16"/>
      <c r="NU908" s="16"/>
      <c r="NV908" s="16"/>
      <c r="NW908" s="16"/>
      <c r="NX908" s="16"/>
      <c r="NY908" s="16"/>
      <c r="NZ908" s="16"/>
      <c r="OA908" s="16"/>
      <c r="OB908" s="16"/>
      <c r="OC908" s="16"/>
      <c r="OD908" s="16"/>
      <c r="OE908" s="16"/>
      <c r="OF908" s="16"/>
      <c r="OG908" s="16"/>
      <c r="OH908" s="16"/>
      <c r="OI908" s="16"/>
      <c r="OJ908" s="16"/>
      <c r="OK908" s="16"/>
      <c r="OL908" s="16"/>
      <c r="OM908" s="16"/>
      <c r="ON908" s="16"/>
      <c r="OO908" s="16"/>
      <c r="OP908" s="16"/>
      <c r="OQ908" s="16"/>
      <c r="OR908" s="16"/>
      <c r="OS908" s="16"/>
      <c r="OT908" s="16"/>
      <c r="OU908" s="16"/>
      <c r="OV908" s="16"/>
      <c r="OW908" s="16"/>
      <c r="OX908" s="16"/>
      <c r="OY908" s="16"/>
      <c r="OZ908" s="16"/>
      <c r="PA908" s="16"/>
      <c r="PB908" s="16"/>
      <c r="PC908" s="16"/>
      <c r="PD908" s="16"/>
      <c r="PE908" s="16"/>
      <c r="PF908" s="16"/>
      <c r="PG908" s="16"/>
      <c r="PH908" s="16"/>
      <c r="PI908" s="16"/>
      <c r="PJ908" s="16"/>
      <c r="PK908" s="16"/>
      <c r="PL908" s="16"/>
      <c r="PM908" s="16"/>
      <c r="PN908" s="16"/>
      <c r="PO908" s="16"/>
      <c r="PP908" s="16"/>
      <c r="PQ908" s="16"/>
      <c r="PR908" s="16"/>
      <c r="PS908" s="16"/>
      <c r="PT908" s="16"/>
      <c r="PU908" s="16"/>
      <c r="PV908" s="16"/>
      <c r="PW908" s="16"/>
      <c r="PX908" s="16"/>
      <c r="PY908" s="16"/>
      <c r="PZ908" s="16"/>
      <c r="QA908" s="16"/>
      <c r="QB908" s="16"/>
      <c r="QC908" s="16"/>
      <c r="QD908" s="16"/>
      <c r="QE908" s="16"/>
      <c r="QF908" s="16"/>
      <c r="QG908" s="16"/>
      <c r="QH908" s="16"/>
      <c r="QI908" s="16"/>
      <c r="QJ908" s="16"/>
      <c r="QK908" s="16"/>
      <c r="QL908" s="16"/>
      <c r="QM908" s="16"/>
      <c r="QN908" s="16"/>
      <c r="QO908" s="16"/>
      <c r="QP908" s="16"/>
      <c r="QQ908" s="16"/>
      <c r="QR908" s="16"/>
      <c r="QS908" s="16"/>
      <c r="QT908" s="16"/>
      <c r="QU908" s="16"/>
      <c r="QV908" s="16"/>
      <c r="QW908" s="16"/>
      <c r="QX908" s="16"/>
      <c r="QY908" s="16"/>
      <c r="QZ908" s="16"/>
      <c r="RA908" s="16"/>
      <c r="RB908" s="16"/>
      <c r="RC908" s="16"/>
      <c r="RD908" s="16"/>
      <c r="RE908" s="16"/>
      <c r="RF908" s="16"/>
      <c r="RG908" s="16"/>
      <c r="RH908" s="16"/>
      <c r="RI908" s="16"/>
      <c r="RJ908" s="16"/>
      <c r="RK908" s="16"/>
      <c r="RL908" s="16"/>
      <c r="RM908" s="16"/>
      <c r="RN908" s="16"/>
      <c r="RO908" s="16"/>
      <c r="RP908" s="16"/>
      <c r="RQ908" s="16"/>
      <c r="RR908" s="16"/>
      <c r="RS908" s="16"/>
      <c r="RT908" s="16"/>
      <c r="RU908" s="16"/>
      <c r="RV908" s="16"/>
      <c r="RW908" s="16"/>
      <c r="RX908" s="16"/>
      <c r="RY908" s="16"/>
      <c r="RZ908" s="16"/>
      <c r="SA908" s="16"/>
      <c r="SB908" s="16"/>
      <c r="SC908" s="16"/>
      <c r="SD908" s="16"/>
      <c r="SE908" s="16"/>
      <c r="SF908" s="16"/>
      <c r="SG908" s="16"/>
      <c r="SH908" s="16"/>
      <c r="SI908" s="16"/>
      <c r="SJ908" s="16"/>
      <c r="SK908" s="16"/>
      <c r="SL908" s="16"/>
      <c r="SM908" s="16"/>
      <c r="SN908" s="16"/>
      <c r="SO908" s="16"/>
      <c r="SP908" s="16"/>
      <c r="SQ908" s="16"/>
      <c r="SR908" s="16"/>
      <c r="SS908" s="16"/>
      <c r="ST908" s="16"/>
      <c r="SU908" s="16"/>
      <c r="SV908" s="16"/>
      <c r="SW908" s="16"/>
      <c r="SX908" s="16"/>
      <c r="SY908" s="16"/>
      <c r="SZ908" s="16"/>
      <c r="TA908" s="16"/>
      <c r="TB908" s="16"/>
      <c r="TC908" s="16"/>
      <c r="TD908" s="16"/>
      <c r="TE908" s="16"/>
      <c r="TF908" s="16"/>
      <c r="TG908" s="16"/>
      <c r="TH908" s="16"/>
      <c r="TI908" s="16"/>
      <c r="TJ908" s="16"/>
      <c r="TK908" s="16"/>
      <c r="TL908" s="16"/>
      <c r="TM908" s="16"/>
      <c r="TN908" s="16"/>
      <c r="TO908" s="16"/>
      <c r="TP908" s="16"/>
      <c r="TQ908" s="16"/>
      <c r="TR908" s="16"/>
      <c r="TS908" s="16"/>
      <c r="TT908" s="16"/>
      <c r="TU908" s="16"/>
      <c r="TV908" s="16"/>
      <c r="TW908" s="16"/>
      <c r="TX908" s="16"/>
      <c r="TY908" s="16"/>
      <c r="TZ908" s="16"/>
      <c r="UA908" s="16"/>
      <c r="UB908" s="16"/>
      <c r="UC908" s="16"/>
      <c r="UD908" s="16"/>
      <c r="UE908" s="16"/>
      <c r="UF908" s="16"/>
      <c r="UG908" s="16"/>
      <c r="UH908" s="16"/>
      <c r="UI908" s="16"/>
      <c r="UJ908" s="16"/>
      <c r="UK908" s="16"/>
      <c r="UL908" s="16"/>
      <c r="UM908" s="16"/>
      <c r="UN908" s="16"/>
      <c r="UO908" s="16"/>
      <c r="UP908" s="16"/>
      <c r="UQ908" s="16"/>
      <c r="UR908" s="16"/>
      <c r="US908" s="16"/>
      <c r="UT908" s="16"/>
      <c r="UU908" s="16"/>
      <c r="UV908" s="16"/>
      <c r="UW908" s="16"/>
      <c r="UX908" s="16"/>
      <c r="UY908" s="16"/>
      <c r="UZ908" s="16"/>
      <c r="VA908" s="16"/>
      <c r="VB908" s="16"/>
      <c r="VC908" s="16"/>
      <c r="VD908" s="16"/>
      <c r="VE908" s="16"/>
      <c r="VF908" s="16"/>
      <c r="VG908" s="16"/>
      <c r="VH908" s="16"/>
      <c r="VI908" s="16"/>
      <c r="VJ908" s="16"/>
      <c r="VK908" s="16"/>
      <c r="VL908" s="16"/>
      <c r="VM908" s="16"/>
      <c r="VN908" s="16"/>
      <c r="VO908" s="16"/>
      <c r="VP908" s="16"/>
      <c r="VQ908" s="16"/>
      <c r="VR908" s="16"/>
      <c r="VS908" s="16"/>
      <c r="VT908" s="16"/>
      <c r="VU908" s="16"/>
      <c r="VV908" s="16"/>
      <c r="VW908" s="16"/>
      <c r="VX908" s="16"/>
      <c r="VY908" s="16"/>
      <c r="VZ908" s="16"/>
      <c r="WA908" s="16"/>
      <c r="WB908" s="16"/>
      <c r="WC908" s="16"/>
      <c r="WD908" s="16"/>
      <c r="WE908" s="16"/>
      <c r="WF908" s="16"/>
      <c r="WG908" s="16"/>
      <c r="WH908" s="16"/>
      <c r="WI908" s="16"/>
      <c r="WJ908" s="16"/>
      <c r="WK908" s="16"/>
      <c r="WL908" s="16"/>
      <c r="WM908" s="16"/>
      <c r="WN908" s="16"/>
      <c r="WO908" s="16"/>
      <c r="WP908" s="16"/>
      <c r="WQ908" s="16"/>
      <c r="WR908" s="16"/>
      <c r="WS908" s="16"/>
      <c r="WT908" s="16"/>
      <c r="WU908" s="16"/>
      <c r="WV908" s="16"/>
      <c r="WW908" s="16"/>
      <c r="WX908" s="16"/>
      <c r="WY908" s="16"/>
      <c r="WZ908" s="16"/>
      <c r="XA908" s="16"/>
      <c r="XB908" s="16"/>
      <c r="XC908" s="16"/>
      <c r="XD908" s="16"/>
      <c r="XE908" s="16"/>
      <c r="XF908" s="16"/>
      <c r="XG908" s="16"/>
      <c r="XH908" s="16"/>
      <c r="XI908" s="16"/>
      <c r="XJ908" s="16"/>
      <c r="XK908" s="16"/>
      <c r="XL908" s="16"/>
      <c r="XM908" s="16"/>
      <c r="XN908" s="16"/>
      <c r="XO908" s="16"/>
      <c r="XP908" s="16"/>
      <c r="XQ908" s="16"/>
      <c r="XR908" s="16"/>
      <c r="XS908" s="16"/>
      <c r="XT908" s="16"/>
      <c r="XU908" s="16"/>
      <c r="XV908" s="16"/>
      <c r="XW908" s="16"/>
      <c r="XX908" s="16"/>
      <c r="XY908" s="16"/>
      <c r="XZ908" s="16"/>
      <c r="YA908" s="16"/>
      <c r="YB908" s="16"/>
      <c r="YC908" s="16"/>
      <c r="YD908" s="16"/>
      <c r="YE908" s="16"/>
      <c r="YF908" s="16"/>
      <c r="YG908" s="16"/>
      <c r="YH908" s="16"/>
      <c r="YI908" s="16"/>
      <c r="YJ908" s="16"/>
      <c r="YK908" s="16"/>
      <c r="YL908" s="16"/>
      <c r="YM908" s="16"/>
      <c r="YN908" s="16"/>
      <c r="YO908" s="16"/>
      <c r="YP908" s="16"/>
      <c r="YQ908" s="16"/>
      <c r="YR908" s="16"/>
      <c r="YS908" s="16"/>
      <c r="YT908" s="16"/>
      <c r="YU908" s="16"/>
      <c r="YV908" s="16"/>
      <c r="YW908" s="16"/>
      <c r="YX908" s="16"/>
      <c r="YY908" s="16"/>
      <c r="YZ908" s="16"/>
      <c r="ZA908" s="16"/>
      <c r="ZB908" s="16"/>
      <c r="ZC908" s="16"/>
      <c r="ZD908" s="16"/>
      <c r="ZE908" s="16"/>
      <c r="ZF908" s="16"/>
      <c r="ZG908" s="16"/>
      <c r="ZH908" s="16"/>
      <c r="ZI908" s="16"/>
      <c r="ZJ908" s="16"/>
      <c r="ZK908" s="16"/>
      <c r="ZL908" s="16"/>
      <c r="ZM908" s="16"/>
      <c r="ZN908" s="16"/>
      <c r="ZO908" s="16"/>
      <c r="ZP908" s="16"/>
      <c r="ZQ908" s="16"/>
      <c r="ZR908" s="16"/>
      <c r="ZS908" s="16"/>
      <c r="ZT908" s="16"/>
      <c r="ZU908" s="16"/>
      <c r="ZV908" s="16"/>
      <c r="ZW908" s="16"/>
      <c r="ZX908" s="16"/>
      <c r="ZY908" s="16"/>
      <c r="ZZ908" s="16"/>
      <c r="AAA908" s="16"/>
      <c r="AAB908" s="16"/>
      <c r="AAC908" s="16"/>
      <c r="AAD908" s="16"/>
      <c r="AAE908" s="16"/>
      <c r="AAF908" s="16"/>
      <c r="AAG908" s="16"/>
      <c r="AAH908" s="16"/>
      <c r="AAI908" s="16"/>
      <c r="AAJ908" s="16"/>
      <c r="AAK908" s="16"/>
      <c r="AAL908" s="16"/>
      <c r="AAM908" s="16"/>
      <c r="AAN908" s="16"/>
      <c r="AAO908" s="16"/>
      <c r="AAP908" s="16"/>
      <c r="AAQ908" s="16"/>
      <c r="AAR908" s="16"/>
      <c r="AAS908" s="16"/>
      <c r="AAT908" s="16"/>
      <c r="AAU908" s="16"/>
      <c r="AAV908" s="16"/>
      <c r="AAW908" s="16"/>
      <c r="AAX908" s="16"/>
      <c r="AAY908" s="16"/>
      <c r="AAZ908" s="16"/>
      <c r="ABA908" s="16"/>
      <c r="ABB908" s="16"/>
      <c r="ABC908" s="16"/>
      <c r="ABD908" s="16"/>
      <c r="ABE908" s="16"/>
      <c r="ABF908" s="16"/>
      <c r="ABG908" s="16"/>
      <c r="ABH908" s="16"/>
      <c r="ABI908" s="16"/>
      <c r="ABJ908" s="16"/>
      <c r="ABK908" s="16"/>
      <c r="ABL908" s="16"/>
      <c r="ABM908" s="16"/>
      <c r="ABN908" s="16"/>
      <c r="ABO908" s="16"/>
      <c r="ABP908" s="16"/>
      <c r="ABQ908" s="16"/>
      <c r="ABR908" s="16"/>
      <c r="ABS908" s="16"/>
      <c r="ABT908" s="16"/>
      <c r="ABU908" s="16"/>
      <c r="ABV908" s="16"/>
      <c r="ABW908" s="16"/>
      <c r="ABX908" s="16"/>
      <c r="ABY908" s="16"/>
      <c r="ABZ908" s="16"/>
      <c r="ACA908" s="16"/>
      <c r="ACB908" s="16"/>
      <c r="ACC908" s="16"/>
      <c r="ACD908" s="16"/>
      <c r="ACE908" s="16"/>
      <c r="ACF908" s="16"/>
      <c r="ACG908" s="16"/>
      <c r="ACH908" s="16"/>
      <c r="ACI908" s="16"/>
      <c r="ACJ908" s="16"/>
      <c r="ACK908" s="16"/>
      <c r="ACL908" s="16"/>
      <c r="ACM908" s="16"/>
      <c r="ACN908" s="16"/>
      <c r="ACO908" s="16"/>
      <c r="ACP908" s="16"/>
      <c r="ACQ908" s="16"/>
      <c r="ACR908" s="16"/>
      <c r="ACS908" s="16"/>
      <c r="ACT908" s="16"/>
      <c r="ACU908" s="16"/>
      <c r="ACV908" s="16"/>
      <c r="ACW908" s="16"/>
      <c r="ACX908" s="16"/>
      <c r="ACY908" s="16"/>
      <c r="ACZ908" s="16"/>
      <c r="ADA908" s="16"/>
      <c r="ADB908" s="16"/>
      <c r="ADC908" s="16"/>
      <c r="ADD908" s="16"/>
      <c r="ADE908" s="16"/>
      <c r="ADF908" s="16"/>
      <c r="ADG908" s="16"/>
      <c r="ADH908" s="16"/>
      <c r="ADI908" s="16"/>
      <c r="ADJ908" s="16"/>
      <c r="ADK908" s="16"/>
      <c r="ADL908" s="16"/>
      <c r="ADM908" s="16"/>
      <c r="ADN908" s="16"/>
      <c r="ADO908" s="16"/>
      <c r="ADP908" s="16"/>
      <c r="ADQ908" s="16"/>
      <c r="ADR908" s="16"/>
      <c r="ADS908" s="16"/>
      <c r="ADT908" s="16"/>
      <c r="ADU908" s="16"/>
      <c r="ADV908" s="16"/>
      <c r="ADW908" s="16"/>
      <c r="ADX908" s="16"/>
      <c r="ADY908" s="16"/>
      <c r="ADZ908" s="16"/>
      <c r="AEA908" s="16"/>
      <c r="AEB908" s="16"/>
      <c r="AEC908" s="16"/>
      <c r="AED908" s="16"/>
      <c r="AEE908" s="16"/>
      <c r="AEF908" s="16"/>
      <c r="AEG908" s="16"/>
      <c r="AEH908" s="16"/>
      <c r="AEI908" s="16"/>
      <c r="AEJ908" s="16"/>
      <c r="AEK908" s="16"/>
      <c r="AEL908" s="16"/>
      <c r="AEM908" s="16"/>
      <c r="AEN908" s="16"/>
      <c r="AEO908" s="16"/>
      <c r="AEP908" s="16"/>
      <c r="AEQ908" s="16"/>
      <c r="AER908" s="16"/>
      <c r="AES908" s="16"/>
      <c r="AET908" s="16"/>
      <c r="AEU908" s="16"/>
      <c r="AEV908" s="16"/>
      <c r="AEW908" s="16"/>
      <c r="AEX908" s="16"/>
      <c r="AEY908" s="16"/>
      <c r="AEZ908" s="16"/>
      <c r="AFA908" s="16"/>
      <c r="AFB908" s="16"/>
      <c r="AFC908" s="16"/>
      <c r="AFD908" s="16"/>
      <c r="AFE908" s="16"/>
      <c r="AFF908" s="16"/>
      <c r="AFG908" s="16"/>
      <c r="AFH908" s="16"/>
      <c r="AFI908" s="16"/>
      <c r="AFJ908" s="16"/>
      <c r="AFK908" s="16"/>
      <c r="AFL908" s="16"/>
      <c r="AFM908" s="16"/>
      <c r="AFN908" s="16"/>
      <c r="AFO908" s="16"/>
      <c r="AFP908" s="16"/>
      <c r="AFQ908" s="16"/>
      <c r="AFR908" s="16"/>
      <c r="AFS908" s="16"/>
      <c r="AFT908" s="16"/>
      <c r="AFU908" s="16"/>
      <c r="AFV908" s="16"/>
      <c r="AFW908" s="16"/>
      <c r="AFX908" s="16"/>
      <c r="AFY908" s="16"/>
      <c r="AFZ908" s="16"/>
      <c r="AGA908" s="16"/>
      <c r="AGB908" s="16"/>
      <c r="AGC908" s="16"/>
      <c r="AGD908" s="16"/>
      <c r="AGE908" s="16"/>
      <c r="AGF908" s="16"/>
      <c r="AGG908" s="16"/>
      <c r="AGH908" s="16"/>
      <c r="AGI908" s="16"/>
      <c r="AGJ908" s="16"/>
    </row>
    <row r="909" spans="1:868" hidden="1">
      <c r="A909" s="292" t="s">
        <v>252</v>
      </c>
      <c r="B909" s="55" t="s">
        <v>373</v>
      </c>
      <c r="C909" s="265" t="s">
        <v>147</v>
      </c>
      <c r="D909" s="55" t="s">
        <v>147</v>
      </c>
      <c r="E909" s="260">
        <v>0.16500000000000001</v>
      </c>
      <c r="F909" s="235">
        <v>2</v>
      </c>
      <c r="G909" s="265" t="s">
        <v>438</v>
      </c>
      <c r="H909" s="29">
        <v>2</v>
      </c>
      <c r="I909" s="9">
        <v>2</v>
      </c>
      <c r="J909" s="9">
        <v>2</v>
      </c>
      <c r="K909" s="9">
        <v>1</v>
      </c>
      <c r="L909" s="9">
        <v>1</v>
      </c>
      <c r="M909" s="9">
        <v>2</v>
      </c>
      <c r="N909" s="186">
        <f t="shared" si="49"/>
        <v>0.37356464144298934</v>
      </c>
      <c r="O909" s="160">
        <f t="shared" si="50"/>
        <v>0.37356464144298934</v>
      </c>
      <c r="P909" s="63"/>
    </row>
    <row r="910" spans="1:868" s="211" customFormat="1" ht="15.75" hidden="1" thickBot="1">
      <c r="A910" s="292" t="s">
        <v>252</v>
      </c>
      <c r="B910" s="55" t="s">
        <v>373</v>
      </c>
      <c r="C910" s="265" t="s">
        <v>147</v>
      </c>
      <c r="D910" s="55" t="s">
        <v>147</v>
      </c>
      <c r="E910" s="260">
        <v>0.52500000000000002</v>
      </c>
      <c r="F910" s="235">
        <v>2</v>
      </c>
      <c r="G910" s="265" t="s">
        <v>438</v>
      </c>
      <c r="H910" s="29">
        <v>2</v>
      </c>
      <c r="I910" s="9">
        <v>2</v>
      </c>
      <c r="J910" s="9">
        <v>2</v>
      </c>
      <c r="K910" s="9">
        <v>1</v>
      </c>
      <c r="L910" s="9">
        <v>1</v>
      </c>
      <c r="M910" s="9">
        <v>2</v>
      </c>
      <c r="N910" s="186">
        <f t="shared" si="49"/>
        <v>0.37356464144298934</v>
      </c>
      <c r="O910" s="160">
        <f t="shared" si="50"/>
        <v>0.37356464144298934</v>
      </c>
      <c r="P910" s="63"/>
      <c r="Q910" s="16"/>
      <c r="R910" s="16"/>
      <c r="S910" s="16"/>
      <c r="T910" s="16"/>
      <c r="U910" s="16"/>
      <c r="V910" s="16"/>
      <c r="W910" s="16"/>
      <c r="X910" s="16"/>
      <c r="Y910" s="16"/>
      <c r="Z910" s="16"/>
      <c r="AA910" s="16"/>
      <c r="AB910" s="16"/>
      <c r="AC910" s="16"/>
      <c r="AD910" s="16"/>
      <c r="AE910" s="16"/>
      <c r="AF910" s="16"/>
      <c r="AG910" s="16"/>
      <c r="AH910" s="16"/>
      <c r="AI910" s="16"/>
      <c r="AJ910" s="16"/>
      <c r="AK910" s="16"/>
      <c r="AL910" s="16"/>
      <c r="AM910" s="16"/>
      <c r="AN910" s="16"/>
      <c r="AO910" s="16"/>
      <c r="AP910" s="16"/>
      <c r="AQ910" s="16"/>
      <c r="AR910" s="16"/>
      <c r="AS910" s="16"/>
      <c r="AT910" s="16"/>
      <c r="AU910" s="16"/>
      <c r="AV910" s="16"/>
      <c r="AW910" s="16"/>
      <c r="AX910" s="16"/>
      <c r="AY910" s="16"/>
      <c r="AZ910" s="16"/>
      <c r="BA910" s="16"/>
      <c r="BB910" s="16"/>
      <c r="BC910" s="16"/>
      <c r="BD910" s="16"/>
      <c r="BE910" s="16"/>
      <c r="BF910" s="16"/>
      <c r="BG910" s="16"/>
      <c r="BH910" s="16"/>
      <c r="BI910" s="16"/>
      <c r="BJ910" s="16"/>
      <c r="BK910" s="16"/>
      <c r="BL910" s="16"/>
      <c r="BM910" s="16"/>
      <c r="BN910" s="16"/>
      <c r="BO910" s="16"/>
      <c r="BP910" s="16"/>
      <c r="BQ910" s="16"/>
      <c r="BR910" s="16"/>
      <c r="BS910" s="16"/>
      <c r="BT910" s="16"/>
      <c r="BU910" s="16"/>
      <c r="BV910" s="16"/>
      <c r="BW910" s="16"/>
      <c r="BX910" s="16"/>
      <c r="BY910" s="16"/>
      <c r="BZ910" s="16"/>
      <c r="CA910" s="16"/>
      <c r="CB910" s="16"/>
      <c r="CC910" s="16"/>
      <c r="CD910" s="16"/>
      <c r="CE910" s="16"/>
      <c r="CF910" s="16"/>
      <c r="CG910" s="16"/>
      <c r="CH910" s="16"/>
      <c r="CI910" s="16"/>
      <c r="CJ910" s="16"/>
      <c r="CK910" s="16"/>
      <c r="CL910" s="16"/>
      <c r="CM910" s="16"/>
      <c r="CN910" s="16"/>
      <c r="CO910" s="16"/>
      <c r="CP910" s="16"/>
      <c r="CQ910" s="16"/>
      <c r="CR910" s="16"/>
      <c r="CS910" s="16"/>
      <c r="CT910" s="16"/>
      <c r="CU910" s="16"/>
      <c r="CV910" s="16"/>
      <c r="CW910" s="16"/>
      <c r="CX910" s="16"/>
      <c r="CY910" s="16"/>
      <c r="CZ910" s="16"/>
      <c r="DA910" s="16"/>
      <c r="DB910" s="16"/>
      <c r="DC910" s="16"/>
      <c r="DD910" s="16"/>
      <c r="DE910" s="16"/>
      <c r="DF910" s="16"/>
      <c r="DG910" s="16"/>
      <c r="DH910" s="16"/>
      <c r="DI910" s="16"/>
      <c r="DJ910" s="16"/>
      <c r="DK910" s="16"/>
      <c r="DL910" s="16"/>
      <c r="DM910" s="16"/>
      <c r="DN910" s="16"/>
      <c r="DO910" s="16"/>
      <c r="DP910" s="16"/>
      <c r="DQ910" s="16"/>
      <c r="DR910" s="16"/>
      <c r="DS910" s="16"/>
      <c r="DT910" s="16"/>
      <c r="DU910" s="16"/>
      <c r="DV910" s="16"/>
      <c r="DW910" s="16"/>
      <c r="DX910" s="16"/>
      <c r="DY910" s="16"/>
      <c r="DZ910" s="16"/>
      <c r="EA910" s="16"/>
      <c r="EB910" s="16"/>
      <c r="EC910" s="16"/>
      <c r="ED910" s="16"/>
      <c r="EE910" s="16"/>
      <c r="EF910" s="16"/>
      <c r="EG910" s="16"/>
      <c r="EH910" s="16"/>
      <c r="EI910" s="16"/>
      <c r="EJ910" s="16"/>
      <c r="EK910" s="16"/>
      <c r="EL910" s="16"/>
      <c r="EM910" s="16"/>
      <c r="EN910" s="16"/>
      <c r="EO910" s="16"/>
      <c r="EP910" s="16"/>
      <c r="EQ910" s="16"/>
      <c r="ER910" s="16"/>
      <c r="ES910" s="16"/>
      <c r="ET910" s="16"/>
      <c r="EU910" s="16"/>
      <c r="EV910" s="16"/>
      <c r="EW910" s="16"/>
      <c r="EX910" s="16"/>
      <c r="EY910" s="16"/>
      <c r="EZ910" s="16"/>
      <c r="FA910" s="16"/>
      <c r="FB910" s="16"/>
      <c r="FC910" s="16"/>
      <c r="FD910" s="16"/>
      <c r="FE910" s="16"/>
      <c r="FF910" s="16"/>
      <c r="FG910" s="16"/>
      <c r="FH910" s="16"/>
      <c r="FI910" s="16"/>
      <c r="FJ910" s="16"/>
      <c r="FK910" s="16"/>
      <c r="FL910" s="16"/>
      <c r="FM910" s="16"/>
      <c r="FN910" s="16"/>
      <c r="FO910" s="16"/>
      <c r="FP910" s="16"/>
      <c r="FQ910" s="16"/>
      <c r="FR910" s="16"/>
      <c r="FS910" s="16"/>
      <c r="FT910" s="16"/>
      <c r="FU910" s="16"/>
      <c r="FV910" s="16"/>
      <c r="FW910" s="16"/>
      <c r="FX910" s="16"/>
      <c r="FY910" s="16"/>
      <c r="FZ910" s="16"/>
      <c r="GA910" s="16"/>
      <c r="GB910" s="16"/>
      <c r="GC910" s="16"/>
      <c r="GD910" s="16"/>
      <c r="GE910" s="16"/>
      <c r="GF910" s="16"/>
      <c r="GG910" s="16"/>
      <c r="GH910" s="16"/>
      <c r="GI910" s="16"/>
      <c r="GJ910" s="16"/>
      <c r="GK910" s="16"/>
      <c r="GL910" s="16"/>
      <c r="GM910" s="16"/>
      <c r="GN910" s="16"/>
      <c r="GO910" s="16"/>
      <c r="GP910" s="16"/>
      <c r="GQ910" s="16"/>
      <c r="GR910" s="16"/>
      <c r="GS910" s="16"/>
      <c r="GT910" s="16"/>
      <c r="GU910" s="16"/>
      <c r="GV910" s="16"/>
      <c r="GW910" s="16"/>
      <c r="GX910" s="16"/>
      <c r="GY910" s="16"/>
      <c r="GZ910" s="16"/>
      <c r="HA910" s="16"/>
      <c r="HB910" s="16"/>
      <c r="HC910" s="16"/>
      <c r="HD910" s="16"/>
      <c r="HE910" s="16"/>
      <c r="HF910" s="16"/>
      <c r="HG910" s="16"/>
      <c r="HH910" s="16"/>
      <c r="HI910" s="16"/>
      <c r="HJ910" s="16"/>
      <c r="HK910" s="16"/>
      <c r="HL910" s="16"/>
      <c r="HM910" s="16"/>
      <c r="HN910" s="16"/>
      <c r="HO910" s="16"/>
      <c r="HP910" s="16"/>
      <c r="HQ910" s="16"/>
      <c r="HR910" s="16"/>
      <c r="HS910" s="16"/>
      <c r="HT910" s="16"/>
      <c r="HU910" s="16"/>
      <c r="HV910" s="16"/>
      <c r="HW910" s="16"/>
      <c r="HX910" s="16"/>
      <c r="HY910" s="16"/>
      <c r="HZ910" s="16"/>
      <c r="IA910" s="16"/>
      <c r="IB910" s="16"/>
      <c r="IC910" s="16"/>
      <c r="ID910" s="16"/>
      <c r="IE910" s="16"/>
      <c r="IF910" s="16"/>
      <c r="IG910" s="16"/>
      <c r="IH910" s="16"/>
      <c r="II910" s="16"/>
      <c r="IJ910" s="16"/>
      <c r="IK910" s="16"/>
      <c r="IL910" s="16"/>
      <c r="IM910" s="16"/>
      <c r="IN910" s="16"/>
      <c r="IO910" s="16"/>
      <c r="IP910" s="16"/>
      <c r="IQ910" s="16"/>
      <c r="IR910" s="16"/>
      <c r="IS910" s="16"/>
      <c r="IT910" s="16"/>
      <c r="IU910" s="16"/>
      <c r="IV910" s="16"/>
      <c r="IW910" s="16"/>
      <c r="IX910" s="16"/>
      <c r="IY910" s="16"/>
      <c r="IZ910" s="16"/>
      <c r="JA910" s="16"/>
      <c r="JB910" s="16"/>
      <c r="JC910" s="16"/>
      <c r="JD910" s="16"/>
      <c r="JE910" s="16"/>
      <c r="JF910" s="16"/>
      <c r="JG910" s="16"/>
      <c r="JH910" s="16"/>
      <c r="JI910" s="16"/>
      <c r="JJ910" s="16"/>
      <c r="JK910" s="16"/>
      <c r="JL910" s="16"/>
      <c r="JM910" s="16"/>
      <c r="JN910" s="16"/>
      <c r="JO910" s="16"/>
      <c r="JP910" s="16"/>
      <c r="JQ910" s="16"/>
      <c r="JR910" s="16"/>
      <c r="JS910" s="16"/>
      <c r="JT910" s="16"/>
      <c r="JU910" s="16"/>
      <c r="JV910" s="16"/>
      <c r="JW910" s="16"/>
      <c r="JX910" s="16"/>
      <c r="JY910" s="16"/>
      <c r="JZ910" s="16"/>
      <c r="KA910" s="16"/>
      <c r="KB910" s="16"/>
      <c r="KC910" s="16"/>
      <c r="KD910" s="16"/>
      <c r="KE910" s="16"/>
      <c r="KF910" s="16"/>
      <c r="KG910" s="16"/>
      <c r="KH910" s="16"/>
      <c r="KI910" s="16"/>
      <c r="KJ910" s="16"/>
      <c r="KK910" s="16"/>
      <c r="KL910" s="16"/>
      <c r="KM910" s="16"/>
      <c r="KN910" s="16"/>
      <c r="KO910" s="16"/>
      <c r="KP910" s="16"/>
      <c r="KQ910" s="16"/>
      <c r="KR910" s="16"/>
      <c r="KS910" s="16"/>
      <c r="KT910" s="16"/>
      <c r="KU910" s="16"/>
      <c r="KV910" s="16"/>
      <c r="KW910" s="16"/>
      <c r="KX910" s="16"/>
      <c r="KY910" s="16"/>
      <c r="KZ910" s="16"/>
      <c r="LA910" s="16"/>
      <c r="LB910" s="16"/>
      <c r="LC910" s="16"/>
      <c r="LD910" s="16"/>
      <c r="LE910" s="16"/>
      <c r="LF910" s="16"/>
      <c r="LG910" s="16"/>
      <c r="LH910" s="16"/>
      <c r="LI910" s="16"/>
      <c r="LJ910" s="16"/>
      <c r="LK910" s="16"/>
      <c r="LL910" s="16"/>
      <c r="LM910" s="16"/>
      <c r="LN910" s="16"/>
      <c r="LO910" s="16"/>
      <c r="LP910" s="16"/>
      <c r="LQ910" s="16"/>
      <c r="LR910" s="16"/>
      <c r="LS910" s="16"/>
      <c r="LT910" s="16"/>
      <c r="LU910" s="16"/>
      <c r="LV910" s="16"/>
      <c r="LW910" s="16"/>
      <c r="LX910" s="16"/>
      <c r="LY910" s="16"/>
      <c r="LZ910" s="16"/>
      <c r="MA910" s="16"/>
      <c r="MB910" s="16"/>
      <c r="MC910" s="16"/>
      <c r="MD910" s="16"/>
      <c r="ME910" s="16"/>
      <c r="MF910" s="16"/>
      <c r="MG910" s="16"/>
      <c r="MH910" s="16"/>
      <c r="MI910" s="16"/>
      <c r="MJ910" s="16"/>
      <c r="MK910" s="16"/>
      <c r="ML910" s="16"/>
      <c r="MM910" s="16"/>
      <c r="MN910" s="16"/>
      <c r="MO910" s="16"/>
      <c r="MP910" s="16"/>
      <c r="MQ910" s="16"/>
      <c r="MR910" s="16"/>
      <c r="MS910" s="16"/>
      <c r="MT910" s="16"/>
      <c r="MU910" s="16"/>
      <c r="MV910" s="16"/>
      <c r="MW910" s="16"/>
      <c r="MX910" s="16"/>
      <c r="MY910" s="16"/>
      <c r="MZ910" s="16"/>
      <c r="NA910" s="16"/>
      <c r="NB910" s="16"/>
      <c r="NC910" s="16"/>
      <c r="ND910" s="16"/>
      <c r="NE910" s="16"/>
      <c r="NF910" s="16"/>
      <c r="NG910" s="16"/>
      <c r="NH910" s="16"/>
      <c r="NI910" s="16"/>
      <c r="NJ910" s="16"/>
      <c r="NK910" s="16"/>
      <c r="NL910" s="16"/>
      <c r="NM910" s="16"/>
      <c r="NN910" s="16"/>
      <c r="NO910" s="16"/>
      <c r="NP910" s="16"/>
      <c r="NQ910" s="16"/>
      <c r="NR910" s="16"/>
      <c r="NS910" s="16"/>
      <c r="NT910" s="16"/>
      <c r="NU910" s="16"/>
      <c r="NV910" s="16"/>
      <c r="NW910" s="16"/>
      <c r="NX910" s="16"/>
      <c r="NY910" s="16"/>
      <c r="NZ910" s="16"/>
      <c r="OA910" s="16"/>
      <c r="OB910" s="16"/>
      <c r="OC910" s="16"/>
      <c r="OD910" s="16"/>
      <c r="OE910" s="16"/>
      <c r="OF910" s="16"/>
      <c r="OG910" s="16"/>
      <c r="OH910" s="16"/>
      <c r="OI910" s="16"/>
      <c r="OJ910" s="16"/>
      <c r="OK910" s="16"/>
      <c r="OL910" s="16"/>
      <c r="OM910" s="16"/>
      <c r="ON910" s="16"/>
      <c r="OO910" s="16"/>
      <c r="OP910" s="16"/>
      <c r="OQ910" s="16"/>
      <c r="OR910" s="16"/>
      <c r="OS910" s="16"/>
      <c r="OT910" s="16"/>
      <c r="OU910" s="16"/>
      <c r="OV910" s="16"/>
      <c r="OW910" s="16"/>
      <c r="OX910" s="16"/>
      <c r="OY910" s="16"/>
      <c r="OZ910" s="16"/>
      <c r="PA910" s="16"/>
      <c r="PB910" s="16"/>
      <c r="PC910" s="16"/>
      <c r="PD910" s="16"/>
      <c r="PE910" s="16"/>
      <c r="PF910" s="16"/>
      <c r="PG910" s="16"/>
      <c r="PH910" s="16"/>
      <c r="PI910" s="16"/>
      <c r="PJ910" s="16"/>
      <c r="PK910" s="16"/>
      <c r="PL910" s="16"/>
      <c r="PM910" s="16"/>
      <c r="PN910" s="16"/>
      <c r="PO910" s="16"/>
      <c r="PP910" s="16"/>
      <c r="PQ910" s="16"/>
      <c r="PR910" s="16"/>
      <c r="PS910" s="16"/>
      <c r="PT910" s="16"/>
      <c r="PU910" s="16"/>
      <c r="PV910" s="16"/>
      <c r="PW910" s="16"/>
      <c r="PX910" s="16"/>
      <c r="PY910" s="16"/>
      <c r="PZ910" s="16"/>
      <c r="QA910" s="16"/>
      <c r="QB910" s="16"/>
      <c r="QC910" s="16"/>
      <c r="QD910" s="16"/>
      <c r="QE910" s="16"/>
      <c r="QF910" s="16"/>
      <c r="QG910" s="16"/>
      <c r="QH910" s="16"/>
      <c r="QI910" s="16"/>
      <c r="QJ910" s="16"/>
      <c r="QK910" s="16"/>
      <c r="QL910" s="16"/>
      <c r="QM910" s="16"/>
      <c r="QN910" s="16"/>
      <c r="QO910" s="16"/>
      <c r="QP910" s="16"/>
      <c r="QQ910" s="16"/>
      <c r="QR910" s="16"/>
      <c r="QS910" s="16"/>
      <c r="QT910" s="16"/>
      <c r="QU910" s="16"/>
      <c r="QV910" s="16"/>
      <c r="QW910" s="16"/>
      <c r="QX910" s="16"/>
      <c r="QY910" s="16"/>
      <c r="QZ910" s="16"/>
      <c r="RA910" s="16"/>
      <c r="RB910" s="16"/>
      <c r="RC910" s="16"/>
      <c r="RD910" s="16"/>
      <c r="RE910" s="16"/>
      <c r="RF910" s="16"/>
      <c r="RG910" s="16"/>
      <c r="RH910" s="16"/>
      <c r="RI910" s="16"/>
      <c r="RJ910" s="16"/>
      <c r="RK910" s="16"/>
      <c r="RL910" s="16"/>
      <c r="RM910" s="16"/>
      <c r="RN910" s="16"/>
      <c r="RO910" s="16"/>
      <c r="RP910" s="16"/>
      <c r="RQ910" s="16"/>
      <c r="RR910" s="16"/>
      <c r="RS910" s="16"/>
      <c r="RT910" s="16"/>
      <c r="RU910" s="16"/>
      <c r="RV910" s="16"/>
      <c r="RW910" s="16"/>
      <c r="RX910" s="16"/>
      <c r="RY910" s="16"/>
      <c r="RZ910" s="16"/>
      <c r="SA910" s="16"/>
      <c r="SB910" s="16"/>
      <c r="SC910" s="16"/>
      <c r="SD910" s="16"/>
      <c r="SE910" s="16"/>
      <c r="SF910" s="16"/>
      <c r="SG910" s="16"/>
      <c r="SH910" s="16"/>
      <c r="SI910" s="16"/>
      <c r="SJ910" s="16"/>
      <c r="SK910" s="16"/>
      <c r="SL910" s="16"/>
      <c r="SM910" s="16"/>
      <c r="SN910" s="16"/>
      <c r="SO910" s="16"/>
      <c r="SP910" s="16"/>
      <c r="SQ910" s="16"/>
      <c r="SR910" s="16"/>
      <c r="SS910" s="16"/>
      <c r="ST910" s="16"/>
      <c r="SU910" s="16"/>
      <c r="SV910" s="16"/>
      <c r="SW910" s="16"/>
      <c r="SX910" s="16"/>
      <c r="SY910" s="16"/>
      <c r="SZ910" s="16"/>
      <c r="TA910" s="16"/>
      <c r="TB910" s="16"/>
      <c r="TC910" s="16"/>
      <c r="TD910" s="16"/>
      <c r="TE910" s="16"/>
      <c r="TF910" s="16"/>
      <c r="TG910" s="16"/>
      <c r="TH910" s="16"/>
      <c r="TI910" s="16"/>
      <c r="TJ910" s="16"/>
      <c r="TK910" s="16"/>
      <c r="TL910" s="16"/>
      <c r="TM910" s="16"/>
      <c r="TN910" s="16"/>
      <c r="TO910" s="16"/>
      <c r="TP910" s="16"/>
      <c r="TQ910" s="16"/>
      <c r="TR910" s="16"/>
      <c r="TS910" s="16"/>
      <c r="TT910" s="16"/>
      <c r="TU910" s="16"/>
      <c r="TV910" s="16"/>
      <c r="TW910" s="16"/>
      <c r="TX910" s="16"/>
      <c r="TY910" s="16"/>
      <c r="TZ910" s="16"/>
      <c r="UA910" s="16"/>
      <c r="UB910" s="16"/>
      <c r="UC910" s="16"/>
      <c r="UD910" s="16"/>
      <c r="UE910" s="16"/>
      <c r="UF910" s="16"/>
      <c r="UG910" s="16"/>
      <c r="UH910" s="16"/>
      <c r="UI910" s="16"/>
      <c r="UJ910" s="16"/>
      <c r="UK910" s="16"/>
      <c r="UL910" s="16"/>
      <c r="UM910" s="16"/>
      <c r="UN910" s="16"/>
      <c r="UO910" s="16"/>
      <c r="UP910" s="16"/>
      <c r="UQ910" s="16"/>
      <c r="UR910" s="16"/>
      <c r="US910" s="16"/>
      <c r="UT910" s="16"/>
      <c r="UU910" s="16"/>
      <c r="UV910" s="16"/>
      <c r="UW910" s="16"/>
      <c r="UX910" s="16"/>
      <c r="UY910" s="16"/>
      <c r="UZ910" s="16"/>
      <c r="VA910" s="16"/>
      <c r="VB910" s="16"/>
      <c r="VC910" s="16"/>
      <c r="VD910" s="16"/>
      <c r="VE910" s="16"/>
      <c r="VF910" s="16"/>
      <c r="VG910" s="16"/>
      <c r="VH910" s="16"/>
      <c r="VI910" s="16"/>
      <c r="VJ910" s="16"/>
      <c r="VK910" s="16"/>
      <c r="VL910" s="16"/>
      <c r="VM910" s="16"/>
      <c r="VN910" s="16"/>
      <c r="VO910" s="16"/>
      <c r="VP910" s="16"/>
      <c r="VQ910" s="16"/>
      <c r="VR910" s="16"/>
      <c r="VS910" s="16"/>
      <c r="VT910" s="16"/>
      <c r="VU910" s="16"/>
      <c r="VV910" s="16"/>
      <c r="VW910" s="16"/>
      <c r="VX910" s="16"/>
      <c r="VY910" s="16"/>
      <c r="VZ910" s="16"/>
      <c r="WA910" s="16"/>
      <c r="WB910" s="16"/>
      <c r="WC910" s="16"/>
      <c r="WD910" s="16"/>
      <c r="WE910" s="16"/>
      <c r="WF910" s="16"/>
      <c r="WG910" s="16"/>
      <c r="WH910" s="16"/>
      <c r="WI910" s="16"/>
      <c r="WJ910" s="16"/>
      <c r="WK910" s="16"/>
      <c r="WL910" s="16"/>
      <c r="WM910" s="16"/>
      <c r="WN910" s="16"/>
      <c r="WO910" s="16"/>
      <c r="WP910" s="16"/>
      <c r="WQ910" s="16"/>
      <c r="WR910" s="16"/>
      <c r="WS910" s="16"/>
      <c r="WT910" s="16"/>
      <c r="WU910" s="16"/>
      <c r="WV910" s="16"/>
      <c r="WW910" s="16"/>
      <c r="WX910" s="16"/>
      <c r="WY910" s="16"/>
      <c r="WZ910" s="16"/>
      <c r="XA910" s="16"/>
      <c r="XB910" s="16"/>
      <c r="XC910" s="16"/>
      <c r="XD910" s="16"/>
      <c r="XE910" s="16"/>
      <c r="XF910" s="16"/>
      <c r="XG910" s="16"/>
      <c r="XH910" s="16"/>
      <c r="XI910" s="16"/>
      <c r="XJ910" s="16"/>
      <c r="XK910" s="16"/>
      <c r="XL910" s="16"/>
      <c r="XM910" s="16"/>
      <c r="XN910" s="16"/>
      <c r="XO910" s="16"/>
      <c r="XP910" s="16"/>
      <c r="XQ910" s="16"/>
      <c r="XR910" s="16"/>
      <c r="XS910" s="16"/>
      <c r="XT910" s="16"/>
      <c r="XU910" s="16"/>
      <c r="XV910" s="16"/>
      <c r="XW910" s="16"/>
      <c r="XX910" s="16"/>
      <c r="XY910" s="16"/>
      <c r="XZ910" s="16"/>
      <c r="YA910" s="16"/>
      <c r="YB910" s="16"/>
      <c r="YC910" s="16"/>
      <c r="YD910" s="16"/>
      <c r="YE910" s="16"/>
      <c r="YF910" s="16"/>
      <c r="YG910" s="16"/>
      <c r="YH910" s="16"/>
      <c r="YI910" s="16"/>
      <c r="YJ910" s="16"/>
      <c r="YK910" s="16"/>
      <c r="YL910" s="16"/>
      <c r="YM910" s="16"/>
      <c r="YN910" s="16"/>
      <c r="YO910" s="16"/>
      <c r="YP910" s="16"/>
      <c r="YQ910" s="16"/>
      <c r="YR910" s="16"/>
      <c r="YS910" s="16"/>
      <c r="YT910" s="16"/>
      <c r="YU910" s="16"/>
      <c r="YV910" s="16"/>
      <c r="YW910" s="16"/>
      <c r="YX910" s="16"/>
      <c r="YY910" s="16"/>
      <c r="YZ910" s="16"/>
      <c r="ZA910" s="16"/>
      <c r="ZB910" s="16"/>
      <c r="ZC910" s="16"/>
      <c r="ZD910" s="16"/>
      <c r="ZE910" s="16"/>
      <c r="ZF910" s="16"/>
      <c r="ZG910" s="16"/>
      <c r="ZH910" s="16"/>
      <c r="ZI910" s="16"/>
      <c r="ZJ910" s="16"/>
      <c r="ZK910" s="16"/>
      <c r="ZL910" s="16"/>
      <c r="ZM910" s="16"/>
      <c r="ZN910" s="16"/>
      <c r="ZO910" s="16"/>
      <c r="ZP910" s="16"/>
      <c r="ZQ910" s="16"/>
      <c r="ZR910" s="16"/>
      <c r="ZS910" s="16"/>
      <c r="ZT910" s="16"/>
      <c r="ZU910" s="16"/>
      <c r="ZV910" s="16"/>
      <c r="ZW910" s="16"/>
      <c r="ZX910" s="16"/>
      <c r="ZY910" s="16"/>
      <c r="ZZ910" s="16"/>
      <c r="AAA910" s="16"/>
      <c r="AAB910" s="16"/>
      <c r="AAC910" s="16"/>
      <c r="AAD910" s="16"/>
      <c r="AAE910" s="16"/>
      <c r="AAF910" s="16"/>
      <c r="AAG910" s="16"/>
      <c r="AAH910" s="16"/>
      <c r="AAI910" s="16"/>
      <c r="AAJ910" s="16"/>
      <c r="AAK910" s="16"/>
      <c r="AAL910" s="16"/>
      <c r="AAM910" s="16"/>
      <c r="AAN910" s="16"/>
      <c r="AAO910" s="16"/>
      <c r="AAP910" s="16"/>
      <c r="AAQ910" s="16"/>
      <c r="AAR910" s="16"/>
      <c r="AAS910" s="16"/>
      <c r="AAT910" s="16"/>
      <c r="AAU910" s="16"/>
      <c r="AAV910" s="16"/>
      <c r="AAW910" s="16"/>
      <c r="AAX910" s="16"/>
      <c r="AAY910" s="16"/>
      <c r="AAZ910" s="16"/>
      <c r="ABA910" s="16"/>
      <c r="ABB910" s="16"/>
      <c r="ABC910" s="16"/>
      <c r="ABD910" s="16"/>
      <c r="ABE910" s="16"/>
      <c r="ABF910" s="16"/>
      <c r="ABG910" s="16"/>
      <c r="ABH910" s="16"/>
      <c r="ABI910" s="16"/>
      <c r="ABJ910" s="16"/>
      <c r="ABK910" s="16"/>
      <c r="ABL910" s="16"/>
      <c r="ABM910" s="16"/>
      <c r="ABN910" s="16"/>
      <c r="ABO910" s="16"/>
      <c r="ABP910" s="16"/>
      <c r="ABQ910" s="16"/>
      <c r="ABR910" s="16"/>
      <c r="ABS910" s="16"/>
      <c r="ABT910" s="16"/>
      <c r="ABU910" s="16"/>
      <c r="ABV910" s="16"/>
      <c r="ABW910" s="16"/>
      <c r="ABX910" s="16"/>
      <c r="ABY910" s="16"/>
      <c r="ABZ910" s="16"/>
      <c r="ACA910" s="16"/>
      <c r="ACB910" s="16"/>
      <c r="ACC910" s="16"/>
      <c r="ACD910" s="16"/>
      <c r="ACE910" s="16"/>
      <c r="ACF910" s="16"/>
      <c r="ACG910" s="16"/>
      <c r="ACH910" s="16"/>
      <c r="ACI910" s="16"/>
      <c r="ACJ910" s="16"/>
      <c r="ACK910" s="16"/>
      <c r="ACL910" s="16"/>
      <c r="ACM910" s="16"/>
      <c r="ACN910" s="16"/>
      <c r="ACO910" s="16"/>
      <c r="ACP910" s="16"/>
      <c r="ACQ910" s="16"/>
      <c r="ACR910" s="16"/>
      <c r="ACS910" s="16"/>
      <c r="ACT910" s="16"/>
      <c r="ACU910" s="16"/>
      <c r="ACV910" s="16"/>
      <c r="ACW910" s="16"/>
      <c r="ACX910" s="16"/>
      <c r="ACY910" s="16"/>
      <c r="ACZ910" s="16"/>
      <c r="ADA910" s="16"/>
      <c r="ADB910" s="16"/>
      <c r="ADC910" s="16"/>
      <c r="ADD910" s="16"/>
      <c r="ADE910" s="16"/>
      <c r="ADF910" s="16"/>
      <c r="ADG910" s="16"/>
      <c r="ADH910" s="16"/>
      <c r="ADI910" s="16"/>
      <c r="ADJ910" s="16"/>
      <c r="ADK910" s="16"/>
      <c r="ADL910" s="16"/>
      <c r="ADM910" s="16"/>
      <c r="ADN910" s="16"/>
      <c r="ADO910" s="16"/>
      <c r="ADP910" s="16"/>
      <c r="ADQ910" s="16"/>
      <c r="ADR910" s="16"/>
      <c r="ADS910" s="16"/>
      <c r="ADT910" s="16"/>
      <c r="ADU910" s="16"/>
      <c r="ADV910" s="16"/>
      <c r="ADW910" s="16"/>
      <c r="ADX910" s="16"/>
      <c r="ADY910" s="16"/>
      <c r="ADZ910" s="16"/>
      <c r="AEA910" s="16"/>
      <c r="AEB910" s="16"/>
      <c r="AEC910" s="16"/>
      <c r="AED910" s="16"/>
      <c r="AEE910" s="16"/>
      <c r="AEF910" s="16"/>
      <c r="AEG910" s="16"/>
      <c r="AEH910" s="16"/>
      <c r="AEI910" s="16"/>
      <c r="AEJ910" s="16"/>
      <c r="AEK910" s="16"/>
      <c r="AEL910" s="16"/>
      <c r="AEM910" s="16"/>
      <c r="AEN910" s="16"/>
      <c r="AEO910" s="16"/>
      <c r="AEP910" s="16"/>
      <c r="AEQ910" s="16"/>
      <c r="AER910" s="16"/>
      <c r="AES910" s="16"/>
      <c r="AET910" s="16"/>
      <c r="AEU910" s="16"/>
      <c r="AEV910" s="16"/>
      <c r="AEW910" s="16"/>
      <c r="AEX910" s="16"/>
      <c r="AEY910" s="16"/>
      <c r="AEZ910" s="16"/>
      <c r="AFA910" s="16"/>
      <c r="AFB910" s="16"/>
      <c r="AFC910" s="16"/>
      <c r="AFD910" s="16"/>
      <c r="AFE910" s="16"/>
      <c r="AFF910" s="16"/>
      <c r="AFG910" s="16"/>
      <c r="AFH910" s="16"/>
      <c r="AFI910" s="16"/>
      <c r="AFJ910" s="16"/>
      <c r="AFK910" s="16"/>
      <c r="AFL910" s="16"/>
      <c r="AFM910" s="16"/>
      <c r="AFN910" s="16"/>
      <c r="AFO910" s="16"/>
      <c r="AFP910" s="16"/>
      <c r="AFQ910" s="16"/>
      <c r="AFR910" s="16"/>
      <c r="AFS910" s="16"/>
      <c r="AFT910" s="16"/>
      <c r="AFU910" s="16"/>
      <c r="AFV910" s="16"/>
      <c r="AFW910" s="16"/>
      <c r="AFX910" s="16"/>
      <c r="AFY910" s="16"/>
      <c r="AFZ910" s="16"/>
      <c r="AGA910" s="16"/>
      <c r="AGB910" s="16"/>
      <c r="AGC910" s="16"/>
      <c r="AGD910" s="16"/>
      <c r="AGE910" s="16"/>
      <c r="AGF910" s="16"/>
      <c r="AGG910" s="16"/>
      <c r="AGH910" s="16"/>
      <c r="AGI910" s="16"/>
      <c r="AGJ910" s="16"/>
    </row>
    <row r="911" spans="1:868" hidden="1">
      <c r="A911" s="292" t="s">
        <v>253</v>
      </c>
      <c r="B911" s="55" t="s">
        <v>373</v>
      </c>
      <c r="C911" s="265" t="s">
        <v>147</v>
      </c>
      <c r="D911" s="55" t="s">
        <v>147</v>
      </c>
      <c r="E911" s="260">
        <v>6.5000000000000002E-2</v>
      </c>
      <c r="F911" s="235">
        <v>2</v>
      </c>
      <c r="G911" s="265" t="s">
        <v>438</v>
      </c>
      <c r="H911" s="29">
        <v>2</v>
      </c>
      <c r="I911" s="9">
        <v>2</v>
      </c>
      <c r="J911" s="9">
        <v>2</v>
      </c>
      <c r="K911" s="9">
        <v>1</v>
      </c>
      <c r="L911" s="9">
        <v>1</v>
      </c>
      <c r="M911" s="9">
        <v>2</v>
      </c>
      <c r="N911" s="186">
        <f t="shared" si="49"/>
        <v>0.37356464144298934</v>
      </c>
      <c r="O911" s="160">
        <f t="shared" si="50"/>
        <v>0.37356464144298934</v>
      </c>
      <c r="P911" s="63"/>
    </row>
    <row r="912" spans="1:868" hidden="1">
      <c r="A912" s="292" t="s">
        <v>254</v>
      </c>
      <c r="B912" s="55" t="s">
        <v>373</v>
      </c>
      <c r="C912" s="265" t="s">
        <v>147</v>
      </c>
      <c r="D912" s="55" t="s">
        <v>147</v>
      </c>
      <c r="E912" s="260">
        <v>0.91400000000000003</v>
      </c>
      <c r="F912" s="235">
        <v>2</v>
      </c>
      <c r="G912" s="265" t="s">
        <v>438</v>
      </c>
      <c r="H912" s="29">
        <v>2</v>
      </c>
      <c r="I912" s="9"/>
      <c r="J912" s="9">
        <v>2</v>
      </c>
      <c r="K912" s="9">
        <v>1</v>
      </c>
      <c r="L912" s="9">
        <v>1</v>
      </c>
      <c r="M912" s="9">
        <v>2</v>
      </c>
      <c r="N912" s="186">
        <f t="shared" si="49"/>
        <v>0.37356464144298934</v>
      </c>
      <c r="O912" s="160" t="str">
        <f t="shared" si="50"/>
        <v/>
      </c>
      <c r="P912" s="63"/>
    </row>
    <row r="913" spans="1:16" hidden="1">
      <c r="A913" s="292" t="s">
        <v>347</v>
      </c>
      <c r="B913" s="55" t="s">
        <v>373</v>
      </c>
      <c r="C913" s="265" t="s">
        <v>147</v>
      </c>
      <c r="D913" s="55" t="s">
        <v>147</v>
      </c>
      <c r="E913" s="260">
        <v>6.5000000000000002E-2</v>
      </c>
      <c r="F913" s="235">
        <v>1</v>
      </c>
      <c r="G913" s="265" t="s">
        <v>438</v>
      </c>
      <c r="H913" s="29">
        <v>2</v>
      </c>
      <c r="I913" s="9">
        <v>2</v>
      </c>
      <c r="J913" s="9">
        <v>2</v>
      </c>
      <c r="K913" s="9">
        <v>2</v>
      </c>
      <c r="L913" s="9">
        <v>2</v>
      </c>
      <c r="M913" s="9">
        <v>2</v>
      </c>
      <c r="N913" s="186">
        <f t="shared" si="49"/>
        <v>0.40183591897512122</v>
      </c>
      <c r="O913" s="160">
        <f t="shared" si="50"/>
        <v>0.40183591897512122</v>
      </c>
      <c r="P913" s="63"/>
    </row>
    <row r="914" spans="1:16" hidden="1">
      <c r="A914" s="292" t="s">
        <v>347</v>
      </c>
      <c r="B914" s="55" t="s">
        <v>373</v>
      </c>
      <c r="C914" s="265" t="s">
        <v>147</v>
      </c>
      <c r="D914" s="55" t="s">
        <v>147</v>
      </c>
      <c r="E914" s="260">
        <v>0.46</v>
      </c>
      <c r="F914" s="235">
        <v>1</v>
      </c>
      <c r="G914" s="265" t="s">
        <v>439</v>
      </c>
      <c r="H914" s="29">
        <v>2</v>
      </c>
      <c r="I914" s="9">
        <v>2</v>
      </c>
      <c r="J914" s="9">
        <v>2</v>
      </c>
      <c r="K914" s="9">
        <v>2</v>
      </c>
      <c r="L914" s="9">
        <v>2</v>
      </c>
      <c r="M914" s="9">
        <v>2</v>
      </c>
      <c r="N914" s="186">
        <f t="shared" si="49"/>
        <v>0.40183591897512122</v>
      </c>
      <c r="O914" s="160">
        <f t="shared" si="50"/>
        <v>0.40183591897512122</v>
      </c>
      <c r="P914" s="63"/>
    </row>
    <row r="915" spans="1:16" hidden="1">
      <c r="A915" s="152" t="s">
        <v>240</v>
      </c>
      <c r="B915" s="34" t="s">
        <v>245</v>
      </c>
      <c r="C915" s="40" t="s">
        <v>147</v>
      </c>
      <c r="D915" s="34" t="s">
        <v>147</v>
      </c>
      <c r="E915" s="260" t="s">
        <v>158</v>
      </c>
      <c r="F915" s="235">
        <v>1</v>
      </c>
      <c r="G915" s="40"/>
      <c r="H915" s="29"/>
      <c r="I915" s="9"/>
      <c r="J915" s="9"/>
      <c r="K915" s="9"/>
      <c r="L915" s="9"/>
      <c r="M915" s="9"/>
      <c r="N915" s="186" t="str">
        <f t="shared" si="49"/>
        <v/>
      </c>
      <c r="O915" s="160" t="str">
        <f t="shared" si="50"/>
        <v/>
      </c>
      <c r="P915" s="63"/>
    </row>
    <row r="916" spans="1:16" hidden="1">
      <c r="A916" s="152" t="s">
        <v>314</v>
      </c>
      <c r="B916" s="34" t="s">
        <v>245</v>
      </c>
      <c r="C916" s="40" t="s">
        <v>147</v>
      </c>
      <c r="D916" s="34" t="s">
        <v>147</v>
      </c>
      <c r="E916" s="260">
        <v>0.151</v>
      </c>
      <c r="F916" s="235">
        <v>2</v>
      </c>
      <c r="G916" s="40" t="s">
        <v>440</v>
      </c>
      <c r="H916" s="29">
        <v>3</v>
      </c>
      <c r="I916" s="9"/>
      <c r="J916" s="9">
        <v>2</v>
      </c>
      <c r="K916" s="9">
        <v>3</v>
      </c>
      <c r="L916" s="9">
        <v>3</v>
      </c>
      <c r="M916" s="9">
        <v>1</v>
      </c>
      <c r="N916" s="186">
        <f t="shared" si="49"/>
        <v>0.60108474454521421</v>
      </c>
      <c r="O916" s="160" t="str">
        <f t="shared" si="50"/>
        <v/>
      </c>
      <c r="P916" s="63" t="s">
        <v>441</v>
      </c>
    </row>
    <row r="917" spans="1:16" hidden="1">
      <c r="A917" s="152" t="s">
        <v>322</v>
      </c>
      <c r="B917" s="34" t="s">
        <v>245</v>
      </c>
      <c r="C917" s="523" t="s">
        <v>147</v>
      </c>
      <c r="D917" s="37" t="s">
        <v>147</v>
      </c>
      <c r="E917" s="313">
        <v>0.08</v>
      </c>
      <c r="F917" s="37">
        <v>1</v>
      </c>
      <c r="G917" s="40" t="s">
        <v>363</v>
      </c>
      <c r="H917" s="29">
        <v>2</v>
      </c>
      <c r="I917" s="9">
        <v>2</v>
      </c>
      <c r="J917" s="9">
        <v>1</v>
      </c>
      <c r="K917" s="9">
        <v>1</v>
      </c>
      <c r="L917" s="9">
        <v>1</v>
      </c>
      <c r="M917" s="9">
        <v>1</v>
      </c>
      <c r="N917" s="186">
        <f t="shared" si="49"/>
        <v>0.16933510251023262</v>
      </c>
      <c r="O917" s="160">
        <f t="shared" si="50"/>
        <v>0.16933510251023262</v>
      </c>
      <c r="P917" s="63"/>
    </row>
    <row r="918" spans="1:16" hidden="1">
      <c r="A918" s="152" t="s">
        <v>278</v>
      </c>
      <c r="B918" s="34" t="s">
        <v>245</v>
      </c>
      <c r="C918" s="40" t="s">
        <v>147</v>
      </c>
      <c r="D918" s="34" t="s">
        <v>147</v>
      </c>
      <c r="E918" s="260" t="s">
        <v>158</v>
      </c>
      <c r="F918" s="235">
        <v>1</v>
      </c>
      <c r="G918" s="40"/>
      <c r="H918" s="29"/>
      <c r="I918" s="9"/>
      <c r="J918" s="9"/>
      <c r="K918" s="9"/>
      <c r="L918" s="9"/>
      <c r="M918" s="9"/>
      <c r="N918" s="186" t="str">
        <f t="shared" si="49"/>
        <v/>
      </c>
      <c r="O918" s="160" t="str">
        <f t="shared" si="50"/>
        <v/>
      </c>
      <c r="P918" s="63"/>
    </row>
    <row r="919" spans="1:16" hidden="1">
      <c r="A919" s="152" t="s">
        <v>324</v>
      </c>
      <c r="B919" s="34" t="s">
        <v>245</v>
      </c>
      <c r="C919" s="40" t="s">
        <v>147</v>
      </c>
      <c r="D919" s="34" t="s">
        <v>147</v>
      </c>
      <c r="E919" s="260" t="s">
        <v>158</v>
      </c>
      <c r="F919" s="235">
        <v>1</v>
      </c>
      <c r="G919" s="40"/>
      <c r="H919" s="29"/>
      <c r="I919" s="9"/>
      <c r="J919" s="9"/>
      <c r="K919" s="9"/>
      <c r="L919" s="9"/>
      <c r="M919" s="9"/>
      <c r="N919" s="186" t="str">
        <f t="shared" si="49"/>
        <v/>
      </c>
      <c r="O919" s="160" t="str">
        <f t="shared" si="50"/>
        <v/>
      </c>
      <c r="P919" s="63"/>
    </row>
    <row r="920" spans="1:16" hidden="1">
      <c r="A920" s="152" t="s">
        <v>348</v>
      </c>
      <c r="B920" s="34" t="s">
        <v>245</v>
      </c>
      <c r="C920" s="40" t="s">
        <v>147</v>
      </c>
      <c r="D920" s="34" t="s">
        <v>147</v>
      </c>
      <c r="E920" s="260" t="s">
        <v>158</v>
      </c>
      <c r="F920" s="235">
        <v>1</v>
      </c>
      <c r="G920" s="40"/>
      <c r="H920" s="29"/>
      <c r="I920" s="9"/>
      <c r="J920" s="9"/>
      <c r="K920" s="9"/>
      <c r="L920" s="9"/>
      <c r="M920" s="9"/>
      <c r="N920" s="186" t="str">
        <f t="shared" si="49"/>
        <v/>
      </c>
      <c r="O920" s="160" t="str">
        <f t="shared" si="50"/>
        <v/>
      </c>
      <c r="P920" s="63"/>
    </row>
    <row r="921" spans="1:16" hidden="1">
      <c r="A921" s="152" t="s">
        <v>409</v>
      </c>
      <c r="B921" s="34" t="s">
        <v>244</v>
      </c>
      <c r="C921" s="40" t="s">
        <v>147</v>
      </c>
      <c r="D921" s="34" t="s">
        <v>147</v>
      </c>
      <c r="E921" s="265">
        <v>0.1</v>
      </c>
      <c r="F921" s="235">
        <v>2</v>
      </c>
      <c r="G921" s="872" t="s">
        <v>287</v>
      </c>
      <c r="H921" s="29">
        <v>1</v>
      </c>
      <c r="I921" s="9">
        <v>2</v>
      </c>
      <c r="J921" s="9">
        <v>2</v>
      </c>
      <c r="K921" s="9">
        <v>1</v>
      </c>
      <c r="L921" s="9">
        <v>2</v>
      </c>
      <c r="M921" s="9">
        <v>3</v>
      </c>
      <c r="N921" s="186">
        <f t="shared" si="49"/>
        <v>1.0248662490928169</v>
      </c>
      <c r="O921" s="160">
        <f t="shared" si="50"/>
        <v>1.0301997916669636</v>
      </c>
      <c r="P921" s="858"/>
    </row>
    <row r="922" spans="1:16" hidden="1">
      <c r="A922" s="152" t="s">
        <v>409</v>
      </c>
      <c r="B922" s="34" t="s">
        <v>388</v>
      </c>
      <c r="C922" s="40" t="s">
        <v>147</v>
      </c>
      <c r="D922" s="34" t="s">
        <v>147</v>
      </c>
      <c r="E922" s="265">
        <v>0.4</v>
      </c>
      <c r="F922" s="235">
        <v>1</v>
      </c>
      <c r="G922" s="40" t="s">
        <v>389</v>
      </c>
      <c r="H922" s="29">
        <v>1</v>
      </c>
      <c r="I922" s="9">
        <v>3</v>
      </c>
      <c r="J922" s="9">
        <v>2</v>
      </c>
      <c r="K922" s="9">
        <v>1</v>
      </c>
      <c r="L922" s="9">
        <v>1</v>
      </c>
      <c r="M922" s="9">
        <v>2</v>
      </c>
      <c r="N922" s="186">
        <f t="shared" si="49"/>
        <v>0.35859414261160716</v>
      </c>
      <c r="O922" s="160">
        <f t="shared" si="50"/>
        <v>0.48935255543384243</v>
      </c>
      <c r="P922" s="858"/>
    </row>
    <row r="923" spans="1:16" hidden="1">
      <c r="A923" s="152" t="s">
        <v>364</v>
      </c>
      <c r="B923" s="34" t="s">
        <v>245</v>
      </c>
      <c r="C923" s="40" t="s">
        <v>147</v>
      </c>
      <c r="D923" s="34" t="s">
        <v>147</v>
      </c>
      <c r="E923" s="260" t="s">
        <v>158</v>
      </c>
      <c r="F923" s="235">
        <v>1</v>
      </c>
      <c r="G923" s="40"/>
      <c r="H923" s="29"/>
      <c r="I923" s="9"/>
      <c r="J923" s="9"/>
      <c r="K923" s="9"/>
      <c r="L923" s="9"/>
      <c r="M923" s="9"/>
      <c r="N923" s="186" t="str">
        <f t="shared" si="49"/>
        <v/>
      </c>
      <c r="O923" s="160" t="str">
        <f t="shared" si="50"/>
        <v/>
      </c>
      <c r="P923" s="63"/>
    </row>
    <row r="924" spans="1:16" hidden="1">
      <c r="A924" s="152" t="s">
        <v>208</v>
      </c>
      <c r="B924" s="34" t="s">
        <v>245</v>
      </c>
      <c r="C924" s="40" t="s">
        <v>147</v>
      </c>
      <c r="D924" s="34" t="s">
        <v>147</v>
      </c>
      <c r="E924" s="260">
        <v>1</v>
      </c>
      <c r="F924" s="235">
        <v>2</v>
      </c>
      <c r="G924" s="40" t="s">
        <v>171</v>
      </c>
      <c r="H924" s="29"/>
      <c r="I924" s="9"/>
      <c r="J924" s="9"/>
      <c r="K924" s="9"/>
      <c r="L924" s="9"/>
      <c r="M924" s="9"/>
      <c r="N924" s="186" t="str">
        <f t="shared" si="49"/>
        <v/>
      </c>
      <c r="O924" s="160" t="str">
        <f t="shared" si="50"/>
        <v/>
      </c>
      <c r="P924" s="63"/>
    </row>
    <row r="925" spans="1:16" hidden="1">
      <c r="A925" s="152" t="s">
        <v>130</v>
      </c>
      <c r="B925" s="34" t="s">
        <v>365</v>
      </c>
      <c r="C925" s="40" t="s">
        <v>147</v>
      </c>
      <c r="D925" s="34" t="s">
        <v>107</v>
      </c>
      <c r="E925" s="260">
        <v>0.27563499529633112</v>
      </c>
      <c r="F925" s="235">
        <v>1</v>
      </c>
      <c r="G925" s="40"/>
      <c r="H925" s="29">
        <v>3</v>
      </c>
      <c r="I925" s="9">
        <v>3</v>
      </c>
      <c r="J925" s="9">
        <v>2</v>
      </c>
      <c r="K925" s="9">
        <v>2</v>
      </c>
      <c r="L925" s="9">
        <v>1</v>
      </c>
      <c r="M925" s="9">
        <v>2</v>
      </c>
      <c r="N925" s="186">
        <f t="shared" si="49"/>
        <v>0.50042652380814845</v>
      </c>
      <c r="O925" s="160">
        <f t="shared" si="50"/>
        <v>0.50042652380814845</v>
      </c>
      <c r="P925" s="63"/>
    </row>
    <row r="926" spans="1:16" hidden="1">
      <c r="A926" s="292" t="s">
        <v>247</v>
      </c>
      <c r="B926" s="55" t="s">
        <v>245</v>
      </c>
      <c r="C926" s="265" t="s">
        <v>147</v>
      </c>
      <c r="D926" s="55" t="s">
        <v>147</v>
      </c>
      <c r="E926" s="260">
        <v>1.7569999999999999E-2</v>
      </c>
      <c r="F926" s="235">
        <v>2</v>
      </c>
      <c r="G926" s="265" t="s">
        <v>176</v>
      </c>
      <c r="H926" s="29">
        <v>2</v>
      </c>
      <c r="I926" s="9">
        <v>2</v>
      </c>
      <c r="J926" s="9">
        <v>3</v>
      </c>
      <c r="K926" s="9">
        <v>1</v>
      </c>
      <c r="L926" s="9">
        <v>1</v>
      </c>
      <c r="M926" s="9">
        <v>1</v>
      </c>
      <c r="N926" s="186">
        <f t="shared" si="49"/>
        <v>0.37356464144298934</v>
      </c>
      <c r="O926" s="160">
        <f t="shared" si="50"/>
        <v>0.37356464144298934</v>
      </c>
      <c r="P926" s="63"/>
    </row>
    <row r="927" spans="1:16" hidden="1">
      <c r="A927" s="292" t="s">
        <v>370</v>
      </c>
      <c r="B927" s="55" t="s">
        <v>245</v>
      </c>
      <c r="C927" s="265" t="s">
        <v>147</v>
      </c>
      <c r="D927" s="55" t="s">
        <v>147</v>
      </c>
      <c r="E927" s="260" t="s">
        <v>158</v>
      </c>
      <c r="F927" s="235">
        <v>1</v>
      </c>
      <c r="G927" s="265" t="s">
        <v>171</v>
      </c>
      <c r="H927" s="29">
        <v>2</v>
      </c>
      <c r="I927" s="9">
        <v>2</v>
      </c>
      <c r="J927" s="9">
        <v>1</v>
      </c>
      <c r="K927" s="9">
        <v>1</v>
      </c>
      <c r="L927" s="9">
        <v>1</v>
      </c>
      <c r="M927" s="9">
        <v>3</v>
      </c>
      <c r="N927" s="186">
        <f t="shared" si="49"/>
        <v>1.0195048044558224</v>
      </c>
      <c r="O927" s="160">
        <f t="shared" si="50"/>
        <v>1.0195048044558224</v>
      </c>
      <c r="P927" s="63"/>
    </row>
    <row r="928" spans="1:16" hidden="1">
      <c r="A928" s="152" t="s">
        <v>269</v>
      </c>
      <c r="B928" s="34" t="s">
        <v>272</v>
      </c>
      <c r="C928" s="40" t="s">
        <v>147</v>
      </c>
      <c r="D928" s="34" t="s">
        <v>147</v>
      </c>
      <c r="E928" s="260" t="s">
        <v>158</v>
      </c>
      <c r="F928" s="34">
        <v>1</v>
      </c>
      <c r="G928" s="40"/>
      <c r="H928" s="29"/>
      <c r="I928" s="9"/>
      <c r="J928" s="9"/>
      <c r="K928" s="9"/>
      <c r="L928" s="9"/>
      <c r="M928" s="9"/>
      <c r="N928" s="186" t="str">
        <f t="shared" si="49"/>
        <v/>
      </c>
      <c r="O928" s="160" t="str">
        <f t="shared" si="50"/>
        <v/>
      </c>
      <c r="P928" s="63"/>
    </row>
    <row r="929" spans="1:16" hidden="1">
      <c r="A929" s="152" t="s">
        <v>373</v>
      </c>
      <c r="B929" s="34" t="s">
        <v>222</v>
      </c>
      <c r="C929" s="40" t="s">
        <v>147</v>
      </c>
      <c r="D929" s="34" t="s">
        <v>147</v>
      </c>
      <c r="E929" s="260" t="s">
        <v>158</v>
      </c>
      <c r="F929" s="235">
        <v>1</v>
      </c>
      <c r="G929" s="40"/>
      <c r="H929" s="29"/>
      <c r="I929" s="9"/>
      <c r="J929" s="9"/>
      <c r="K929" s="9"/>
      <c r="L929" s="9"/>
      <c r="M929" s="9"/>
      <c r="N929" s="186" t="str">
        <f t="shared" si="49"/>
        <v/>
      </c>
      <c r="O929" s="160" t="str">
        <f t="shared" si="50"/>
        <v/>
      </c>
      <c r="P929" s="63"/>
    </row>
    <row r="930" spans="1:16" hidden="1">
      <c r="A930" s="152" t="s">
        <v>245</v>
      </c>
      <c r="B930" s="34" t="s">
        <v>228</v>
      </c>
      <c r="C930" s="40" t="s">
        <v>147</v>
      </c>
      <c r="D930" s="34" t="s">
        <v>147</v>
      </c>
      <c r="E930" s="260" t="s">
        <v>158</v>
      </c>
      <c r="F930" s="235">
        <v>1</v>
      </c>
      <c r="G930" s="40"/>
      <c r="H930" s="29"/>
      <c r="I930" s="9"/>
      <c r="J930" s="9"/>
      <c r="K930" s="9"/>
      <c r="L930" s="9"/>
      <c r="M930" s="9"/>
      <c r="N930" s="186" t="str">
        <f t="shared" si="49"/>
        <v/>
      </c>
      <c r="O930" s="160" t="str">
        <f t="shared" si="50"/>
        <v/>
      </c>
      <c r="P930" s="63"/>
    </row>
    <row r="931" spans="1:16" hidden="1">
      <c r="A931" s="152" t="s">
        <v>130</v>
      </c>
      <c r="B931" s="34" t="s">
        <v>433</v>
      </c>
      <c r="C931" s="40" t="s">
        <v>147</v>
      </c>
      <c r="D931" s="34" t="s">
        <v>93</v>
      </c>
      <c r="E931" s="260">
        <v>0</v>
      </c>
      <c r="F931" s="235">
        <v>1</v>
      </c>
      <c r="G931" s="40"/>
      <c r="H931" s="29"/>
      <c r="I931" s="9"/>
      <c r="J931" s="9"/>
      <c r="K931" s="9"/>
      <c r="L931" s="9"/>
      <c r="M931" s="9"/>
      <c r="N931" s="186" t="str">
        <f t="shared" si="49"/>
        <v/>
      </c>
      <c r="O931" s="160" t="str">
        <f t="shared" si="50"/>
        <v/>
      </c>
      <c r="P931" s="63"/>
    </row>
    <row r="932" spans="1:16" hidden="1">
      <c r="A932" s="152" t="s">
        <v>130</v>
      </c>
      <c r="B932" s="34" t="s">
        <v>433</v>
      </c>
      <c r="C932" s="40" t="s">
        <v>147</v>
      </c>
      <c r="D932" s="34" t="s">
        <v>94</v>
      </c>
      <c r="E932" s="260">
        <v>0</v>
      </c>
      <c r="F932" s="235">
        <v>1</v>
      </c>
      <c r="G932" s="40"/>
      <c r="H932" s="29"/>
      <c r="I932" s="9"/>
      <c r="J932" s="9"/>
      <c r="K932" s="9"/>
      <c r="L932" s="9"/>
      <c r="M932" s="9"/>
      <c r="N932" s="186" t="str">
        <f t="shared" si="49"/>
        <v/>
      </c>
      <c r="O932" s="160" t="str">
        <f t="shared" si="50"/>
        <v/>
      </c>
      <c r="P932" s="63"/>
    </row>
    <row r="933" spans="1:16" hidden="1">
      <c r="A933" s="152" t="s">
        <v>130</v>
      </c>
      <c r="B933" s="34" t="s">
        <v>433</v>
      </c>
      <c r="C933" s="40" t="s">
        <v>147</v>
      </c>
      <c r="D933" s="34" t="s">
        <v>95</v>
      </c>
      <c r="E933" s="260">
        <v>0</v>
      </c>
      <c r="F933" s="235">
        <v>1</v>
      </c>
      <c r="G933" s="40"/>
      <c r="H933" s="29"/>
      <c r="I933" s="9"/>
      <c r="J933" s="9"/>
      <c r="K933" s="9"/>
      <c r="L933" s="9"/>
      <c r="M933" s="9"/>
      <c r="N933" s="186" t="str">
        <f t="shared" si="49"/>
        <v/>
      </c>
      <c r="O933" s="160" t="str">
        <f t="shared" si="50"/>
        <v/>
      </c>
      <c r="P933" s="63"/>
    </row>
    <row r="934" spans="1:16" hidden="1">
      <c r="A934" s="152" t="s">
        <v>130</v>
      </c>
      <c r="B934" s="34" t="s">
        <v>433</v>
      </c>
      <c r="C934" s="40" t="s">
        <v>147</v>
      </c>
      <c r="D934" s="34" t="s">
        <v>96</v>
      </c>
      <c r="E934" s="260">
        <v>0</v>
      </c>
      <c r="F934" s="235">
        <v>1</v>
      </c>
      <c r="G934" s="40"/>
      <c r="H934" s="29"/>
      <c r="I934" s="9"/>
      <c r="J934" s="9"/>
      <c r="K934" s="9"/>
      <c r="L934" s="9"/>
      <c r="M934" s="9"/>
      <c r="N934" s="186" t="str">
        <f t="shared" si="49"/>
        <v/>
      </c>
      <c r="O934" s="160" t="str">
        <f t="shared" si="50"/>
        <v/>
      </c>
      <c r="P934" s="63"/>
    </row>
    <row r="935" spans="1:16" hidden="1">
      <c r="A935" s="152" t="s">
        <v>130</v>
      </c>
      <c r="B935" s="34" t="s">
        <v>433</v>
      </c>
      <c r="C935" s="40" t="s">
        <v>147</v>
      </c>
      <c r="D935" s="34" t="s">
        <v>97</v>
      </c>
      <c r="E935" s="260">
        <v>0</v>
      </c>
      <c r="F935" s="235">
        <v>1</v>
      </c>
      <c r="G935" s="40"/>
      <c r="H935" s="29"/>
      <c r="I935" s="9"/>
      <c r="J935" s="9"/>
      <c r="K935" s="9"/>
      <c r="L935" s="9"/>
      <c r="M935" s="9"/>
      <c r="N935" s="186" t="str">
        <f t="shared" si="49"/>
        <v/>
      </c>
      <c r="O935" s="160" t="str">
        <f t="shared" si="50"/>
        <v/>
      </c>
      <c r="P935" s="63"/>
    </row>
    <row r="936" spans="1:16" hidden="1">
      <c r="A936" s="152" t="s">
        <v>130</v>
      </c>
      <c r="B936" s="34" t="s">
        <v>433</v>
      </c>
      <c r="C936" s="40" t="s">
        <v>147</v>
      </c>
      <c r="D936" s="34" t="s">
        <v>98</v>
      </c>
      <c r="E936" s="260">
        <v>1</v>
      </c>
      <c r="F936" s="235">
        <v>1</v>
      </c>
      <c r="G936" s="40"/>
      <c r="H936" s="29">
        <v>2</v>
      </c>
      <c r="I936" s="9">
        <v>2</v>
      </c>
      <c r="J936" s="9">
        <v>2</v>
      </c>
      <c r="K936" s="9">
        <v>2</v>
      </c>
      <c r="L936" s="9">
        <v>1</v>
      </c>
      <c r="M936" s="9">
        <v>2</v>
      </c>
      <c r="N936" s="186">
        <f t="shared" si="49"/>
        <v>0.38795788889711302</v>
      </c>
      <c r="O936" s="160">
        <f t="shared" si="50"/>
        <v>0.38795788889711302</v>
      </c>
      <c r="P936" s="63"/>
    </row>
    <row r="937" spans="1:16" hidden="1">
      <c r="A937" s="152" t="s">
        <v>130</v>
      </c>
      <c r="B937" s="34" t="s">
        <v>433</v>
      </c>
      <c r="C937" s="40" t="s">
        <v>147</v>
      </c>
      <c r="D937" s="34" t="s">
        <v>99</v>
      </c>
      <c r="E937" s="260">
        <v>0</v>
      </c>
      <c r="F937" s="235">
        <v>1</v>
      </c>
      <c r="G937" s="40"/>
      <c r="H937" s="29"/>
      <c r="I937" s="9"/>
      <c r="J937" s="9"/>
      <c r="K937" s="9"/>
      <c r="L937" s="9"/>
      <c r="M937" s="9"/>
      <c r="N937" s="186" t="str">
        <f t="shared" si="49"/>
        <v/>
      </c>
      <c r="O937" s="160" t="str">
        <f t="shared" si="50"/>
        <v/>
      </c>
      <c r="P937" s="63"/>
    </row>
    <row r="938" spans="1:16" hidden="1">
      <c r="A938" s="152" t="s">
        <v>130</v>
      </c>
      <c r="B938" s="34" t="s">
        <v>433</v>
      </c>
      <c r="C938" s="40" t="s">
        <v>147</v>
      </c>
      <c r="D938" s="34" t="s">
        <v>103</v>
      </c>
      <c r="E938" s="260">
        <v>0</v>
      </c>
      <c r="F938" s="235">
        <v>1</v>
      </c>
      <c r="G938" s="40"/>
      <c r="H938" s="29"/>
      <c r="I938" s="9"/>
      <c r="J938" s="9"/>
      <c r="K938" s="9"/>
      <c r="L938" s="9"/>
      <c r="M938" s="9"/>
      <c r="N938" s="186" t="str">
        <f t="shared" si="49"/>
        <v/>
      </c>
      <c r="O938" s="160" t="str">
        <f t="shared" si="50"/>
        <v/>
      </c>
      <c r="P938" s="63"/>
    </row>
    <row r="939" spans="1:16" hidden="1">
      <c r="A939" s="152" t="s">
        <v>130</v>
      </c>
      <c r="B939" s="34" t="s">
        <v>433</v>
      </c>
      <c r="C939" s="40" t="s">
        <v>147</v>
      </c>
      <c r="D939" s="34" t="s">
        <v>107</v>
      </c>
      <c r="E939" s="260">
        <v>0</v>
      </c>
      <c r="F939" s="235">
        <v>1</v>
      </c>
      <c r="G939" s="40"/>
      <c r="H939" s="29"/>
      <c r="I939" s="9"/>
      <c r="J939" s="9"/>
      <c r="K939" s="9"/>
      <c r="L939" s="9"/>
      <c r="M939" s="9"/>
      <c r="N939" s="186" t="str">
        <f t="shared" si="49"/>
        <v/>
      </c>
      <c r="O939" s="160" t="str">
        <f t="shared" si="50"/>
        <v/>
      </c>
      <c r="P939" s="63"/>
    </row>
    <row r="940" spans="1:16" hidden="1">
      <c r="A940" s="292" t="s">
        <v>428</v>
      </c>
      <c r="B940" s="37" t="s">
        <v>261</v>
      </c>
      <c r="C940" s="265" t="s">
        <v>147</v>
      </c>
      <c r="D940" s="55" t="s">
        <v>147</v>
      </c>
      <c r="E940" s="260" t="s">
        <v>158</v>
      </c>
      <c r="F940" s="235">
        <v>2</v>
      </c>
      <c r="G940" s="265"/>
      <c r="H940" s="29"/>
      <c r="I940" s="9"/>
      <c r="J940" s="9"/>
      <c r="K940" s="9"/>
      <c r="L940" s="9"/>
      <c r="M940" s="9"/>
      <c r="N940" s="186" t="str">
        <f t="shared" si="49"/>
        <v/>
      </c>
      <c r="O940" s="160" t="str">
        <f t="shared" si="50"/>
        <v/>
      </c>
      <c r="P940" s="63"/>
    </row>
    <row r="941" spans="1:16" s="16" customFormat="1" hidden="1">
      <c r="A941" s="340" t="s">
        <v>428</v>
      </c>
      <c r="B941" s="34" t="s">
        <v>245</v>
      </c>
      <c r="C941" s="40" t="s">
        <v>147</v>
      </c>
      <c r="D941" s="34" t="s">
        <v>147</v>
      </c>
      <c r="E941" s="868">
        <f>0.004*0.0001/100</f>
        <v>4.0000000000000002E-9</v>
      </c>
      <c r="F941" s="69">
        <v>2</v>
      </c>
      <c r="G941" s="523" t="s">
        <v>402</v>
      </c>
      <c r="H941" s="29">
        <v>2</v>
      </c>
      <c r="I941" s="9">
        <v>1</v>
      </c>
      <c r="J941" s="9">
        <v>2</v>
      </c>
      <c r="K941" s="9">
        <v>3</v>
      </c>
      <c r="L941" s="9">
        <v>3</v>
      </c>
      <c r="M941" s="9">
        <v>2</v>
      </c>
      <c r="N941" s="186">
        <f t="shared" si="49"/>
        <v>0.60108474454521421</v>
      </c>
      <c r="O941" s="854"/>
      <c r="P941" s="861"/>
    </row>
    <row r="942" spans="1:16" s="16" customFormat="1" hidden="1">
      <c r="A942" s="340" t="s">
        <v>428</v>
      </c>
      <c r="B942" s="34" t="s">
        <v>245</v>
      </c>
      <c r="C942" s="40" t="s">
        <v>147</v>
      </c>
      <c r="D942" s="34" t="s">
        <v>147</v>
      </c>
      <c r="E942" s="868">
        <f>0.004*0.04/100</f>
        <v>1.6000000000000001E-6</v>
      </c>
      <c r="F942" s="69">
        <v>2</v>
      </c>
      <c r="G942" s="523" t="s">
        <v>402</v>
      </c>
      <c r="H942" s="29">
        <v>2</v>
      </c>
      <c r="I942" s="9">
        <v>1</v>
      </c>
      <c r="J942" s="9">
        <v>2</v>
      </c>
      <c r="K942" s="9">
        <v>3</v>
      </c>
      <c r="L942" s="9">
        <v>3</v>
      </c>
      <c r="M942" s="9">
        <v>2</v>
      </c>
      <c r="N942" s="186">
        <f t="shared" si="49"/>
        <v>0.60108474454521421</v>
      </c>
      <c r="O942" s="854"/>
      <c r="P942" s="861"/>
    </row>
    <row r="943" spans="1:16" s="16" customFormat="1" hidden="1">
      <c r="A943" s="340" t="s">
        <v>428</v>
      </c>
      <c r="B943" s="34" t="s">
        <v>264</v>
      </c>
      <c r="C943" s="40" t="s">
        <v>147</v>
      </c>
      <c r="D943" s="34" t="s">
        <v>147</v>
      </c>
      <c r="E943" s="868">
        <f>(1-0.008)*0.0001/100</f>
        <v>9.9199999999999999E-7</v>
      </c>
      <c r="F943" s="69">
        <v>2</v>
      </c>
      <c r="G943" s="523" t="s">
        <v>402</v>
      </c>
      <c r="H943" s="29">
        <v>2</v>
      </c>
      <c r="I943" s="9">
        <v>1</v>
      </c>
      <c r="J943" s="9">
        <v>2</v>
      </c>
      <c r="K943" s="9">
        <v>3</v>
      </c>
      <c r="L943" s="9">
        <v>3</v>
      </c>
      <c r="M943" s="9">
        <v>2</v>
      </c>
      <c r="N943" s="186">
        <f t="shared" si="49"/>
        <v>0.60108474454521421</v>
      </c>
      <c r="O943" s="854"/>
      <c r="P943" s="861"/>
    </row>
    <row r="944" spans="1:16" s="16" customFormat="1" hidden="1">
      <c r="A944" s="340" t="s">
        <v>428</v>
      </c>
      <c r="B944" s="34" t="s">
        <v>264</v>
      </c>
      <c r="C944" s="40" t="s">
        <v>147</v>
      </c>
      <c r="D944" s="34" t="s">
        <v>147</v>
      </c>
      <c r="E944" s="868">
        <f>(1-0.008)*0.04/100</f>
        <v>3.968E-4</v>
      </c>
      <c r="F944" s="69">
        <v>2</v>
      </c>
      <c r="G944" s="523" t="s">
        <v>402</v>
      </c>
      <c r="H944" s="29">
        <v>2</v>
      </c>
      <c r="I944" s="9">
        <v>1</v>
      </c>
      <c r="J944" s="9">
        <v>2</v>
      </c>
      <c r="K944" s="9">
        <v>3</v>
      </c>
      <c r="L944" s="9">
        <v>3</v>
      </c>
      <c r="M944" s="9">
        <v>2</v>
      </c>
      <c r="N944" s="186">
        <f t="shared" si="49"/>
        <v>0.60108474454521421</v>
      </c>
      <c r="O944" s="854"/>
      <c r="P944" s="861"/>
    </row>
    <row r="945" spans="1:868" s="16" customFormat="1" hidden="1">
      <c r="A945" s="340" t="s">
        <v>428</v>
      </c>
      <c r="B945" s="34" t="s">
        <v>244</v>
      </c>
      <c r="C945" s="40" t="s">
        <v>147</v>
      </c>
      <c r="D945" s="34" t="s">
        <v>147</v>
      </c>
      <c r="E945" s="868">
        <f>0.004*0.0001/100</f>
        <v>4.0000000000000002E-9</v>
      </c>
      <c r="F945" s="69">
        <v>2</v>
      </c>
      <c r="G945" s="523" t="s">
        <v>402</v>
      </c>
      <c r="H945" s="29">
        <v>2</v>
      </c>
      <c r="I945" s="9">
        <v>1</v>
      </c>
      <c r="J945" s="9">
        <v>2</v>
      </c>
      <c r="K945" s="9">
        <v>3</v>
      </c>
      <c r="L945" s="9">
        <v>3</v>
      </c>
      <c r="M945" s="9">
        <v>2</v>
      </c>
      <c r="N945" s="186">
        <f t="shared" si="49"/>
        <v>0.60108474454521421</v>
      </c>
      <c r="O945" s="854"/>
      <c r="P945" s="861"/>
    </row>
    <row r="946" spans="1:868" s="16" customFormat="1" hidden="1">
      <c r="A946" s="340" t="s">
        <v>428</v>
      </c>
      <c r="B946" s="34" t="s">
        <v>244</v>
      </c>
      <c r="C946" s="40" t="s">
        <v>147</v>
      </c>
      <c r="D946" s="34" t="s">
        <v>147</v>
      </c>
      <c r="E946" s="868">
        <f>0.004*0.04/100</f>
        <v>1.6000000000000001E-6</v>
      </c>
      <c r="F946" s="69">
        <v>2</v>
      </c>
      <c r="G946" s="523" t="s">
        <v>402</v>
      </c>
      <c r="H946" s="29">
        <v>2</v>
      </c>
      <c r="I946" s="9">
        <v>1</v>
      </c>
      <c r="J946" s="9">
        <v>2</v>
      </c>
      <c r="K946" s="9">
        <v>3</v>
      </c>
      <c r="L946" s="9">
        <v>3</v>
      </c>
      <c r="M946" s="9">
        <v>2</v>
      </c>
      <c r="N946" s="186">
        <f t="shared" si="49"/>
        <v>0.60108474454521421</v>
      </c>
      <c r="O946" s="854"/>
      <c r="P946" s="861"/>
    </row>
    <row r="947" spans="1:868" hidden="1">
      <c r="A947" s="152" t="s">
        <v>269</v>
      </c>
      <c r="B947" s="34" t="s">
        <v>442</v>
      </c>
      <c r="C947" s="40" t="s">
        <v>147</v>
      </c>
      <c r="D947" s="34" t="s">
        <v>147</v>
      </c>
      <c r="E947" s="879">
        <v>9.9999999999999995E-7</v>
      </c>
      <c r="F947" s="34">
        <v>2</v>
      </c>
      <c r="G947" s="523" t="s">
        <v>402</v>
      </c>
      <c r="H947" s="29">
        <v>2</v>
      </c>
      <c r="I947" s="9">
        <v>2</v>
      </c>
      <c r="J947" s="9">
        <v>3</v>
      </c>
      <c r="K947" s="9">
        <v>3</v>
      </c>
      <c r="L947" s="9">
        <v>3</v>
      </c>
      <c r="M947" s="9">
        <v>2</v>
      </c>
      <c r="N947" s="186">
        <f t="shared" si="49"/>
        <v>0.67913051197703389</v>
      </c>
      <c r="O947" s="160">
        <f t="shared" ref="O947:O978" si="51">IF( OR( ISBLANK(I947),ISBLANK(J947), ISBLANK(K947), ISBLANK(L947), ISBLANK(M947) ), "", 1.5*SQRT( EXP(2.21*(I947-1)) + EXP(2.21*(J947-1)) + EXP(2.21*(K947-1)) + EXP(2.21*(L947-1)) + EXP(2.21*M947)   )/100*2.45 )</f>
        <v>0.67913051197703389</v>
      </c>
      <c r="P947" s="862" t="s">
        <v>443</v>
      </c>
    </row>
    <row r="948" spans="1:868" hidden="1">
      <c r="A948" s="152" t="s">
        <v>269</v>
      </c>
      <c r="B948" s="34" t="s">
        <v>442</v>
      </c>
      <c r="C948" s="40" t="s">
        <v>147</v>
      </c>
      <c r="D948" s="34" t="s">
        <v>147</v>
      </c>
      <c r="E948" s="871">
        <f>0.05*(1-0.088)/100</f>
        <v>4.5600000000000003E-4</v>
      </c>
      <c r="F948" s="34">
        <v>2</v>
      </c>
      <c r="G948" s="523" t="s">
        <v>402</v>
      </c>
      <c r="H948" s="29">
        <v>2</v>
      </c>
      <c r="I948" s="9">
        <v>2</v>
      </c>
      <c r="J948" s="9">
        <v>3</v>
      </c>
      <c r="K948" s="9">
        <v>3</v>
      </c>
      <c r="L948" s="9">
        <v>3</v>
      </c>
      <c r="M948" s="9">
        <v>2</v>
      </c>
      <c r="N948" s="186">
        <f t="shared" si="49"/>
        <v>0.67913051197703389</v>
      </c>
      <c r="O948" s="160">
        <f t="shared" si="51"/>
        <v>0.67913051197703389</v>
      </c>
      <c r="P948" s="862" t="s">
        <v>443</v>
      </c>
    </row>
    <row r="949" spans="1:868" hidden="1">
      <c r="A949" s="340" t="s">
        <v>269</v>
      </c>
      <c r="B949" s="69" t="s">
        <v>444</v>
      </c>
      <c r="C949" s="868" t="s">
        <v>147</v>
      </c>
      <c r="D949" s="69" t="s">
        <v>147</v>
      </c>
      <c r="E949" s="879">
        <v>9.9999999999999995E-7</v>
      </c>
      <c r="F949" s="69">
        <v>2</v>
      </c>
      <c r="G949" s="523" t="s">
        <v>445</v>
      </c>
      <c r="H949" s="855">
        <v>2</v>
      </c>
      <c r="I949" s="315">
        <v>2</v>
      </c>
      <c r="J949" s="315">
        <v>3</v>
      </c>
      <c r="K949" s="315">
        <v>3</v>
      </c>
      <c r="L949" s="315">
        <v>3</v>
      </c>
      <c r="M949" s="315">
        <v>3</v>
      </c>
      <c r="N949" s="186">
        <f t="shared" si="49"/>
        <v>1.1713319510247036</v>
      </c>
      <c r="O949" s="160">
        <f t="shared" si="51"/>
        <v>1.1713319510247036</v>
      </c>
      <c r="P949" s="861"/>
    </row>
    <row r="950" spans="1:868" hidden="1">
      <c r="A950" s="340" t="s">
        <v>269</v>
      </c>
      <c r="B950" s="69" t="s">
        <v>444</v>
      </c>
      <c r="C950" s="868" t="s">
        <v>147</v>
      </c>
      <c r="D950" s="69" t="s">
        <v>147</v>
      </c>
      <c r="E950" s="871">
        <f>0.05*0.088/100</f>
        <v>4.4000000000000006E-5</v>
      </c>
      <c r="F950" s="69">
        <v>2</v>
      </c>
      <c r="G950" s="523" t="s">
        <v>445</v>
      </c>
      <c r="H950" s="855">
        <v>2</v>
      </c>
      <c r="I950" s="315">
        <v>2</v>
      </c>
      <c r="J950" s="315">
        <v>3</v>
      </c>
      <c r="K950" s="315">
        <v>3</v>
      </c>
      <c r="L950" s="315">
        <v>3</v>
      </c>
      <c r="M950" s="315">
        <v>2</v>
      </c>
      <c r="N950" s="186">
        <f t="shared" si="49"/>
        <v>0.67913051197703389</v>
      </c>
      <c r="O950" s="160">
        <f t="shared" si="51"/>
        <v>0.67913051197703389</v>
      </c>
      <c r="P950" s="861"/>
    </row>
    <row r="951" spans="1:868" hidden="1">
      <c r="A951" s="152" t="s">
        <v>442</v>
      </c>
      <c r="B951" s="34" t="s">
        <v>271</v>
      </c>
      <c r="C951" s="40" t="s">
        <v>147</v>
      </c>
      <c r="D951" s="34" t="s">
        <v>147</v>
      </c>
      <c r="E951" s="260">
        <v>0.25</v>
      </c>
      <c r="F951" s="34">
        <v>2</v>
      </c>
      <c r="G951" s="523" t="s">
        <v>446</v>
      </c>
      <c r="H951" s="29">
        <v>2</v>
      </c>
      <c r="I951" s="9">
        <v>2</v>
      </c>
      <c r="J951" s="9">
        <v>3</v>
      </c>
      <c r="K951" s="9">
        <v>3</v>
      </c>
      <c r="L951" s="9">
        <v>3</v>
      </c>
      <c r="M951" s="9">
        <v>2</v>
      </c>
      <c r="N951" s="186">
        <f t="shared" si="49"/>
        <v>0.67913051197703389</v>
      </c>
      <c r="O951" s="160">
        <f t="shared" si="51"/>
        <v>0.67913051197703389</v>
      </c>
      <c r="P951" s="63" t="s">
        <v>447</v>
      </c>
    </row>
    <row r="952" spans="1:868" hidden="1">
      <c r="A952" s="152" t="s">
        <v>442</v>
      </c>
      <c r="B952" s="34" t="s">
        <v>264</v>
      </c>
      <c r="C952" s="40" t="s">
        <v>147</v>
      </c>
      <c r="D952" s="34" t="s">
        <v>147</v>
      </c>
      <c r="E952" s="260">
        <v>0.75</v>
      </c>
      <c r="F952" s="34">
        <v>2</v>
      </c>
      <c r="G952" s="523" t="s">
        <v>446</v>
      </c>
      <c r="H952" s="29">
        <v>2</v>
      </c>
      <c r="I952" s="9">
        <v>2</v>
      </c>
      <c r="J952" s="9">
        <v>3</v>
      </c>
      <c r="K952" s="9">
        <v>3</v>
      </c>
      <c r="L952" s="9">
        <v>3</v>
      </c>
      <c r="M952" s="9">
        <v>2</v>
      </c>
      <c r="N952" s="186">
        <f t="shared" ref="N952:N959" si="52">IF( OR( ISBLANK(H952),ISBLANK(J952), ISBLANK(K952), ISBLANK(L952), ISBLANK(M952) ), "", 1.5*SQRT(   EXP(2.21*(H952-1)) + EXP(2.21*(J952-1)) + EXP(2.21*(K952-1)) + EXP(2.21*(L952-1)) + EXP(2.21*M952)   )/100*2.45 )</f>
        <v>0.67913051197703389</v>
      </c>
      <c r="O952" s="160">
        <f t="shared" si="51"/>
        <v>0.67913051197703389</v>
      </c>
      <c r="P952" s="63" t="s">
        <v>447</v>
      </c>
    </row>
    <row r="953" spans="1:868" hidden="1">
      <c r="A953" s="152" t="s">
        <v>272</v>
      </c>
      <c r="B953" s="34" t="s">
        <v>448</v>
      </c>
      <c r="C953" s="40" t="s">
        <v>147</v>
      </c>
      <c r="D953" s="34" t="s">
        <v>147</v>
      </c>
      <c r="E953" s="871">
        <v>9.9999999999999995E-7</v>
      </c>
      <c r="F953" s="34">
        <v>2</v>
      </c>
      <c r="G953" s="523" t="s">
        <v>402</v>
      </c>
      <c r="H953" s="29">
        <v>2</v>
      </c>
      <c r="I953" s="9">
        <v>2</v>
      </c>
      <c r="J953" s="9">
        <v>3</v>
      </c>
      <c r="K953" s="9">
        <v>3</v>
      </c>
      <c r="L953" s="9">
        <v>3</v>
      </c>
      <c r="M953" s="9">
        <v>2</v>
      </c>
      <c r="N953" s="186">
        <f t="shared" si="52"/>
        <v>0.67913051197703389</v>
      </c>
      <c r="O953" s="160">
        <f t="shared" si="51"/>
        <v>0.67913051197703389</v>
      </c>
      <c r="P953" s="862" t="s">
        <v>443</v>
      </c>
    </row>
    <row r="954" spans="1:868" hidden="1">
      <c r="A954" s="152" t="s">
        <v>272</v>
      </c>
      <c r="B954" s="34" t="s">
        <v>448</v>
      </c>
      <c r="C954" s="40" t="s">
        <v>147</v>
      </c>
      <c r="D954" s="34" t="s">
        <v>147</v>
      </c>
      <c r="E954" s="871">
        <v>4.0000000000000002E-4</v>
      </c>
      <c r="F954" s="34">
        <v>2</v>
      </c>
      <c r="G954" s="523" t="s">
        <v>402</v>
      </c>
      <c r="H954" s="29">
        <v>2</v>
      </c>
      <c r="I954" s="9">
        <v>2</v>
      </c>
      <c r="J954" s="9">
        <v>3</v>
      </c>
      <c r="K954" s="9">
        <v>3</v>
      </c>
      <c r="L954" s="9">
        <v>3</v>
      </c>
      <c r="M954" s="9">
        <v>2</v>
      </c>
      <c r="N954" s="186">
        <f t="shared" si="52"/>
        <v>0.67913051197703389</v>
      </c>
      <c r="O954" s="160">
        <f t="shared" si="51"/>
        <v>0.67913051197703389</v>
      </c>
      <c r="P954" s="862" t="s">
        <v>443</v>
      </c>
    </row>
    <row r="955" spans="1:868" hidden="1">
      <c r="A955" s="152" t="s">
        <v>118</v>
      </c>
      <c r="B955" s="34" t="s">
        <v>448</v>
      </c>
      <c r="C955" s="40" t="s">
        <v>147</v>
      </c>
      <c r="D955" s="34" t="s">
        <v>147</v>
      </c>
      <c r="E955" s="871">
        <v>9.9999999999999995E-7</v>
      </c>
      <c r="F955" s="34">
        <v>2</v>
      </c>
      <c r="G955" s="523" t="s">
        <v>402</v>
      </c>
      <c r="H955" s="29">
        <v>2</v>
      </c>
      <c r="I955" s="9">
        <v>2</v>
      </c>
      <c r="J955" s="9">
        <v>3</v>
      </c>
      <c r="K955" s="9">
        <v>3</v>
      </c>
      <c r="L955" s="9">
        <v>3</v>
      </c>
      <c r="M955" s="9">
        <v>2</v>
      </c>
      <c r="N955" s="186">
        <f t="shared" si="52"/>
        <v>0.67913051197703389</v>
      </c>
      <c r="O955" s="160">
        <f t="shared" si="51"/>
        <v>0.67913051197703389</v>
      </c>
      <c r="P955" s="63" t="s">
        <v>449</v>
      </c>
    </row>
    <row r="956" spans="1:868" hidden="1">
      <c r="A956" s="152" t="s">
        <v>118</v>
      </c>
      <c r="B956" s="34" t="s">
        <v>448</v>
      </c>
      <c r="C956" s="40" t="s">
        <v>147</v>
      </c>
      <c r="D956" s="34" t="s">
        <v>147</v>
      </c>
      <c r="E956" s="871">
        <v>4.0000000000000002E-4</v>
      </c>
      <c r="F956" s="34">
        <v>2</v>
      </c>
      <c r="G956" s="523" t="s">
        <v>402</v>
      </c>
      <c r="H956" s="29">
        <v>2</v>
      </c>
      <c r="I956" s="9">
        <v>2</v>
      </c>
      <c r="J956" s="9">
        <v>3</v>
      </c>
      <c r="K956" s="9">
        <v>3</v>
      </c>
      <c r="L956" s="9">
        <v>3</v>
      </c>
      <c r="M956" s="9">
        <v>2</v>
      </c>
      <c r="N956" s="186">
        <f t="shared" si="52"/>
        <v>0.67913051197703389</v>
      </c>
      <c r="O956" s="160">
        <f t="shared" si="51"/>
        <v>0.67913051197703389</v>
      </c>
      <c r="P956" s="63" t="s">
        <v>449</v>
      </c>
    </row>
    <row r="957" spans="1:868" hidden="1">
      <c r="A957" s="152" t="s">
        <v>448</v>
      </c>
      <c r="B957" s="34" t="s">
        <v>267</v>
      </c>
      <c r="C957" s="40" t="s">
        <v>147</v>
      </c>
      <c r="D957" s="34" t="s">
        <v>147</v>
      </c>
      <c r="E957" s="871">
        <v>4.0000000000000001E-3</v>
      </c>
      <c r="F957" s="34">
        <v>2</v>
      </c>
      <c r="G957" s="523" t="s">
        <v>446</v>
      </c>
      <c r="H957" s="29">
        <v>2</v>
      </c>
      <c r="I957" s="9">
        <v>2</v>
      </c>
      <c r="J957" s="9">
        <v>3</v>
      </c>
      <c r="K957" s="9">
        <v>3</v>
      </c>
      <c r="L957" s="9">
        <v>3</v>
      </c>
      <c r="M957" s="9">
        <v>2</v>
      </c>
      <c r="N957" s="186">
        <f t="shared" si="52"/>
        <v>0.67913051197703389</v>
      </c>
      <c r="O957" s="160">
        <f t="shared" si="51"/>
        <v>0.67913051197703389</v>
      </c>
      <c r="P957" s="63" t="s">
        <v>447</v>
      </c>
    </row>
    <row r="958" spans="1:868" hidden="1">
      <c r="A958" s="152" t="s">
        <v>448</v>
      </c>
      <c r="B958" s="34" t="s">
        <v>264</v>
      </c>
      <c r="C958" s="40" t="s">
        <v>147</v>
      </c>
      <c r="D958" s="34" t="s">
        <v>147</v>
      </c>
      <c r="E958" s="871">
        <v>0.996</v>
      </c>
      <c r="F958" s="34">
        <v>2</v>
      </c>
      <c r="G958" s="523" t="s">
        <v>446</v>
      </c>
      <c r="H958" s="29">
        <v>2</v>
      </c>
      <c r="I958" s="9">
        <v>2</v>
      </c>
      <c r="J958" s="9">
        <v>3</v>
      </c>
      <c r="K958" s="9">
        <v>3</v>
      </c>
      <c r="L958" s="9">
        <v>3</v>
      </c>
      <c r="M958" s="9">
        <v>2</v>
      </c>
      <c r="N958" s="186">
        <f t="shared" si="52"/>
        <v>0.67913051197703389</v>
      </c>
      <c r="O958" s="160">
        <f t="shared" si="51"/>
        <v>0.67913051197703389</v>
      </c>
      <c r="P958" s="63" t="s">
        <v>447</v>
      </c>
    </row>
    <row r="959" spans="1:868" s="7" customFormat="1" hidden="1">
      <c r="A959" s="626" t="s">
        <v>127</v>
      </c>
      <c r="B959" s="59" t="s">
        <v>450</v>
      </c>
      <c r="C959" s="40" t="s">
        <v>147</v>
      </c>
      <c r="D959" s="34" t="s">
        <v>107</v>
      </c>
      <c r="E959" s="880">
        <v>0.10650572468270171</v>
      </c>
      <c r="F959" s="34">
        <v>2</v>
      </c>
      <c r="G959" s="40" t="s">
        <v>451</v>
      </c>
      <c r="H959" s="29">
        <v>1</v>
      </c>
      <c r="I959" s="9">
        <v>2</v>
      </c>
      <c r="J959" s="9">
        <v>2</v>
      </c>
      <c r="K959" s="9">
        <v>1</v>
      </c>
      <c r="L959" s="9">
        <v>1</v>
      </c>
      <c r="M959" s="9">
        <v>2</v>
      </c>
      <c r="N959" s="186">
        <f t="shared" si="52"/>
        <v>0.35859414261160716</v>
      </c>
      <c r="O959" s="160">
        <f t="shared" si="51"/>
        <v>0.37356464144298934</v>
      </c>
      <c r="P959" s="63"/>
      <c r="Q959" s="828"/>
      <c r="R959" s="828"/>
      <c r="S959" s="828"/>
      <c r="T959" s="828"/>
      <c r="U959" s="828"/>
      <c r="V959" s="828"/>
      <c r="W959" s="828"/>
      <c r="X959" s="828"/>
      <c r="Y959" s="828"/>
      <c r="Z959" s="828"/>
      <c r="AA959" s="828"/>
      <c r="AB959" s="828"/>
      <c r="AC959" s="828"/>
      <c r="AD959" s="828"/>
      <c r="AE959" s="828"/>
      <c r="AF959" s="828"/>
      <c r="AG959" s="828"/>
      <c r="AH959" s="828"/>
      <c r="AI959" s="828"/>
      <c r="AJ959" s="828"/>
      <c r="AK959" s="828"/>
      <c r="AL959" s="828"/>
      <c r="AM959" s="828"/>
      <c r="AN959" s="828"/>
      <c r="AO959" s="828"/>
      <c r="AP959" s="828"/>
      <c r="AQ959" s="828"/>
      <c r="AR959" s="828"/>
      <c r="AS959" s="828"/>
      <c r="AT959" s="828"/>
      <c r="AU959" s="828"/>
      <c r="AV959" s="828"/>
      <c r="AW959" s="828"/>
      <c r="AX959" s="828"/>
      <c r="AY959" s="828"/>
      <c r="AZ959" s="828"/>
      <c r="BA959" s="828"/>
      <c r="BB959" s="828"/>
      <c r="BC959" s="828"/>
      <c r="BD959" s="828"/>
      <c r="BE959" s="828"/>
      <c r="BF959" s="828"/>
      <c r="BG959" s="828"/>
      <c r="BH959" s="828"/>
      <c r="BI959" s="828"/>
      <c r="BJ959" s="828"/>
      <c r="BK959" s="828"/>
      <c r="BL959" s="828"/>
      <c r="BM959" s="828"/>
      <c r="BN959" s="828"/>
      <c r="BO959" s="828"/>
      <c r="BP959" s="828"/>
      <c r="BQ959" s="828"/>
      <c r="BR959" s="828"/>
      <c r="BS959" s="828"/>
      <c r="BT959" s="828"/>
      <c r="BU959" s="828"/>
      <c r="BV959" s="828"/>
      <c r="BW959" s="828"/>
      <c r="BX959" s="828"/>
      <c r="BY959" s="828"/>
      <c r="BZ959" s="828"/>
      <c r="CA959" s="828"/>
      <c r="CB959" s="828"/>
      <c r="CC959" s="828"/>
      <c r="CD959" s="828"/>
      <c r="CE959" s="828"/>
      <c r="CF959" s="828"/>
      <c r="CG959" s="828"/>
      <c r="CH959" s="828"/>
      <c r="CI959" s="828"/>
      <c r="CJ959" s="828"/>
      <c r="CK959" s="828"/>
      <c r="CL959" s="828"/>
      <c r="CM959" s="828"/>
      <c r="CN959" s="828"/>
      <c r="CO959" s="828"/>
      <c r="CP959" s="828"/>
      <c r="CQ959" s="828"/>
      <c r="CR959" s="828"/>
      <c r="CS959" s="828"/>
      <c r="CT959" s="828"/>
      <c r="CU959" s="828"/>
      <c r="CV959" s="828"/>
      <c r="CW959" s="828"/>
      <c r="CX959" s="828"/>
      <c r="CY959" s="828"/>
      <c r="CZ959" s="828"/>
      <c r="DA959" s="828"/>
      <c r="DB959" s="828"/>
      <c r="DC959" s="828"/>
      <c r="DD959" s="828"/>
      <c r="DE959" s="828"/>
      <c r="DF959" s="828"/>
      <c r="DG959" s="828"/>
      <c r="DH959" s="828"/>
      <c r="DI959" s="828"/>
      <c r="DJ959" s="828"/>
      <c r="DK959" s="828"/>
      <c r="DL959" s="828"/>
      <c r="DM959" s="828"/>
      <c r="DN959" s="828"/>
      <c r="DO959" s="828"/>
      <c r="DP959" s="828"/>
      <c r="DQ959" s="828"/>
      <c r="DR959" s="828"/>
      <c r="DS959" s="828"/>
      <c r="DT959" s="828"/>
      <c r="DU959" s="828"/>
      <c r="DV959" s="828"/>
      <c r="DW959" s="828"/>
      <c r="DX959" s="828"/>
      <c r="DY959" s="828"/>
      <c r="DZ959" s="828"/>
      <c r="EA959" s="828"/>
      <c r="EB959" s="828"/>
      <c r="EC959" s="828"/>
      <c r="ED959" s="828"/>
      <c r="EE959" s="828"/>
      <c r="EF959" s="828"/>
      <c r="EG959" s="828"/>
      <c r="EH959" s="828"/>
      <c r="EI959" s="828"/>
      <c r="EJ959" s="828"/>
      <c r="EK959" s="828"/>
      <c r="EL959" s="828"/>
      <c r="EM959" s="828"/>
      <c r="EN959" s="828"/>
      <c r="EO959" s="828"/>
      <c r="EP959" s="828"/>
      <c r="EQ959" s="828"/>
      <c r="ER959" s="828"/>
      <c r="ES959" s="828"/>
      <c r="ET959" s="828"/>
      <c r="EU959" s="828"/>
      <c r="EV959" s="828"/>
      <c r="EW959" s="828"/>
      <c r="EX959" s="828"/>
      <c r="EY959" s="828"/>
      <c r="EZ959" s="828"/>
      <c r="FA959" s="828"/>
      <c r="FB959" s="828"/>
      <c r="FC959" s="828"/>
      <c r="FD959" s="828"/>
      <c r="FE959" s="828"/>
      <c r="FF959" s="828"/>
      <c r="FG959" s="828"/>
      <c r="FH959" s="828"/>
      <c r="FI959" s="828"/>
      <c r="FJ959" s="828"/>
      <c r="FK959" s="828"/>
      <c r="FL959" s="828"/>
      <c r="FM959" s="828"/>
      <c r="FN959" s="828"/>
      <c r="FO959" s="828"/>
      <c r="FP959" s="828"/>
      <c r="FQ959" s="828"/>
      <c r="FR959" s="828"/>
      <c r="FS959" s="828"/>
      <c r="FT959" s="828"/>
      <c r="FU959" s="828"/>
      <c r="FV959" s="828"/>
      <c r="FW959" s="828"/>
      <c r="FX959" s="828"/>
      <c r="FY959" s="828"/>
      <c r="FZ959" s="828"/>
      <c r="GA959" s="828"/>
      <c r="GB959" s="828"/>
      <c r="GC959" s="828"/>
      <c r="GD959" s="828"/>
      <c r="GE959" s="828"/>
      <c r="GF959" s="828"/>
      <c r="GG959" s="828"/>
      <c r="GH959" s="828"/>
      <c r="GI959" s="828"/>
      <c r="GJ959" s="828"/>
      <c r="GK959" s="828"/>
      <c r="GL959" s="828"/>
      <c r="GM959" s="828"/>
      <c r="GN959" s="828"/>
      <c r="GO959" s="828"/>
      <c r="GP959" s="828"/>
      <c r="GQ959" s="828"/>
      <c r="GR959" s="828"/>
      <c r="GS959" s="828"/>
      <c r="GT959" s="828"/>
      <c r="GU959" s="828"/>
      <c r="GV959" s="828"/>
      <c r="GW959" s="828"/>
      <c r="GX959" s="828"/>
      <c r="GY959" s="828"/>
      <c r="GZ959" s="828"/>
      <c r="HA959" s="828"/>
      <c r="HB959" s="828"/>
      <c r="HC959" s="828"/>
      <c r="HD959" s="828"/>
      <c r="HE959" s="828"/>
      <c r="HF959" s="828"/>
      <c r="HG959" s="828"/>
      <c r="HH959" s="828"/>
      <c r="HI959" s="828"/>
      <c r="HJ959" s="828"/>
      <c r="HK959" s="828"/>
      <c r="HL959" s="828"/>
      <c r="HM959" s="828"/>
      <c r="HN959" s="828"/>
      <c r="HO959" s="828"/>
      <c r="HP959" s="828"/>
      <c r="HQ959" s="828"/>
      <c r="HR959" s="828"/>
      <c r="HS959" s="828"/>
      <c r="HT959" s="828"/>
      <c r="HU959" s="828"/>
      <c r="HV959" s="828"/>
      <c r="HW959" s="828"/>
      <c r="HX959" s="828"/>
      <c r="HY959" s="828"/>
      <c r="HZ959" s="828"/>
      <c r="IA959" s="828"/>
      <c r="IB959" s="828"/>
      <c r="IC959" s="828"/>
      <c r="ID959" s="828"/>
      <c r="IE959" s="828"/>
      <c r="IF959" s="828"/>
      <c r="IG959" s="828"/>
      <c r="IH959" s="828"/>
      <c r="II959" s="828"/>
      <c r="IJ959" s="828"/>
      <c r="IK959" s="828"/>
      <c r="IL959" s="828"/>
      <c r="IM959" s="828"/>
      <c r="IN959" s="828"/>
      <c r="IO959" s="828"/>
      <c r="IP959" s="828"/>
      <c r="IQ959" s="828"/>
      <c r="IR959" s="828"/>
      <c r="IS959" s="828"/>
      <c r="IT959" s="828"/>
      <c r="IU959" s="828"/>
      <c r="IV959" s="828"/>
      <c r="IW959" s="828"/>
      <c r="IX959" s="828"/>
      <c r="IY959" s="828"/>
      <c r="IZ959" s="828"/>
      <c r="JA959" s="828"/>
      <c r="JB959" s="828"/>
      <c r="JC959" s="828"/>
      <c r="JD959" s="828"/>
      <c r="JE959" s="828"/>
      <c r="JF959" s="828"/>
      <c r="JG959" s="828"/>
      <c r="JH959" s="828"/>
      <c r="JI959" s="828"/>
      <c r="JJ959" s="828"/>
      <c r="JK959" s="828"/>
      <c r="JL959" s="828"/>
      <c r="JM959" s="828"/>
      <c r="JN959" s="828"/>
      <c r="JO959" s="828"/>
      <c r="JP959" s="828"/>
      <c r="JQ959" s="828"/>
      <c r="JR959" s="828"/>
      <c r="JS959" s="828"/>
      <c r="JT959" s="828"/>
      <c r="JU959" s="828"/>
      <c r="JV959" s="828"/>
      <c r="JW959" s="828"/>
      <c r="JX959" s="828"/>
      <c r="JY959" s="828"/>
      <c r="JZ959" s="828"/>
      <c r="KA959" s="828"/>
      <c r="KB959" s="828"/>
      <c r="KC959" s="828"/>
      <c r="KD959" s="828"/>
      <c r="KE959" s="828"/>
      <c r="KF959" s="828"/>
      <c r="KG959" s="828"/>
      <c r="KH959" s="828"/>
      <c r="KI959" s="828"/>
      <c r="KJ959" s="828"/>
      <c r="KK959" s="828"/>
      <c r="KL959" s="828"/>
      <c r="KM959" s="828"/>
      <c r="KN959" s="828"/>
      <c r="KO959" s="828"/>
      <c r="KP959" s="828"/>
      <c r="KQ959" s="828"/>
      <c r="KR959" s="828"/>
      <c r="KS959" s="828"/>
      <c r="KT959" s="828"/>
      <c r="KU959" s="828"/>
      <c r="KV959" s="828"/>
      <c r="KW959" s="828"/>
      <c r="KX959" s="828"/>
      <c r="KY959" s="828"/>
      <c r="KZ959" s="828"/>
      <c r="LA959" s="828"/>
      <c r="LB959" s="828"/>
      <c r="LC959" s="828"/>
      <c r="LD959" s="828"/>
      <c r="LE959" s="828"/>
      <c r="LF959" s="828"/>
      <c r="LG959" s="828"/>
      <c r="LH959" s="828"/>
      <c r="LI959" s="828"/>
      <c r="LJ959" s="828"/>
      <c r="LK959" s="828"/>
      <c r="LL959" s="828"/>
      <c r="LM959" s="828"/>
      <c r="LN959" s="828"/>
      <c r="LO959" s="828"/>
      <c r="LP959" s="828"/>
      <c r="LQ959" s="828"/>
      <c r="LR959" s="828"/>
      <c r="LS959" s="828"/>
      <c r="LT959" s="828"/>
      <c r="LU959" s="828"/>
      <c r="LV959" s="828"/>
      <c r="LW959" s="828"/>
      <c r="LX959" s="828"/>
      <c r="LY959" s="828"/>
      <c r="LZ959" s="828"/>
      <c r="MA959" s="828"/>
      <c r="MB959" s="828"/>
      <c r="MC959" s="828"/>
      <c r="MD959" s="828"/>
      <c r="ME959" s="828"/>
      <c r="MF959" s="828"/>
      <c r="MG959" s="828"/>
      <c r="MH959" s="828"/>
      <c r="MI959" s="828"/>
      <c r="MJ959" s="828"/>
      <c r="MK959" s="828"/>
      <c r="ML959" s="828"/>
      <c r="MM959" s="828"/>
      <c r="MN959" s="828"/>
      <c r="MO959" s="828"/>
      <c r="MP959" s="828"/>
      <c r="MQ959" s="828"/>
      <c r="MR959" s="828"/>
      <c r="MS959" s="828"/>
      <c r="MT959" s="828"/>
      <c r="MU959" s="828"/>
      <c r="MV959" s="828"/>
      <c r="MW959" s="828"/>
      <c r="MX959" s="828"/>
      <c r="MY959" s="828"/>
      <c r="MZ959" s="828"/>
      <c r="NA959" s="828"/>
      <c r="NB959" s="828"/>
      <c r="NC959" s="828"/>
      <c r="ND959" s="828"/>
      <c r="NE959" s="828"/>
      <c r="NF959" s="828"/>
      <c r="NG959" s="828"/>
      <c r="NH959" s="828"/>
      <c r="NI959" s="828"/>
      <c r="NJ959" s="828"/>
      <c r="NK959" s="828"/>
      <c r="NL959" s="828"/>
      <c r="NM959" s="828"/>
      <c r="NN959" s="828"/>
      <c r="NO959" s="828"/>
      <c r="NP959" s="828"/>
      <c r="NQ959" s="828"/>
      <c r="NR959" s="828"/>
      <c r="NS959" s="828"/>
      <c r="NT959" s="828"/>
      <c r="NU959" s="828"/>
      <c r="NV959" s="828"/>
      <c r="NW959" s="828"/>
      <c r="NX959" s="828"/>
      <c r="NY959" s="828"/>
      <c r="NZ959" s="828"/>
      <c r="OA959" s="828"/>
      <c r="OB959" s="828"/>
      <c r="OC959" s="828"/>
      <c r="OD959" s="828"/>
      <c r="OE959" s="828"/>
      <c r="OF959" s="828"/>
      <c r="OG959" s="828"/>
      <c r="OH959" s="828"/>
      <c r="OI959" s="828"/>
      <c r="OJ959" s="828"/>
      <c r="OK959" s="828"/>
      <c r="OL959" s="828"/>
      <c r="OM959" s="828"/>
      <c r="ON959" s="828"/>
      <c r="OO959" s="828"/>
      <c r="OP959" s="828"/>
      <c r="OQ959" s="828"/>
      <c r="OR959" s="828"/>
      <c r="OS959" s="828"/>
      <c r="OT959" s="828"/>
      <c r="OU959" s="828"/>
      <c r="OV959" s="828"/>
      <c r="OW959" s="828"/>
      <c r="OX959" s="828"/>
      <c r="OY959" s="828"/>
      <c r="OZ959" s="828"/>
      <c r="PA959" s="828"/>
      <c r="PB959" s="828"/>
      <c r="PC959" s="828"/>
      <c r="PD959" s="828"/>
      <c r="PE959" s="828"/>
      <c r="PF959" s="828"/>
      <c r="PG959" s="828"/>
      <c r="PH959" s="828"/>
      <c r="PI959" s="828"/>
      <c r="PJ959" s="828"/>
      <c r="PK959" s="828"/>
      <c r="PL959" s="828"/>
      <c r="PM959" s="828"/>
      <c r="PN959" s="828"/>
      <c r="PO959" s="828"/>
      <c r="PP959" s="828"/>
      <c r="PQ959" s="828"/>
      <c r="PR959" s="828"/>
      <c r="PS959" s="828"/>
      <c r="PT959" s="828"/>
      <c r="PU959" s="828"/>
      <c r="PV959" s="828"/>
      <c r="PW959" s="828"/>
      <c r="PX959" s="828"/>
      <c r="PY959" s="828"/>
      <c r="PZ959" s="828"/>
      <c r="QA959" s="828"/>
      <c r="QB959" s="828"/>
      <c r="QC959" s="828"/>
      <c r="QD959" s="828"/>
      <c r="QE959" s="828"/>
      <c r="QF959" s="828"/>
      <c r="QG959" s="828"/>
      <c r="QH959" s="828"/>
      <c r="QI959" s="828"/>
      <c r="QJ959" s="828"/>
      <c r="QK959" s="828"/>
      <c r="QL959" s="828"/>
      <c r="QM959" s="828"/>
      <c r="QN959" s="828"/>
      <c r="QO959" s="828"/>
      <c r="QP959" s="828"/>
      <c r="QQ959" s="828"/>
      <c r="QR959" s="828"/>
      <c r="QS959" s="828"/>
      <c r="QT959" s="828"/>
      <c r="QU959" s="828"/>
      <c r="QV959" s="828"/>
      <c r="QW959" s="828"/>
      <c r="QX959" s="828"/>
      <c r="QY959" s="828"/>
      <c r="QZ959" s="828"/>
      <c r="RA959" s="828"/>
      <c r="RB959" s="828"/>
      <c r="RC959" s="828"/>
      <c r="RD959" s="828"/>
      <c r="RE959" s="828"/>
      <c r="RF959" s="828"/>
      <c r="RG959" s="828"/>
      <c r="RH959" s="828"/>
      <c r="RI959" s="828"/>
      <c r="RJ959" s="828"/>
      <c r="RK959" s="828"/>
      <c r="RL959" s="828"/>
      <c r="RM959" s="828"/>
      <c r="RN959" s="828"/>
      <c r="RO959" s="828"/>
      <c r="RP959" s="828"/>
      <c r="RQ959" s="828"/>
      <c r="RR959" s="828"/>
      <c r="RS959" s="828"/>
      <c r="RT959" s="828"/>
      <c r="RU959" s="828"/>
      <c r="RV959" s="828"/>
      <c r="RW959" s="828"/>
      <c r="RX959" s="828"/>
      <c r="RY959" s="828"/>
      <c r="RZ959" s="828"/>
      <c r="SA959" s="828"/>
      <c r="SB959" s="828"/>
      <c r="SC959" s="828"/>
      <c r="SD959" s="828"/>
      <c r="SE959" s="828"/>
      <c r="SF959" s="828"/>
      <c r="SG959" s="828"/>
      <c r="SH959" s="828"/>
      <c r="SI959" s="828"/>
      <c r="SJ959" s="828"/>
      <c r="SK959" s="828"/>
      <c r="SL959" s="828"/>
      <c r="SM959" s="828"/>
      <c r="SN959" s="828"/>
      <c r="SO959" s="828"/>
      <c r="SP959" s="828"/>
      <c r="SQ959" s="828"/>
      <c r="SR959" s="828"/>
      <c r="SS959" s="828"/>
      <c r="ST959" s="828"/>
      <c r="SU959" s="828"/>
      <c r="SV959" s="828"/>
      <c r="SW959" s="828"/>
      <c r="SX959" s="828"/>
      <c r="SY959" s="828"/>
      <c r="SZ959" s="828"/>
      <c r="TA959" s="828"/>
      <c r="TB959" s="828"/>
      <c r="TC959" s="828"/>
      <c r="TD959" s="828"/>
      <c r="TE959" s="828"/>
      <c r="TF959" s="828"/>
      <c r="TG959" s="828"/>
      <c r="TH959" s="828"/>
      <c r="TI959" s="828"/>
      <c r="TJ959" s="828"/>
      <c r="TK959" s="828"/>
      <c r="TL959" s="828"/>
      <c r="TM959" s="828"/>
      <c r="TN959" s="828"/>
      <c r="TO959" s="828"/>
      <c r="TP959" s="828"/>
      <c r="TQ959" s="828"/>
      <c r="TR959" s="828"/>
      <c r="TS959" s="828"/>
      <c r="TT959" s="828"/>
      <c r="TU959" s="828"/>
      <c r="TV959" s="828"/>
      <c r="TW959" s="828"/>
      <c r="TX959" s="828"/>
      <c r="TY959" s="828"/>
      <c r="TZ959" s="828"/>
      <c r="UA959" s="828"/>
      <c r="UB959" s="828"/>
      <c r="UC959" s="828"/>
      <c r="UD959" s="828"/>
      <c r="UE959" s="828"/>
      <c r="UF959" s="828"/>
      <c r="UG959" s="828"/>
      <c r="UH959" s="828"/>
      <c r="UI959" s="828"/>
      <c r="UJ959" s="828"/>
      <c r="UK959" s="828"/>
      <c r="UL959" s="828"/>
      <c r="UM959" s="828"/>
      <c r="UN959" s="828"/>
      <c r="UO959" s="828"/>
      <c r="UP959" s="828"/>
      <c r="UQ959" s="828"/>
      <c r="UR959" s="828"/>
      <c r="US959" s="828"/>
      <c r="UT959" s="828"/>
      <c r="UU959" s="828"/>
      <c r="UV959" s="828"/>
      <c r="UW959" s="828"/>
      <c r="UX959" s="828"/>
      <c r="UY959" s="828"/>
      <c r="UZ959" s="828"/>
      <c r="VA959" s="828"/>
      <c r="VB959" s="828"/>
      <c r="VC959" s="828"/>
      <c r="VD959" s="828"/>
      <c r="VE959" s="828"/>
      <c r="VF959" s="828"/>
      <c r="VG959" s="828"/>
      <c r="VH959" s="828"/>
      <c r="VI959" s="828"/>
      <c r="VJ959" s="828"/>
      <c r="VK959" s="828"/>
      <c r="VL959" s="828"/>
      <c r="VM959" s="828"/>
      <c r="VN959" s="828"/>
      <c r="VO959" s="828"/>
      <c r="VP959" s="828"/>
      <c r="VQ959" s="828"/>
      <c r="VR959" s="828"/>
      <c r="VS959" s="828"/>
      <c r="VT959" s="828"/>
      <c r="VU959" s="828"/>
      <c r="VV959" s="828"/>
      <c r="VW959" s="828"/>
      <c r="VX959" s="828"/>
      <c r="VY959" s="828"/>
      <c r="VZ959" s="828"/>
      <c r="WA959" s="828"/>
      <c r="WB959" s="828"/>
      <c r="WC959" s="828"/>
      <c r="WD959" s="828"/>
      <c r="WE959" s="828"/>
      <c r="WF959" s="828"/>
      <c r="WG959" s="828"/>
      <c r="WH959" s="828"/>
      <c r="WI959" s="828"/>
      <c r="WJ959" s="828"/>
      <c r="WK959" s="828"/>
      <c r="WL959" s="828"/>
      <c r="WM959" s="828"/>
      <c r="WN959" s="828"/>
      <c r="WO959" s="828"/>
      <c r="WP959" s="828"/>
      <c r="WQ959" s="828"/>
      <c r="WR959" s="828"/>
      <c r="WS959" s="828"/>
      <c r="WT959" s="828"/>
      <c r="WU959" s="828"/>
      <c r="WV959" s="828"/>
      <c r="WW959" s="828"/>
      <c r="WX959" s="828"/>
      <c r="WY959" s="828"/>
      <c r="WZ959" s="828"/>
      <c r="XA959" s="828"/>
      <c r="XB959" s="828"/>
      <c r="XC959" s="828"/>
      <c r="XD959" s="828"/>
      <c r="XE959" s="828"/>
      <c r="XF959" s="828"/>
      <c r="XG959" s="828"/>
      <c r="XH959" s="828"/>
      <c r="XI959" s="828"/>
      <c r="XJ959" s="828"/>
      <c r="XK959" s="828"/>
      <c r="XL959" s="828"/>
      <c r="XM959" s="828"/>
      <c r="XN959" s="828"/>
      <c r="XO959" s="828"/>
      <c r="XP959" s="828"/>
      <c r="XQ959" s="828"/>
      <c r="XR959" s="828"/>
      <c r="XS959" s="828"/>
      <c r="XT959" s="828"/>
      <c r="XU959" s="828"/>
      <c r="XV959" s="828"/>
      <c r="XW959" s="828"/>
      <c r="XX959" s="828"/>
      <c r="XY959" s="828"/>
      <c r="XZ959" s="828"/>
      <c r="YA959" s="828"/>
      <c r="YB959" s="828"/>
      <c r="YC959" s="828"/>
      <c r="YD959" s="828"/>
      <c r="YE959" s="828"/>
      <c r="YF959" s="828"/>
      <c r="YG959" s="828"/>
      <c r="YH959" s="828"/>
      <c r="YI959" s="828"/>
      <c r="YJ959" s="828"/>
      <c r="YK959" s="828"/>
      <c r="YL959" s="828"/>
      <c r="YM959" s="828"/>
      <c r="YN959" s="828"/>
      <c r="YO959" s="828"/>
      <c r="YP959" s="828"/>
      <c r="YQ959" s="828"/>
      <c r="YR959" s="828"/>
      <c r="YS959" s="828"/>
      <c r="YT959" s="828"/>
      <c r="YU959" s="828"/>
      <c r="YV959" s="828"/>
      <c r="YW959" s="828"/>
      <c r="YX959" s="828"/>
      <c r="YY959" s="828"/>
      <c r="YZ959" s="828"/>
      <c r="ZA959" s="828"/>
      <c r="ZB959" s="828"/>
      <c r="ZC959" s="828"/>
      <c r="ZD959" s="828"/>
      <c r="ZE959" s="828"/>
      <c r="ZF959" s="828"/>
      <c r="ZG959" s="828"/>
      <c r="ZH959" s="828"/>
      <c r="ZI959" s="828"/>
      <c r="ZJ959" s="828"/>
      <c r="ZK959" s="828"/>
      <c r="ZL959" s="828"/>
      <c r="ZM959" s="828"/>
      <c r="ZN959" s="828"/>
      <c r="ZO959" s="828"/>
      <c r="ZP959" s="828"/>
      <c r="ZQ959" s="828"/>
      <c r="ZR959" s="828"/>
      <c r="ZS959" s="828"/>
      <c r="ZT959" s="828"/>
      <c r="ZU959" s="828"/>
      <c r="ZV959" s="828"/>
      <c r="ZW959" s="828"/>
      <c r="ZX959" s="828"/>
      <c r="ZY959" s="828"/>
      <c r="ZZ959" s="828"/>
      <c r="AAA959" s="828"/>
      <c r="AAB959" s="828"/>
      <c r="AAC959" s="828"/>
      <c r="AAD959" s="828"/>
      <c r="AAE959" s="828"/>
      <c r="AAF959" s="828"/>
      <c r="AAG959" s="828"/>
      <c r="AAH959" s="828"/>
      <c r="AAI959" s="828"/>
      <c r="AAJ959" s="828"/>
      <c r="AAK959" s="828"/>
      <c r="AAL959" s="828"/>
      <c r="AAM959" s="828"/>
      <c r="AAN959" s="828"/>
      <c r="AAO959" s="828"/>
      <c r="AAP959" s="828"/>
      <c r="AAQ959" s="828"/>
      <c r="AAR959" s="828"/>
      <c r="AAS959" s="828"/>
      <c r="AAT959" s="828"/>
      <c r="AAU959" s="828"/>
      <c r="AAV959" s="828"/>
      <c r="AAW959" s="828"/>
      <c r="AAX959" s="828"/>
      <c r="AAY959" s="828"/>
      <c r="AAZ959" s="828"/>
      <c r="ABA959" s="828"/>
      <c r="ABB959" s="828"/>
      <c r="ABC959" s="828"/>
      <c r="ABD959" s="828"/>
      <c r="ABE959" s="828"/>
      <c r="ABF959" s="828"/>
      <c r="ABG959" s="828"/>
      <c r="ABH959" s="828"/>
      <c r="ABI959" s="828"/>
      <c r="ABJ959" s="828"/>
      <c r="ABK959" s="828"/>
      <c r="ABL959" s="828"/>
      <c r="ABM959" s="828"/>
      <c r="ABN959" s="828"/>
      <c r="ABO959" s="828"/>
      <c r="ABP959" s="828"/>
      <c r="ABQ959" s="828"/>
      <c r="ABR959" s="828"/>
      <c r="ABS959" s="828"/>
      <c r="ABT959" s="828"/>
      <c r="ABU959" s="828"/>
      <c r="ABV959" s="828"/>
      <c r="ABW959" s="828"/>
      <c r="ABX959" s="828"/>
      <c r="ABY959" s="828"/>
      <c r="ABZ959" s="828"/>
      <c r="ACA959" s="828"/>
      <c r="ACB959" s="828"/>
      <c r="ACC959" s="828"/>
      <c r="ACD959" s="828"/>
      <c r="ACE959" s="828"/>
      <c r="ACF959" s="828"/>
      <c r="ACG959" s="828"/>
      <c r="ACH959" s="828"/>
      <c r="ACI959" s="828"/>
      <c r="ACJ959" s="828"/>
      <c r="ACK959" s="828"/>
      <c r="ACL959" s="828"/>
      <c r="ACM959" s="828"/>
      <c r="ACN959" s="828"/>
      <c r="ACO959" s="828"/>
      <c r="ACP959" s="828"/>
      <c r="ACQ959" s="828"/>
      <c r="ACR959" s="828"/>
      <c r="ACS959" s="828"/>
      <c r="ACT959" s="828"/>
      <c r="ACU959" s="828"/>
      <c r="ACV959" s="828"/>
      <c r="ACW959" s="828"/>
      <c r="ACX959" s="828"/>
      <c r="ACY959" s="828"/>
      <c r="ACZ959" s="828"/>
      <c r="ADA959" s="828"/>
      <c r="ADB959" s="828"/>
      <c r="ADC959" s="828"/>
      <c r="ADD959" s="828"/>
      <c r="ADE959" s="828"/>
      <c r="ADF959" s="828"/>
      <c r="ADG959" s="828"/>
      <c r="ADH959" s="828"/>
      <c r="ADI959" s="828"/>
      <c r="ADJ959" s="828"/>
      <c r="ADK959" s="828"/>
      <c r="ADL959" s="828"/>
      <c r="ADM959" s="828"/>
      <c r="ADN959" s="828"/>
      <c r="ADO959" s="828"/>
      <c r="ADP959" s="828"/>
      <c r="ADQ959" s="828"/>
      <c r="ADR959" s="828"/>
      <c r="ADS959" s="828"/>
      <c r="ADT959" s="828"/>
      <c r="ADU959" s="828"/>
      <c r="ADV959" s="828"/>
      <c r="ADW959" s="828"/>
      <c r="ADX959" s="828"/>
      <c r="ADY959" s="828"/>
      <c r="ADZ959" s="828"/>
      <c r="AEA959" s="828"/>
      <c r="AEB959" s="828"/>
      <c r="AEC959" s="828"/>
      <c r="AED959" s="828"/>
      <c r="AEE959" s="828"/>
      <c r="AEF959" s="828"/>
      <c r="AEG959" s="828"/>
      <c r="AEH959" s="828"/>
      <c r="AEI959" s="828"/>
      <c r="AEJ959" s="828"/>
      <c r="AEK959" s="828"/>
      <c r="AEL959" s="828"/>
      <c r="AEM959" s="828"/>
      <c r="AEN959" s="828"/>
      <c r="AEO959" s="828"/>
      <c r="AEP959" s="828"/>
      <c r="AEQ959" s="828"/>
      <c r="AER959" s="828"/>
      <c r="AES959" s="828"/>
      <c r="AET959" s="828"/>
      <c r="AEU959" s="828"/>
      <c r="AEV959" s="828"/>
      <c r="AEW959" s="828"/>
      <c r="AEX959" s="828"/>
      <c r="AEY959" s="828"/>
      <c r="AEZ959" s="828"/>
      <c r="AFA959" s="828"/>
      <c r="AFB959" s="828"/>
      <c r="AFC959" s="828"/>
      <c r="AFD959" s="828"/>
      <c r="AFE959" s="828"/>
      <c r="AFF959" s="828"/>
      <c r="AFG959" s="828"/>
      <c r="AFH959" s="828"/>
      <c r="AFI959" s="828"/>
      <c r="AFJ959" s="828"/>
      <c r="AFK959" s="828"/>
      <c r="AFL959" s="828"/>
      <c r="AFM959" s="828"/>
      <c r="AFN959" s="828"/>
      <c r="AFO959" s="828"/>
      <c r="AFP959" s="828"/>
      <c r="AFQ959" s="828"/>
      <c r="AFR959" s="828"/>
      <c r="AFS959" s="828"/>
      <c r="AFT959" s="828"/>
      <c r="AFU959" s="828"/>
      <c r="AFV959" s="828"/>
      <c r="AFW959" s="828"/>
      <c r="AFX959" s="828"/>
      <c r="AFY959" s="828"/>
      <c r="AFZ959" s="828"/>
      <c r="AGA959" s="828"/>
      <c r="AGB959" s="828"/>
      <c r="AGC959" s="828"/>
      <c r="AGD959" s="828"/>
      <c r="AGE959" s="828"/>
      <c r="AGF959" s="828"/>
      <c r="AGG959" s="828"/>
      <c r="AGH959" s="828"/>
      <c r="AGI959" s="828"/>
      <c r="AGJ959" s="828"/>
    </row>
    <row r="960" spans="1:868" s="7" customFormat="1" hidden="1">
      <c r="A960" s="626" t="s">
        <v>127</v>
      </c>
      <c r="B960" s="59" t="s">
        <v>452</v>
      </c>
      <c r="C960" s="40" t="s">
        <v>147</v>
      </c>
      <c r="D960" s="34" t="s">
        <v>107</v>
      </c>
      <c r="E960" s="880" t="s">
        <v>158</v>
      </c>
      <c r="F960" s="34">
        <v>1</v>
      </c>
      <c r="G960" s="40" t="s">
        <v>451</v>
      </c>
      <c r="H960" s="29"/>
      <c r="I960" s="9"/>
      <c r="J960" s="9"/>
      <c r="K960" s="9"/>
      <c r="L960" s="9"/>
      <c r="M960" s="9"/>
      <c r="N960" s="186"/>
      <c r="O960" s="160" t="str">
        <f t="shared" si="51"/>
        <v/>
      </c>
      <c r="P960" s="63"/>
      <c r="Q960" s="828"/>
      <c r="R960" s="828"/>
      <c r="S960" s="828"/>
      <c r="T960" s="828"/>
      <c r="U960" s="828"/>
      <c r="V960" s="828"/>
      <c r="W960" s="828"/>
      <c r="X960" s="828"/>
      <c r="Y960" s="828"/>
      <c r="Z960" s="828"/>
      <c r="AA960" s="828"/>
      <c r="AB960" s="828"/>
      <c r="AC960" s="828"/>
      <c r="AD960" s="828"/>
      <c r="AE960" s="828"/>
      <c r="AF960" s="828"/>
      <c r="AG960" s="828"/>
      <c r="AH960" s="828"/>
      <c r="AI960" s="828"/>
      <c r="AJ960" s="828"/>
      <c r="AK960" s="828"/>
      <c r="AL960" s="828"/>
      <c r="AM960" s="828"/>
      <c r="AN960" s="828"/>
      <c r="AO960" s="828"/>
      <c r="AP960" s="828"/>
      <c r="AQ960" s="828"/>
      <c r="AR960" s="828"/>
      <c r="AS960" s="828"/>
      <c r="AT960" s="828"/>
      <c r="AU960" s="828"/>
      <c r="AV960" s="828"/>
      <c r="AW960" s="828"/>
      <c r="AX960" s="828"/>
      <c r="AY960" s="828"/>
      <c r="AZ960" s="828"/>
      <c r="BA960" s="828"/>
      <c r="BB960" s="828"/>
      <c r="BC960" s="828"/>
      <c r="BD960" s="828"/>
      <c r="BE960" s="828"/>
      <c r="BF960" s="828"/>
      <c r="BG960" s="828"/>
      <c r="BH960" s="828"/>
      <c r="BI960" s="828"/>
      <c r="BJ960" s="828"/>
      <c r="BK960" s="828"/>
      <c r="BL960" s="828"/>
      <c r="BM960" s="828"/>
      <c r="BN960" s="828"/>
      <c r="BO960" s="828"/>
      <c r="BP960" s="828"/>
      <c r="BQ960" s="828"/>
      <c r="BR960" s="828"/>
      <c r="BS960" s="828"/>
      <c r="BT960" s="828"/>
      <c r="BU960" s="828"/>
      <c r="BV960" s="828"/>
      <c r="BW960" s="828"/>
      <c r="BX960" s="828"/>
      <c r="BY960" s="828"/>
      <c r="BZ960" s="828"/>
      <c r="CA960" s="828"/>
      <c r="CB960" s="828"/>
      <c r="CC960" s="828"/>
      <c r="CD960" s="828"/>
      <c r="CE960" s="828"/>
      <c r="CF960" s="828"/>
      <c r="CG960" s="828"/>
      <c r="CH960" s="828"/>
      <c r="CI960" s="828"/>
      <c r="CJ960" s="828"/>
      <c r="CK960" s="828"/>
      <c r="CL960" s="828"/>
      <c r="CM960" s="828"/>
      <c r="CN960" s="828"/>
      <c r="CO960" s="828"/>
      <c r="CP960" s="828"/>
      <c r="CQ960" s="828"/>
      <c r="CR960" s="828"/>
      <c r="CS960" s="828"/>
      <c r="CT960" s="828"/>
      <c r="CU960" s="828"/>
      <c r="CV960" s="828"/>
      <c r="CW960" s="828"/>
      <c r="CX960" s="828"/>
      <c r="CY960" s="828"/>
      <c r="CZ960" s="828"/>
      <c r="DA960" s="828"/>
      <c r="DB960" s="828"/>
      <c r="DC960" s="828"/>
      <c r="DD960" s="828"/>
      <c r="DE960" s="828"/>
      <c r="DF960" s="828"/>
      <c r="DG960" s="828"/>
      <c r="DH960" s="828"/>
      <c r="DI960" s="828"/>
      <c r="DJ960" s="828"/>
      <c r="DK960" s="828"/>
      <c r="DL960" s="828"/>
      <c r="DM960" s="828"/>
      <c r="DN960" s="828"/>
      <c r="DO960" s="828"/>
      <c r="DP960" s="828"/>
      <c r="DQ960" s="828"/>
      <c r="DR960" s="828"/>
      <c r="DS960" s="828"/>
      <c r="DT960" s="828"/>
      <c r="DU960" s="828"/>
      <c r="DV960" s="828"/>
      <c r="DW960" s="828"/>
      <c r="DX960" s="828"/>
      <c r="DY960" s="828"/>
      <c r="DZ960" s="828"/>
      <c r="EA960" s="828"/>
      <c r="EB960" s="828"/>
      <c r="EC960" s="828"/>
      <c r="ED960" s="828"/>
      <c r="EE960" s="828"/>
      <c r="EF960" s="828"/>
      <c r="EG960" s="828"/>
      <c r="EH960" s="828"/>
      <c r="EI960" s="828"/>
      <c r="EJ960" s="828"/>
      <c r="EK960" s="828"/>
      <c r="EL960" s="828"/>
      <c r="EM960" s="828"/>
      <c r="EN960" s="828"/>
      <c r="EO960" s="828"/>
      <c r="EP960" s="828"/>
      <c r="EQ960" s="828"/>
      <c r="ER960" s="828"/>
      <c r="ES960" s="828"/>
      <c r="ET960" s="828"/>
      <c r="EU960" s="828"/>
      <c r="EV960" s="828"/>
      <c r="EW960" s="828"/>
      <c r="EX960" s="828"/>
      <c r="EY960" s="828"/>
      <c r="EZ960" s="828"/>
      <c r="FA960" s="828"/>
      <c r="FB960" s="828"/>
      <c r="FC960" s="828"/>
      <c r="FD960" s="828"/>
      <c r="FE960" s="828"/>
      <c r="FF960" s="828"/>
      <c r="FG960" s="828"/>
      <c r="FH960" s="828"/>
      <c r="FI960" s="828"/>
      <c r="FJ960" s="828"/>
      <c r="FK960" s="828"/>
      <c r="FL960" s="828"/>
      <c r="FM960" s="828"/>
      <c r="FN960" s="828"/>
      <c r="FO960" s="828"/>
      <c r="FP960" s="828"/>
      <c r="FQ960" s="828"/>
      <c r="FR960" s="828"/>
      <c r="FS960" s="828"/>
      <c r="FT960" s="828"/>
      <c r="FU960" s="828"/>
      <c r="FV960" s="828"/>
      <c r="FW960" s="828"/>
      <c r="FX960" s="828"/>
      <c r="FY960" s="828"/>
      <c r="FZ960" s="828"/>
      <c r="GA960" s="828"/>
      <c r="GB960" s="828"/>
      <c r="GC960" s="828"/>
      <c r="GD960" s="828"/>
      <c r="GE960" s="828"/>
      <c r="GF960" s="828"/>
      <c r="GG960" s="828"/>
      <c r="GH960" s="828"/>
      <c r="GI960" s="828"/>
      <c r="GJ960" s="828"/>
      <c r="GK960" s="828"/>
      <c r="GL960" s="828"/>
      <c r="GM960" s="828"/>
      <c r="GN960" s="828"/>
      <c r="GO960" s="828"/>
      <c r="GP960" s="828"/>
      <c r="GQ960" s="828"/>
      <c r="GR960" s="828"/>
      <c r="GS960" s="828"/>
      <c r="GT960" s="828"/>
      <c r="GU960" s="828"/>
      <c r="GV960" s="828"/>
      <c r="GW960" s="828"/>
      <c r="GX960" s="828"/>
      <c r="GY960" s="828"/>
      <c r="GZ960" s="828"/>
      <c r="HA960" s="828"/>
      <c r="HB960" s="828"/>
      <c r="HC960" s="828"/>
      <c r="HD960" s="828"/>
      <c r="HE960" s="828"/>
      <c r="HF960" s="828"/>
      <c r="HG960" s="828"/>
      <c r="HH960" s="828"/>
      <c r="HI960" s="828"/>
      <c r="HJ960" s="828"/>
      <c r="HK960" s="828"/>
      <c r="HL960" s="828"/>
      <c r="HM960" s="828"/>
      <c r="HN960" s="828"/>
      <c r="HO960" s="828"/>
      <c r="HP960" s="828"/>
      <c r="HQ960" s="828"/>
      <c r="HR960" s="828"/>
      <c r="HS960" s="828"/>
      <c r="HT960" s="828"/>
      <c r="HU960" s="828"/>
      <c r="HV960" s="828"/>
      <c r="HW960" s="828"/>
      <c r="HX960" s="828"/>
      <c r="HY960" s="828"/>
      <c r="HZ960" s="828"/>
      <c r="IA960" s="828"/>
      <c r="IB960" s="828"/>
      <c r="IC960" s="828"/>
      <c r="ID960" s="828"/>
      <c r="IE960" s="828"/>
      <c r="IF960" s="828"/>
      <c r="IG960" s="828"/>
      <c r="IH960" s="828"/>
      <c r="II960" s="828"/>
      <c r="IJ960" s="828"/>
      <c r="IK960" s="828"/>
      <c r="IL960" s="828"/>
      <c r="IM960" s="828"/>
      <c r="IN960" s="828"/>
      <c r="IO960" s="828"/>
      <c r="IP960" s="828"/>
      <c r="IQ960" s="828"/>
      <c r="IR960" s="828"/>
      <c r="IS960" s="828"/>
      <c r="IT960" s="828"/>
      <c r="IU960" s="828"/>
      <c r="IV960" s="828"/>
      <c r="IW960" s="828"/>
      <c r="IX960" s="828"/>
      <c r="IY960" s="828"/>
      <c r="IZ960" s="828"/>
      <c r="JA960" s="828"/>
      <c r="JB960" s="828"/>
      <c r="JC960" s="828"/>
      <c r="JD960" s="828"/>
      <c r="JE960" s="828"/>
      <c r="JF960" s="828"/>
      <c r="JG960" s="828"/>
      <c r="JH960" s="828"/>
      <c r="JI960" s="828"/>
      <c r="JJ960" s="828"/>
      <c r="JK960" s="828"/>
      <c r="JL960" s="828"/>
      <c r="JM960" s="828"/>
      <c r="JN960" s="828"/>
      <c r="JO960" s="828"/>
      <c r="JP960" s="828"/>
      <c r="JQ960" s="828"/>
      <c r="JR960" s="828"/>
      <c r="JS960" s="828"/>
      <c r="JT960" s="828"/>
      <c r="JU960" s="828"/>
      <c r="JV960" s="828"/>
      <c r="JW960" s="828"/>
      <c r="JX960" s="828"/>
      <c r="JY960" s="828"/>
      <c r="JZ960" s="828"/>
      <c r="KA960" s="828"/>
      <c r="KB960" s="828"/>
      <c r="KC960" s="828"/>
      <c r="KD960" s="828"/>
      <c r="KE960" s="828"/>
      <c r="KF960" s="828"/>
      <c r="KG960" s="828"/>
      <c r="KH960" s="828"/>
      <c r="KI960" s="828"/>
      <c r="KJ960" s="828"/>
      <c r="KK960" s="828"/>
      <c r="KL960" s="828"/>
      <c r="KM960" s="828"/>
      <c r="KN960" s="828"/>
      <c r="KO960" s="828"/>
      <c r="KP960" s="828"/>
      <c r="KQ960" s="828"/>
      <c r="KR960" s="828"/>
      <c r="KS960" s="828"/>
      <c r="KT960" s="828"/>
      <c r="KU960" s="828"/>
      <c r="KV960" s="828"/>
      <c r="KW960" s="828"/>
      <c r="KX960" s="828"/>
      <c r="KY960" s="828"/>
      <c r="KZ960" s="828"/>
      <c r="LA960" s="828"/>
      <c r="LB960" s="828"/>
      <c r="LC960" s="828"/>
      <c r="LD960" s="828"/>
      <c r="LE960" s="828"/>
      <c r="LF960" s="828"/>
      <c r="LG960" s="828"/>
      <c r="LH960" s="828"/>
      <c r="LI960" s="828"/>
      <c r="LJ960" s="828"/>
      <c r="LK960" s="828"/>
      <c r="LL960" s="828"/>
      <c r="LM960" s="828"/>
      <c r="LN960" s="828"/>
      <c r="LO960" s="828"/>
      <c r="LP960" s="828"/>
      <c r="LQ960" s="828"/>
      <c r="LR960" s="828"/>
      <c r="LS960" s="828"/>
      <c r="LT960" s="828"/>
      <c r="LU960" s="828"/>
      <c r="LV960" s="828"/>
      <c r="LW960" s="828"/>
      <c r="LX960" s="828"/>
      <c r="LY960" s="828"/>
      <c r="LZ960" s="828"/>
      <c r="MA960" s="828"/>
      <c r="MB960" s="828"/>
      <c r="MC960" s="828"/>
      <c r="MD960" s="828"/>
      <c r="ME960" s="828"/>
      <c r="MF960" s="828"/>
      <c r="MG960" s="828"/>
      <c r="MH960" s="828"/>
      <c r="MI960" s="828"/>
      <c r="MJ960" s="828"/>
      <c r="MK960" s="828"/>
      <c r="ML960" s="828"/>
      <c r="MM960" s="828"/>
      <c r="MN960" s="828"/>
      <c r="MO960" s="828"/>
      <c r="MP960" s="828"/>
      <c r="MQ960" s="828"/>
      <c r="MR960" s="828"/>
      <c r="MS960" s="828"/>
      <c r="MT960" s="828"/>
      <c r="MU960" s="828"/>
      <c r="MV960" s="828"/>
      <c r="MW960" s="828"/>
      <c r="MX960" s="828"/>
      <c r="MY960" s="828"/>
      <c r="MZ960" s="828"/>
      <c r="NA960" s="828"/>
      <c r="NB960" s="828"/>
      <c r="NC960" s="828"/>
      <c r="ND960" s="828"/>
      <c r="NE960" s="828"/>
      <c r="NF960" s="828"/>
      <c r="NG960" s="828"/>
      <c r="NH960" s="828"/>
      <c r="NI960" s="828"/>
      <c r="NJ960" s="828"/>
      <c r="NK960" s="828"/>
      <c r="NL960" s="828"/>
      <c r="NM960" s="828"/>
      <c r="NN960" s="828"/>
      <c r="NO960" s="828"/>
      <c r="NP960" s="828"/>
      <c r="NQ960" s="828"/>
      <c r="NR960" s="828"/>
      <c r="NS960" s="828"/>
      <c r="NT960" s="828"/>
      <c r="NU960" s="828"/>
      <c r="NV960" s="828"/>
      <c r="NW960" s="828"/>
      <c r="NX960" s="828"/>
      <c r="NY960" s="828"/>
      <c r="NZ960" s="828"/>
      <c r="OA960" s="828"/>
      <c r="OB960" s="828"/>
      <c r="OC960" s="828"/>
      <c r="OD960" s="828"/>
      <c r="OE960" s="828"/>
      <c r="OF960" s="828"/>
      <c r="OG960" s="828"/>
      <c r="OH960" s="828"/>
      <c r="OI960" s="828"/>
      <c r="OJ960" s="828"/>
      <c r="OK960" s="828"/>
      <c r="OL960" s="828"/>
      <c r="OM960" s="828"/>
      <c r="ON960" s="828"/>
      <c r="OO960" s="828"/>
      <c r="OP960" s="828"/>
      <c r="OQ960" s="828"/>
      <c r="OR960" s="828"/>
      <c r="OS960" s="828"/>
      <c r="OT960" s="828"/>
      <c r="OU960" s="828"/>
      <c r="OV960" s="828"/>
      <c r="OW960" s="828"/>
      <c r="OX960" s="828"/>
      <c r="OY960" s="828"/>
      <c r="OZ960" s="828"/>
      <c r="PA960" s="828"/>
      <c r="PB960" s="828"/>
      <c r="PC960" s="828"/>
      <c r="PD960" s="828"/>
      <c r="PE960" s="828"/>
      <c r="PF960" s="828"/>
      <c r="PG960" s="828"/>
      <c r="PH960" s="828"/>
      <c r="PI960" s="828"/>
      <c r="PJ960" s="828"/>
      <c r="PK960" s="828"/>
      <c r="PL960" s="828"/>
      <c r="PM960" s="828"/>
      <c r="PN960" s="828"/>
      <c r="PO960" s="828"/>
      <c r="PP960" s="828"/>
      <c r="PQ960" s="828"/>
      <c r="PR960" s="828"/>
      <c r="PS960" s="828"/>
      <c r="PT960" s="828"/>
      <c r="PU960" s="828"/>
      <c r="PV960" s="828"/>
      <c r="PW960" s="828"/>
      <c r="PX960" s="828"/>
      <c r="PY960" s="828"/>
      <c r="PZ960" s="828"/>
      <c r="QA960" s="828"/>
      <c r="QB960" s="828"/>
      <c r="QC960" s="828"/>
      <c r="QD960" s="828"/>
      <c r="QE960" s="828"/>
      <c r="QF960" s="828"/>
      <c r="QG960" s="828"/>
      <c r="QH960" s="828"/>
      <c r="QI960" s="828"/>
      <c r="QJ960" s="828"/>
      <c r="QK960" s="828"/>
      <c r="QL960" s="828"/>
      <c r="QM960" s="828"/>
      <c r="QN960" s="828"/>
      <c r="QO960" s="828"/>
      <c r="QP960" s="828"/>
      <c r="QQ960" s="828"/>
      <c r="QR960" s="828"/>
      <c r="QS960" s="828"/>
      <c r="QT960" s="828"/>
      <c r="QU960" s="828"/>
      <c r="QV960" s="828"/>
      <c r="QW960" s="828"/>
      <c r="QX960" s="828"/>
      <c r="QY960" s="828"/>
      <c r="QZ960" s="828"/>
      <c r="RA960" s="828"/>
      <c r="RB960" s="828"/>
      <c r="RC960" s="828"/>
      <c r="RD960" s="828"/>
      <c r="RE960" s="828"/>
      <c r="RF960" s="828"/>
      <c r="RG960" s="828"/>
      <c r="RH960" s="828"/>
      <c r="RI960" s="828"/>
      <c r="RJ960" s="828"/>
      <c r="RK960" s="828"/>
      <c r="RL960" s="828"/>
      <c r="RM960" s="828"/>
      <c r="RN960" s="828"/>
      <c r="RO960" s="828"/>
      <c r="RP960" s="828"/>
      <c r="RQ960" s="828"/>
      <c r="RR960" s="828"/>
      <c r="RS960" s="828"/>
      <c r="RT960" s="828"/>
      <c r="RU960" s="828"/>
      <c r="RV960" s="828"/>
      <c r="RW960" s="828"/>
      <c r="RX960" s="828"/>
      <c r="RY960" s="828"/>
      <c r="RZ960" s="828"/>
      <c r="SA960" s="828"/>
      <c r="SB960" s="828"/>
      <c r="SC960" s="828"/>
      <c r="SD960" s="828"/>
      <c r="SE960" s="828"/>
      <c r="SF960" s="828"/>
      <c r="SG960" s="828"/>
      <c r="SH960" s="828"/>
      <c r="SI960" s="828"/>
      <c r="SJ960" s="828"/>
      <c r="SK960" s="828"/>
      <c r="SL960" s="828"/>
      <c r="SM960" s="828"/>
      <c r="SN960" s="828"/>
      <c r="SO960" s="828"/>
      <c r="SP960" s="828"/>
      <c r="SQ960" s="828"/>
      <c r="SR960" s="828"/>
      <c r="SS960" s="828"/>
      <c r="ST960" s="828"/>
      <c r="SU960" s="828"/>
      <c r="SV960" s="828"/>
      <c r="SW960" s="828"/>
      <c r="SX960" s="828"/>
      <c r="SY960" s="828"/>
      <c r="SZ960" s="828"/>
      <c r="TA960" s="828"/>
      <c r="TB960" s="828"/>
      <c r="TC960" s="828"/>
      <c r="TD960" s="828"/>
      <c r="TE960" s="828"/>
      <c r="TF960" s="828"/>
      <c r="TG960" s="828"/>
      <c r="TH960" s="828"/>
      <c r="TI960" s="828"/>
      <c r="TJ960" s="828"/>
      <c r="TK960" s="828"/>
      <c r="TL960" s="828"/>
      <c r="TM960" s="828"/>
      <c r="TN960" s="828"/>
      <c r="TO960" s="828"/>
      <c r="TP960" s="828"/>
      <c r="TQ960" s="828"/>
      <c r="TR960" s="828"/>
      <c r="TS960" s="828"/>
      <c r="TT960" s="828"/>
      <c r="TU960" s="828"/>
      <c r="TV960" s="828"/>
      <c r="TW960" s="828"/>
      <c r="TX960" s="828"/>
      <c r="TY960" s="828"/>
      <c r="TZ960" s="828"/>
      <c r="UA960" s="828"/>
      <c r="UB960" s="828"/>
      <c r="UC960" s="828"/>
      <c r="UD960" s="828"/>
      <c r="UE960" s="828"/>
      <c r="UF960" s="828"/>
      <c r="UG960" s="828"/>
      <c r="UH960" s="828"/>
      <c r="UI960" s="828"/>
      <c r="UJ960" s="828"/>
      <c r="UK960" s="828"/>
      <c r="UL960" s="828"/>
      <c r="UM960" s="828"/>
      <c r="UN960" s="828"/>
      <c r="UO960" s="828"/>
      <c r="UP960" s="828"/>
      <c r="UQ960" s="828"/>
      <c r="UR960" s="828"/>
      <c r="US960" s="828"/>
      <c r="UT960" s="828"/>
      <c r="UU960" s="828"/>
      <c r="UV960" s="828"/>
      <c r="UW960" s="828"/>
      <c r="UX960" s="828"/>
      <c r="UY960" s="828"/>
      <c r="UZ960" s="828"/>
      <c r="VA960" s="828"/>
      <c r="VB960" s="828"/>
      <c r="VC960" s="828"/>
      <c r="VD960" s="828"/>
      <c r="VE960" s="828"/>
      <c r="VF960" s="828"/>
      <c r="VG960" s="828"/>
      <c r="VH960" s="828"/>
      <c r="VI960" s="828"/>
      <c r="VJ960" s="828"/>
      <c r="VK960" s="828"/>
      <c r="VL960" s="828"/>
      <c r="VM960" s="828"/>
      <c r="VN960" s="828"/>
      <c r="VO960" s="828"/>
      <c r="VP960" s="828"/>
      <c r="VQ960" s="828"/>
      <c r="VR960" s="828"/>
      <c r="VS960" s="828"/>
      <c r="VT960" s="828"/>
      <c r="VU960" s="828"/>
      <c r="VV960" s="828"/>
      <c r="VW960" s="828"/>
      <c r="VX960" s="828"/>
      <c r="VY960" s="828"/>
      <c r="VZ960" s="828"/>
      <c r="WA960" s="828"/>
      <c r="WB960" s="828"/>
      <c r="WC960" s="828"/>
      <c r="WD960" s="828"/>
      <c r="WE960" s="828"/>
      <c r="WF960" s="828"/>
      <c r="WG960" s="828"/>
      <c r="WH960" s="828"/>
      <c r="WI960" s="828"/>
      <c r="WJ960" s="828"/>
      <c r="WK960" s="828"/>
      <c r="WL960" s="828"/>
      <c r="WM960" s="828"/>
      <c r="WN960" s="828"/>
      <c r="WO960" s="828"/>
      <c r="WP960" s="828"/>
      <c r="WQ960" s="828"/>
      <c r="WR960" s="828"/>
      <c r="WS960" s="828"/>
      <c r="WT960" s="828"/>
      <c r="WU960" s="828"/>
      <c r="WV960" s="828"/>
      <c r="WW960" s="828"/>
      <c r="WX960" s="828"/>
      <c r="WY960" s="828"/>
      <c r="WZ960" s="828"/>
      <c r="XA960" s="828"/>
      <c r="XB960" s="828"/>
      <c r="XC960" s="828"/>
      <c r="XD960" s="828"/>
      <c r="XE960" s="828"/>
      <c r="XF960" s="828"/>
      <c r="XG960" s="828"/>
      <c r="XH960" s="828"/>
      <c r="XI960" s="828"/>
      <c r="XJ960" s="828"/>
      <c r="XK960" s="828"/>
      <c r="XL960" s="828"/>
      <c r="XM960" s="828"/>
      <c r="XN960" s="828"/>
      <c r="XO960" s="828"/>
      <c r="XP960" s="828"/>
      <c r="XQ960" s="828"/>
      <c r="XR960" s="828"/>
      <c r="XS960" s="828"/>
      <c r="XT960" s="828"/>
      <c r="XU960" s="828"/>
      <c r="XV960" s="828"/>
      <c r="XW960" s="828"/>
      <c r="XX960" s="828"/>
      <c r="XY960" s="828"/>
      <c r="XZ960" s="828"/>
      <c r="YA960" s="828"/>
      <c r="YB960" s="828"/>
      <c r="YC960" s="828"/>
      <c r="YD960" s="828"/>
      <c r="YE960" s="828"/>
      <c r="YF960" s="828"/>
      <c r="YG960" s="828"/>
      <c r="YH960" s="828"/>
      <c r="YI960" s="828"/>
      <c r="YJ960" s="828"/>
      <c r="YK960" s="828"/>
      <c r="YL960" s="828"/>
      <c r="YM960" s="828"/>
      <c r="YN960" s="828"/>
      <c r="YO960" s="828"/>
      <c r="YP960" s="828"/>
      <c r="YQ960" s="828"/>
      <c r="YR960" s="828"/>
      <c r="YS960" s="828"/>
      <c r="YT960" s="828"/>
      <c r="YU960" s="828"/>
      <c r="YV960" s="828"/>
      <c r="YW960" s="828"/>
      <c r="YX960" s="828"/>
      <c r="YY960" s="828"/>
      <c r="YZ960" s="828"/>
      <c r="ZA960" s="828"/>
      <c r="ZB960" s="828"/>
      <c r="ZC960" s="828"/>
      <c r="ZD960" s="828"/>
      <c r="ZE960" s="828"/>
      <c r="ZF960" s="828"/>
      <c r="ZG960" s="828"/>
      <c r="ZH960" s="828"/>
      <c r="ZI960" s="828"/>
      <c r="ZJ960" s="828"/>
      <c r="ZK960" s="828"/>
      <c r="ZL960" s="828"/>
      <c r="ZM960" s="828"/>
      <c r="ZN960" s="828"/>
      <c r="ZO960" s="828"/>
      <c r="ZP960" s="828"/>
      <c r="ZQ960" s="828"/>
      <c r="ZR960" s="828"/>
      <c r="ZS960" s="828"/>
      <c r="ZT960" s="828"/>
      <c r="ZU960" s="828"/>
      <c r="ZV960" s="828"/>
      <c r="ZW960" s="828"/>
      <c r="ZX960" s="828"/>
      <c r="ZY960" s="828"/>
      <c r="ZZ960" s="828"/>
      <c r="AAA960" s="828"/>
      <c r="AAB960" s="828"/>
      <c r="AAC960" s="828"/>
      <c r="AAD960" s="828"/>
      <c r="AAE960" s="828"/>
      <c r="AAF960" s="828"/>
      <c r="AAG960" s="828"/>
      <c r="AAH960" s="828"/>
      <c r="AAI960" s="828"/>
      <c r="AAJ960" s="828"/>
      <c r="AAK960" s="828"/>
      <c r="AAL960" s="828"/>
      <c r="AAM960" s="828"/>
      <c r="AAN960" s="828"/>
      <c r="AAO960" s="828"/>
      <c r="AAP960" s="828"/>
      <c r="AAQ960" s="828"/>
      <c r="AAR960" s="828"/>
      <c r="AAS960" s="828"/>
      <c r="AAT960" s="828"/>
      <c r="AAU960" s="828"/>
      <c r="AAV960" s="828"/>
      <c r="AAW960" s="828"/>
      <c r="AAX960" s="828"/>
      <c r="AAY960" s="828"/>
      <c r="AAZ960" s="828"/>
      <c r="ABA960" s="828"/>
      <c r="ABB960" s="828"/>
      <c r="ABC960" s="828"/>
      <c r="ABD960" s="828"/>
      <c r="ABE960" s="828"/>
      <c r="ABF960" s="828"/>
      <c r="ABG960" s="828"/>
      <c r="ABH960" s="828"/>
      <c r="ABI960" s="828"/>
      <c r="ABJ960" s="828"/>
      <c r="ABK960" s="828"/>
      <c r="ABL960" s="828"/>
      <c r="ABM960" s="828"/>
      <c r="ABN960" s="828"/>
      <c r="ABO960" s="828"/>
      <c r="ABP960" s="828"/>
      <c r="ABQ960" s="828"/>
      <c r="ABR960" s="828"/>
      <c r="ABS960" s="828"/>
      <c r="ABT960" s="828"/>
      <c r="ABU960" s="828"/>
      <c r="ABV960" s="828"/>
      <c r="ABW960" s="828"/>
      <c r="ABX960" s="828"/>
      <c r="ABY960" s="828"/>
      <c r="ABZ960" s="828"/>
      <c r="ACA960" s="828"/>
      <c r="ACB960" s="828"/>
      <c r="ACC960" s="828"/>
      <c r="ACD960" s="828"/>
      <c r="ACE960" s="828"/>
      <c r="ACF960" s="828"/>
      <c r="ACG960" s="828"/>
      <c r="ACH960" s="828"/>
      <c r="ACI960" s="828"/>
      <c r="ACJ960" s="828"/>
      <c r="ACK960" s="828"/>
      <c r="ACL960" s="828"/>
      <c r="ACM960" s="828"/>
      <c r="ACN960" s="828"/>
      <c r="ACO960" s="828"/>
      <c r="ACP960" s="828"/>
      <c r="ACQ960" s="828"/>
      <c r="ACR960" s="828"/>
      <c r="ACS960" s="828"/>
      <c r="ACT960" s="828"/>
      <c r="ACU960" s="828"/>
      <c r="ACV960" s="828"/>
      <c r="ACW960" s="828"/>
      <c r="ACX960" s="828"/>
      <c r="ACY960" s="828"/>
      <c r="ACZ960" s="828"/>
      <c r="ADA960" s="828"/>
      <c r="ADB960" s="828"/>
      <c r="ADC960" s="828"/>
      <c r="ADD960" s="828"/>
      <c r="ADE960" s="828"/>
      <c r="ADF960" s="828"/>
      <c r="ADG960" s="828"/>
      <c r="ADH960" s="828"/>
      <c r="ADI960" s="828"/>
      <c r="ADJ960" s="828"/>
      <c r="ADK960" s="828"/>
      <c r="ADL960" s="828"/>
      <c r="ADM960" s="828"/>
      <c r="ADN960" s="828"/>
      <c r="ADO960" s="828"/>
      <c r="ADP960" s="828"/>
      <c r="ADQ960" s="828"/>
      <c r="ADR960" s="828"/>
      <c r="ADS960" s="828"/>
      <c r="ADT960" s="828"/>
      <c r="ADU960" s="828"/>
      <c r="ADV960" s="828"/>
      <c r="ADW960" s="828"/>
      <c r="ADX960" s="828"/>
      <c r="ADY960" s="828"/>
      <c r="ADZ960" s="828"/>
      <c r="AEA960" s="828"/>
      <c r="AEB960" s="828"/>
      <c r="AEC960" s="828"/>
      <c r="AED960" s="828"/>
      <c r="AEE960" s="828"/>
      <c r="AEF960" s="828"/>
      <c r="AEG960" s="828"/>
      <c r="AEH960" s="828"/>
      <c r="AEI960" s="828"/>
      <c r="AEJ960" s="828"/>
      <c r="AEK960" s="828"/>
      <c r="AEL960" s="828"/>
      <c r="AEM960" s="828"/>
      <c r="AEN960" s="828"/>
      <c r="AEO960" s="828"/>
      <c r="AEP960" s="828"/>
      <c r="AEQ960" s="828"/>
      <c r="AER960" s="828"/>
      <c r="AES960" s="828"/>
      <c r="AET960" s="828"/>
      <c r="AEU960" s="828"/>
      <c r="AEV960" s="828"/>
      <c r="AEW960" s="828"/>
      <c r="AEX960" s="828"/>
      <c r="AEY960" s="828"/>
      <c r="AEZ960" s="828"/>
      <c r="AFA960" s="828"/>
      <c r="AFB960" s="828"/>
      <c r="AFC960" s="828"/>
      <c r="AFD960" s="828"/>
      <c r="AFE960" s="828"/>
      <c r="AFF960" s="828"/>
      <c r="AFG960" s="828"/>
      <c r="AFH960" s="828"/>
      <c r="AFI960" s="828"/>
      <c r="AFJ960" s="828"/>
      <c r="AFK960" s="828"/>
      <c r="AFL960" s="828"/>
      <c r="AFM960" s="828"/>
      <c r="AFN960" s="828"/>
      <c r="AFO960" s="828"/>
      <c r="AFP960" s="828"/>
      <c r="AFQ960" s="828"/>
      <c r="AFR960" s="828"/>
      <c r="AFS960" s="828"/>
      <c r="AFT960" s="828"/>
      <c r="AFU960" s="828"/>
      <c r="AFV960" s="828"/>
      <c r="AFW960" s="828"/>
      <c r="AFX960" s="828"/>
      <c r="AFY960" s="828"/>
      <c r="AFZ960" s="828"/>
      <c r="AGA960" s="828"/>
      <c r="AGB960" s="828"/>
      <c r="AGC960" s="828"/>
      <c r="AGD960" s="828"/>
      <c r="AGE960" s="828"/>
      <c r="AGF960" s="828"/>
      <c r="AGG960" s="828"/>
      <c r="AGH960" s="828"/>
      <c r="AGI960" s="828"/>
      <c r="AGJ960" s="828"/>
    </row>
    <row r="961" spans="1:868" s="7" customFormat="1" hidden="1">
      <c r="A961" s="626" t="s">
        <v>127</v>
      </c>
      <c r="B961" s="59" t="s">
        <v>453</v>
      </c>
      <c r="C961" s="40" t="s">
        <v>147</v>
      </c>
      <c r="D961" s="34" t="s">
        <v>107</v>
      </c>
      <c r="E961" s="880">
        <v>7.1003816455134469E-2</v>
      </c>
      <c r="F961" s="34">
        <v>2</v>
      </c>
      <c r="G961" s="40" t="s">
        <v>451</v>
      </c>
      <c r="H961" s="29">
        <v>1</v>
      </c>
      <c r="I961" s="9">
        <v>2</v>
      </c>
      <c r="J961" s="9">
        <v>2</v>
      </c>
      <c r="K961" s="9">
        <v>1</v>
      </c>
      <c r="L961" s="9">
        <v>1</v>
      </c>
      <c r="M961" s="9">
        <v>2</v>
      </c>
      <c r="N961" s="186">
        <f t="shared" ref="N961:N992" si="53">IF( OR( ISBLANK(H961),ISBLANK(J961), ISBLANK(K961), ISBLANK(L961), ISBLANK(M961) ), "", 1.5*SQRT(   EXP(2.21*(H961-1)) + EXP(2.21*(J961-1)) + EXP(2.21*(K961-1)) + EXP(2.21*(L961-1)) + EXP(2.21*M961)   )/100*2.45 )</f>
        <v>0.35859414261160716</v>
      </c>
      <c r="O961" s="160">
        <f t="shared" si="51"/>
        <v>0.37356464144298934</v>
      </c>
      <c r="P961" s="63"/>
      <c r="Q961" s="828"/>
      <c r="R961" s="828"/>
      <c r="S961" s="828"/>
      <c r="T961" s="828"/>
      <c r="U961" s="828"/>
      <c r="V961" s="828"/>
      <c r="W961" s="828"/>
      <c r="X961" s="828"/>
      <c r="Y961" s="828"/>
      <c r="Z961" s="828"/>
      <c r="AA961" s="828"/>
      <c r="AB961" s="828"/>
      <c r="AC961" s="828"/>
      <c r="AD961" s="828"/>
      <c r="AE961" s="828"/>
      <c r="AF961" s="828"/>
      <c r="AG961" s="828"/>
      <c r="AH961" s="828"/>
      <c r="AI961" s="828"/>
      <c r="AJ961" s="828"/>
      <c r="AK961" s="828"/>
      <c r="AL961" s="828"/>
      <c r="AM961" s="828"/>
      <c r="AN961" s="828"/>
      <c r="AO961" s="828"/>
      <c r="AP961" s="828"/>
      <c r="AQ961" s="828"/>
      <c r="AR961" s="828"/>
      <c r="AS961" s="828"/>
      <c r="AT961" s="828"/>
      <c r="AU961" s="828"/>
      <c r="AV961" s="828"/>
      <c r="AW961" s="828"/>
      <c r="AX961" s="828"/>
      <c r="AY961" s="828"/>
      <c r="AZ961" s="828"/>
      <c r="BA961" s="828"/>
      <c r="BB961" s="828"/>
      <c r="BC961" s="828"/>
      <c r="BD961" s="828"/>
      <c r="BE961" s="828"/>
      <c r="BF961" s="828"/>
      <c r="BG961" s="828"/>
      <c r="BH961" s="828"/>
      <c r="BI961" s="828"/>
      <c r="BJ961" s="828"/>
      <c r="BK961" s="828"/>
      <c r="BL961" s="828"/>
      <c r="BM961" s="828"/>
      <c r="BN961" s="828"/>
      <c r="BO961" s="828"/>
      <c r="BP961" s="828"/>
      <c r="BQ961" s="828"/>
      <c r="BR961" s="828"/>
      <c r="BS961" s="828"/>
      <c r="BT961" s="828"/>
      <c r="BU961" s="828"/>
      <c r="BV961" s="828"/>
      <c r="BW961" s="828"/>
      <c r="BX961" s="828"/>
      <c r="BY961" s="828"/>
      <c r="BZ961" s="828"/>
      <c r="CA961" s="828"/>
      <c r="CB961" s="828"/>
      <c r="CC961" s="828"/>
      <c r="CD961" s="828"/>
      <c r="CE961" s="828"/>
      <c r="CF961" s="828"/>
      <c r="CG961" s="828"/>
      <c r="CH961" s="828"/>
      <c r="CI961" s="828"/>
      <c r="CJ961" s="828"/>
      <c r="CK961" s="828"/>
      <c r="CL961" s="828"/>
      <c r="CM961" s="828"/>
      <c r="CN961" s="828"/>
      <c r="CO961" s="828"/>
      <c r="CP961" s="828"/>
      <c r="CQ961" s="828"/>
      <c r="CR961" s="828"/>
      <c r="CS961" s="828"/>
      <c r="CT961" s="828"/>
      <c r="CU961" s="828"/>
      <c r="CV961" s="828"/>
      <c r="CW961" s="828"/>
      <c r="CX961" s="828"/>
      <c r="CY961" s="828"/>
      <c r="CZ961" s="828"/>
      <c r="DA961" s="828"/>
      <c r="DB961" s="828"/>
      <c r="DC961" s="828"/>
      <c r="DD961" s="828"/>
      <c r="DE961" s="828"/>
      <c r="DF961" s="828"/>
      <c r="DG961" s="828"/>
      <c r="DH961" s="828"/>
      <c r="DI961" s="828"/>
      <c r="DJ961" s="828"/>
      <c r="DK961" s="828"/>
      <c r="DL961" s="828"/>
      <c r="DM961" s="828"/>
      <c r="DN961" s="828"/>
      <c r="DO961" s="828"/>
      <c r="DP961" s="828"/>
      <c r="DQ961" s="828"/>
      <c r="DR961" s="828"/>
      <c r="DS961" s="828"/>
      <c r="DT961" s="828"/>
      <c r="DU961" s="828"/>
      <c r="DV961" s="828"/>
      <c r="DW961" s="828"/>
      <c r="DX961" s="828"/>
      <c r="DY961" s="828"/>
      <c r="DZ961" s="828"/>
      <c r="EA961" s="828"/>
      <c r="EB961" s="828"/>
      <c r="EC961" s="828"/>
      <c r="ED961" s="828"/>
      <c r="EE961" s="828"/>
      <c r="EF961" s="828"/>
      <c r="EG961" s="828"/>
      <c r="EH961" s="828"/>
      <c r="EI961" s="828"/>
      <c r="EJ961" s="828"/>
      <c r="EK961" s="828"/>
      <c r="EL961" s="828"/>
      <c r="EM961" s="828"/>
      <c r="EN961" s="828"/>
      <c r="EO961" s="828"/>
      <c r="EP961" s="828"/>
      <c r="EQ961" s="828"/>
      <c r="ER961" s="828"/>
      <c r="ES961" s="828"/>
      <c r="ET961" s="828"/>
      <c r="EU961" s="828"/>
      <c r="EV961" s="828"/>
      <c r="EW961" s="828"/>
      <c r="EX961" s="828"/>
      <c r="EY961" s="828"/>
      <c r="EZ961" s="828"/>
      <c r="FA961" s="828"/>
      <c r="FB961" s="828"/>
      <c r="FC961" s="828"/>
      <c r="FD961" s="828"/>
      <c r="FE961" s="828"/>
      <c r="FF961" s="828"/>
      <c r="FG961" s="828"/>
      <c r="FH961" s="828"/>
      <c r="FI961" s="828"/>
      <c r="FJ961" s="828"/>
      <c r="FK961" s="828"/>
      <c r="FL961" s="828"/>
      <c r="FM961" s="828"/>
      <c r="FN961" s="828"/>
      <c r="FO961" s="828"/>
      <c r="FP961" s="828"/>
      <c r="FQ961" s="828"/>
      <c r="FR961" s="828"/>
      <c r="FS961" s="828"/>
      <c r="FT961" s="828"/>
      <c r="FU961" s="828"/>
      <c r="FV961" s="828"/>
      <c r="FW961" s="828"/>
      <c r="FX961" s="828"/>
      <c r="FY961" s="828"/>
      <c r="FZ961" s="828"/>
      <c r="GA961" s="828"/>
      <c r="GB961" s="828"/>
      <c r="GC961" s="828"/>
      <c r="GD961" s="828"/>
      <c r="GE961" s="828"/>
      <c r="GF961" s="828"/>
      <c r="GG961" s="828"/>
      <c r="GH961" s="828"/>
      <c r="GI961" s="828"/>
      <c r="GJ961" s="828"/>
      <c r="GK961" s="828"/>
      <c r="GL961" s="828"/>
      <c r="GM961" s="828"/>
      <c r="GN961" s="828"/>
      <c r="GO961" s="828"/>
      <c r="GP961" s="828"/>
      <c r="GQ961" s="828"/>
      <c r="GR961" s="828"/>
      <c r="GS961" s="828"/>
      <c r="GT961" s="828"/>
      <c r="GU961" s="828"/>
      <c r="GV961" s="828"/>
      <c r="GW961" s="828"/>
      <c r="GX961" s="828"/>
      <c r="GY961" s="828"/>
      <c r="GZ961" s="828"/>
      <c r="HA961" s="828"/>
      <c r="HB961" s="828"/>
      <c r="HC961" s="828"/>
      <c r="HD961" s="828"/>
      <c r="HE961" s="828"/>
      <c r="HF961" s="828"/>
      <c r="HG961" s="828"/>
      <c r="HH961" s="828"/>
      <c r="HI961" s="828"/>
      <c r="HJ961" s="828"/>
      <c r="HK961" s="828"/>
      <c r="HL961" s="828"/>
      <c r="HM961" s="828"/>
      <c r="HN961" s="828"/>
      <c r="HO961" s="828"/>
      <c r="HP961" s="828"/>
      <c r="HQ961" s="828"/>
      <c r="HR961" s="828"/>
      <c r="HS961" s="828"/>
      <c r="HT961" s="828"/>
      <c r="HU961" s="828"/>
      <c r="HV961" s="828"/>
      <c r="HW961" s="828"/>
      <c r="HX961" s="828"/>
      <c r="HY961" s="828"/>
      <c r="HZ961" s="828"/>
      <c r="IA961" s="828"/>
      <c r="IB961" s="828"/>
      <c r="IC961" s="828"/>
      <c r="ID961" s="828"/>
      <c r="IE961" s="828"/>
      <c r="IF961" s="828"/>
      <c r="IG961" s="828"/>
      <c r="IH961" s="828"/>
      <c r="II961" s="828"/>
      <c r="IJ961" s="828"/>
      <c r="IK961" s="828"/>
      <c r="IL961" s="828"/>
      <c r="IM961" s="828"/>
      <c r="IN961" s="828"/>
      <c r="IO961" s="828"/>
      <c r="IP961" s="828"/>
      <c r="IQ961" s="828"/>
      <c r="IR961" s="828"/>
      <c r="IS961" s="828"/>
      <c r="IT961" s="828"/>
      <c r="IU961" s="828"/>
      <c r="IV961" s="828"/>
      <c r="IW961" s="828"/>
      <c r="IX961" s="828"/>
      <c r="IY961" s="828"/>
      <c r="IZ961" s="828"/>
      <c r="JA961" s="828"/>
      <c r="JB961" s="828"/>
      <c r="JC961" s="828"/>
      <c r="JD961" s="828"/>
      <c r="JE961" s="828"/>
      <c r="JF961" s="828"/>
      <c r="JG961" s="828"/>
      <c r="JH961" s="828"/>
      <c r="JI961" s="828"/>
      <c r="JJ961" s="828"/>
      <c r="JK961" s="828"/>
      <c r="JL961" s="828"/>
      <c r="JM961" s="828"/>
      <c r="JN961" s="828"/>
      <c r="JO961" s="828"/>
      <c r="JP961" s="828"/>
      <c r="JQ961" s="828"/>
      <c r="JR961" s="828"/>
      <c r="JS961" s="828"/>
      <c r="JT961" s="828"/>
      <c r="JU961" s="828"/>
      <c r="JV961" s="828"/>
      <c r="JW961" s="828"/>
      <c r="JX961" s="828"/>
      <c r="JY961" s="828"/>
      <c r="JZ961" s="828"/>
      <c r="KA961" s="828"/>
      <c r="KB961" s="828"/>
      <c r="KC961" s="828"/>
      <c r="KD961" s="828"/>
      <c r="KE961" s="828"/>
      <c r="KF961" s="828"/>
      <c r="KG961" s="828"/>
      <c r="KH961" s="828"/>
      <c r="KI961" s="828"/>
      <c r="KJ961" s="828"/>
      <c r="KK961" s="828"/>
      <c r="KL961" s="828"/>
      <c r="KM961" s="828"/>
      <c r="KN961" s="828"/>
      <c r="KO961" s="828"/>
      <c r="KP961" s="828"/>
      <c r="KQ961" s="828"/>
      <c r="KR961" s="828"/>
      <c r="KS961" s="828"/>
      <c r="KT961" s="828"/>
      <c r="KU961" s="828"/>
      <c r="KV961" s="828"/>
      <c r="KW961" s="828"/>
      <c r="KX961" s="828"/>
      <c r="KY961" s="828"/>
      <c r="KZ961" s="828"/>
      <c r="LA961" s="828"/>
      <c r="LB961" s="828"/>
      <c r="LC961" s="828"/>
      <c r="LD961" s="828"/>
      <c r="LE961" s="828"/>
      <c r="LF961" s="828"/>
      <c r="LG961" s="828"/>
      <c r="LH961" s="828"/>
      <c r="LI961" s="828"/>
      <c r="LJ961" s="828"/>
      <c r="LK961" s="828"/>
      <c r="LL961" s="828"/>
      <c r="LM961" s="828"/>
      <c r="LN961" s="828"/>
      <c r="LO961" s="828"/>
      <c r="LP961" s="828"/>
      <c r="LQ961" s="828"/>
      <c r="LR961" s="828"/>
      <c r="LS961" s="828"/>
      <c r="LT961" s="828"/>
      <c r="LU961" s="828"/>
      <c r="LV961" s="828"/>
      <c r="LW961" s="828"/>
      <c r="LX961" s="828"/>
      <c r="LY961" s="828"/>
      <c r="LZ961" s="828"/>
      <c r="MA961" s="828"/>
      <c r="MB961" s="828"/>
      <c r="MC961" s="828"/>
      <c r="MD961" s="828"/>
      <c r="ME961" s="828"/>
      <c r="MF961" s="828"/>
      <c r="MG961" s="828"/>
      <c r="MH961" s="828"/>
      <c r="MI961" s="828"/>
      <c r="MJ961" s="828"/>
      <c r="MK961" s="828"/>
      <c r="ML961" s="828"/>
      <c r="MM961" s="828"/>
      <c r="MN961" s="828"/>
      <c r="MO961" s="828"/>
      <c r="MP961" s="828"/>
      <c r="MQ961" s="828"/>
      <c r="MR961" s="828"/>
      <c r="MS961" s="828"/>
      <c r="MT961" s="828"/>
      <c r="MU961" s="828"/>
      <c r="MV961" s="828"/>
      <c r="MW961" s="828"/>
      <c r="MX961" s="828"/>
      <c r="MY961" s="828"/>
      <c r="MZ961" s="828"/>
      <c r="NA961" s="828"/>
      <c r="NB961" s="828"/>
      <c r="NC961" s="828"/>
      <c r="ND961" s="828"/>
      <c r="NE961" s="828"/>
      <c r="NF961" s="828"/>
      <c r="NG961" s="828"/>
      <c r="NH961" s="828"/>
      <c r="NI961" s="828"/>
      <c r="NJ961" s="828"/>
      <c r="NK961" s="828"/>
      <c r="NL961" s="828"/>
      <c r="NM961" s="828"/>
      <c r="NN961" s="828"/>
      <c r="NO961" s="828"/>
      <c r="NP961" s="828"/>
      <c r="NQ961" s="828"/>
      <c r="NR961" s="828"/>
      <c r="NS961" s="828"/>
      <c r="NT961" s="828"/>
      <c r="NU961" s="828"/>
      <c r="NV961" s="828"/>
      <c r="NW961" s="828"/>
      <c r="NX961" s="828"/>
      <c r="NY961" s="828"/>
      <c r="NZ961" s="828"/>
      <c r="OA961" s="828"/>
      <c r="OB961" s="828"/>
      <c r="OC961" s="828"/>
      <c r="OD961" s="828"/>
      <c r="OE961" s="828"/>
      <c r="OF961" s="828"/>
      <c r="OG961" s="828"/>
      <c r="OH961" s="828"/>
      <c r="OI961" s="828"/>
      <c r="OJ961" s="828"/>
      <c r="OK961" s="828"/>
      <c r="OL961" s="828"/>
      <c r="OM961" s="828"/>
      <c r="ON961" s="828"/>
      <c r="OO961" s="828"/>
      <c r="OP961" s="828"/>
      <c r="OQ961" s="828"/>
      <c r="OR961" s="828"/>
      <c r="OS961" s="828"/>
      <c r="OT961" s="828"/>
      <c r="OU961" s="828"/>
      <c r="OV961" s="828"/>
      <c r="OW961" s="828"/>
      <c r="OX961" s="828"/>
      <c r="OY961" s="828"/>
      <c r="OZ961" s="828"/>
      <c r="PA961" s="828"/>
      <c r="PB961" s="828"/>
      <c r="PC961" s="828"/>
      <c r="PD961" s="828"/>
      <c r="PE961" s="828"/>
      <c r="PF961" s="828"/>
      <c r="PG961" s="828"/>
      <c r="PH961" s="828"/>
      <c r="PI961" s="828"/>
      <c r="PJ961" s="828"/>
      <c r="PK961" s="828"/>
      <c r="PL961" s="828"/>
      <c r="PM961" s="828"/>
      <c r="PN961" s="828"/>
      <c r="PO961" s="828"/>
      <c r="PP961" s="828"/>
      <c r="PQ961" s="828"/>
      <c r="PR961" s="828"/>
      <c r="PS961" s="828"/>
      <c r="PT961" s="828"/>
      <c r="PU961" s="828"/>
      <c r="PV961" s="828"/>
      <c r="PW961" s="828"/>
      <c r="PX961" s="828"/>
      <c r="PY961" s="828"/>
      <c r="PZ961" s="828"/>
      <c r="QA961" s="828"/>
      <c r="QB961" s="828"/>
      <c r="QC961" s="828"/>
      <c r="QD961" s="828"/>
      <c r="QE961" s="828"/>
      <c r="QF961" s="828"/>
      <c r="QG961" s="828"/>
      <c r="QH961" s="828"/>
      <c r="QI961" s="828"/>
      <c r="QJ961" s="828"/>
      <c r="QK961" s="828"/>
      <c r="QL961" s="828"/>
      <c r="QM961" s="828"/>
      <c r="QN961" s="828"/>
      <c r="QO961" s="828"/>
      <c r="QP961" s="828"/>
      <c r="QQ961" s="828"/>
      <c r="QR961" s="828"/>
      <c r="QS961" s="828"/>
      <c r="QT961" s="828"/>
      <c r="QU961" s="828"/>
      <c r="QV961" s="828"/>
      <c r="QW961" s="828"/>
      <c r="QX961" s="828"/>
      <c r="QY961" s="828"/>
      <c r="QZ961" s="828"/>
      <c r="RA961" s="828"/>
      <c r="RB961" s="828"/>
      <c r="RC961" s="828"/>
      <c r="RD961" s="828"/>
      <c r="RE961" s="828"/>
      <c r="RF961" s="828"/>
      <c r="RG961" s="828"/>
      <c r="RH961" s="828"/>
      <c r="RI961" s="828"/>
      <c r="RJ961" s="828"/>
      <c r="RK961" s="828"/>
      <c r="RL961" s="828"/>
      <c r="RM961" s="828"/>
      <c r="RN961" s="828"/>
      <c r="RO961" s="828"/>
      <c r="RP961" s="828"/>
      <c r="RQ961" s="828"/>
      <c r="RR961" s="828"/>
      <c r="RS961" s="828"/>
      <c r="RT961" s="828"/>
      <c r="RU961" s="828"/>
      <c r="RV961" s="828"/>
      <c r="RW961" s="828"/>
      <c r="RX961" s="828"/>
      <c r="RY961" s="828"/>
      <c r="RZ961" s="828"/>
      <c r="SA961" s="828"/>
      <c r="SB961" s="828"/>
      <c r="SC961" s="828"/>
      <c r="SD961" s="828"/>
      <c r="SE961" s="828"/>
      <c r="SF961" s="828"/>
      <c r="SG961" s="828"/>
      <c r="SH961" s="828"/>
      <c r="SI961" s="828"/>
      <c r="SJ961" s="828"/>
      <c r="SK961" s="828"/>
      <c r="SL961" s="828"/>
      <c r="SM961" s="828"/>
      <c r="SN961" s="828"/>
      <c r="SO961" s="828"/>
      <c r="SP961" s="828"/>
      <c r="SQ961" s="828"/>
      <c r="SR961" s="828"/>
      <c r="SS961" s="828"/>
      <c r="ST961" s="828"/>
      <c r="SU961" s="828"/>
      <c r="SV961" s="828"/>
      <c r="SW961" s="828"/>
      <c r="SX961" s="828"/>
      <c r="SY961" s="828"/>
      <c r="SZ961" s="828"/>
      <c r="TA961" s="828"/>
      <c r="TB961" s="828"/>
      <c r="TC961" s="828"/>
      <c r="TD961" s="828"/>
      <c r="TE961" s="828"/>
      <c r="TF961" s="828"/>
      <c r="TG961" s="828"/>
      <c r="TH961" s="828"/>
      <c r="TI961" s="828"/>
      <c r="TJ961" s="828"/>
      <c r="TK961" s="828"/>
      <c r="TL961" s="828"/>
      <c r="TM961" s="828"/>
      <c r="TN961" s="828"/>
      <c r="TO961" s="828"/>
      <c r="TP961" s="828"/>
      <c r="TQ961" s="828"/>
      <c r="TR961" s="828"/>
      <c r="TS961" s="828"/>
      <c r="TT961" s="828"/>
      <c r="TU961" s="828"/>
      <c r="TV961" s="828"/>
      <c r="TW961" s="828"/>
      <c r="TX961" s="828"/>
      <c r="TY961" s="828"/>
      <c r="TZ961" s="828"/>
      <c r="UA961" s="828"/>
      <c r="UB961" s="828"/>
      <c r="UC961" s="828"/>
      <c r="UD961" s="828"/>
      <c r="UE961" s="828"/>
      <c r="UF961" s="828"/>
      <c r="UG961" s="828"/>
      <c r="UH961" s="828"/>
      <c r="UI961" s="828"/>
      <c r="UJ961" s="828"/>
      <c r="UK961" s="828"/>
      <c r="UL961" s="828"/>
      <c r="UM961" s="828"/>
      <c r="UN961" s="828"/>
      <c r="UO961" s="828"/>
      <c r="UP961" s="828"/>
      <c r="UQ961" s="828"/>
      <c r="UR961" s="828"/>
      <c r="US961" s="828"/>
      <c r="UT961" s="828"/>
      <c r="UU961" s="828"/>
      <c r="UV961" s="828"/>
      <c r="UW961" s="828"/>
      <c r="UX961" s="828"/>
      <c r="UY961" s="828"/>
      <c r="UZ961" s="828"/>
      <c r="VA961" s="828"/>
      <c r="VB961" s="828"/>
      <c r="VC961" s="828"/>
      <c r="VD961" s="828"/>
      <c r="VE961" s="828"/>
      <c r="VF961" s="828"/>
      <c r="VG961" s="828"/>
      <c r="VH961" s="828"/>
      <c r="VI961" s="828"/>
      <c r="VJ961" s="828"/>
      <c r="VK961" s="828"/>
      <c r="VL961" s="828"/>
      <c r="VM961" s="828"/>
      <c r="VN961" s="828"/>
      <c r="VO961" s="828"/>
      <c r="VP961" s="828"/>
      <c r="VQ961" s="828"/>
      <c r="VR961" s="828"/>
      <c r="VS961" s="828"/>
      <c r="VT961" s="828"/>
      <c r="VU961" s="828"/>
      <c r="VV961" s="828"/>
      <c r="VW961" s="828"/>
      <c r="VX961" s="828"/>
      <c r="VY961" s="828"/>
      <c r="VZ961" s="828"/>
      <c r="WA961" s="828"/>
      <c r="WB961" s="828"/>
      <c r="WC961" s="828"/>
      <c r="WD961" s="828"/>
      <c r="WE961" s="828"/>
      <c r="WF961" s="828"/>
      <c r="WG961" s="828"/>
      <c r="WH961" s="828"/>
      <c r="WI961" s="828"/>
      <c r="WJ961" s="828"/>
      <c r="WK961" s="828"/>
      <c r="WL961" s="828"/>
      <c r="WM961" s="828"/>
      <c r="WN961" s="828"/>
      <c r="WO961" s="828"/>
      <c r="WP961" s="828"/>
      <c r="WQ961" s="828"/>
      <c r="WR961" s="828"/>
      <c r="WS961" s="828"/>
      <c r="WT961" s="828"/>
      <c r="WU961" s="828"/>
      <c r="WV961" s="828"/>
      <c r="WW961" s="828"/>
      <c r="WX961" s="828"/>
      <c r="WY961" s="828"/>
      <c r="WZ961" s="828"/>
      <c r="XA961" s="828"/>
      <c r="XB961" s="828"/>
      <c r="XC961" s="828"/>
      <c r="XD961" s="828"/>
      <c r="XE961" s="828"/>
      <c r="XF961" s="828"/>
      <c r="XG961" s="828"/>
      <c r="XH961" s="828"/>
      <c r="XI961" s="828"/>
      <c r="XJ961" s="828"/>
      <c r="XK961" s="828"/>
      <c r="XL961" s="828"/>
      <c r="XM961" s="828"/>
      <c r="XN961" s="828"/>
      <c r="XO961" s="828"/>
      <c r="XP961" s="828"/>
      <c r="XQ961" s="828"/>
      <c r="XR961" s="828"/>
      <c r="XS961" s="828"/>
      <c r="XT961" s="828"/>
      <c r="XU961" s="828"/>
      <c r="XV961" s="828"/>
      <c r="XW961" s="828"/>
      <c r="XX961" s="828"/>
      <c r="XY961" s="828"/>
      <c r="XZ961" s="828"/>
      <c r="YA961" s="828"/>
      <c r="YB961" s="828"/>
      <c r="YC961" s="828"/>
      <c r="YD961" s="828"/>
      <c r="YE961" s="828"/>
      <c r="YF961" s="828"/>
      <c r="YG961" s="828"/>
      <c r="YH961" s="828"/>
      <c r="YI961" s="828"/>
      <c r="YJ961" s="828"/>
      <c r="YK961" s="828"/>
      <c r="YL961" s="828"/>
      <c r="YM961" s="828"/>
      <c r="YN961" s="828"/>
      <c r="YO961" s="828"/>
      <c r="YP961" s="828"/>
      <c r="YQ961" s="828"/>
      <c r="YR961" s="828"/>
      <c r="YS961" s="828"/>
      <c r="YT961" s="828"/>
      <c r="YU961" s="828"/>
      <c r="YV961" s="828"/>
      <c r="YW961" s="828"/>
      <c r="YX961" s="828"/>
      <c r="YY961" s="828"/>
      <c r="YZ961" s="828"/>
      <c r="ZA961" s="828"/>
      <c r="ZB961" s="828"/>
      <c r="ZC961" s="828"/>
      <c r="ZD961" s="828"/>
      <c r="ZE961" s="828"/>
      <c r="ZF961" s="828"/>
      <c r="ZG961" s="828"/>
      <c r="ZH961" s="828"/>
      <c r="ZI961" s="828"/>
      <c r="ZJ961" s="828"/>
      <c r="ZK961" s="828"/>
      <c r="ZL961" s="828"/>
      <c r="ZM961" s="828"/>
      <c r="ZN961" s="828"/>
      <c r="ZO961" s="828"/>
      <c r="ZP961" s="828"/>
      <c r="ZQ961" s="828"/>
      <c r="ZR961" s="828"/>
      <c r="ZS961" s="828"/>
      <c r="ZT961" s="828"/>
      <c r="ZU961" s="828"/>
      <c r="ZV961" s="828"/>
      <c r="ZW961" s="828"/>
      <c r="ZX961" s="828"/>
      <c r="ZY961" s="828"/>
      <c r="ZZ961" s="828"/>
      <c r="AAA961" s="828"/>
      <c r="AAB961" s="828"/>
      <c r="AAC961" s="828"/>
      <c r="AAD961" s="828"/>
      <c r="AAE961" s="828"/>
      <c r="AAF961" s="828"/>
      <c r="AAG961" s="828"/>
      <c r="AAH961" s="828"/>
      <c r="AAI961" s="828"/>
      <c r="AAJ961" s="828"/>
      <c r="AAK961" s="828"/>
      <c r="AAL961" s="828"/>
      <c r="AAM961" s="828"/>
      <c r="AAN961" s="828"/>
      <c r="AAO961" s="828"/>
      <c r="AAP961" s="828"/>
      <c r="AAQ961" s="828"/>
      <c r="AAR961" s="828"/>
      <c r="AAS961" s="828"/>
      <c r="AAT961" s="828"/>
      <c r="AAU961" s="828"/>
      <c r="AAV961" s="828"/>
      <c r="AAW961" s="828"/>
      <c r="AAX961" s="828"/>
      <c r="AAY961" s="828"/>
      <c r="AAZ961" s="828"/>
      <c r="ABA961" s="828"/>
      <c r="ABB961" s="828"/>
      <c r="ABC961" s="828"/>
      <c r="ABD961" s="828"/>
      <c r="ABE961" s="828"/>
      <c r="ABF961" s="828"/>
      <c r="ABG961" s="828"/>
      <c r="ABH961" s="828"/>
      <c r="ABI961" s="828"/>
      <c r="ABJ961" s="828"/>
      <c r="ABK961" s="828"/>
      <c r="ABL961" s="828"/>
      <c r="ABM961" s="828"/>
      <c r="ABN961" s="828"/>
      <c r="ABO961" s="828"/>
      <c r="ABP961" s="828"/>
      <c r="ABQ961" s="828"/>
      <c r="ABR961" s="828"/>
      <c r="ABS961" s="828"/>
      <c r="ABT961" s="828"/>
      <c r="ABU961" s="828"/>
      <c r="ABV961" s="828"/>
      <c r="ABW961" s="828"/>
      <c r="ABX961" s="828"/>
      <c r="ABY961" s="828"/>
      <c r="ABZ961" s="828"/>
      <c r="ACA961" s="828"/>
      <c r="ACB961" s="828"/>
      <c r="ACC961" s="828"/>
      <c r="ACD961" s="828"/>
      <c r="ACE961" s="828"/>
      <c r="ACF961" s="828"/>
      <c r="ACG961" s="828"/>
      <c r="ACH961" s="828"/>
      <c r="ACI961" s="828"/>
      <c r="ACJ961" s="828"/>
      <c r="ACK961" s="828"/>
      <c r="ACL961" s="828"/>
      <c r="ACM961" s="828"/>
      <c r="ACN961" s="828"/>
      <c r="ACO961" s="828"/>
      <c r="ACP961" s="828"/>
      <c r="ACQ961" s="828"/>
      <c r="ACR961" s="828"/>
      <c r="ACS961" s="828"/>
      <c r="ACT961" s="828"/>
      <c r="ACU961" s="828"/>
      <c r="ACV961" s="828"/>
      <c r="ACW961" s="828"/>
      <c r="ACX961" s="828"/>
      <c r="ACY961" s="828"/>
      <c r="ACZ961" s="828"/>
      <c r="ADA961" s="828"/>
      <c r="ADB961" s="828"/>
      <c r="ADC961" s="828"/>
      <c r="ADD961" s="828"/>
      <c r="ADE961" s="828"/>
      <c r="ADF961" s="828"/>
      <c r="ADG961" s="828"/>
      <c r="ADH961" s="828"/>
      <c r="ADI961" s="828"/>
      <c r="ADJ961" s="828"/>
      <c r="ADK961" s="828"/>
      <c r="ADL961" s="828"/>
      <c r="ADM961" s="828"/>
      <c r="ADN961" s="828"/>
      <c r="ADO961" s="828"/>
      <c r="ADP961" s="828"/>
      <c r="ADQ961" s="828"/>
      <c r="ADR961" s="828"/>
      <c r="ADS961" s="828"/>
      <c r="ADT961" s="828"/>
      <c r="ADU961" s="828"/>
      <c r="ADV961" s="828"/>
      <c r="ADW961" s="828"/>
      <c r="ADX961" s="828"/>
      <c r="ADY961" s="828"/>
      <c r="ADZ961" s="828"/>
      <c r="AEA961" s="828"/>
      <c r="AEB961" s="828"/>
      <c r="AEC961" s="828"/>
      <c r="AED961" s="828"/>
      <c r="AEE961" s="828"/>
      <c r="AEF961" s="828"/>
      <c r="AEG961" s="828"/>
      <c r="AEH961" s="828"/>
      <c r="AEI961" s="828"/>
      <c r="AEJ961" s="828"/>
      <c r="AEK961" s="828"/>
      <c r="AEL961" s="828"/>
      <c r="AEM961" s="828"/>
      <c r="AEN961" s="828"/>
      <c r="AEO961" s="828"/>
      <c r="AEP961" s="828"/>
      <c r="AEQ961" s="828"/>
      <c r="AER961" s="828"/>
      <c r="AES961" s="828"/>
      <c r="AET961" s="828"/>
      <c r="AEU961" s="828"/>
      <c r="AEV961" s="828"/>
      <c r="AEW961" s="828"/>
      <c r="AEX961" s="828"/>
      <c r="AEY961" s="828"/>
      <c r="AEZ961" s="828"/>
      <c r="AFA961" s="828"/>
      <c r="AFB961" s="828"/>
      <c r="AFC961" s="828"/>
      <c r="AFD961" s="828"/>
      <c r="AFE961" s="828"/>
      <c r="AFF961" s="828"/>
      <c r="AFG961" s="828"/>
      <c r="AFH961" s="828"/>
      <c r="AFI961" s="828"/>
      <c r="AFJ961" s="828"/>
      <c r="AFK961" s="828"/>
      <c r="AFL961" s="828"/>
      <c r="AFM961" s="828"/>
      <c r="AFN961" s="828"/>
      <c r="AFO961" s="828"/>
      <c r="AFP961" s="828"/>
      <c r="AFQ961" s="828"/>
      <c r="AFR961" s="828"/>
      <c r="AFS961" s="828"/>
      <c r="AFT961" s="828"/>
      <c r="AFU961" s="828"/>
      <c r="AFV961" s="828"/>
      <c r="AFW961" s="828"/>
      <c r="AFX961" s="828"/>
      <c r="AFY961" s="828"/>
      <c r="AFZ961" s="828"/>
      <c r="AGA961" s="828"/>
      <c r="AGB961" s="828"/>
      <c r="AGC961" s="828"/>
      <c r="AGD961" s="828"/>
      <c r="AGE961" s="828"/>
      <c r="AGF961" s="828"/>
      <c r="AGG961" s="828"/>
      <c r="AGH961" s="828"/>
      <c r="AGI961" s="828"/>
      <c r="AGJ961" s="828"/>
    </row>
    <row r="962" spans="1:868" s="7" customFormat="1" hidden="1">
      <c r="A962" s="626" t="s">
        <v>127</v>
      </c>
      <c r="B962" s="59" t="s">
        <v>454</v>
      </c>
      <c r="C962" s="40" t="s">
        <v>147</v>
      </c>
      <c r="D962" s="34" t="s">
        <v>107</v>
      </c>
      <c r="E962" s="880">
        <v>7.810419810064792E-2</v>
      </c>
      <c r="F962" s="34">
        <v>2</v>
      </c>
      <c r="G962" s="40" t="s">
        <v>451</v>
      </c>
      <c r="H962" s="29">
        <v>1</v>
      </c>
      <c r="I962" s="9">
        <v>2</v>
      </c>
      <c r="J962" s="9">
        <v>2</v>
      </c>
      <c r="K962" s="9">
        <v>1</v>
      </c>
      <c r="L962" s="9">
        <v>1</v>
      </c>
      <c r="M962" s="9">
        <v>2</v>
      </c>
      <c r="N962" s="186">
        <f t="shared" si="53"/>
        <v>0.35859414261160716</v>
      </c>
      <c r="O962" s="160">
        <f t="shared" si="51"/>
        <v>0.37356464144298934</v>
      </c>
      <c r="P962" s="63"/>
      <c r="Q962" s="828"/>
      <c r="R962" s="828"/>
      <c r="S962" s="828"/>
      <c r="T962" s="828"/>
      <c r="U962" s="828"/>
      <c r="V962" s="828"/>
      <c r="W962" s="828"/>
      <c r="X962" s="828"/>
      <c r="Y962" s="828"/>
      <c r="Z962" s="828"/>
      <c r="AA962" s="828"/>
      <c r="AB962" s="828"/>
      <c r="AC962" s="828"/>
      <c r="AD962" s="828"/>
      <c r="AE962" s="828"/>
      <c r="AF962" s="828"/>
      <c r="AG962" s="828"/>
      <c r="AH962" s="828"/>
      <c r="AI962" s="828"/>
      <c r="AJ962" s="828"/>
      <c r="AK962" s="828"/>
      <c r="AL962" s="828"/>
      <c r="AM962" s="828"/>
      <c r="AN962" s="828"/>
      <c r="AO962" s="828"/>
      <c r="AP962" s="828"/>
      <c r="AQ962" s="828"/>
      <c r="AR962" s="828"/>
      <c r="AS962" s="828"/>
      <c r="AT962" s="828"/>
      <c r="AU962" s="828"/>
      <c r="AV962" s="828"/>
      <c r="AW962" s="828"/>
      <c r="AX962" s="828"/>
      <c r="AY962" s="828"/>
      <c r="AZ962" s="828"/>
      <c r="BA962" s="828"/>
      <c r="BB962" s="828"/>
      <c r="BC962" s="828"/>
      <c r="BD962" s="828"/>
      <c r="BE962" s="828"/>
      <c r="BF962" s="828"/>
      <c r="BG962" s="828"/>
      <c r="BH962" s="828"/>
      <c r="BI962" s="828"/>
      <c r="BJ962" s="828"/>
      <c r="BK962" s="828"/>
      <c r="BL962" s="828"/>
      <c r="BM962" s="828"/>
      <c r="BN962" s="828"/>
      <c r="BO962" s="828"/>
      <c r="BP962" s="828"/>
      <c r="BQ962" s="828"/>
      <c r="BR962" s="828"/>
      <c r="BS962" s="828"/>
      <c r="BT962" s="828"/>
      <c r="BU962" s="828"/>
      <c r="BV962" s="828"/>
      <c r="BW962" s="828"/>
      <c r="BX962" s="828"/>
      <c r="BY962" s="828"/>
      <c r="BZ962" s="828"/>
      <c r="CA962" s="828"/>
      <c r="CB962" s="828"/>
      <c r="CC962" s="828"/>
      <c r="CD962" s="828"/>
      <c r="CE962" s="828"/>
      <c r="CF962" s="828"/>
      <c r="CG962" s="828"/>
      <c r="CH962" s="828"/>
      <c r="CI962" s="828"/>
      <c r="CJ962" s="828"/>
      <c r="CK962" s="828"/>
      <c r="CL962" s="828"/>
      <c r="CM962" s="828"/>
      <c r="CN962" s="828"/>
      <c r="CO962" s="828"/>
      <c r="CP962" s="828"/>
      <c r="CQ962" s="828"/>
      <c r="CR962" s="828"/>
      <c r="CS962" s="828"/>
      <c r="CT962" s="828"/>
      <c r="CU962" s="828"/>
      <c r="CV962" s="828"/>
      <c r="CW962" s="828"/>
      <c r="CX962" s="828"/>
      <c r="CY962" s="828"/>
      <c r="CZ962" s="828"/>
      <c r="DA962" s="828"/>
      <c r="DB962" s="828"/>
      <c r="DC962" s="828"/>
      <c r="DD962" s="828"/>
      <c r="DE962" s="828"/>
      <c r="DF962" s="828"/>
      <c r="DG962" s="828"/>
      <c r="DH962" s="828"/>
      <c r="DI962" s="828"/>
      <c r="DJ962" s="828"/>
      <c r="DK962" s="828"/>
      <c r="DL962" s="828"/>
      <c r="DM962" s="828"/>
      <c r="DN962" s="828"/>
      <c r="DO962" s="828"/>
      <c r="DP962" s="828"/>
      <c r="DQ962" s="828"/>
      <c r="DR962" s="828"/>
      <c r="DS962" s="828"/>
      <c r="DT962" s="828"/>
      <c r="DU962" s="828"/>
      <c r="DV962" s="828"/>
      <c r="DW962" s="828"/>
      <c r="DX962" s="828"/>
      <c r="DY962" s="828"/>
      <c r="DZ962" s="828"/>
      <c r="EA962" s="828"/>
      <c r="EB962" s="828"/>
      <c r="EC962" s="828"/>
      <c r="ED962" s="828"/>
      <c r="EE962" s="828"/>
      <c r="EF962" s="828"/>
      <c r="EG962" s="828"/>
      <c r="EH962" s="828"/>
      <c r="EI962" s="828"/>
      <c r="EJ962" s="828"/>
      <c r="EK962" s="828"/>
      <c r="EL962" s="828"/>
      <c r="EM962" s="828"/>
      <c r="EN962" s="828"/>
      <c r="EO962" s="828"/>
      <c r="EP962" s="828"/>
      <c r="EQ962" s="828"/>
      <c r="ER962" s="828"/>
      <c r="ES962" s="828"/>
      <c r="ET962" s="828"/>
      <c r="EU962" s="828"/>
      <c r="EV962" s="828"/>
      <c r="EW962" s="828"/>
      <c r="EX962" s="828"/>
      <c r="EY962" s="828"/>
      <c r="EZ962" s="828"/>
      <c r="FA962" s="828"/>
      <c r="FB962" s="828"/>
      <c r="FC962" s="828"/>
      <c r="FD962" s="828"/>
      <c r="FE962" s="828"/>
      <c r="FF962" s="828"/>
      <c r="FG962" s="828"/>
      <c r="FH962" s="828"/>
      <c r="FI962" s="828"/>
      <c r="FJ962" s="828"/>
      <c r="FK962" s="828"/>
      <c r="FL962" s="828"/>
      <c r="FM962" s="828"/>
      <c r="FN962" s="828"/>
      <c r="FO962" s="828"/>
      <c r="FP962" s="828"/>
      <c r="FQ962" s="828"/>
      <c r="FR962" s="828"/>
      <c r="FS962" s="828"/>
      <c r="FT962" s="828"/>
      <c r="FU962" s="828"/>
      <c r="FV962" s="828"/>
      <c r="FW962" s="828"/>
      <c r="FX962" s="828"/>
      <c r="FY962" s="828"/>
      <c r="FZ962" s="828"/>
      <c r="GA962" s="828"/>
      <c r="GB962" s="828"/>
      <c r="GC962" s="828"/>
      <c r="GD962" s="828"/>
      <c r="GE962" s="828"/>
      <c r="GF962" s="828"/>
      <c r="GG962" s="828"/>
      <c r="GH962" s="828"/>
      <c r="GI962" s="828"/>
      <c r="GJ962" s="828"/>
      <c r="GK962" s="828"/>
      <c r="GL962" s="828"/>
      <c r="GM962" s="828"/>
      <c r="GN962" s="828"/>
      <c r="GO962" s="828"/>
      <c r="GP962" s="828"/>
      <c r="GQ962" s="828"/>
      <c r="GR962" s="828"/>
      <c r="GS962" s="828"/>
      <c r="GT962" s="828"/>
      <c r="GU962" s="828"/>
      <c r="GV962" s="828"/>
      <c r="GW962" s="828"/>
      <c r="GX962" s="828"/>
      <c r="GY962" s="828"/>
      <c r="GZ962" s="828"/>
      <c r="HA962" s="828"/>
      <c r="HB962" s="828"/>
      <c r="HC962" s="828"/>
      <c r="HD962" s="828"/>
      <c r="HE962" s="828"/>
      <c r="HF962" s="828"/>
      <c r="HG962" s="828"/>
      <c r="HH962" s="828"/>
      <c r="HI962" s="828"/>
      <c r="HJ962" s="828"/>
      <c r="HK962" s="828"/>
      <c r="HL962" s="828"/>
      <c r="HM962" s="828"/>
      <c r="HN962" s="828"/>
      <c r="HO962" s="828"/>
      <c r="HP962" s="828"/>
      <c r="HQ962" s="828"/>
      <c r="HR962" s="828"/>
      <c r="HS962" s="828"/>
      <c r="HT962" s="828"/>
      <c r="HU962" s="828"/>
      <c r="HV962" s="828"/>
      <c r="HW962" s="828"/>
      <c r="HX962" s="828"/>
      <c r="HY962" s="828"/>
      <c r="HZ962" s="828"/>
      <c r="IA962" s="828"/>
      <c r="IB962" s="828"/>
      <c r="IC962" s="828"/>
      <c r="ID962" s="828"/>
      <c r="IE962" s="828"/>
      <c r="IF962" s="828"/>
      <c r="IG962" s="828"/>
      <c r="IH962" s="828"/>
      <c r="II962" s="828"/>
      <c r="IJ962" s="828"/>
      <c r="IK962" s="828"/>
      <c r="IL962" s="828"/>
      <c r="IM962" s="828"/>
      <c r="IN962" s="828"/>
      <c r="IO962" s="828"/>
      <c r="IP962" s="828"/>
      <c r="IQ962" s="828"/>
      <c r="IR962" s="828"/>
      <c r="IS962" s="828"/>
      <c r="IT962" s="828"/>
      <c r="IU962" s="828"/>
      <c r="IV962" s="828"/>
      <c r="IW962" s="828"/>
      <c r="IX962" s="828"/>
      <c r="IY962" s="828"/>
      <c r="IZ962" s="828"/>
      <c r="JA962" s="828"/>
      <c r="JB962" s="828"/>
      <c r="JC962" s="828"/>
      <c r="JD962" s="828"/>
      <c r="JE962" s="828"/>
      <c r="JF962" s="828"/>
      <c r="JG962" s="828"/>
      <c r="JH962" s="828"/>
      <c r="JI962" s="828"/>
      <c r="JJ962" s="828"/>
      <c r="JK962" s="828"/>
      <c r="JL962" s="828"/>
      <c r="JM962" s="828"/>
      <c r="JN962" s="828"/>
      <c r="JO962" s="828"/>
      <c r="JP962" s="828"/>
      <c r="JQ962" s="828"/>
      <c r="JR962" s="828"/>
      <c r="JS962" s="828"/>
      <c r="JT962" s="828"/>
      <c r="JU962" s="828"/>
      <c r="JV962" s="828"/>
      <c r="JW962" s="828"/>
      <c r="JX962" s="828"/>
      <c r="JY962" s="828"/>
      <c r="JZ962" s="828"/>
      <c r="KA962" s="828"/>
      <c r="KB962" s="828"/>
      <c r="KC962" s="828"/>
      <c r="KD962" s="828"/>
      <c r="KE962" s="828"/>
      <c r="KF962" s="828"/>
      <c r="KG962" s="828"/>
      <c r="KH962" s="828"/>
      <c r="KI962" s="828"/>
      <c r="KJ962" s="828"/>
      <c r="KK962" s="828"/>
      <c r="KL962" s="828"/>
      <c r="KM962" s="828"/>
      <c r="KN962" s="828"/>
      <c r="KO962" s="828"/>
      <c r="KP962" s="828"/>
      <c r="KQ962" s="828"/>
      <c r="KR962" s="828"/>
      <c r="KS962" s="828"/>
      <c r="KT962" s="828"/>
      <c r="KU962" s="828"/>
      <c r="KV962" s="828"/>
      <c r="KW962" s="828"/>
      <c r="KX962" s="828"/>
      <c r="KY962" s="828"/>
      <c r="KZ962" s="828"/>
      <c r="LA962" s="828"/>
      <c r="LB962" s="828"/>
      <c r="LC962" s="828"/>
      <c r="LD962" s="828"/>
      <c r="LE962" s="828"/>
      <c r="LF962" s="828"/>
      <c r="LG962" s="828"/>
      <c r="LH962" s="828"/>
      <c r="LI962" s="828"/>
      <c r="LJ962" s="828"/>
      <c r="LK962" s="828"/>
      <c r="LL962" s="828"/>
      <c r="LM962" s="828"/>
      <c r="LN962" s="828"/>
      <c r="LO962" s="828"/>
      <c r="LP962" s="828"/>
      <c r="LQ962" s="828"/>
      <c r="LR962" s="828"/>
      <c r="LS962" s="828"/>
      <c r="LT962" s="828"/>
      <c r="LU962" s="828"/>
      <c r="LV962" s="828"/>
      <c r="LW962" s="828"/>
      <c r="LX962" s="828"/>
      <c r="LY962" s="828"/>
      <c r="LZ962" s="828"/>
      <c r="MA962" s="828"/>
      <c r="MB962" s="828"/>
      <c r="MC962" s="828"/>
      <c r="MD962" s="828"/>
      <c r="ME962" s="828"/>
      <c r="MF962" s="828"/>
      <c r="MG962" s="828"/>
      <c r="MH962" s="828"/>
      <c r="MI962" s="828"/>
      <c r="MJ962" s="828"/>
      <c r="MK962" s="828"/>
      <c r="ML962" s="828"/>
      <c r="MM962" s="828"/>
      <c r="MN962" s="828"/>
      <c r="MO962" s="828"/>
      <c r="MP962" s="828"/>
      <c r="MQ962" s="828"/>
      <c r="MR962" s="828"/>
      <c r="MS962" s="828"/>
      <c r="MT962" s="828"/>
      <c r="MU962" s="828"/>
      <c r="MV962" s="828"/>
      <c r="MW962" s="828"/>
      <c r="MX962" s="828"/>
      <c r="MY962" s="828"/>
      <c r="MZ962" s="828"/>
      <c r="NA962" s="828"/>
      <c r="NB962" s="828"/>
      <c r="NC962" s="828"/>
      <c r="ND962" s="828"/>
      <c r="NE962" s="828"/>
      <c r="NF962" s="828"/>
      <c r="NG962" s="828"/>
      <c r="NH962" s="828"/>
      <c r="NI962" s="828"/>
      <c r="NJ962" s="828"/>
      <c r="NK962" s="828"/>
      <c r="NL962" s="828"/>
      <c r="NM962" s="828"/>
      <c r="NN962" s="828"/>
      <c r="NO962" s="828"/>
      <c r="NP962" s="828"/>
      <c r="NQ962" s="828"/>
      <c r="NR962" s="828"/>
      <c r="NS962" s="828"/>
      <c r="NT962" s="828"/>
      <c r="NU962" s="828"/>
      <c r="NV962" s="828"/>
      <c r="NW962" s="828"/>
      <c r="NX962" s="828"/>
      <c r="NY962" s="828"/>
      <c r="NZ962" s="828"/>
      <c r="OA962" s="828"/>
      <c r="OB962" s="828"/>
      <c r="OC962" s="828"/>
      <c r="OD962" s="828"/>
      <c r="OE962" s="828"/>
      <c r="OF962" s="828"/>
      <c r="OG962" s="828"/>
      <c r="OH962" s="828"/>
      <c r="OI962" s="828"/>
      <c r="OJ962" s="828"/>
      <c r="OK962" s="828"/>
      <c r="OL962" s="828"/>
      <c r="OM962" s="828"/>
      <c r="ON962" s="828"/>
      <c r="OO962" s="828"/>
      <c r="OP962" s="828"/>
      <c r="OQ962" s="828"/>
      <c r="OR962" s="828"/>
      <c r="OS962" s="828"/>
      <c r="OT962" s="828"/>
      <c r="OU962" s="828"/>
      <c r="OV962" s="828"/>
      <c r="OW962" s="828"/>
      <c r="OX962" s="828"/>
      <c r="OY962" s="828"/>
      <c r="OZ962" s="828"/>
      <c r="PA962" s="828"/>
      <c r="PB962" s="828"/>
      <c r="PC962" s="828"/>
      <c r="PD962" s="828"/>
      <c r="PE962" s="828"/>
      <c r="PF962" s="828"/>
      <c r="PG962" s="828"/>
      <c r="PH962" s="828"/>
      <c r="PI962" s="828"/>
      <c r="PJ962" s="828"/>
      <c r="PK962" s="828"/>
      <c r="PL962" s="828"/>
      <c r="PM962" s="828"/>
      <c r="PN962" s="828"/>
      <c r="PO962" s="828"/>
      <c r="PP962" s="828"/>
      <c r="PQ962" s="828"/>
      <c r="PR962" s="828"/>
      <c r="PS962" s="828"/>
      <c r="PT962" s="828"/>
      <c r="PU962" s="828"/>
      <c r="PV962" s="828"/>
      <c r="PW962" s="828"/>
      <c r="PX962" s="828"/>
      <c r="PY962" s="828"/>
      <c r="PZ962" s="828"/>
      <c r="QA962" s="828"/>
      <c r="QB962" s="828"/>
      <c r="QC962" s="828"/>
      <c r="QD962" s="828"/>
      <c r="QE962" s="828"/>
      <c r="QF962" s="828"/>
      <c r="QG962" s="828"/>
      <c r="QH962" s="828"/>
      <c r="QI962" s="828"/>
      <c r="QJ962" s="828"/>
      <c r="QK962" s="828"/>
      <c r="QL962" s="828"/>
      <c r="QM962" s="828"/>
      <c r="QN962" s="828"/>
      <c r="QO962" s="828"/>
      <c r="QP962" s="828"/>
      <c r="QQ962" s="828"/>
      <c r="QR962" s="828"/>
      <c r="QS962" s="828"/>
      <c r="QT962" s="828"/>
      <c r="QU962" s="828"/>
      <c r="QV962" s="828"/>
      <c r="QW962" s="828"/>
      <c r="QX962" s="828"/>
      <c r="QY962" s="828"/>
      <c r="QZ962" s="828"/>
      <c r="RA962" s="828"/>
      <c r="RB962" s="828"/>
      <c r="RC962" s="828"/>
      <c r="RD962" s="828"/>
      <c r="RE962" s="828"/>
      <c r="RF962" s="828"/>
      <c r="RG962" s="828"/>
      <c r="RH962" s="828"/>
      <c r="RI962" s="828"/>
      <c r="RJ962" s="828"/>
      <c r="RK962" s="828"/>
      <c r="RL962" s="828"/>
      <c r="RM962" s="828"/>
      <c r="RN962" s="828"/>
      <c r="RO962" s="828"/>
      <c r="RP962" s="828"/>
      <c r="RQ962" s="828"/>
      <c r="RR962" s="828"/>
      <c r="RS962" s="828"/>
      <c r="RT962" s="828"/>
      <c r="RU962" s="828"/>
      <c r="RV962" s="828"/>
      <c r="RW962" s="828"/>
      <c r="RX962" s="828"/>
      <c r="RY962" s="828"/>
      <c r="RZ962" s="828"/>
      <c r="SA962" s="828"/>
      <c r="SB962" s="828"/>
      <c r="SC962" s="828"/>
      <c r="SD962" s="828"/>
      <c r="SE962" s="828"/>
      <c r="SF962" s="828"/>
      <c r="SG962" s="828"/>
      <c r="SH962" s="828"/>
      <c r="SI962" s="828"/>
      <c r="SJ962" s="828"/>
      <c r="SK962" s="828"/>
      <c r="SL962" s="828"/>
      <c r="SM962" s="828"/>
      <c r="SN962" s="828"/>
      <c r="SO962" s="828"/>
      <c r="SP962" s="828"/>
      <c r="SQ962" s="828"/>
      <c r="SR962" s="828"/>
      <c r="SS962" s="828"/>
      <c r="ST962" s="828"/>
      <c r="SU962" s="828"/>
      <c r="SV962" s="828"/>
      <c r="SW962" s="828"/>
      <c r="SX962" s="828"/>
      <c r="SY962" s="828"/>
      <c r="SZ962" s="828"/>
      <c r="TA962" s="828"/>
      <c r="TB962" s="828"/>
      <c r="TC962" s="828"/>
      <c r="TD962" s="828"/>
      <c r="TE962" s="828"/>
      <c r="TF962" s="828"/>
      <c r="TG962" s="828"/>
      <c r="TH962" s="828"/>
      <c r="TI962" s="828"/>
      <c r="TJ962" s="828"/>
      <c r="TK962" s="828"/>
      <c r="TL962" s="828"/>
      <c r="TM962" s="828"/>
      <c r="TN962" s="828"/>
      <c r="TO962" s="828"/>
      <c r="TP962" s="828"/>
      <c r="TQ962" s="828"/>
      <c r="TR962" s="828"/>
      <c r="TS962" s="828"/>
      <c r="TT962" s="828"/>
      <c r="TU962" s="828"/>
      <c r="TV962" s="828"/>
      <c r="TW962" s="828"/>
      <c r="TX962" s="828"/>
      <c r="TY962" s="828"/>
      <c r="TZ962" s="828"/>
      <c r="UA962" s="828"/>
      <c r="UB962" s="828"/>
      <c r="UC962" s="828"/>
      <c r="UD962" s="828"/>
      <c r="UE962" s="828"/>
      <c r="UF962" s="828"/>
      <c r="UG962" s="828"/>
      <c r="UH962" s="828"/>
      <c r="UI962" s="828"/>
      <c r="UJ962" s="828"/>
      <c r="UK962" s="828"/>
      <c r="UL962" s="828"/>
      <c r="UM962" s="828"/>
      <c r="UN962" s="828"/>
      <c r="UO962" s="828"/>
      <c r="UP962" s="828"/>
      <c r="UQ962" s="828"/>
      <c r="UR962" s="828"/>
      <c r="US962" s="828"/>
      <c r="UT962" s="828"/>
      <c r="UU962" s="828"/>
      <c r="UV962" s="828"/>
      <c r="UW962" s="828"/>
      <c r="UX962" s="828"/>
      <c r="UY962" s="828"/>
      <c r="UZ962" s="828"/>
      <c r="VA962" s="828"/>
      <c r="VB962" s="828"/>
      <c r="VC962" s="828"/>
      <c r="VD962" s="828"/>
      <c r="VE962" s="828"/>
      <c r="VF962" s="828"/>
      <c r="VG962" s="828"/>
      <c r="VH962" s="828"/>
      <c r="VI962" s="828"/>
      <c r="VJ962" s="828"/>
      <c r="VK962" s="828"/>
      <c r="VL962" s="828"/>
      <c r="VM962" s="828"/>
      <c r="VN962" s="828"/>
      <c r="VO962" s="828"/>
      <c r="VP962" s="828"/>
      <c r="VQ962" s="828"/>
      <c r="VR962" s="828"/>
      <c r="VS962" s="828"/>
      <c r="VT962" s="828"/>
      <c r="VU962" s="828"/>
      <c r="VV962" s="828"/>
      <c r="VW962" s="828"/>
      <c r="VX962" s="828"/>
      <c r="VY962" s="828"/>
      <c r="VZ962" s="828"/>
      <c r="WA962" s="828"/>
      <c r="WB962" s="828"/>
      <c r="WC962" s="828"/>
      <c r="WD962" s="828"/>
      <c r="WE962" s="828"/>
      <c r="WF962" s="828"/>
      <c r="WG962" s="828"/>
      <c r="WH962" s="828"/>
      <c r="WI962" s="828"/>
      <c r="WJ962" s="828"/>
      <c r="WK962" s="828"/>
      <c r="WL962" s="828"/>
      <c r="WM962" s="828"/>
      <c r="WN962" s="828"/>
      <c r="WO962" s="828"/>
      <c r="WP962" s="828"/>
      <c r="WQ962" s="828"/>
      <c r="WR962" s="828"/>
      <c r="WS962" s="828"/>
      <c r="WT962" s="828"/>
      <c r="WU962" s="828"/>
      <c r="WV962" s="828"/>
      <c r="WW962" s="828"/>
      <c r="WX962" s="828"/>
      <c r="WY962" s="828"/>
      <c r="WZ962" s="828"/>
      <c r="XA962" s="828"/>
      <c r="XB962" s="828"/>
      <c r="XC962" s="828"/>
      <c r="XD962" s="828"/>
      <c r="XE962" s="828"/>
      <c r="XF962" s="828"/>
      <c r="XG962" s="828"/>
      <c r="XH962" s="828"/>
      <c r="XI962" s="828"/>
      <c r="XJ962" s="828"/>
      <c r="XK962" s="828"/>
      <c r="XL962" s="828"/>
      <c r="XM962" s="828"/>
      <c r="XN962" s="828"/>
      <c r="XO962" s="828"/>
      <c r="XP962" s="828"/>
      <c r="XQ962" s="828"/>
      <c r="XR962" s="828"/>
      <c r="XS962" s="828"/>
      <c r="XT962" s="828"/>
      <c r="XU962" s="828"/>
      <c r="XV962" s="828"/>
      <c r="XW962" s="828"/>
      <c r="XX962" s="828"/>
      <c r="XY962" s="828"/>
      <c r="XZ962" s="828"/>
      <c r="YA962" s="828"/>
      <c r="YB962" s="828"/>
      <c r="YC962" s="828"/>
      <c r="YD962" s="828"/>
      <c r="YE962" s="828"/>
      <c r="YF962" s="828"/>
      <c r="YG962" s="828"/>
      <c r="YH962" s="828"/>
      <c r="YI962" s="828"/>
      <c r="YJ962" s="828"/>
      <c r="YK962" s="828"/>
      <c r="YL962" s="828"/>
      <c r="YM962" s="828"/>
      <c r="YN962" s="828"/>
      <c r="YO962" s="828"/>
      <c r="YP962" s="828"/>
      <c r="YQ962" s="828"/>
      <c r="YR962" s="828"/>
      <c r="YS962" s="828"/>
      <c r="YT962" s="828"/>
      <c r="YU962" s="828"/>
      <c r="YV962" s="828"/>
      <c r="YW962" s="828"/>
      <c r="YX962" s="828"/>
      <c r="YY962" s="828"/>
      <c r="YZ962" s="828"/>
      <c r="ZA962" s="828"/>
      <c r="ZB962" s="828"/>
      <c r="ZC962" s="828"/>
      <c r="ZD962" s="828"/>
      <c r="ZE962" s="828"/>
      <c r="ZF962" s="828"/>
      <c r="ZG962" s="828"/>
      <c r="ZH962" s="828"/>
      <c r="ZI962" s="828"/>
      <c r="ZJ962" s="828"/>
      <c r="ZK962" s="828"/>
      <c r="ZL962" s="828"/>
      <c r="ZM962" s="828"/>
      <c r="ZN962" s="828"/>
      <c r="ZO962" s="828"/>
      <c r="ZP962" s="828"/>
      <c r="ZQ962" s="828"/>
      <c r="ZR962" s="828"/>
      <c r="ZS962" s="828"/>
      <c r="ZT962" s="828"/>
      <c r="ZU962" s="828"/>
      <c r="ZV962" s="828"/>
      <c r="ZW962" s="828"/>
      <c r="ZX962" s="828"/>
      <c r="ZY962" s="828"/>
      <c r="ZZ962" s="828"/>
      <c r="AAA962" s="828"/>
      <c r="AAB962" s="828"/>
      <c r="AAC962" s="828"/>
      <c r="AAD962" s="828"/>
      <c r="AAE962" s="828"/>
      <c r="AAF962" s="828"/>
      <c r="AAG962" s="828"/>
      <c r="AAH962" s="828"/>
      <c r="AAI962" s="828"/>
      <c r="AAJ962" s="828"/>
      <c r="AAK962" s="828"/>
      <c r="AAL962" s="828"/>
      <c r="AAM962" s="828"/>
      <c r="AAN962" s="828"/>
      <c r="AAO962" s="828"/>
      <c r="AAP962" s="828"/>
      <c r="AAQ962" s="828"/>
      <c r="AAR962" s="828"/>
      <c r="AAS962" s="828"/>
      <c r="AAT962" s="828"/>
      <c r="AAU962" s="828"/>
      <c r="AAV962" s="828"/>
      <c r="AAW962" s="828"/>
      <c r="AAX962" s="828"/>
      <c r="AAY962" s="828"/>
      <c r="AAZ962" s="828"/>
      <c r="ABA962" s="828"/>
      <c r="ABB962" s="828"/>
      <c r="ABC962" s="828"/>
      <c r="ABD962" s="828"/>
      <c r="ABE962" s="828"/>
      <c r="ABF962" s="828"/>
      <c r="ABG962" s="828"/>
      <c r="ABH962" s="828"/>
      <c r="ABI962" s="828"/>
      <c r="ABJ962" s="828"/>
      <c r="ABK962" s="828"/>
      <c r="ABL962" s="828"/>
      <c r="ABM962" s="828"/>
      <c r="ABN962" s="828"/>
      <c r="ABO962" s="828"/>
      <c r="ABP962" s="828"/>
      <c r="ABQ962" s="828"/>
      <c r="ABR962" s="828"/>
      <c r="ABS962" s="828"/>
      <c r="ABT962" s="828"/>
      <c r="ABU962" s="828"/>
      <c r="ABV962" s="828"/>
      <c r="ABW962" s="828"/>
      <c r="ABX962" s="828"/>
      <c r="ABY962" s="828"/>
      <c r="ABZ962" s="828"/>
      <c r="ACA962" s="828"/>
      <c r="ACB962" s="828"/>
      <c r="ACC962" s="828"/>
      <c r="ACD962" s="828"/>
      <c r="ACE962" s="828"/>
      <c r="ACF962" s="828"/>
      <c r="ACG962" s="828"/>
      <c r="ACH962" s="828"/>
      <c r="ACI962" s="828"/>
      <c r="ACJ962" s="828"/>
      <c r="ACK962" s="828"/>
      <c r="ACL962" s="828"/>
      <c r="ACM962" s="828"/>
      <c r="ACN962" s="828"/>
      <c r="ACO962" s="828"/>
      <c r="ACP962" s="828"/>
      <c r="ACQ962" s="828"/>
      <c r="ACR962" s="828"/>
      <c r="ACS962" s="828"/>
      <c r="ACT962" s="828"/>
      <c r="ACU962" s="828"/>
      <c r="ACV962" s="828"/>
      <c r="ACW962" s="828"/>
      <c r="ACX962" s="828"/>
      <c r="ACY962" s="828"/>
      <c r="ACZ962" s="828"/>
      <c r="ADA962" s="828"/>
      <c r="ADB962" s="828"/>
      <c r="ADC962" s="828"/>
      <c r="ADD962" s="828"/>
      <c r="ADE962" s="828"/>
      <c r="ADF962" s="828"/>
      <c r="ADG962" s="828"/>
      <c r="ADH962" s="828"/>
      <c r="ADI962" s="828"/>
      <c r="ADJ962" s="828"/>
      <c r="ADK962" s="828"/>
      <c r="ADL962" s="828"/>
      <c r="ADM962" s="828"/>
      <c r="ADN962" s="828"/>
      <c r="ADO962" s="828"/>
      <c r="ADP962" s="828"/>
      <c r="ADQ962" s="828"/>
      <c r="ADR962" s="828"/>
      <c r="ADS962" s="828"/>
      <c r="ADT962" s="828"/>
      <c r="ADU962" s="828"/>
      <c r="ADV962" s="828"/>
      <c r="ADW962" s="828"/>
      <c r="ADX962" s="828"/>
      <c r="ADY962" s="828"/>
      <c r="ADZ962" s="828"/>
      <c r="AEA962" s="828"/>
      <c r="AEB962" s="828"/>
      <c r="AEC962" s="828"/>
      <c r="AED962" s="828"/>
      <c r="AEE962" s="828"/>
      <c r="AEF962" s="828"/>
      <c r="AEG962" s="828"/>
      <c r="AEH962" s="828"/>
      <c r="AEI962" s="828"/>
      <c r="AEJ962" s="828"/>
      <c r="AEK962" s="828"/>
      <c r="AEL962" s="828"/>
      <c r="AEM962" s="828"/>
      <c r="AEN962" s="828"/>
      <c r="AEO962" s="828"/>
      <c r="AEP962" s="828"/>
      <c r="AEQ962" s="828"/>
      <c r="AER962" s="828"/>
      <c r="AES962" s="828"/>
      <c r="AET962" s="828"/>
      <c r="AEU962" s="828"/>
      <c r="AEV962" s="828"/>
      <c r="AEW962" s="828"/>
      <c r="AEX962" s="828"/>
      <c r="AEY962" s="828"/>
      <c r="AEZ962" s="828"/>
      <c r="AFA962" s="828"/>
      <c r="AFB962" s="828"/>
      <c r="AFC962" s="828"/>
      <c r="AFD962" s="828"/>
      <c r="AFE962" s="828"/>
      <c r="AFF962" s="828"/>
      <c r="AFG962" s="828"/>
      <c r="AFH962" s="828"/>
      <c r="AFI962" s="828"/>
      <c r="AFJ962" s="828"/>
      <c r="AFK962" s="828"/>
      <c r="AFL962" s="828"/>
      <c r="AFM962" s="828"/>
      <c r="AFN962" s="828"/>
      <c r="AFO962" s="828"/>
      <c r="AFP962" s="828"/>
      <c r="AFQ962" s="828"/>
      <c r="AFR962" s="828"/>
      <c r="AFS962" s="828"/>
      <c r="AFT962" s="828"/>
      <c r="AFU962" s="828"/>
      <c r="AFV962" s="828"/>
      <c r="AFW962" s="828"/>
      <c r="AFX962" s="828"/>
      <c r="AFY962" s="828"/>
      <c r="AFZ962" s="828"/>
      <c r="AGA962" s="828"/>
      <c r="AGB962" s="828"/>
      <c r="AGC962" s="828"/>
      <c r="AGD962" s="828"/>
      <c r="AGE962" s="828"/>
      <c r="AGF962" s="828"/>
      <c r="AGG962" s="828"/>
      <c r="AGH962" s="828"/>
      <c r="AGI962" s="828"/>
      <c r="AGJ962" s="828"/>
    </row>
    <row r="963" spans="1:868" s="7" customFormat="1" hidden="1">
      <c r="A963" s="626" t="s">
        <v>127</v>
      </c>
      <c r="B963" s="59" t="s">
        <v>455</v>
      </c>
      <c r="C963" s="40" t="s">
        <v>147</v>
      </c>
      <c r="D963" s="34" t="s">
        <v>107</v>
      </c>
      <c r="E963" s="880">
        <v>7.810419810064792E-2</v>
      </c>
      <c r="F963" s="34">
        <v>2</v>
      </c>
      <c r="G963" s="40" t="s">
        <v>451</v>
      </c>
      <c r="H963" s="29">
        <v>1</v>
      </c>
      <c r="I963" s="9">
        <v>2</v>
      </c>
      <c r="J963" s="9">
        <v>2</v>
      </c>
      <c r="K963" s="9">
        <v>1</v>
      </c>
      <c r="L963" s="9">
        <v>1</v>
      </c>
      <c r="M963" s="9">
        <v>2</v>
      </c>
      <c r="N963" s="186">
        <f t="shared" si="53"/>
        <v>0.35859414261160716</v>
      </c>
      <c r="O963" s="160">
        <f t="shared" si="51"/>
        <v>0.37356464144298934</v>
      </c>
      <c r="P963" s="63"/>
      <c r="Q963" s="828"/>
      <c r="R963" s="828"/>
      <c r="S963" s="828"/>
      <c r="T963" s="828"/>
      <c r="U963" s="828"/>
      <c r="V963" s="828"/>
      <c r="W963" s="828"/>
      <c r="X963" s="828"/>
      <c r="Y963" s="828"/>
      <c r="Z963" s="828"/>
      <c r="AA963" s="828"/>
      <c r="AB963" s="828"/>
      <c r="AC963" s="828"/>
      <c r="AD963" s="828"/>
      <c r="AE963" s="828"/>
      <c r="AF963" s="828"/>
      <c r="AG963" s="828"/>
      <c r="AH963" s="828"/>
      <c r="AI963" s="828"/>
      <c r="AJ963" s="828"/>
      <c r="AK963" s="828"/>
      <c r="AL963" s="828"/>
      <c r="AM963" s="828"/>
      <c r="AN963" s="828"/>
      <c r="AO963" s="828"/>
      <c r="AP963" s="828"/>
      <c r="AQ963" s="828"/>
      <c r="AR963" s="828"/>
      <c r="AS963" s="828"/>
      <c r="AT963" s="828"/>
      <c r="AU963" s="828"/>
      <c r="AV963" s="828"/>
      <c r="AW963" s="828"/>
      <c r="AX963" s="828"/>
      <c r="AY963" s="828"/>
      <c r="AZ963" s="828"/>
      <c r="BA963" s="828"/>
      <c r="BB963" s="828"/>
      <c r="BC963" s="828"/>
      <c r="BD963" s="828"/>
      <c r="BE963" s="828"/>
      <c r="BF963" s="828"/>
      <c r="BG963" s="828"/>
      <c r="BH963" s="828"/>
      <c r="BI963" s="828"/>
      <c r="BJ963" s="828"/>
      <c r="BK963" s="828"/>
      <c r="BL963" s="828"/>
      <c r="BM963" s="828"/>
      <c r="BN963" s="828"/>
      <c r="BO963" s="828"/>
      <c r="BP963" s="828"/>
      <c r="BQ963" s="828"/>
      <c r="BR963" s="828"/>
      <c r="BS963" s="828"/>
      <c r="BT963" s="828"/>
      <c r="BU963" s="828"/>
      <c r="BV963" s="828"/>
      <c r="BW963" s="828"/>
      <c r="BX963" s="828"/>
      <c r="BY963" s="828"/>
      <c r="BZ963" s="828"/>
      <c r="CA963" s="828"/>
      <c r="CB963" s="828"/>
      <c r="CC963" s="828"/>
      <c r="CD963" s="828"/>
      <c r="CE963" s="828"/>
      <c r="CF963" s="828"/>
      <c r="CG963" s="828"/>
      <c r="CH963" s="828"/>
      <c r="CI963" s="828"/>
      <c r="CJ963" s="828"/>
      <c r="CK963" s="828"/>
      <c r="CL963" s="828"/>
      <c r="CM963" s="828"/>
      <c r="CN963" s="828"/>
      <c r="CO963" s="828"/>
      <c r="CP963" s="828"/>
      <c r="CQ963" s="828"/>
      <c r="CR963" s="828"/>
      <c r="CS963" s="828"/>
      <c r="CT963" s="828"/>
      <c r="CU963" s="828"/>
      <c r="CV963" s="828"/>
      <c r="CW963" s="828"/>
      <c r="CX963" s="828"/>
      <c r="CY963" s="828"/>
      <c r="CZ963" s="828"/>
      <c r="DA963" s="828"/>
      <c r="DB963" s="828"/>
      <c r="DC963" s="828"/>
      <c r="DD963" s="828"/>
      <c r="DE963" s="828"/>
      <c r="DF963" s="828"/>
      <c r="DG963" s="828"/>
      <c r="DH963" s="828"/>
      <c r="DI963" s="828"/>
      <c r="DJ963" s="828"/>
      <c r="DK963" s="828"/>
      <c r="DL963" s="828"/>
      <c r="DM963" s="828"/>
      <c r="DN963" s="828"/>
      <c r="DO963" s="828"/>
      <c r="DP963" s="828"/>
      <c r="DQ963" s="828"/>
      <c r="DR963" s="828"/>
      <c r="DS963" s="828"/>
      <c r="DT963" s="828"/>
      <c r="DU963" s="828"/>
      <c r="DV963" s="828"/>
      <c r="DW963" s="828"/>
      <c r="DX963" s="828"/>
      <c r="DY963" s="828"/>
      <c r="DZ963" s="828"/>
      <c r="EA963" s="828"/>
      <c r="EB963" s="828"/>
      <c r="EC963" s="828"/>
      <c r="ED963" s="828"/>
      <c r="EE963" s="828"/>
      <c r="EF963" s="828"/>
      <c r="EG963" s="828"/>
      <c r="EH963" s="828"/>
      <c r="EI963" s="828"/>
      <c r="EJ963" s="828"/>
      <c r="EK963" s="828"/>
      <c r="EL963" s="828"/>
      <c r="EM963" s="828"/>
      <c r="EN963" s="828"/>
      <c r="EO963" s="828"/>
      <c r="EP963" s="828"/>
      <c r="EQ963" s="828"/>
      <c r="ER963" s="828"/>
      <c r="ES963" s="828"/>
      <c r="ET963" s="828"/>
      <c r="EU963" s="828"/>
      <c r="EV963" s="828"/>
      <c r="EW963" s="828"/>
      <c r="EX963" s="828"/>
      <c r="EY963" s="828"/>
      <c r="EZ963" s="828"/>
      <c r="FA963" s="828"/>
      <c r="FB963" s="828"/>
      <c r="FC963" s="828"/>
      <c r="FD963" s="828"/>
      <c r="FE963" s="828"/>
      <c r="FF963" s="828"/>
      <c r="FG963" s="828"/>
      <c r="FH963" s="828"/>
      <c r="FI963" s="828"/>
      <c r="FJ963" s="828"/>
      <c r="FK963" s="828"/>
      <c r="FL963" s="828"/>
      <c r="FM963" s="828"/>
      <c r="FN963" s="828"/>
      <c r="FO963" s="828"/>
      <c r="FP963" s="828"/>
      <c r="FQ963" s="828"/>
      <c r="FR963" s="828"/>
      <c r="FS963" s="828"/>
      <c r="FT963" s="828"/>
      <c r="FU963" s="828"/>
      <c r="FV963" s="828"/>
      <c r="FW963" s="828"/>
      <c r="FX963" s="828"/>
      <c r="FY963" s="828"/>
      <c r="FZ963" s="828"/>
      <c r="GA963" s="828"/>
      <c r="GB963" s="828"/>
      <c r="GC963" s="828"/>
      <c r="GD963" s="828"/>
      <c r="GE963" s="828"/>
      <c r="GF963" s="828"/>
      <c r="GG963" s="828"/>
      <c r="GH963" s="828"/>
      <c r="GI963" s="828"/>
      <c r="GJ963" s="828"/>
      <c r="GK963" s="828"/>
      <c r="GL963" s="828"/>
      <c r="GM963" s="828"/>
      <c r="GN963" s="828"/>
      <c r="GO963" s="828"/>
      <c r="GP963" s="828"/>
      <c r="GQ963" s="828"/>
      <c r="GR963" s="828"/>
      <c r="GS963" s="828"/>
      <c r="GT963" s="828"/>
      <c r="GU963" s="828"/>
      <c r="GV963" s="828"/>
      <c r="GW963" s="828"/>
      <c r="GX963" s="828"/>
      <c r="GY963" s="828"/>
      <c r="GZ963" s="828"/>
      <c r="HA963" s="828"/>
      <c r="HB963" s="828"/>
      <c r="HC963" s="828"/>
      <c r="HD963" s="828"/>
      <c r="HE963" s="828"/>
      <c r="HF963" s="828"/>
      <c r="HG963" s="828"/>
      <c r="HH963" s="828"/>
      <c r="HI963" s="828"/>
      <c r="HJ963" s="828"/>
      <c r="HK963" s="828"/>
      <c r="HL963" s="828"/>
      <c r="HM963" s="828"/>
      <c r="HN963" s="828"/>
      <c r="HO963" s="828"/>
      <c r="HP963" s="828"/>
      <c r="HQ963" s="828"/>
      <c r="HR963" s="828"/>
      <c r="HS963" s="828"/>
      <c r="HT963" s="828"/>
      <c r="HU963" s="828"/>
      <c r="HV963" s="828"/>
      <c r="HW963" s="828"/>
      <c r="HX963" s="828"/>
      <c r="HY963" s="828"/>
      <c r="HZ963" s="828"/>
      <c r="IA963" s="828"/>
      <c r="IB963" s="828"/>
      <c r="IC963" s="828"/>
      <c r="ID963" s="828"/>
      <c r="IE963" s="828"/>
      <c r="IF963" s="828"/>
      <c r="IG963" s="828"/>
      <c r="IH963" s="828"/>
      <c r="II963" s="828"/>
      <c r="IJ963" s="828"/>
      <c r="IK963" s="828"/>
      <c r="IL963" s="828"/>
      <c r="IM963" s="828"/>
      <c r="IN963" s="828"/>
      <c r="IO963" s="828"/>
      <c r="IP963" s="828"/>
      <c r="IQ963" s="828"/>
      <c r="IR963" s="828"/>
      <c r="IS963" s="828"/>
      <c r="IT963" s="828"/>
      <c r="IU963" s="828"/>
      <c r="IV963" s="828"/>
      <c r="IW963" s="828"/>
      <c r="IX963" s="828"/>
      <c r="IY963" s="828"/>
      <c r="IZ963" s="828"/>
      <c r="JA963" s="828"/>
      <c r="JB963" s="828"/>
      <c r="JC963" s="828"/>
      <c r="JD963" s="828"/>
      <c r="JE963" s="828"/>
      <c r="JF963" s="828"/>
      <c r="JG963" s="828"/>
      <c r="JH963" s="828"/>
      <c r="JI963" s="828"/>
      <c r="JJ963" s="828"/>
      <c r="JK963" s="828"/>
      <c r="JL963" s="828"/>
      <c r="JM963" s="828"/>
      <c r="JN963" s="828"/>
      <c r="JO963" s="828"/>
      <c r="JP963" s="828"/>
      <c r="JQ963" s="828"/>
      <c r="JR963" s="828"/>
      <c r="JS963" s="828"/>
      <c r="JT963" s="828"/>
      <c r="JU963" s="828"/>
      <c r="JV963" s="828"/>
      <c r="JW963" s="828"/>
      <c r="JX963" s="828"/>
      <c r="JY963" s="828"/>
      <c r="JZ963" s="828"/>
      <c r="KA963" s="828"/>
      <c r="KB963" s="828"/>
      <c r="KC963" s="828"/>
      <c r="KD963" s="828"/>
      <c r="KE963" s="828"/>
      <c r="KF963" s="828"/>
      <c r="KG963" s="828"/>
      <c r="KH963" s="828"/>
      <c r="KI963" s="828"/>
      <c r="KJ963" s="828"/>
      <c r="KK963" s="828"/>
      <c r="KL963" s="828"/>
      <c r="KM963" s="828"/>
      <c r="KN963" s="828"/>
      <c r="KO963" s="828"/>
      <c r="KP963" s="828"/>
      <c r="KQ963" s="828"/>
      <c r="KR963" s="828"/>
      <c r="KS963" s="828"/>
      <c r="KT963" s="828"/>
      <c r="KU963" s="828"/>
      <c r="KV963" s="828"/>
      <c r="KW963" s="828"/>
      <c r="KX963" s="828"/>
      <c r="KY963" s="828"/>
      <c r="KZ963" s="828"/>
      <c r="LA963" s="828"/>
      <c r="LB963" s="828"/>
      <c r="LC963" s="828"/>
      <c r="LD963" s="828"/>
      <c r="LE963" s="828"/>
      <c r="LF963" s="828"/>
      <c r="LG963" s="828"/>
      <c r="LH963" s="828"/>
      <c r="LI963" s="828"/>
      <c r="LJ963" s="828"/>
      <c r="LK963" s="828"/>
      <c r="LL963" s="828"/>
      <c r="LM963" s="828"/>
      <c r="LN963" s="828"/>
      <c r="LO963" s="828"/>
      <c r="LP963" s="828"/>
      <c r="LQ963" s="828"/>
      <c r="LR963" s="828"/>
      <c r="LS963" s="828"/>
      <c r="LT963" s="828"/>
      <c r="LU963" s="828"/>
      <c r="LV963" s="828"/>
      <c r="LW963" s="828"/>
      <c r="LX963" s="828"/>
      <c r="LY963" s="828"/>
      <c r="LZ963" s="828"/>
      <c r="MA963" s="828"/>
      <c r="MB963" s="828"/>
      <c r="MC963" s="828"/>
      <c r="MD963" s="828"/>
      <c r="ME963" s="828"/>
      <c r="MF963" s="828"/>
      <c r="MG963" s="828"/>
      <c r="MH963" s="828"/>
      <c r="MI963" s="828"/>
      <c r="MJ963" s="828"/>
      <c r="MK963" s="828"/>
      <c r="ML963" s="828"/>
      <c r="MM963" s="828"/>
      <c r="MN963" s="828"/>
      <c r="MO963" s="828"/>
      <c r="MP963" s="828"/>
      <c r="MQ963" s="828"/>
      <c r="MR963" s="828"/>
      <c r="MS963" s="828"/>
      <c r="MT963" s="828"/>
      <c r="MU963" s="828"/>
      <c r="MV963" s="828"/>
      <c r="MW963" s="828"/>
      <c r="MX963" s="828"/>
      <c r="MY963" s="828"/>
      <c r="MZ963" s="828"/>
      <c r="NA963" s="828"/>
      <c r="NB963" s="828"/>
      <c r="NC963" s="828"/>
      <c r="ND963" s="828"/>
      <c r="NE963" s="828"/>
      <c r="NF963" s="828"/>
      <c r="NG963" s="828"/>
      <c r="NH963" s="828"/>
      <c r="NI963" s="828"/>
      <c r="NJ963" s="828"/>
      <c r="NK963" s="828"/>
      <c r="NL963" s="828"/>
      <c r="NM963" s="828"/>
      <c r="NN963" s="828"/>
      <c r="NO963" s="828"/>
      <c r="NP963" s="828"/>
      <c r="NQ963" s="828"/>
      <c r="NR963" s="828"/>
      <c r="NS963" s="828"/>
      <c r="NT963" s="828"/>
      <c r="NU963" s="828"/>
      <c r="NV963" s="828"/>
      <c r="NW963" s="828"/>
      <c r="NX963" s="828"/>
      <c r="NY963" s="828"/>
      <c r="NZ963" s="828"/>
      <c r="OA963" s="828"/>
      <c r="OB963" s="828"/>
      <c r="OC963" s="828"/>
      <c r="OD963" s="828"/>
      <c r="OE963" s="828"/>
      <c r="OF963" s="828"/>
      <c r="OG963" s="828"/>
      <c r="OH963" s="828"/>
      <c r="OI963" s="828"/>
      <c r="OJ963" s="828"/>
      <c r="OK963" s="828"/>
      <c r="OL963" s="828"/>
      <c r="OM963" s="828"/>
      <c r="ON963" s="828"/>
      <c r="OO963" s="828"/>
      <c r="OP963" s="828"/>
      <c r="OQ963" s="828"/>
      <c r="OR963" s="828"/>
      <c r="OS963" s="828"/>
      <c r="OT963" s="828"/>
      <c r="OU963" s="828"/>
      <c r="OV963" s="828"/>
      <c r="OW963" s="828"/>
      <c r="OX963" s="828"/>
      <c r="OY963" s="828"/>
      <c r="OZ963" s="828"/>
      <c r="PA963" s="828"/>
      <c r="PB963" s="828"/>
      <c r="PC963" s="828"/>
      <c r="PD963" s="828"/>
      <c r="PE963" s="828"/>
      <c r="PF963" s="828"/>
      <c r="PG963" s="828"/>
      <c r="PH963" s="828"/>
      <c r="PI963" s="828"/>
      <c r="PJ963" s="828"/>
      <c r="PK963" s="828"/>
      <c r="PL963" s="828"/>
      <c r="PM963" s="828"/>
      <c r="PN963" s="828"/>
      <c r="PO963" s="828"/>
      <c r="PP963" s="828"/>
      <c r="PQ963" s="828"/>
      <c r="PR963" s="828"/>
      <c r="PS963" s="828"/>
      <c r="PT963" s="828"/>
      <c r="PU963" s="828"/>
      <c r="PV963" s="828"/>
      <c r="PW963" s="828"/>
      <c r="PX963" s="828"/>
      <c r="PY963" s="828"/>
      <c r="PZ963" s="828"/>
      <c r="QA963" s="828"/>
      <c r="QB963" s="828"/>
      <c r="QC963" s="828"/>
      <c r="QD963" s="828"/>
      <c r="QE963" s="828"/>
      <c r="QF963" s="828"/>
      <c r="QG963" s="828"/>
      <c r="QH963" s="828"/>
      <c r="QI963" s="828"/>
      <c r="QJ963" s="828"/>
      <c r="QK963" s="828"/>
      <c r="QL963" s="828"/>
      <c r="QM963" s="828"/>
      <c r="QN963" s="828"/>
      <c r="QO963" s="828"/>
      <c r="QP963" s="828"/>
      <c r="QQ963" s="828"/>
      <c r="QR963" s="828"/>
      <c r="QS963" s="828"/>
      <c r="QT963" s="828"/>
      <c r="QU963" s="828"/>
      <c r="QV963" s="828"/>
      <c r="QW963" s="828"/>
      <c r="QX963" s="828"/>
      <c r="QY963" s="828"/>
      <c r="QZ963" s="828"/>
      <c r="RA963" s="828"/>
      <c r="RB963" s="828"/>
      <c r="RC963" s="828"/>
      <c r="RD963" s="828"/>
      <c r="RE963" s="828"/>
      <c r="RF963" s="828"/>
      <c r="RG963" s="828"/>
      <c r="RH963" s="828"/>
      <c r="RI963" s="828"/>
      <c r="RJ963" s="828"/>
      <c r="RK963" s="828"/>
      <c r="RL963" s="828"/>
      <c r="RM963" s="828"/>
      <c r="RN963" s="828"/>
      <c r="RO963" s="828"/>
      <c r="RP963" s="828"/>
      <c r="RQ963" s="828"/>
      <c r="RR963" s="828"/>
      <c r="RS963" s="828"/>
      <c r="RT963" s="828"/>
      <c r="RU963" s="828"/>
      <c r="RV963" s="828"/>
      <c r="RW963" s="828"/>
      <c r="RX963" s="828"/>
      <c r="RY963" s="828"/>
      <c r="RZ963" s="828"/>
      <c r="SA963" s="828"/>
      <c r="SB963" s="828"/>
      <c r="SC963" s="828"/>
      <c r="SD963" s="828"/>
      <c r="SE963" s="828"/>
      <c r="SF963" s="828"/>
      <c r="SG963" s="828"/>
      <c r="SH963" s="828"/>
      <c r="SI963" s="828"/>
      <c r="SJ963" s="828"/>
      <c r="SK963" s="828"/>
      <c r="SL963" s="828"/>
      <c r="SM963" s="828"/>
      <c r="SN963" s="828"/>
      <c r="SO963" s="828"/>
      <c r="SP963" s="828"/>
      <c r="SQ963" s="828"/>
      <c r="SR963" s="828"/>
      <c r="SS963" s="828"/>
      <c r="ST963" s="828"/>
      <c r="SU963" s="828"/>
      <c r="SV963" s="828"/>
      <c r="SW963" s="828"/>
      <c r="SX963" s="828"/>
      <c r="SY963" s="828"/>
      <c r="SZ963" s="828"/>
      <c r="TA963" s="828"/>
      <c r="TB963" s="828"/>
      <c r="TC963" s="828"/>
      <c r="TD963" s="828"/>
      <c r="TE963" s="828"/>
      <c r="TF963" s="828"/>
      <c r="TG963" s="828"/>
      <c r="TH963" s="828"/>
      <c r="TI963" s="828"/>
      <c r="TJ963" s="828"/>
      <c r="TK963" s="828"/>
      <c r="TL963" s="828"/>
      <c r="TM963" s="828"/>
      <c r="TN963" s="828"/>
      <c r="TO963" s="828"/>
      <c r="TP963" s="828"/>
      <c r="TQ963" s="828"/>
      <c r="TR963" s="828"/>
      <c r="TS963" s="828"/>
      <c r="TT963" s="828"/>
      <c r="TU963" s="828"/>
      <c r="TV963" s="828"/>
      <c r="TW963" s="828"/>
      <c r="TX963" s="828"/>
      <c r="TY963" s="828"/>
      <c r="TZ963" s="828"/>
      <c r="UA963" s="828"/>
      <c r="UB963" s="828"/>
      <c r="UC963" s="828"/>
      <c r="UD963" s="828"/>
      <c r="UE963" s="828"/>
      <c r="UF963" s="828"/>
      <c r="UG963" s="828"/>
      <c r="UH963" s="828"/>
      <c r="UI963" s="828"/>
      <c r="UJ963" s="828"/>
      <c r="UK963" s="828"/>
      <c r="UL963" s="828"/>
      <c r="UM963" s="828"/>
      <c r="UN963" s="828"/>
      <c r="UO963" s="828"/>
      <c r="UP963" s="828"/>
      <c r="UQ963" s="828"/>
      <c r="UR963" s="828"/>
      <c r="US963" s="828"/>
      <c r="UT963" s="828"/>
      <c r="UU963" s="828"/>
      <c r="UV963" s="828"/>
      <c r="UW963" s="828"/>
      <c r="UX963" s="828"/>
      <c r="UY963" s="828"/>
      <c r="UZ963" s="828"/>
      <c r="VA963" s="828"/>
      <c r="VB963" s="828"/>
      <c r="VC963" s="828"/>
      <c r="VD963" s="828"/>
      <c r="VE963" s="828"/>
      <c r="VF963" s="828"/>
      <c r="VG963" s="828"/>
      <c r="VH963" s="828"/>
      <c r="VI963" s="828"/>
      <c r="VJ963" s="828"/>
      <c r="VK963" s="828"/>
      <c r="VL963" s="828"/>
      <c r="VM963" s="828"/>
      <c r="VN963" s="828"/>
      <c r="VO963" s="828"/>
      <c r="VP963" s="828"/>
      <c r="VQ963" s="828"/>
      <c r="VR963" s="828"/>
      <c r="VS963" s="828"/>
      <c r="VT963" s="828"/>
      <c r="VU963" s="828"/>
      <c r="VV963" s="828"/>
      <c r="VW963" s="828"/>
      <c r="VX963" s="828"/>
      <c r="VY963" s="828"/>
      <c r="VZ963" s="828"/>
      <c r="WA963" s="828"/>
      <c r="WB963" s="828"/>
      <c r="WC963" s="828"/>
      <c r="WD963" s="828"/>
      <c r="WE963" s="828"/>
      <c r="WF963" s="828"/>
      <c r="WG963" s="828"/>
      <c r="WH963" s="828"/>
      <c r="WI963" s="828"/>
      <c r="WJ963" s="828"/>
      <c r="WK963" s="828"/>
      <c r="WL963" s="828"/>
      <c r="WM963" s="828"/>
      <c r="WN963" s="828"/>
      <c r="WO963" s="828"/>
      <c r="WP963" s="828"/>
      <c r="WQ963" s="828"/>
      <c r="WR963" s="828"/>
      <c r="WS963" s="828"/>
      <c r="WT963" s="828"/>
      <c r="WU963" s="828"/>
      <c r="WV963" s="828"/>
      <c r="WW963" s="828"/>
      <c r="WX963" s="828"/>
      <c r="WY963" s="828"/>
      <c r="WZ963" s="828"/>
      <c r="XA963" s="828"/>
      <c r="XB963" s="828"/>
      <c r="XC963" s="828"/>
      <c r="XD963" s="828"/>
      <c r="XE963" s="828"/>
      <c r="XF963" s="828"/>
      <c r="XG963" s="828"/>
      <c r="XH963" s="828"/>
      <c r="XI963" s="828"/>
      <c r="XJ963" s="828"/>
      <c r="XK963" s="828"/>
      <c r="XL963" s="828"/>
      <c r="XM963" s="828"/>
      <c r="XN963" s="828"/>
      <c r="XO963" s="828"/>
      <c r="XP963" s="828"/>
      <c r="XQ963" s="828"/>
      <c r="XR963" s="828"/>
      <c r="XS963" s="828"/>
      <c r="XT963" s="828"/>
      <c r="XU963" s="828"/>
      <c r="XV963" s="828"/>
      <c r="XW963" s="828"/>
      <c r="XX963" s="828"/>
      <c r="XY963" s="828"/>
      <c r="XZ963" s="828"/>
      <c r="YA963" s="828"/>
      <c r="YB963" s="828"/>
      <c r="YC963" s="828"/>
      <c r="YD963" s="828"/>
      <c r="YE963" s="828"/>
      <c r="YF963" s="828"/>
      <c r="YG963" s="828"/>
      <c r="YH963" s="828"/>
      <c r="YI963" s="828"/>
      <c r="YJ963" s="828"/>
      <c r="YK963" s="828"/>
      <c r="YL963" s="828"/>
      <c r="YM963" s="828"/>
      <c r="YN963" s="828"/>
      <c r="YO963" s="828"/>
      <c r="YP963" s="828"/>
      <c r="YQ963" s="828"/>
      <c r="YR963" s="828"/>
      <c r="YS963" s="828"/>
      <c r="YT963" s="828"/>
      <c r="YU963" s="828"/>
      <c r="YV963" s="828"/>
      <c r="YW963" s="828"/>
      <c r="YX963" s="828"/>
      <c r="YY963" s="828"/>
      <c r="YZ963" s="828"/>
      <c r="ZA963" s="828"/>
      <c r="ZB963" s="828"/>
      <c r="ZC963" s="828"/>
      <c r="ZD963" s="828"/>
      <c r="ZE963" s="828"/>
      <c r="ZF963" s="828"/>
      <c r="ZG963" s="828"/>
      <c r="ZH963" s="828"/>
      <c r="ZI963" s="828"/>
      <c r="ZJ963" s="828"/>
      <c r="ZK963" s="828"/>
      <c r="ZL963" s="828"/>
      <c r="ZM963" s="828"/>
      <c r="ZN963" s="828"/>
      <c r="ZO963" s="828"/>
      <c r="ZP963" s="828"/>
      <c r="ZQ963" s="828"/>
      <c r="ZR963" s="828"/>
      <c r="ZS963" s="828"/>
      <c r="ZT963" s="828"/>
      <c r="ZU963" s="828"/>
      <c r="ZV963" s="828"/>
      <c r="ZW963" s="828"/>
      <c r="ZX963" s="828"/>
      <c r="ZY963" s="828"/>
      <c r="ZZ963" s="828"/>
      <c r="AAA963" s="828"/>
      <c r="AAB963" s="828"/>
      <c r="AAC963" s="828"/>
      <c r="AAD963" s="828"/>
      <c r="AAE963" s="828"/>
      <c r="AAF963" s="828"/>
      <c r="AAG963" s="828"/>
      <c r="AAH963" s="828"/>
      <c r="AAI963" s="828"/>
      <c r="AAJ963" s="828"/>
      <c r="AAK963" s="828"/>
      <c r="AAL963" s="828"/>
      <c r="AAM963" s="828"/>
      <c r="AAN963" s="828"/>
      <c r="AAO963" s="828"/>
      <c r="AAP963" s="828"/>
      <c r="AAQ963" s="828"/>
      <c r="AAR963" s="828"/>
      <c r="AAS963" s="828"/>
      <c r="AAT963" s="828"/>
      <c r="AAU963" s="828"/>
      <c r="AAV963" s="828"/>
      <c r="AAW963" s="828"/>
      <c r="AAX963" s="828"/>
      <c r="AAY963" s="828"/>
      <c r="AAZ963" s="828"/>
      <c r="ABA963" s="828"/>
      <c r="ABB963" s="828"/>
      <c r="ABC963" s="828"/>
      <c r="ABD963" s="828"/>
      <c r="ABE963" s="828"/>
      <c r="ABF963" s="828"/>
      <c r="ABG963" s="828"/>
      <c r="ABH963" s="828"/>
      <c r="ABI963" s="828"/>
      <c r="ABJ963" s="828"/>
      <c r="ABK963" s="828"/>
      <c r="ABL963" s="828"/>
      <c r="ABM963" s="828"/>
      <c r="ABN963" s="828"/>
      <c r="ABO963" s="828"/>
      <c r="ABP963" s="828"/>
      <c r="ABQ963" s="828"/>
      <c r="ABR963" s="828"/>
      <c r="ABS963" s="828"/>
      <c r="ABT963" s="828"/>
      <c r="ABU963" s="828"/>
      <c r="ABV963" s="828"/>
      <c r="ABW963" s="828"/>
      <c r="ABX963" s="828"/>
      <c r="ABY963" s="828"/>
      <c r="ABZ963" s="828"/>
      <c r="ACA963" s="828"/>
      <c r="ACB963" s="828"/>
      <c r="ACC963" s="828"/>
      <c r="ACD963" s="828"/>
      <c r="ACE963" s="828"/>
      <c r="ACF963" s="828"/>
      <c r="ACG963" s="828"/>
      <c r="ACH963" s="828"/>
      <c r="ACI963" s="828"/>
      <c r="ACJ963" s="828"/>
      <c r="ACK963" s="828"/>
      <c r="ACL963" s="828"/>
      <c r="ACM963" s="828"/>
      <c r="ACN963" s="828"/>
      <c r="ACO963" s="828"/>
      <c r="ACP963" s="828"/>
      <c r="ACQ963" s="828"/>
      <c r="ACR963" s="828"/>
      <c r="ACS963" s="828"/>
      <c r="ACT963" s="828"/>
      <c r="ACU963" s="828"/>
      <c r="ACV963" s="828"/>
      <c r="ACW963" s="828"/>
      <c r="ACX963" s="828"/>
      <c r="ACY963" s="828"/>
      <c r="ACZ963" s="828"/>
      <c r="ADA963" s="828"/>
      <c r="ADB963" s="828"/>
      <c r="ADC963" s="828"/>
      <c r="ADD963" s="828"/>
      <c r="ADE963" s="828"/>
      <c r="ADF963" s="828"/>
      <c r="ADG963" s="828"/>
      <c r="ADH963" s="828"/>
      <c r="ADI963" s="828"/>
      <c r="ADJ963" s="828"/>
      <c r="ADK963" s="828"/>
      <c r="ADL963" s="828"/>
      <c r="ADM963" s="828"/>
      <c r="ADN963" s="828"/>
      <c r="ADO963" s="828"/>
      <c r="ADP963" s="828"/>
      <c r="ADQ963" s="828"/>
      <c r="ADR963" s="828"/>
      <c r="ADS963" s="828"/>
      <c r="ADT963" s="828"/>
      <c r="ADU963" s="828"/>
      <c r="ADV963" s="828"/>
      <c r="ADW963" s="828"/>
      <c r="ADX963" s="828"/>
      <c r="ADY963" s="828"/>
      <c r="ADZ963" s="828"/>
      <c r="AEA963" s="828"/>
      <c r="AEB963" s="828"/>
      <c r="AEC963" s="828"/>
      <c r="AED963" s="828"/>
      <c r="AEE963" s="828"/>
      <c r="AEF963" s="828"/>
      <c r="AEG963" s="828"/>
      <c r="AEH963" s="828"/>
      <c r="AEI963" s="828"/>
      <c r="AEJ963" s="828"/>
      <c r="AEK963" s="828"/>
      <c r="AEL963" s="828"/>
      <c r="AEM963" s="828"/>
      <c r="AEN963" s="828"/>
      <c r="AEO963" s="828"/>
      <c r="AEP963" s="828"/>
      <c r="AEQ963" s="828"/>
      <c r="AER963" s="828"/>
      <c r="AES963" s="828"/>
      <c r="AET963" s="828"/>
      <c r="AEU963" s="828"/>
      <c r="AEV963" s="828"/>
      <c r="AEW963" s="828"/>
      <c r="AEX963" s="828"/>
      <c r="AEY963" s="828"/>
      <c r="AEZ963" s="828"/>
      <c r="AFA963" s="828"/>
      <c r="AFB963" s="828"/>
      <c r="AFC963" s="828"/>
      <c r="AFD963" s="828"/>
      <c r="AFE963" s="828"/>
      <c r="AFF963" s="828"/>
      <c r="AFG963" s="828"/>
      <c r="AFH963" s="828"/>
      <c r="AFI963" s="828"/>
      <c r="AFJ963" s="828"/>
      <c r="AFK963" s="828"/>
      <c r="AFL963" s="828"/>
      <c r="AFM963" s="828"/>
      <c r="AFN963" s="828"/>
      <c r="AFO963" s="828"/>
      <c r="AFP963" s="828"/>
      <c r="AFQ963" s="828"/>
      <c r="AFR963" s="828"/>
      <c r="AFS963" s="828"/>
      <c r="AFT963" s="828"/>
      <c r="AFU963" s="828"/>
      <c r="AFV963" s="828"/>
      <c r="AFW963" s="828"/>
      <c r="AFX963" s="828"/>
      <c r="AFY963" s="828"/>
      <c r="AFZ963" s="828"/>
      <c r="AGA963" s="828"/>
      <c r="AGB963" s="828"/>
      <c r="AGC963" s="828"/>
      <c r="AGD963" s="828"/>
      <c r="AGE963" s="828"/>
      <c r="AGF963" s="828"/>
      <c r="AGG963" s="828"/>
      <c r="AGH963" s="828"/>
      <c r="AGI963" s="828"/>
      <c r="AGJ963" s="828"/>
    </row>
    <row r="964" spans="1:868" s="7" customFormat="1" hidden="1">
      <c r="A964" s="626" t="s">
        <v>127</v>
      </c>
      <c r="B964" s="59" t="s">
        <v>456</v>
      </c>
      <c r="C964" s="40" t="s">
        <v>147</v>
      </c>
      <c r="D964" s="34" t="s">
        <v>107</v>
      </c>
      <c r="E964" s="880">
        <v>0.10650572468270171</v>
      </c>
      <c r="F964" s="34">
        <v>2</v>
      </c>
      <c r="G964" s="40" t="s">
        <v>451</v>
      </c>
      <c r="H964" s="29">
        <v>1</v>
      </c>
      <c r="I964" s="9">
        <v>2</v>
      </c>
      <c r="J964" s="9">
        <v>2</v>
      </c>
      <c r="K964" s="9">
        <v>1</v>
      </c>
      <c r="L964" s="9">
        <v>1</v>
      </c>
      <c r="M964" s="9">
        <v>2</v>
      </c>
      <c r="N964" s="186">
        <f t="shared" si="53"/>
        <v>0.35859414261160716</v>
      </c>
      <c r="O964" s="160">
        <f t="shared" si="51"/>
        <v>0.37356464144298934</v>
      </c>
      <c r="P964" s="63"/>
      <c r="Q964" s="828"/>
      <c r="R964" s="828"/>
      <c r="S964" s="828"/>
      <c r="T964" s="828"/>
      <c r="U964" s="828"/>
      <c r="V964" s="828"/>
      <c r="W964" s="828"/>
      <c r="X964" s="828"/>
      <c r="Y964" s="828"/>
      <c r="Z964" s="828"/>
      <c r="AA964" s="828"/>
      <c r="AB964" s="828"/>
      <c r="AC964" s="828"/>
      <c r="AD964" s="828"/>
      <c r="AE964" s="828"/>
      <c r="AF964" s="828"/>
      <c r="AG964" s="828"/>
      <c r="AH964" s="828"/>
      <c r="AI964" s="828"/>
      <c r="AJ964" s="828"/>
      <c r="AK964" s="828"/>
      <c r="AL964" s="828"/>
      <c r="AM964" s="828"/>
      <c r="AN964" s="828"/>
      <c r="AO964" s="828"/>
      <c r="AP964" s="828"/>
      <c r="AQ964" s="828"/>
      <c r="AR964" s="828"/>
      <c r="AS964" s="828"/>
      <c r="AT964" s="828"/>
      <c r="AU964" s="828"/>
      <c r="AV964" s="828"/>
      <c r="AW964" s="828"/>
      <c r="AX964" s="828"/>
      <c r="AY964" s="828"/>
      <c r="AZ964" s="828"/>
      <c r="BA964" s="828"/>
      <c r="BB964" s="828"/>
      <c r="BC964" s="828"/>
      <c r="BD964" s="828"/>
      <c r="BE964" s="828"/>
      <c r="BF964" s="828"/>
      <c r="BG964" s="828"/>
      <c r="BH964" s="828"/>
      <c r="BI964" s="828"/>
      <c r="BJ964" s="828"/>
      <c r="BK964" s="828"/>
      <c r="BL964" s="828"/>
      <c r="BM964" s="828"/>
      <c r="BN964" s="828"/>
      <c r="BO964" s="828"/>
      <c r="BP964" s="828"/>
      <c r="BQ964" s="828"/>
      <c r="BR964" s="828"/>
      <c r="BS964" s="828"/>
      <c r="BT964" s="828"/>
      <c r="BU964" s="828"/>
      <c r="BV964" s="828"/>
      <c r="BW964" s="828"/>
      <c r="BX964" s="828"/>
      <c r="BY964" s="828"/>
      <c r="BZ964" s="828"/>
      <c r="CA964" s="828"/>
      <c r="CB964" s="828"/>
      <c r="CC964" s="828"/>
      <c r="CD964" s="828"/>
      <c r="CE964" s="828"/>
      <c r="CF964" s="828"/>
      <c r="CG964" s="828"/>
      <c r="CH964" s="828"/>
      <c r="CI964" s="828"/>
      <c r="CJ964" s="828"/>
      <c r="CK964" s="828"/>
      <c r="CL964" s="828"/>
      <c r="CM964" s="828"/>
      <c r="CN964" s="828"/>
      <c r="CO964" s="828"/>
      <c r="CP964" s="828"/>
      <c r="CQ964" s="828"/>
      <c r="CR964" s="828"/>
      <c r="CS964" s="828"/>
      <c r="CT964" s="828"/>
      <c r="CU964" s="828"/>
      <c r="CV964" s="828"/>
      <c r="CW964" s="828"/>
      <c r="CX964" s="828"/>
      <c r="CY964" s="828"/>
      <c r="CZ964" s="828"/>
      <c r="DA964" s="828"/>
      <c r="DB964" s="828"/>
      <c r="DC964" s="828"/>
      <c r="DD964" s="828"/>
      <c r="DE964" s="828"/>
      <c r="DF964" s="828"/>
      <c r="DG964" s="828"/>
      <c r="DH964" s="828"/>
      <c r="DI964" s="828"/>
      <c r="DJ964" s="828"/>
      <c r="DK964" s="828"/>
      <c r="DL964" s="828"/>
      <c r="DM964" s="828"/>
      <c r="DN964" s="828"/>
      <c r="DO964" s="828"/>
      <c r="DP964" s="828"/>
      <c r="DQ964" s="828"/>
      <c r="DR964" s="828"/>
      <c r="DS964" s="828"/>
      <c r="DT964" s="828"/>
      <c r="DU964" s="828"/>
      <c r="DV964" s="828"/>
      <c r="DW964" s="828"/>
      <c r="DX964" s="828"/>
      <c r="DY964" s="828"/>
      <c r="DZ964" s="828"/>
      <c r="EA964" s="828"/>
      <c r="EB964" s="828"/>
      <c r="EC964" s="828"/>
      <c r="ED964" s="828"/>
      <c r="EE964" s="828"/>
      <c r="EF964" s="828"/>
      <c r="EG964" s="828"/>
      <c r="EH964" s="828"/>
      <c r="EI964" s="828"/>
      <c r="EJ964" s="828"/>
      <c r="EK964" s="828"/>
      <c r="EL964" s="828"/>
      <c r="EM964" s="828"/>
      <c r="EN964" s="828"/>
      <c r="EO964" s="828"/>
      <c r="EP964" s="828"/>
      <c r="EQ964" s="828"/>
      <c r="ER964" s="828"/>
      <c r="ES964" s="828"/>
      <c r="ET964" s="828"/>
      <c r="EU964" s="828"/>
      <c r="EV964" s="828"/>
      <c r="EW964" s="828"/>
      <c r="EX964" s="828"/>
      <c r="EY964" s="828"/>
      <c r="EZ964" s="828"/>
      <c r="FA964" s="828"/>
      <c r="FB964" s="828"/>
      <c r="FC964" s="828"/>
      <c r="FD964" s="828"/>
      <c r="FE964" s="828"/>
      <c r="FF964" s="828"/>
      <c r="FG964" s="828"/>
      <c r="FH964" s="828"/>
      <c r="FI964" s="828"/>
      <c r="FJ964" s="828"/>
      <c r="FK964" s="828"/>
      <c r="FL964" s="828"/>
      <c r="FM964" s="828"/>
      <c r="FN964" s="828"/>
      <c r="FO964" s="828"/>
      <c r="FP964" s="828"/>
      <c r="FQ964" s="828"/>
      <c r="FR964" s="828"/>
      <c r="FS964" s="828"/>
      <c r="FT964" s="828"/>
      <c r="FU964" s="828"/>
      <c r="FV964" s="828"/>
      <c r="FW964" s="828"/>
      <c r="FX964" s="828"/>
      <c r="FY964" s="828"/>
      <c r="FZ964" s="828"/>
      <c r="GA964" s="828"/>
      <c r="GB964" s="828"/>
      <c r="GC964" s="828"/>
      <c r="GD964" s="828"/>
      <c r="GE964" s="828"/>
      <c r="GF964" s="828"/>
      <c r="GG964" s="828"/>
      <c r="GH964" s="828"/>
      <c r="GI964" s="828"/>
      <c r="GJ964" s="828"/>
      <c r="GK964" s="828"/>
      <c r="GL964" s="828"/>
      <c r="GM964" s="828"/>
      <c r="GN964" s="828"/>
      <c r="GO964" s="828"/>
      <c r="GP964" s="828"/>
      <c r="GQ964" s="828"/>
      <c r="GR964" s="828"/>
      <c r="GS964" s="828"/>
      <c r="GT964" s="828"/>
      <c r="GU964" s="828"/>
      <c r="GV964" s="828"/>
      <c r="GW964" s="828"/>
      <c r="GX964" s="828"/>
      <c r="GY964" s="828"/>
      <c r="GZ964" s="828"/>
      <c r="HA964" s="828"/>
      <c r="HB964" s="828"/>
      <c r="HC964" s="828"/>
      <c r="HD964" s="828"/>
      <c r="HE964" s="828"/>
      <c r="HF964" s="828"/>
      <c r="HG964" s="828"/>
      <c r="HH964" s="828"/>
      <c r="HI964" s="828"/>
      <c r="HJ964" s="828"/>
      <c r="HK964" s="828"/>
      <c r="HL964" s="828"/>
      <c r="HM964" s="828"/>
      <c r="HN964" s="828"/>
      <c r="HO964" s="828"/>
      <c r="HP964" s="828"/>
      <c r="HQ964" s="828"/>
      <c r="HR964" s="828"/>
      <c r="HS964" s="828"/>
      <c r="HT964" s="828"/>
      <c r="HU964" s="828"/>
      <c r="HV964" s="828"/>
      <c r="HW964" s="828"/>
      <c r="HX964" s="828"/>
      <c r="HY964" s="828"/>
      <c r="HZ964" s="828"/>
      <c r="IA964" s="828"/>
      <c r="IB964" s="828"/>
      <c r="IC964" s="828"/>
      <c r="ID964" s="828"/>
      <c r="IE964" s="828"/>
      <c r="IF964" s="828"/>
      <c r="IG964" s="828"/>
      <c r="IH964" s="828"/>
      <c r="II964" s="828"/>
      <c r="IJ964" s="828"/>
      <c r="IK964" s="828"/>
      <c r="IL964" s="828"/>
      <c r="IM964" s="828"/>
      <c r="IN964" s="828"/>
      <c r="IO964" s="828"/>
      <c r="IP964" s="828"/>
      <c r="IQ964" s="828"/>
      <c r="IR964" s="828"/>
      <c r="IS964" s="828"/>
      <c r="IT964" s="828"/>
      <c r="IU964" s="828"/>
      <c r="IV964" s="828"/>
      <c r="IW964" s="828"/>
      <c r="IX964" s="828"/>
      <c r="IY964" s="828"/>
      <c r="IZ964" s="828"/>
      <c r="JA964" s="828"/>
      <c r="JB964" s="828"/>
      <c r="JC964" s="828"/>
      <c r="JD964" s="828"/>
      <c r="JE964" s="828"/>
      <c r="JF964" s="828"/>
      <c r="JG964" s="828"/>
      <c r="JH964" s="828"/>
      <c r="JI964" s="828"/>
      <c r="JJ964" s="828"/>
      <c r="JK964" s="828"/>
      <c r="JL964" s="828"/>
      <c r="JM964" s="828"/>
      <c r="JN964" s="828"/>
      <c r="JO964" s="828"/>
      <c r="JP964" s="828"/>
      <c r="JQ964" s="828"/>
      <c r="JR964" s="828"/>
      <c r="JS964" s="828"/>
      <c r="JT964" s="828"/>
      <c r="JU964" s="828"/>
      <c r="JV964" s="828"/>
      <c r="JW964" s="828"/>
      <c r="JX964" s="828"/>
      <c r="JY964" s="828"/>
      <c r="JZ964" s="828"/>
      <c r="KA964" s="828"/>
      <c r="KB964" s="828"/>
      <c r="KC964" s="828"/>
      <c r="KD964" s="828"/>
      <c r="KE964" s="828"/>
      <c r="KF964" s="828"/>
      <c r="KG964" s="828"/>
      <c r="KH964" s="828"/>
      <c r="KI964" s="828"/>
      <c r="KJ964" s="828"/>
      <c r="KK964" s="828"/>
      <c r="KL964" s="828"/>
      <c r="KM964" s="828"/>
      <c r="KN964" s="828"/>
      <c r="KO964" s="828"/>
      <c r="KP964" s="828"/>
      <c r="KQ964" s="828"/>
      <c r="KR964" s="828"/>
      <c r="KS964" s="828"/>
      <c r="KT964" s="828"/>
      <c r="KU964" s="828"/>
      <c r="KV964" s="828"/>
      <c r="KW964" s="828"/>
      <c r="KX964" s="828"/>
      <c r="KY964" s="828"/>
      <c r="KZ964" s="828"/>
      <c r="LA964" s="828"/>
      <c r="LB964" s="828"/>
      <c r="LC964" s="828"/>
      <c r="LD964" s="828"/>
      <c r="LE964" s="828"/>
      <c r="LF964" s="828"/>
      <c r="LG964" s="828"/>
      <c r="LH964" s="828"/>
      <c r="LI964" s="828"/>
      <c r="LJ964" s="828"/>
      <c r="LK964" s="828"/>
      <c r="LL964" s="828"/>
      <c r="LM964" s="828"/>
      <c r="LN964" s="828"/>
      <c r="LO964" s="828"/>
      <c r="LP964" s="828"/>
      <c r="LQ964" s="828"/>
      <c r="LR964" s="828"/>
      <c r="LS964" s="828"/>
      <c r="LT964" s="828"/>
      <c r="LU964" s="828"/>
      <c r="LV964" s="828"/>
      <c r="LW964" s="828"/>
      <c r="LX964" s="828"/>
      <c r="LY964" s="828"/>
      <c r="LZ964" s="828"/>
      <c r="MA964" s="828"/>
      <c r="MB964" s="828"/>
      <c r="MC964" s="828"/>
      <c r="MD964" s="828"/>
      <c r="ME964" s="828"/>
      <c r="MF964" s="828"/>
      <c r="MG964" s="828"/>
      <c r="MH964" s="828"/>
      <c r="MI964" s="828"/>
      <c r="MJ964" s="828"/>
      <c r="MK964" s="828"/>
      <c r="ML964" s="828"/>
      <c r="MM964" s="828"/>
      <c r="MN964" s="828"/>
      <c r="MO964" s="828"/>
      <c r="MP964" s="828"/>
      <c r="MQ964" s="828"/>
      <c r="MR964" s="828"/>
      <c r="MS964" s="828"/>
      <c r="MT964" s="828"/>
      <c r="MU964" s="828"/>
      <c r="MV964" s="828"/>
      <c r="MW964" s="828"/>
      <c r="MX964" s="828"/>
      <c r="MY964" s="828"/>
      <c r="MZ964" s="828"/>
      <c r="NA964" s="828"/>
      <c r="NB964" s="828"/>
      <c r="NC964" s="828"/>
      <c r="ND964" s="828"/>
      <c r="NE964" s="828"/>
      <c r="NF964" s="828"/>
      <c r="NG964" s="828"/>
      <c r="NH964" s="828"/>
      <c r="NI964" s="828"/>
      <c r="NJ964" s="828"/>
      <c r="NK964" s="828"/>
      <c r="NL964" s="828"/>
      <c r="NM964" s="828"/>
      <c r="NN964" s="828"/>
      <c r="NO964" s="828"/>
      <c r="NP964" s="828"/>
      <c r="NQ964" s="828"/>
      <c r="NR964" s="828"/>
      <c r="NS964" s="828"/>
      <c r="NT964" s="828"/>
      <c r="NU964" s="828"/>
      <c r="NV964" s="828"/>
      <c r="NW964" s="828"/>
      <c r="NX964" s="828"/>
      <c r="NY964" s="828"/>
      <c r="NZ964" s="828"/>
      <c r="OA964" s="828"/>
      <c r="OB964" s="828"/>
      <c r="OC964" s="828"/>
      <c r="OD964" s="828"/>
      <c r="OE964" s="828"/>
      <c r="OF964" s="828"/>
      <c r="OG964" s="828"/>
      <c r="OH964" s="828"/>
      <c r="OI964" s="828"/>
      <c r="OJ964" s="828"/>
      <c r="OK964" s="828"/>
      <c r="OL964" s="828"/>
      <c r="OM964" s="828"/>
      <c r="ON964" s="828"/>
      <c r="OO964" s="828"/>
      <c r="OP964" s="828"/>
      <c r="OQ964" s="828"/>
      <c r="OR964" s="828"/>
      <c r="OS964" s="828"/>
      <c r="OT964" s="828"/>
      <c r="OU964" s="828"/>
      <c r="OV964" s="828"/>
      <c r="OW964" s="828"/>
      <c r="OX964" s="828"/>
      <c r="OY964" s="828"/>
      <c r="OZ964" s="828"/>
      <c r="PA964" s="828"/>
      <c r="PB964" s="828"/>
      <c r="PC964" s="828"/>
      <c r="PD964" s="828"/>
      <c r="PE964" s="828"/>
      <c r="PF964" s="828"/>
      <c r="PG964" s="828"/>
      <c r="PH964" s="828"/>
      <c r="PI964" s="828"/>
      <c r="PJ964" s="828"/>
      <c r="PK964" s="828"/>
      <c r="PL964" s="828"/>
      <c r="PM964" s="828"/>
      <c r="PN964" s="828"/>
      <c r="PO964" s="828"/>
      <c r="PP964" s="828"/>
      <c r="PQ964" s="828"/>
      <c r="PR964" s="828"/>
      <c r="PS964" s="828"/>
      <c r="PT964" s="828"/>
      <c r="PU964" s="828"/>
      <c r="PV964" s="828"/>
      <c r="PW964" s="828"/>
      <c r="PX964" s="828"/>
      <c r="PY964" s="828"/>
      <c r="PZ964" s="828"/>
      <c r="QA964" s="828"/>
      <c r="QB964" s="828"/>
      <c r="QC964" s="828"/>
      <c r="QD964" s="828"/>
      <c r="QE964" s="828"/>
      <c r="QF964" s="828"/>
      <c r="QG964" s="828"/>
      <c r="QH964" s="828"/>
      <c r="QI964" s="828"/>
      <c r="QJ964" s="828"/>
      <c r="QK964" s="828"/>
      <c r="QL964" s="828"/>
      <c r="QM964" s="828"/>
      <c r="QN964" s="828"/>
      <c r="QO964" s="828"/>
      <c r="QP964" s="828"/>
      <c r="QQ964" s="828"/>
      <c r="QR964" s="828"/>
      <c r="QS964" s="828"/>
      <c r="QT964" s="828"/>
      <c r="QU964" s="828"/>
      <c r="QV964" s="828"/>
      <c r="QW964" s="828"/>
      <c r="QX964" s="828"/>
      <c r="QY964" s="828"/>
      <c r="QZ964" s="828"/>
      <c r="RA964" s="828"/>
      <c r="RB964" s="828"/>
      <c r="RC964" s="828"/>
      <c r="RD964" s="828"/>
      <c r="RE964" s="828"/>
      <c r="RF964" s="828"/>
      <c r="RG964" s="828"/>
      <c r="RH964" s="828"/>
      <c r="RI964" s="828"/>
      <c r="RJ964" s="828"/>
      <c r="RK964" s="828"/>
      <c r="RL964" s="828"/>
      <c r="RM964" s="828"/>
      <c r="RN964" s="828"/>
      <c r="RO964" s="828"/>
      <c r="RP964" s="828"/>
      <c r="RQ964" s="828"/>
      <c r="RR964" s="828"/>
      <c r="RS964" s="828"/>
      <c r="RT964" s="828"/>
      <c r="RU964" s="828"/>
      <c r="RV964" s="828"/>
      <c r="RW964" s="828"/>
      <c r="RX964" s="828"/>
      <c r="RY964" s="828"/>
      <c r="RZ964" s="828"/>
      <c r="SA964" s="828"/>
      <c r="SB964" s="828"/>
      <c r="SC964" s="828"/>
      <c r="SD964" s="828"/>
      <c r="SE964" s="828"/>
      <c r="SF964" s="828"/>
      <c r="SG964" s="828"/>
      <c r="SH964" s="828"/>
      <c r="SI964" s="828"/>
      <c r="SJ964" s="828"/>
      <c r="SK964" s="828"/>
      <c r="SL964" s="828"/>
      <c r="SM964" s="828"/>
      <c r="SN964" s="828"/>
      <c r="SO964" s="828"/>
      <c r="SP964" s="828"/>
      <c r="SQ964" s="828"/>
      <c r="SR964" s="828"/>
      <c r="SS964" s="828"/>
      <c r="ST964" s="828"/>
      <c r="SU964" s="828"/>
      <c r="SV964" s="828"/>
      <c r="SW964" s="828"/>
      <c r="SX964" s="828"/>
      <c r="SY964" s="828"/>
      <c r="SZ964" s="828"/>
      <c r="TA964" s="828"/>
      <c r="TB964" s="828"/>
      <c r="TC964" s="828"/>
      <c r="TD964" s="828"/>
      <c r="TE964" s="828"/>
      <c r="TF964" s="828"/>
      <c r="TG964" s="828"/>
      <c r="TH964" s="828"/>
      <c r="TI964" s="828"/>
      <c r="TJ964" s="828"/>
      <c r="TK964" s="828"/>
      <c r="TL964" s="828"/>
      <c r="TM964" s="828"/>
      <c r="TN964" s="828"/>
      <c r="TO964" s="828"/>
      <c r="TP964" s="828"/>
      <c r="TQ964" s="828"/>
      <c r="TR964" s="828"/>
      <c r="TS964" s="828"/>
      <c r="TT964" s="828"/>
      <c r="TU964" s="828"/>
      <c r="TV964" s="828"/>
      <c r="TW964" s="828"/>
      <c r="TX964" s="828"/>
      <c r="TY964" s="828"/>
      <c r="TZ964" s="828"/>
      <c r="UA964" s="828"/>
      <c r="UB964" s="828"/>
      <c r="UC964" s="828"/>
      <c r="UD964" s="828"/>
      <c r="UE964" s="828"/>
      <c r="UF964" s="828"/>
      <c r="UG964" s="828"/>
      <c r="UH964" s="828"/>
      <c r="UI964" s="828"/>
      <c r="UJ964" s="828"/>
      <c r="UK964" s="828"/>
      <c r="UL964" s="828"/>
      <c r="UM964" s="828"/>
      <c r="UN964" s="828"/>
      <c r="UO964" s="828"/>
      <c r="UP964" s="828"/>
      <c r="UQ964" s="828"/>
      <c r="UR964" s="828"/>
      <c r="US964" s="828"/>
      <c r="UT964" s="828"/>
      <c r="UU964" s="828"/>
      <c r="UV964" s="828"/>
      <c r="UW964" s="828"/>
      <c r="UX964" s="828"/>
      <c r="UY964" s="828"/>
      <c r="UZ964" s="828"/>
      <c r="VA964" s="828"/>
      <c r="VB964" s="828"/>
      <c r="VC964" s="828"/>
      <c r="VD964" s="828"/>
      <c r="VE964" s="828"/>
      <c r="VF964" s="828"/>
      <c r="VG964" s="828"/>
      <c r="VH964" s="828"/>
      <c r="VI964" s="828"/>
      <c r="VJ964" s="828"/>
      <c r="VK964" s="828"/>
      <c r="VL964" s="828"/>
      <c r="VM964" s="828"/>
      <c r="VN964" s="828"/>
      <c r="VO964" s="828"/>
      <c r="VP964" s="828"/>
      <c r="VQ964" s="828"/>
      <c r="VR964" s="828"/>
      <c r="VS964" s="828"/>
      <c r="VT964" s="828"/>
      <c r="VU964" s="828"/>
      <c r="VV964" s="828"/>
      <c r="VW964" s="828"/>
      <c r="VX964" s="828"/>
      <c r="VY964" s="828"/>
      <c r="VZ964" s="828"/>
      <c r="WA964" s="828"/>
      <c r="WB964" s="828"/>
      <c r="WC964" s="828"/>
      <c r="WD964" s="828"/>
      <c r="WE964" s="828"/>
      <c r="WF964" s="828"/>
      <c r="WG964" s="828"/>
      <c r="WH964" s="828"/>
      <c r="WI964" s="828"/>
      <c r="WJ964" s="828"/>
      <c r="WK964" s="828"/>
      <c r="WL964" s="828"/>
      <c r="WM964" s="828"/>
      <c r="WN964" s="828"/>
      <c r="WO964" s="828"/>
      <c r="WP964" s="828"/>
      <c r="WQ964" s="828"/>
      <c r="WR964" s="828"/>
      <c r="WS964" s="828"/>
      <c r="WT964" s="828"/>
      <c r="WU964" s="828"/>
      <c r="WV964" s="828"/>
      <c r="WW964" s="828"/>
      <c r="WX964" s="828"/>
      <c r="WY964" s="828"/>
      <c r="WZ964" s="828"/>
      <c r="XA964" s="828"/>
      <c r="XB964" s="828"/>
      <c r="XC964" s="828"/>
      <c r="XD964" s="828"/>
      <c r="XE964" s="828"/>
      <c r="XF964" s="828"/>
      <c r="XG964" s="828"/>
      <c r="XH964" s="828"/>
      <c r="XI964" s="828"/>
      <c r="XJ964" s="828"/>
      <c r="XK964" s="828"/>
      <c r="XL964" s="828"/>
      <c r="XM964" s="828"/>
      <c r="XN964" s="828"/>
      <c r="XO964" s="828"/>
      <c r="XP964" s="828"/>
      <c r="XQ964" s="828"/>
      <c r="XR964" s="828"/>
      <c r="XS964" s="828"/>
      <c r="XT964" s="828"/>
      <c r="XU964" s="828"/>
      <c r="XV964" s="828"/>
      <c r="XW964" s="828"/>
      <c r="XX964" s="828"/>
      <c r="XY964" s="828"/>
      <c r="XZ964" s="828"/>
      <c r="YA964" s="828"/>
      <c r="YB964" s="828"/>
      <c r="YC964" s="828"/>
      <c r="YD964" s="828"/>
      <c r="YE964" s="828"/>
      <c r="YF964" s="828"/>
      <c r="YG964" s="828"/>
      <c r="YH964" s="828"/>
      <c r="YI964" s="828"/>
      <c r="YJ964" s="828"/>
      <c r="YK964" s="828"/>
      <c r="YL964" s="828"/>
      <c r="YM964" s="828"/>
      <c r="YN964" s="828"/>
      <c r="YO964" s="828"/>
      <c r="YP964" s="828"/>
      <c r="YQ964" s="828"/>
      <c r="YR964" s="828"/>
      <c r="YS964" s="828"/>
      <c r="YT964" s="828"/>
      <c r="YU964" s="828"/>
      <c r="YV964" s="828"/>
      <c r="YW964" s="828"/>
      <c r="YX964" s="828"/>
      <c r="YY964" s="828"/>
      <c r="YZ964" s="828"/>
      <c r="ZA964" s="828"/>
      <c r="ZB964" s="828"/>
      <c r="ZC964" s="828"/>
      <c r="ZD964" s="828"/>
      <c r="ZE964" s="828"/>
      <c r="ZF964" s="828"/>
      <c r="ZG964" s="828"/>
      <c r="ZH964" s="828"/>
      <c r="ZI964" s="828"/>
      <c r="ZJ964" s="828"/>
      <c r="ZK964" s="828"/>
      <c r="ZL964" s="828"/>
      <c r="ZM964" s="828"/>
      <c r="ZN964" s="828"/>
      <c r="ZO964" s="828"/>
      <c r="ZP964" s="828"/>
      <c r="ZQ964" s="828"/>
      <c r="ZR964" s="828"/>
      <c r="ZS964" s="828"/>
      <c r="ZT964" s="828"/>
      <c r="ZU964" s="828"/>
      <c r="ZV964" s="828"/>
      <c r="ZW964" s="828"/>
      <c r="ZX964" s="828"/>
      <c r="ZY964" s="828"/>
      <c r="ZZ964" s="828"/>
      <c r="AAA964" s="828"/>
      <c r="AAB964" s="828"/>
      <c r="AAC964" s="828"/>
      <c r="AAD964" s="828"/>
      <c r="AAE964" s="828"/>
      <c r="AAF964" s="828"/>
      <c r="AAG964" s="828"/>
      <c r="AAH964" s="828"/>
      <c r="AAI964" s="828"/>
      <c r="AAJ964" s="828"/>
      <c r="AAK964" s="828"/>
      <c r="AAL964" s="828"/>
      <c r="AAM964" s="828"/>
      <c r="AAN964" s="828"/>
      <c r="AAO964" s="828"/>
      <c r="AAP964" s="828"/>
      <c r="AAQ964" s="828"/>
      <c r="AAR964" s="828"/>
      <c r="AAS964" s="828"/>
      <c r="AAT964" s="828"/>
      <c r="AAU964" s="828"/>
      <c r="AAV964" s="828"/>
      <c r="AAW964" s="828"/>
      <c r="AAX964" s="828"/>
      <c r="AAY964" s="828"/>
      <c r="AAZ964" s="828"/>
      <c r="ABA964" s="828"/>
      <c r="ABB964" s="828"/>
      <c r="ABC964" s="828"/>
      <c r="ABD964" s="828"/>
      <c r="ABE964" s="828"/>
      <c r="ABF964" s="828"/>
      <c r="ABG964" s="828"/>
      <c r="ABH964" s="828"/>
      <c r="ABI964" s="828"/>
      <c r="ABJ964" s="828"/>
      <c r="ABK964" s="828"/>
      <c r="ABL964" s="828"/>
      <c r="ABM964" s="828"/>
      <c r="ABN964" s="828"/>
      <c r="ABO964" s="828"/>
      <c r="ABP964" s="828"/>
      <c r="ABQ964" s="828"/>
      <c r="ABR964" s="828"/>
      <c r="ABS964" s="828"/>
      <c r="ABT964" s="828"/>
      <c r="ABU964" s="828"/>
      <c r="ABV964" s="828"/>
      <c r="ABW964" s="828"/>
      <c r="ABX964" s="828"/>
      <c r="ABY964" s="828"/>
      <c r="ABZ964" s="828"/>
      <c r="ACA964" s="828"/>
      <c r="ACB964" s="828"/>
      <c r="ACC964" s="828"/>
      <c r="ACD964" s="828"/>
      <c r="ACE964" s="828"/>
      <c r="ACF964" s="828"/>
      <c r="ACG964" s="828"/>
      <c r="ACH964" s="828"/>
      <c r="ACI964" s="828"/>
      <c r="ACJ964" s="828"/>
      <c r="ACK964" s="828"/>
      <c r="ACL964" s="828"/>
      <c r="ACM964" s="828"/>
      <c r="ACN964" s="828"/>
      <c r="ACO964" s="828"/>
      <c r="ACP964" s="828"/>
      <c r="ACQ964" s="828"/>
      <c r="ACR964" s="828"/>
      <c r="ACS964" s="828"/>
      <c r="ACT964" s="828"/>
      <c r="ACU964" s="828"/>
      <c r="ACV964" s="828"/>
      <c r="ACW964" s="828"/>
      <c r="ACX964" s="828"/>
      <c r="ACY964" s="828"/>
      <c r="ACZ964" s="828"/>
      <c r="ADA964" s="828"/>
      <c r="ADB964" s="828"/>
      <c r="ADC964" s="828"/>
      <c r="ADD964" s="828"/>
      <c r="ADE964" s="828"/>
      <c r="ADF964" s="828"/>
      <c r="ADG964" s="828"/>
      <c r="ADH964" s="828"/>
      <c r="ADI964" s="828"/>
      <c r="ADJ964" s="828"/>
      <c r="ADK964" s="828"/>
      <c r="ADL964" s="828"/>
      <c r="ADM964" s="828"/>
      <c r="ADN964" s="828"/>
      <c r="ADO964" s="828"/>
      <c r="ADP964" s="828"/>
      <c r="ADQ964" s="828"/>
      <c r="ADR964" s="828"/>
      <c r="ADS964" s="828"/>
      <c r="ADT964" s="828"/>
      <c r="ADU964" s="828"/>
      <c r="ADV964" s="828"/>
      <c r="ADW964" s="828"/>
      <c r="ADX964" s="828"/>
      <c r="ADY964" s="828"/>
      <c r="ADZ964" s="828"/>
      <c r="AEA964" s="828"/>
      <c r="AEB964" s="828"/>
      <c r="AEC964" s="828"/>
      <c r="AED964" s="828"/>
      <c r="AEE964" s="828"/>
      <c r="AEF964" s="828"/>
      <c r="AEG964" s="828"/>
      <c r="AEH964" s="828"/>
      <c r="AEI964" s="828"/>
      <c r="AEJ964" s="828"/>
      <c r="AEK964" s="828"/>
      <c r="AEL964" s="828"/>
      <c r="AEM964" s="828"/>
      <c r="AEN964" s="828"/>
      <c r="AEO964" s="828"/>
      <c r="AEP964" s="828"/>
      <c r="AEQ964" s="828"/>
      <c r="AER964" s="828"/>
      <c r="AES964" s="828"/>
      <c r="AET964" s="828"/>
      <c r="AEU964" s="828"/>
      <c r="AEV964" s="828"/>
      <c r="AEW964" s="828"/>
      <c r="AEX964" s="828"/>
      <c r="AEY964" s="828"/>
      <c r="AEZ964" s="828"/>
      <c r="AFA964" s="828"/>
      <c r="AFB964" s="828"/>
      <c r="AFC964" s="828"/>
      <c r="AFD964" s="828"/>
      <c r="AFE964" s="828"/>
      <c r="AFF964" s="828"/>
      <c r="AFG964" s="828"/>
      <c r="AFH964" s="828"/>
      <c r="AFI964" s="828"/>
      <c r="AFJ964" s="828"/>
      <c r="AFK964" s="828"/>
      <c r="AFL964" s="828"/>
      <c r="AFM964" s="828"/>
      <c r="AFN964" s="828"/>
      <c r="AFO964" s="828"/>
      <c r="AFP964" s="828"/>
      <c r="AFQ964" s="828"/>
      <c r="AFR964" s="828"/>
      <c r="AFS964" s="828"/>
      <c r="AFT964" s="828"/>
      <c r="AFU964" s="828"/>
      <c r="AFV964" s="828"/>
      <c r="AFW964" s="828"/>
      <c r="AFX964" s="828"/>
      <c r="AFY964" s="828"/>
      <c r="AFZ964" s="828"/>
      <c r="AGA964" s="828"/>
      <c r="AGB964" s="828"/>
      <c r="AGC964" s="828"/>
      <c r="AGD964" s="828"/>
      <c r="AGE964" s="828"/>
      <c r="AGF964" s="828"/>
      <c r="AGG964" s="828"/>
      <c r="AGH964" s="828"/>
      <c r="AGI964" s="828"/>
      <c r="AGJ964" s="828"/>
    </row>
    <row r="965" spans="1:868" s="7" customFormat="1" hidden="1">
      <c r="A965" s="626" t="s">
        <v>127</v>
      </c>
      <c r="B965" s="59" t="s">
        <v>457</v>
      </c>
      <c r="C965" s="40" t="s">
        <v>147</v>
      </c>
      <c r="D965" s="34" t="s">
        <v>107</v>
      </c>
      <c r="E965" s="880">
        <v>8.5204579746161357E-2</v>
      </c>
      <c r="F965" s="34">
        <v>2</v>
      </c>
      <c r="G965" s="40" t="s">
        <v>451</v>
      </c>
      <c r="H965" s="29">
        <v>1</v>
      </c>
      <c r="I965" s="9">
        <v>2</v>
      </c>
      <c r="J965" s="9">
        <v>2</v>
      </c>
      <c r="K965" s="9">
        <v>1</v>
      </c>
      <c r="L965" s="9">
        <v>1</v>
      </c>
      <c r="M965" s="9">
        <v>2</v>
      </c>
      <c r="N965" s="186">
        <f t="shared" si="53"/>
        <v>0.35859414261160716</v>
      </c>
      <c r="O965" s="160">
        <f t="shared" si="51"/>
        <v>0.37356464144298934</v>
      </c>
      <c r="P965" s="63"/>
      <c r="Q965" s="828"/>
      <c r="R965" s="828"/>
      <c r="S965" s="828"/>
      <c r="T965" s="828"/>
      <c r="U965" s="828"/>
      <c r="V965" s="828"/>
      <c r="W965" s="828"/>
      <c r="X965" s="828"/>
      <c r="Y965" s="828"/>
      <c r="Z965" s="828"/>
      <c r="AA965" s="828"/>
      <c r="AB965" s="828"/>
      <c r="AC965" s="828"/>
      <c r="AD965" s="828"/>
      <c r="AE965" s="828"/>
      <c r="AF965" s="828"/>
      <c r="AG965" s="828"/>
      <c r="AH965" s="828"/>
      <c r="AI965" s="828"/>
      <c r="AJ965" s="828"/>
      <c r="AK965" s="828"/>
      <c r="AL965" s="828"/>
      <c r="AM965" s="828"/>
      <c r="AN965" s="828"/>
      <c r="AO965" s="828"/>
      <c r="AP965" s="828"/>
      <c r="AQ965" s="828"/>
      <c r="AR965" s="828"/>
      <c r="AS965" s="828"/>
      <c r="AT965" s="828"/>
      <c r="AU965" s="828"/>
      <c r="AV965" s="828"/>
      <c r="AW965" s="828"/>
      <c r="AX965" s="828"/>
      <c r="AY965" s="828"/>
      <c r="AZ965" s="828"/>
      <c r="BA965" s="828"/>
      <c r="BB965" s="828"/>
      <c r="BC965" s="828"/>
      <c r="BD965" s="828"/>
      <c r="BE965" s="828"/>
      <c r="BF965" s="828"/>
      <c r="BG965" s="828"/>
      <c r="BH965" s="828"/>
      <c r="BI965" s="828"/>
      <c r="BJ965" s="828"/>
      <c r="BK965" s="828"/>
      <c r="BL965" s="828"/>
      <c r="BM965" s="828"/>
      <c r="BN965" s="828"/>
      <c r="BO965" s="828"/>
      <c r="BP965" s="828"/>
      <c r="BQ965" s="828"/>
      <c r="BR965" s="828"/>
      <c r="BS965" s="828"/>
      <c r="BT965" s="828"/>
      <c r="BU965" s="828"/>
      <c r="BV965" s="828"/>
      <c r="BW965" s="828"/>
      <c r="BX965" s="828"/>
      <c r="BY965" s="828"/>
      <c r="BZ965" s="828"/>
      <c r="CA965" s="828"/>
      <c r="CB965" s="828"/>
      <c r="CC965" s="828"/>
      <c r="CD965" s="828"/>
      <c r="CE965" s="828"/>
      <c r="CF965" s="828"/>
      <c r="CG965" s="828"/>
      <c r="CH965" s="828"/>
      <c r="CI965" s="828"/>
      <c r="CJ965" s="828"/>
      <c r="CK965" s="828"/>
      <c r="CL965" s="828"/>
      <c r="CM965" s="828"/>
      <c r="CN965" s="828"/>
      <c r="CO965" s="828"/>
      <c r="CP965" s="828"/>
      <c r="CQ965" s="828"/>
      <c r="CR965" s="828"/>
      <c r="CS965" s="828"/>
      <c r="CT965" s="828"/>
      <c r="CU965" s="828"/>
      <c r="CV965" s="828"/>
      <c r="CW965" s="828"/>
      <c r="CX965" s="828"/>
      <c r="CY965" s="828"/>
      <c r="CZ965" s="828"/>
      <c r="DA965" s="828"/>
      <c r="DB965" s="828"/>
      <c r="DC965" s="828"/>
      <c r="DD965" s="828"/>
      <c r="DE965" s="828"/>
      <c r="DF965" s="828"/>
      <c r="DG965" s="828"/>
      <c r="DH965" s="828"/>
      <c r="DI965" s="828"/>
      <c r="DJ965" s="828"/>
      <c r="DK965" s="828"/>
      <c r="DL965" s="828"/>
      <c r="DM965" s="828"/>
      <c r="DN965" s="828"/>
      <c r="DO965" s="828"/>
      <c r="DP965" s="828"/>
      <c r="DQ965" s="828"/>
      <c r="DR965" s="828"/>
      <c r="DS965" s="828"/>
      <c r="DT965" s="828"/>
      <c r="DU965" s="828"/>
      <c r="DV965" s="828"/>
      <c r="DW965" s="828"/>
      <c r="DX965" s="828"/>
      <c r="DY965" s="828"/>
      <c r="DZ965" s="828"/>
      <c r="EA965" s="828"/>
      <c r="EB965" s="828"/>
      <c r="EC965" s="828"/>
      <c r="ED965" s="828"/>
      <c r="EE965" s="828"/>
      <c r="EF965" s="828"/>
      <c r="EG965" s="828"/>
      <c r="EH965" s="828"/>
      <c r="EI965" s="828"/>
      <c r="EJ965" s="828"/>
      <c r="EK965" s="828"/>
      <c r="EL965" s="828"/>
      <c r="EM965" s="828"/>
      <c r="EN965" s="828"/>
      <c r="EO965" s="828"/>
      <c r="EP965" s="828"/>
      <c r="EQ965" s="828"/>
      <c r="ER965" s="828"/>
      <c r="ES965" s="828"/>
      <c r="ET965" s="828"/>
      <c r="EU965" s="828"/>
      <c r="EV965" s="828"/>
      <c r="EW965" s="828"/>
      <c r="EX965" s="828"/>
      <c r="EY965" s="828"/>
      <c r="EZ965" s="828"/>
      <c r="FA965" s="828"/>
      <c r="FB965" s="828"/>
      <c r="FC965" s="828"/>
      <c r="FD965" s="828"/>
      <c r="FE965" s="828"/>
      <c r="FF965" s="828"/>
      <c r="FG965" s="828"/>
      <c r="FH965" s="828"/>
      <c r="FI965" s="828"/>
      <c r="FJ965" s="828"/>
      <c r="FK965" s="828"/>
      <c r="FL965" s="828"/>
      <c r="FM965" s="828"/>
      <c r="FN965" s="828"/>
      <c r="FO965" s="828"/>
      <c r="FP965" s="828"/>
      <c r="FQ965" s="828"/>
      <c r="FR965" s="828"/>
      <c r="FS965" s="828"/>
      <c r="FT965" s="828"/>
      <c r="FU965" s="828"/>
      <c r="FV965" s="828"/>
      <c r="FW965" s="828"/>
      <c r="FX965" s="828"/>
      <c r="FY965" s="828"/>
      <c r="FZ965" s="828"/>
      <c r="GA965" s="828"/>
      <c r="GB965" s="828"/>
      <c r="GC965" s="828"/>
      <c r="GD965" s="828"/>
      <c r="GE965" s="828"/>
      <c r="GF965" s="828"/>
      <c r="GG965" s="828"/>
      <c r="GH965" s="828"/>
      <c r="GI965" s="828"/>
      <c r="GJ965" s="828"/>
      <c r="GK965" s="828"/>
      <c r="GL965" s="828"/>
      <c r="GM965" s="828"/>
      <c r="GN965" s="828"/>
      <c r="GO965" s="828"/>
      <c r="GP965" s="828"/>
      <c r="GQ965" s="828"/>
      <c r="GR965" s="828"/>
      <c r="GS965" s="828"/>
      <c r="GT965" s="828"/>
      <c r="GU965" s="828"/>
      <c r="GV965" s="828"/>
      <c r="GW965" s="828"/>
      <c r="GX965" s="828"/>
      <c r="GY965" s="828"/>
      <c r="GZ965" s="828"/>
      <c r="HA965" s="828"/>
      <c r="HB965" s="828"/>
      <c r="HC965" s="828"/>
      <c r="HD965" s="828"/>
      <c r="HE965" s="828"/>
      <c r="HF965" s="828"/>
      <c r="HG965" s="828"/>
      <c r="HH965" s="828"/>
      <c r="HI965" s="828"/>
      <c r="HJ965" s="828"/>
      <c r="HK965" s="828"/>
      <c r="HL965" s="828"/>
      <c r="HM965" s="828"/>
      <c r="HN965" s="828"/>
      <c r="HO965" s="828"/>
      <c r="HP965" s="828"/>
      <c r="HQ965" s="828"/>
      <c r="HR965" s="828"/>
      <c r="HS965" s="828"/>
      <c r="HT965" s="828"/>
      <c r="HU965" s="828"/>
      <c r="HV965" s="828"/>
      <c r="HW965" s="828"/>
      <c r="HX965" s="828"/>
      <c r="HY965" s="828"/>
      <c r="HZ965" s="828"/>
      <c r="IA965" s="828"/>
      <c r="IB965" s="828"/>
      <c r="IC965" s="828"/>
      <c r="ID965" s="828"/>
      <c r="IE965" s="828"/>
      <c r="IF965" s="828"/>
      <c r="IG965" s="828"/>
      <c r="IH965" s="828"/>
      <c r="II965" s="828"/>
      <c r="IJ965" s="828"/>
      <c r="IK965" s="828"/>
      <c r="IL965" s="828"/>
      <c r="IM965" s="828"/>
      <c r="IN965" s="828"/>
      <c r="IO965" s="828"/>
      <c r="IP965" s="828"/>
      <c r="IQ965" s="828"/>
      <c r="IR965" s="828"/>
      <c r="IS965" s="828"/>
      <c r="IT965" s="828"/>
      <c r="IU965" s="828"/>
      <c r="IV965" s="828"/>
      <c r="IW965" s="828"/>
      <c r="IX965" s="828"/>
      <c r="IY965" s="828"/>
      <c r="IZ965" s="828"/>
      <c r="JA965" s="828"/>
      <c r="JB965" s="828"/>
      <c r="JC965" s="828"/>
      <c r="JD965" s="828"/>
      <c r="JE965" s="828"/>
      <c r="JF965" s="828"/>
      <c r="JG965" s="828"/>
      <c r="JH965" s="828"/>
      <c r="JI965" s="828"/>
      <c r="JJ965" s="828"/>
      <c r="JK965" s="828"/>
      <c r="JL965" s="828"/>
      <c r="JM965" s="828"/>
      <c r="JN965" s="828"/>
      <c r="JO965" s="828"/>
      <c r="JP965" s="828"/>
      <c r="JQ965" s="828"/>
      <c r="JR965" s="828"/>
      <c r="JS965" s="828"/>
      <c r="JT965" s="828"/>
      <c r="JU965" s="828"/>
      <c r="JV965" s="828"/>
      <c r="JW965" s="828"/>
      <c r="JX965" s="828"/>
      <c r="JY965" s="828"/>
      <c r="JZ965" s="828"/>
      <c r="KA965" s="828"/>
      <c r="KB965" s="828"/>
      <c r="KC965" s="828"/>
      <c r="KD965" s="828"/>
      <c r="KE965" s="828"/>
      <c r="KF965" s="828"/>
      <c r="KG965" s="828"/>
      <c r="KH965" s="828"/>
      <c r="KI965" s="828"/>
      <c r="KJ965" s="828"/>
      <c r="KK965" s="828"/>
      <c r="KL965" s="828"/>
      <c r="KM965" s="828"/>
      <c r="KN965" s="828"/>
      <c r="KO965" s="828"/>
      <c r="KP965" s="828"/>
      <c r="KQ965" s="828"/>
      <c r="KR965" s="828"/>
      <c r="KS965" s="828"/>
      <c r="KT965" s="828"/>
      <c r="KU965" s="828"/>
      <c r="KV965" s="828"/>
      <c r="KW965" s="828"/>
      <c r="KX965" s="828"/>
      <c r="KY965" s="828"/>
      <c r="KZ965" s="828"/>
      <c r="LA965" s="828"/>
      <c r="LB965" s="828"/>
      <c r="LC965" s="828"/>
      <c r="LD965" s="828"/>
      <c r="LE965" s="828"/>
      <c r="LF965" s="828"/>
      <c r="LG965" s="828"/>
      <c r="LH965" s="828"/>
      <c r="LI965" s="828"/>
      <c r="LJ965" s="828"/>
      <c r="LK965" s="828"/>
      <c r="LL965" s="828"/>
      <c r="LM965" s="828"/>
      <c r="LN965" s="828"/>
      <c r="LO965" s="828"/>
      <c r="LP965" s="828"/>
      <c r="LQ965" s="828"/>
      <c r="LR965" s="828"/>
      <c r="LS965" s="828"/>
      <c r="LT965" s="828"/>
      <c r="LU965" s="828"/>
      <c r="LV965" s="828"/>
      <c r="LW965" s="828"/>
      <c r="LX965" s="828"/>
      <c r="LY965" s="828"/>
      <c r="LZ965" s="828"/>
      <c r="MA965" s="828"/>
      <c r="MB965" s="828"/>
      <c r="MC965" s="828"/>
      <c r="MD965" s="828"/>
      <c r="ME965" s="828"/>
      <c r="MF965" s="828"/>
      <c r="MG965" s="828"/>
      <c r="MH965" s="828"/>
      <c r="MI965" s="828"/>
      <c r="MJ965" s="828"/>
      <c r="MK965" s="828"/>
      <c r="ML965" s="828"/>
      <c r="MM965" s="828"/>
      <c r="MN965" s="828"/>
      <c r="MO965" s="828"/>
      <c r="MP965" s="828"/>
      <c r="MQ965" s="828"/>
      <c r="MR965" s="828"/>
      <c r="MS965" s="828"/>
      <c r="MT965" s="828"/>
      <c r="MU965" s="828"/>
      <c r="MV965" s="828"/>
      <c r="MW965" s="828"/>
      <c r="MX965" s="828"/>
      <c r="MY965" s="828"/>
      <c r="MZ965" s="828"/>
      <c r="NA965" s="828"/>
      <c r="NB965" s="828"/>
      <c r="NC965" s="828"/>
      <c r="ND965" s="828"/>
      <c r="NE965" s="828"/>
      <c r="NF965" s="828"/>
      <c r="NG965" s="828"/>
      <c r="NH965" s="828"/>
      <c r="NI965" s="828"/>
      <c r="NJ965" s="828"/>
      <c r="NK965" s="828"/>
      <c r="NL965" s="828"/>
      <c r="NM965" s="828"/>
      <c r="NN965" s="828"/>
      <c r="NO965" s="828"/>
      <c r="NP965" s="828"/>
      <c r="NQ965" s="828"/>
      <c r="NR965" s="828"/>
      <c r="NS965" s="828"/>
      <c r="NT965" s="828"/>
      <c r="NU965" s="828"/>
      <c r="NV965" s="828"/>
      <c r="NW965" s="828"/>
      <c r="NX965" s="828"/>
      <c r="NY965" s="828"/>
      <c r="NZ965" s="828"/>
      <c r="OA965" s="828"/>
      <c r="OB965" s="828"/>
      <c r="OC965" s="828"/>
      <c r="OD965" s="828"/>
      <c r="OE965" s="828"/>
      <c r="OF965" s="828"/>
      <c r="OG965" s="828"/>
      <c r="OH965" s="828"/>
      <c r="OI965" s="828"/>
      <c r="OJ965" s="828"/>
      <c r="OK965" s="828"/>
      <c r="OL965" s="828"/>
      <c r="OM965" s="828"/>
      <c r="ON965" s="828"/>
      <c r="OO965" s="828"/>
      <c r="OP965" s="828"/>
      <c r="OQ965" s="828"/>
      <c r="OR965" s="828"/>
      <c r="OS965" s="828"/>
      <c r="OT965" s="828"/>
      <c r="OU965" s="828"/>
      <c r="OV965" s="828"/>
      <c r="OW965" s="828"/>
      <c r="OX965" s="828"/>
      <c r="OY965" s="828"/>
      <c r="OZ965" s="828"/>
      <c r="PA965" s="828"/>
      <c r="PB965" s="828"/>
      <c r="PC965" s="828"/>
      <c r="PD965" s="828"/>
      <c r="PE965" s="828"/>
      <c r="PF965" s="828"/>
      <c r="PG965" s="828"/>
      <c r="PH965" s="828"/>
      <c r="PI965" s="828"/>
      <c r="PJ965" s="828"/>
      <c r="PK965" s="828"/>
      <c r="PL965" s="828"/>
      <c r="PM965" s="828"/>
      <c r="PN965" s="828"/>
      <c r="PO965" s="828"/>
      <c r="PP965" s="828"/>
      <c r="PQ965" s="828"/>
      <c r="PR965" s="828"/>
      <c r="PS965" s="828"/>
      <c r="PT965" s="828"/>
      <c r="PU965" s="828"/>
      <c r="PV965" s="828"/>
      <c r="PW965" s="828"/>
      <c r="PX965" s="828"/>
      <c r="PY965" s="828"/>
      <c r="PZ965" s="828"/>
      <c r="QA965" s="828"/>
      <c r="QB965" s="828"/>
      <c r="QC965" s="828"/>
      <c r="QD965" s="828"/>
      <c r="QE965" s="828"/>
      <c r="QF965" s="828"/>
      <c r="QG965" s="828"/>
      <c r="QH965" s="828"/>
      <c r="QI965" s="828"/>
      <c r="QJ965" s="828"/>
      <c r="QK965" s="828"/>
      <c r="QL965" s="828"/>
      <c r="QM965" s="828"/>
      <c r="QN965" s="828"/>
      <c r="QO965" s="828"/>
      <c r="QP965" s="828"/>
      <c r="QQ965" s="828"/>
      <c r="QR965" s="828"/>
      <c r="QS965" s="828"/>
      <c r="QT965" s="828"/>
      <c r="QU965" s="828"/>
      <c r="QV965" s="828"/>
      <c r="QW965" s="828"/>
      <c r="QX965" s="828"/>
      <c r="QY965" s="828"/>
      <c r="QZ965" s="828"/>
      <c r="RA965" s="828"/>
      <c r="RB965" s="828"/>
      <c r="RC965" s="828"/>
      <c r="RD965" s="828"/>
      <c r="RE965" s="828"/>
      <c r="RF965" s="828"/>
      <c r="RG965" s="828"/>
      <c r="RH965" s="828"/>
      <c r="RI965" s="828"/>
      <c r="RJ965" s="828"/>
      <c r="RK965" s="828"/>
      <c r="RL965" s="828"/>
      <c r="RM965" s="828"/>
      <c r="RN965" s="828"/>
      <c r="RO965" s="828"/>
      <c r="RP965" s="828"/>
      <c r="RQ965" s="828"/>
      <c r="RR965" s="828"/>
      <c r="RS965" s="828"/>
      <c r="RT965" s="828"/>
      <c r="RU965" s="828"/>
      <c r="RV965" s="828"/>
      <c r="RW965" s="828"/>
      <c r="RX965" s="828"/>
      <c r="RY965" s="828"/>
      <c r="RZ965" s="828"/>
      <c r="SA965" s="828"/>
      <c r="SB965" s="828"/>
      <c r="SC965" s="828"/>
      <c r="SD965" s="828"/>
      <c r="SE965" s="828"/>
      <c r="SF965" s="828"/>
      <c r="SG965" s="828"/>
      <c r="SH965" s="828"/>
      <c r="SI965" s="828"/>
      <c r="SJ965" s="828"/>
      <c r="SK965" s="828"/>
      <c r="SL965" s="828"/>
      <c r="SM965" s="828"/>
      <c r="SN965" s="828"/>
      <c r="SO965" s="828"/>
      <c r="SP965" s="828"/>
      <c r="SQ965" s="828"/>
      <c r="SR965" s="828"/>
      <c r="SS965" s="828"/>
      <c r="ST965" s="828"/>
      <c r="SU965" s="828"/>
      <c r="SV965" s="828"/>
      <c r="SW965" s="828"/>
      <c r="SX965" s="828"/>
      <c r="SY965" s="828"/>
      <c r="SZ965" s="828"/>
      <c r="TA965" s="828"/>
      <c r="TB965" s="828"/>
      <c r="TC965" s="828"/>
      <c r="TD965" s="828"/>
      <c r="TE965" s="828"/>
      <c r="TF965" s="828"/>
      <c r="TG965" s="828"/>
      <c r="TH965" s="828"/>
      <c r="TI965" s="828"/>
      <c r="TJ965" s="828"/>
      <c r="TK965" s="828"/>
      <c r="TL965" s="828"/>
      <c r="TM965" s="828"/>
      <c r="TN965" s="828"/>
      <c r="TO965" s="828"/>
      <c r="TP965" s="828"/>
      <c r="TQ965" s="828"/>
      <c r="TR965" s="828"/>
      <c r="TS965" s="828"/>
      <c r="TT965" s="828"/>
      <c r="TU965" s="828"/>
      <c r="TV965" s="828"/>
      <c r="TW965" s="828"/>
      <c r="TX965" s="828"/>
      <c r="TY965" s="828"/>
      <c r="TZ965" s="828"/>
      <c r="UA965" s="828"/>
      <c r="UB965" s="828"/>
      <c r="UC965" s="828"/>
      <c r="UD965" s="828"/>
      <c r="UE965" s="828"/>
      <c r="UF965" s="828"/>
      <c r="UG965" s="828"/>
      <c r="UH965" s="828"/>
      <c r="UI965" s="828"/>
      <c r="UJ965" s="828"/>
      <c r="UK965" s="828"/>
      <c r="UL965" s="828"/>
      <c r="UM965" s="828"/>
      <c r="UN965" s="828"/>
      <c r="UO965" s="828"/>
      <c r="UP965" s="828"/>
      <c r="UQ965" s="828"/>
      <c r="UR965" s="828"/>
      <c r="US965" s="828"/>
      <c r="UT965" s="828"/>
      <c r="UU965" s="828"/>
      <c r="UV965" s="828"/>
      <c r="UW965" s="828"/>
      <c r="UX965" s="828"/>
      <c r="UY965" s="828"/>
      <c r="UZ965" s="828"/>
      <c r="VA965" s="828"/>
      <c r="VB965" s="828"/>
      <c r="VC965" s="828"/>
      <c r="VD965" s="828"/>
      <c r="VE965" s="828"/>
      <c r="VF965" s="828"/>
      <c r="VG965" s="828"/>
      <c r="VH965" s="828"/>
      <c r="VI965" s="828"/>
      <c r="VJ965" s="828"/>
      <c r="VK965" s="828"/>
      <c r="VL965" s="828"/>
      <c r="VM965" s="828"/>
      <c r="VN965" s="828"/>
      <c r="VO965" s="828"/>
      <c r="VP965" s="828"/>
      <c r="VQ965" s="828"/>
      <c r="VR965" s="828"/>
      <c r="VS965" s="828"/>
      <c r="VT965" s="828"/>
      <c r="VU965" s="828"/>
      <c r="VV965" s="828"/>
      <c r="VW965" s="828"/>
      <c r="VX965" s="828"/>
      <c r="VY965" s="828"/>
      <c r="VZ965" s="828"/>
      <c r="WA965" s="828"/>
      <c r="WB965" s="828"/>
      <c r="WC965" s="828"/>
      <c r="WD965" s="828"/>
      <c r="WE965" s="828"/>
      <c r="WF965" s="828"/>
      <c r="WG965" s="828"/>
      <c r="WH965" s="828"/>
      <c r="WI965" s="828"/>
      <c r="WJ965" s="828"/>
      <c r="WK965" s="828"/>
      <c r="WL965" s="828"/>
      <c r="WM965" s="828"/>
      <c r="WN965" s="828"/>
      <c r="WO965" s="828"/>
      <c r="WP965" s="828"/>
      <c r="WQ965" s="828"/>
      <c r="WR965" s="828"/>
      <c r="WS965" s="828"/>
      <c r="WT965" s="828"/>
      <c r="WU965" s="828"/>
      <c r="WV965" s="828"/>
      <c r="WW965" s="828"/>
      <c r="WX965" s="828"/>
      <c r="WY965" s="828"/>
      <c r="WZ965" s="828"/>
      <c r="XA965" s="828"/>
      <c r="XB965" s="828"/>
      <c r="XC965" s="828"/>
      <c r="XD965" s="828"/>
      <c r="XE965" s="828"/>
      <c r="XF965" s="828"/>
      <c r="XG965" s="828"/>
      <c r="XH965" s="828"/>
      <c r="XI965" s="828"/>
      <c r="XJ965" s="828"/>
      <c r="XK965" s="828"/>
      <c r="XL965" s="828"/>
      <c r="XM965" s="828"/>
      <c r="XN965" s="828"/>
      <c r="XO965" s="828"/>
      <c r="XP965" s="828"/>
      <c r="XQ965" s="828"/>
      <c r="XR965" s="828"/>
      <c r="XS965" s="828"/>
      <c r="XT965" s="828"/>
      <c r="XU965" s="828"/>
      <c r="XV965" s="828"/>
      <c r="XW965" s="828"/>
      <c r="XX965" s="828"/>
      <c r="XY965" s="828"/>
      <c r="XZ965" s="828"/>
      <c r="YA965" s="828"/>
      <c r="YB965" s="828"/>
      <c r="YC965" s="828"/>
      <c r="YD965" s="828"/>
      <c r="YE965" s="828"/>
      <c r="YF965" s="828"/>
      <c r="YG965" s="828"/>
      <c r="YH965" s="828"/>
      <c r="YI965" s="828"/>
      <c r="YJ965" s="828"/>
      <c r="YK965" s="828"/>
      <c r="YL965" s="828"/>
      <c r="YM965" s="828"/>
      <c r="YN965" s="828"/>
      <c r="YO965" s="828"/>
      <c r="YP965" s="828"/>
      <c r="YQ965" s="828"/>
      <c r="YR965" s="828"/>
      <c r="YS965" s="828"/>
      <c r="YT965" s="828"/>
      <c r="YU965" s="828"/>
      <c r="YV965" s="828"/>
      <c r="YW965" s="828"/>
      <c r="YX965" s="828"/>
      <c r="YY965" s="828"/>
      <c r="YZ965" s="828"/>
      <c r="ZA965" s="828"/>
      <c r="ZB965" s="828"/>
      <c r="ZC965" s="828"/>
      <c r="ZD965" s="828"/>
      <c r="ZE965" s="828"/>
      <c r="ZF965" s="828"/>
      <c r="ZG965" s="828"/>
      <c r="ZH965" s="828"/>
      <c r="ZI965" s="828"/>
      <c r="ZJ965" s="828"/>
      <c r="ZK965" s="828"/>
      <c r="ZL965" s="828"/>
      <c r="ZM965" s="828"/>
      <c r="ZN965" s="828"/>
      <c r="ZO965" s="828"/>
      <c r="ZP965" s="828"/>
      <c r="ZQ965" s="828"/>
      <c r="ZR965" s="828"/>
      <c r="ZS965" s="828"/>
      <c r="ZT965" s="828"/>
      <c r="ZU965" s="828"/>
      <c r="ZV965" s="828"/>
      <c r="ZW965" s="828"/>
      <c r="ZX965" s="828"/>
      <c r="ZY965" s="828"/>
      <c r="ZZ965" s="828"/>
      <c r="AAA965" s="828"/>
      <c r="AAB965" s="828"/>
      <c r="AAC965" s="828"/>
      <c r="AAD965" s="828"/>
      <c r="AAE965" s="828"/>
      <c r="AAF965" s="828"/>
      <c r="AAG965" s="828"/>
      <c r="AAH965" s="828"/>
      <c r="AAI965" s="828"/>
      <c r="AAJ965" s="828"/>
      <c r="AAK965" s="828"/>
      <c r="AAL965" s="828"/>
      <c r="AAM965" s="828"/>
      <c r="AAN965" s="828"/>
      <c r="AAO965" s="828"/>
      <c r="AAP965" s="828"/>
      <c r="AAQ965" s="828"/>
      <c r="AAR965" s="828"/>
      <c r="AAS965" s="828"/>
      <c r="AAT965" s="828"/>
      <c r="AAU965" s="828"/>
      <c r="AAV965" s="828"/>
      <c r="AAW965" s="828"/>
      <c r="AAX965" s="828"/>
      <c r="AAY965" s="828"/>
      <c r="AAZ965" s="828"/>
      <c r="ABA965" s="828"/>
      <c r="ABB965" s="828"/>
      <c r="ABC965" s="828"/>
      <c r="ABD965" s="828"/>
      <c r="ABE965" s="828"/>
      <c r="ABF965" s="828"/>
      <c r="ABG965" s="828"/>
      <c r="ABH965" s="828"/>
      <c r="ABI965" s="828"/>
      <c r="ABJ965" s="828"/>
      <c r="ABK965" s="828"/>
      <c r="ABL965" s="828"/>
      <c r="ABM965" s="828"/>
      <c r="ABN965" s="828"/>
      <c r="ABO965" s="828"/>
      <c r="ABP965" s="828"/>
      <c r="ABQ965" s="828"/>
      <c r="ABR965" s="828"/>
      <c r="ABS965" s="828"/>
      <c r="ABT965" s="828"/>
      <c r="ABU965" s="828"/>
      <c r="ABV965" s="828"/>
      <c r="ABW965" s="828"/>
      <c r="ABX965" s="828"/>
      <c r="ABY965" s="828"/>
      <c r="ABZ965" s="828"/>
      <c r="ACA965" s="828"/>
      <c r="ACB965" s="828"/>
      <c r="ACC965" s="828"/>
      <c r="ACD965" s="828"/>
      <c r="ACE965" s="828"/>
      <c r="ACF965" s="828"/>
      <c r="ACG965" s="828"/>
      <c r="ACH965" s="828"/>
      <c r="ACI965" s="828"/>
      <c r="ACJ965" s="828"/>
      <c r="ACK965" s="828"/>
      <c r="ACL965" s="828"/>
      <c r="ACM965" s="828"/>
      <c r="ACN965" s="828"/>
      <c r="ACO965" s="828"/>
      <c r="ACP965" s="828"/>
      <c r="ACQ965" s="828"/>
      <c r="ACR965" s="828"/>
      <c r="ACS965" s="828"/>
      <c r="ACT965" s="828"/>
      <c r="ACU965" s="828"/>
      <c r="ACV965" s="828"/>
      <c r="ACW965" s="828"/>
      <c r="ACX965" s="828"/>
      <c r="ACY965" s="828"/>
      <c r="ACZ965" s="828"/>
      <c r="ADA965" s="828"/>
      <c r="ADB965" s="828"/>
      <c r="ADC965" s="828"/>
      <c r="ADD965" s="828"/>
      <c r="ADE965" s="828"/>
      <c r="ADF965" s="828"/>
      <c r="ADG965" s="828"/>
      <c r="ADH965" s="828"/>
      <c r="ADI965" s="828"/>
      <c r="ADJ965" s="828"/>
      <c r="ADK965" s="828"/>
      <c r="ADL965" s="828"/>
      <c r="ADM965" s="828"/>
      <c r="ADN965" s="828"/>
      <c r="ADO965" s="828"/>
      <c r="ADP965" s="828"/>
      <c r="ADQ965" s="828"/>
      <c r="ADR965" s="828"/>
      <c r="ADS965" s="828"/>
      <c r="ADT965" s="828"/>
      <c r="ADU965" s="828"/>
      <c r="ADV965" s="828"/>
      <c r="ADW965" s="828"/>
      <c r="ADX965" s="828"/>
      <c r="ADY965" s="828"/>
      <c r="ADZ965" s="828"/>
      <c r="AEA965" s="828"/>
      <c r="AEB965" s="828"/>
      <c r="AEC965" s="828"/>
      <c r="AED965" s="828"/>
      <c r="AEE965" s="828"/>
      <c r="AEF965" s="828"/>
      <c r="AEG965" s="828"/>
      <c r="AEH965" s="828"/>
      <c r="AEI965" s="828"/>
      <c r="AEJ965" s="828"/>
      <c r="AEK965" s="828"/>
      <c r="AEL965" s="828"/>
      <c r="AEM965" s="828"/>
      <c r="AEN965" s="828"/>
      <c r="AEO965" s="828"/>
      <c r="AEP965" s="828"/>
      <c r="AEQ965" s="828"/>
      <c r="AER965" s="828"/>
      <c r="AES965" s="828"/>
      <c r="AET965" s="828"/>
      <c r="AEU965" s="828"/>
      <c r="AEV965" s="828"/>
      <c r="AEW965" s="828"/>
      <c r="AEX965" s="828"/>
      <c r="AEY965" s="828"/>
      <c r="AEZ965" s="828"/>
      <c r="AFA965" s="828"/>
      <c r="AFB965" s="828"/>
      <c r="AFC965" s="828"/>
      <c r="AFD965" s="828"/>
      <c r="AFE965" s="828"/>
      <c r="AFF965" s="828"/>
      <c r="AFG965" s="828"/>
      <c r="AFH965" s="828"/>
      <c r="AFI965" s="828"/>
      <c r="AFJ965" s="828"/>
      <c r="AFK965" s="828"/>
      <c r="AFL965" s="828"/>
      <c r="AFM965" s="828"/>
      <c r="AFN965" s="828"/>
      <c r="AFO965" s="828"/>
      <c r="AFP965" s="828"/>
      <c r="AFQ965" s="828"/>
      <c r="AFR965" s="828"/>
      <c r="AFS965" s="828"/>
      <c r="AFT965" s="828"/>
      <c r="AFU965" s="828"/>
      <c r="AFV965" s="828"/>
      <c r="AFW965" s="828"/>
      <c r="AFX965" s="828"/>
      <c r="AFY965" s="828"/>
      <c r="AFZ965" s="828"/>
      <c r="AGA965" s="828"/>
      <c r="AGB965" s="828"/>
      <c r="AGC965" s="828"/>
      <c r="AGD965" s="828"/>
      <c r="AGE965" s="828"/>
      <c r="AGF965" s="828"/>
      <c r="AGG965" s="828"/>
      <c r="AGH965" s="828"/>
      <c r="AGI965" s="828"/>
      <c r="AGJ965" s="828"/>
    </row>
    <row r="966" spans="1:868" s="7" customFormat="1" hidden="1">
      <c r="A966" s="626" t="s">
        <v>127</v>
      </c>
      <c r="B966" s="59" t="s">
        <v>458</v>
      </c>
      <c r="C966" s="40" t="s">
        <v>147</v>
      </c>
      <c r="D966" s="34" t="s">
        <v>107</v>
      </c>
      <c r="E966" s="880">
        <v>6.4613472974172373E-2</v>
      </c>
      <c r="F966" s="34">
        <v>2</v>
      </c>
      <c r="G966" s="40" t="s">
        <v>451</v>
      </c>
      <c r="H966" s="29">
        <v>1</v>
      </c>
      <c r="I966" s="9">
        <v>2</v>
      </c>
      <c r="J966" s="9">
        <v>2</v>
      </c>
      <c r="K966" s="9">
        <v>1</v>
      </c>
      <c r="L966" s="9">
        <v>1</v>
      </c>
      <c r="M966" s="9">
        <v>2</v>
      </c>
      <c r="N966" s="186">
        <f t="shared" si="53"/>
        <v>0.35859414261160716</v>
      </c>
      <c r="O966" s="160">
        <f t="shared" si="51"/>
        <v>0.37356464144298934</v>
      </c>
      <c r="P966" s="63"/>
      <c r="Q966" s="828"/>
      <c r="R966" s="828"/>
      <c r="S966" s="828"/>
      <c r="T966" s="828"/>
      <c r="U966" s="828"/>
      <c r="V966" s="828"/>
      <c r="W966" s="828"/>
      <c r="X966" s="828"/>
      <c r="Y966" s="828"/>
      <c r="Z966" s="828"/>
      <c r="AA966" s="828"/>
      <c r="AB966" s="828"/>
      <c r="AC966" s="828"/>
      <c r="AD966" s="828"/>
      <c r="AE966" s="828"/>
      <c r="AF966" s="828"/>
      <c r="AG966" s="828"/>
      <c r="AH966" s="828"/>
      <c r="AI966" s="828"/>
      <c r="AJ966" s="828"/>
      <c r="AK966" s="828"/>
      <c r="AL966" s="828"/>
      <c r="AM966" s="828"/>
      <c r="AN966" s="828"/>
      <c r="AO966" s="828"/>
      <c r="AP966" s="828"/>
      <c r="AQ966" s="828"/>
      <c r="AR966" s="828"/>
      <c r="AS966" s="828"/>
      <c r="AT966" s="828"/>
      <c r="AU966" s="828"/>
      <c r="AV966" s="828"/>
      <c r="AW966" s="828"/>
      <c r="AX966" s="828"/>
      <c r="AY966" s="828"/>
      <c r="AZ966" s="828"/>
      <c r="BA966" s="828"/>
      <c r="BB966" s="828"/>
      <c r="BC966" s="828"/>
      <c r="BD966" s="828"/>
      <c r="BE966" s="828"/>
      <c r="BF966" s="828"/>
      <c r="BG966" s="828"/>
      <c r="BH966" s="828"/>
      <c r="BI966" s="828"/>
      <c r="BJ966" s="828"/>
      <c r="BK966" s="828"/>
      <c r="BL966" s="828"/>
      <c r="BM966" s="828"/>
      <c r="BN966" s="828"/>
      <c r="BO966" s="828"/>
      <c r="BP966" s="828"/>
      <c r="BQ966" s="828"/>
      <c r="BR966" s="828"/>
      <c r="BS966" s="828"/>
      <c r="BT966" s="828"/>
      <c r="BU966" s="828"/>
      <c r="BV966" s="828"/>
      <c r="BW966" s="828"/>
      <c r="BX966" s="828"/>
      <c r="BY966" s="828"/>
      <c r="BZ966" s="828"/>
      <c r="CA966" s="828"/>
      <c r="CB966" s="828"/>
      <c r="CC966" s="828"/>
      <c r="CD966" s="828"/>
      <c r="CE966" s="828"/>
      <c r="CF966" s="828"/>
      <c r="CG966" s="828"/>
      <c r="CH966" s="828"/>
      <c r="CI966" s="828"/>
      <c r="CJ966" s="828"/>
      <c r="CK966" s="828"/>
      <c r="CL966" s="828"/>
      <c r="CM966" s="828"/>
      <c r="CN966" s="828"/>
      <c r="CO966" s="828"/>
      <c r="CP966" s="828"/>
      <c r="CQ966" s="828"/>
      <c r="CR966" s="828"/>
      <c r="CS966" s="828"/>
      <c r="CT966" s="828"/>
      <c r="CU966" s="828"/>
      <c r="CV966" s="828"/>
      <c r="CW966" s="828"/>
      <c r="CX966" s="828"/>
      <c r="CY966" s="828"/>
      <c r="CZ966" s="828"/>
      <c r="DA966" s="828"/>
      <c r="DB966" s="828"/>
      <c r="DC966" s="828"/>
      <c r="DD966" s="828"/>
      <c r="DE966" s="828"/>
      <c r="DF966" s="828"/>
      <c r="DG966" s="828"/>
      <c r="DH966" s="828"/>
      <c r="DI966" s="828"/>
      <c r="DJ966" s="828"/>
      <c r="DK966" s="828"/>
      <c r="DL966" s="828"/>
      <c r="DM966" s="828"/>
      <c r="DN966" s="828"/>
      <c r="DO966" s="828"/>
      <c r="DP966" s="828"/>
      <c r="DQ966" s="828"/>
      <c r="DR966" s="828"/>
      <c r="DS966" s="828"/>
      <c r="DT966" s="828"/>
      <c r="DU966" s="828"/>
      <c r="DV966" s="828"/>
      <c r="DW966" s="828"/>
      <c r="DX966" s="828"/>
      <c r="DY966" s="828"/>
      <c r="DZ966" s="828"/>
      <c r="EA966" s="828"/>
      <c r="EB966" s="828"/>
      <c r="EC966" s="828"/>
      <c r="ED966" s="828"/>
      <c r="EE966" s="828"/>
      <c r="EF966" s="828"/>
      <c r="EG966" s="828"/>
      <c r="EH966" s="828"/>
      <c r="EI966" s="828"/>
      <c r="EJ966" s="828"/>
      <c r="EK966" s="828"/>
      <c r="EL966" s="828"/>
      <c r="EM966" s="828"/>
      <c r="EN966" s="828"/>
      <c r="EO966" s="828"/>
      <c r="EP966" s="828"/>
      <c r="EQ966" s="828"/>
      <c r="ER966" s="828"/>
      <c r="ES966" s="828"/>
      <c r="ET966" s="828"/>
      <c r="EU966" s="828"/>
      <c r="EV966" s="828"/>
      <c r="EW966" s="828"/>
      <c r="EX966" s="828"/>
      <c r="EY966" s="828"/>
      <c r="EZ966" s="828"/>
      <c r="FA966" s="828"/>
      <c r="FB966" s="828"/>
      <c r="FC966" s="828"/>
      <c r="FD966" s="828"/>
      <c r="FE966" s="828"/>
      <c r="FF966" s="828"/>
      <c r="FG966" s="828"/>
      <c r="FH966" s="828"/>
      <c r="FI966" s="828"/>
      <c r="FJ966" s="828"/>
      <c r="FK966" s="828"/>
      <c r="FL966" s="828"/>
      <c r="FM966" s="828"/>
      <c r="FN966" s="828"/>
      <c r="FO966" s="828"/>
      <c r="FP966" s="828"/>
      <c r="FQ966" s="828"/>
      <c r="FR966" s="828"/>
      <c r="FS966" s="828"/>
      <c r="FT966" s="828"/>
      <c r="FU966" s="828"/>
      <c r="FV966" s="828"/>
      <c r="FW966" s="828"/>
      <c r="FX966" s="828"/>
      <c r="FY966" s="828"/>
      <c r="FZ966" s="828"/>
      <c r="GA966" s="828"/>
      <c r="GB966" s="828"/>
      <c r="GC966" s="828"/>
      <c r="GD966" s="828"/>
      <c r="GE966" s="828"/>
      <c r="GF966" s="828"/>
      <c r="GG966" s="828"/>
      <c r="GH966" s="828"/>
      <c r="GI966" s="828"/>
      <c r="GJ966" s="828"/>
      <c r="GK966" s="828"/>
      <c r="GL966" s="828"/>
      <c r="GM966" s="828"/>
      <c r="GN966" s="828"/>
      <c r="GO966" s="828"/>
      <c r="GP966" s="828"/>
      <c r="GQ966" s="828"/>
      <c r="GR966" s="828"/>
      <c r="GS966" s="828"/>
      <c r="GT966" s="828"/>
      <c r="GU966" s="828"/>
      <c r="GV966" s="828"/>
      <c r="GW966" s="828"/>
      <c r="GX966" s="828"/>
      <c r="GY966" s="828"/>
      <c r="GZ966" s="828"/>
      <c r="HA966" s="828"/>
      <c r="HB966" s="828"/>
      <c r="HC966" s="828"/>
      <c r="HD966" s="828"/>
      <c r="HE966" s="828"/>
      <c r="HF966" s="828"/>
      <c r="HG966" s="828"/>
      <c r="HH966" s="828"/>
      <c r="HI966" s="828"/>
      <c r="HJ966" s="828"/>
      <c r="HK966" s="828"/>
      <c r="HL966" s="828"/>
      <c r="HM966" s="828"/>
      <c r="HN966" s="828"/>
      <c r="HO966" s="828"/>
      <c r="HP966" s="828"/>
      <c r="HQ966" s="828"/>
      <c r="HR966" s="828"/>
      <c r="HS966" s="828"/>
      <c r="HT966" s="828"/>
      <c r="HU966" s="828"/>
      <c r="HV966" s="828"/>
      <c r="HW966" s="828"/>
      <c r="HX966" s="828"/>
      <c r="HY966" s="828"/>
      <c r="HZ966" s="828"/>
      <c r="IA966" s="828"/>
      <c r="IB966" s="828"/>
      <c r="IC966" s="828"/>
      <c r="ID966" s="828"/>
      <c r="IE966" s="828"/>
      <c r="IF966" s="828"/>
      <c r="IG966" s="828"/>
      <c r="IH966" s="828"/>
      <c r="II966" s="828"/>
      <c r="IJ966" s="828"/>
      <c r="IK966" s="828"/>
      <c r="IL966" s="828"/>
      <c r="IM966" s="828"/>
      <c r="IN966" s="828"/>
      <c r="IO966" s="828"/>
      <c r="IP966" s="828"/>
      <c r="IQ966" s="828"/>
      <c r="IR966" s="828"/>
      <c r="IS966" s="828"/>
      <c r="IT966" s="828"/>
      <c r="IU966" s="828"/>
      <c r="IV966" s="828"/>
      <c r="IW966" s="828"/>
      <c r="IX966" s="828"/>
      <c r="IY966" s="828"/>
      <c r="IZ966" s="828"/>
      <c r="JA966" s="828"/>
      <c r="JB966" s="828"/>
      <c r="JC966" s="828"/>
      <c r="JD966" s="828"/>
      <c r="JE966" s="828"/>
      <c r="JF966" s="828"/>
      <c r="JG966" s="828"/>
      <c r="JH966" s="828"/>
      <c r="JI966" s="828"/>
      <c r="JJ966" s="828"/>
      <c r="JK966" s="828"/>
      <c r="JL966" s="828"/>
      <c r="JM966" s="828"/>
      <c r="JN966" s="828"/>
      <c r="JO966" s="828"/>
      <c r="JP966" s="828"/>
      <c r="JQ966" s="828"/>
      <c r="JR966" s="828"/>
      <c r="JS966" s="828"/>
      <c r="JT966" s="828"/>
      <c r="JU966" s="828"/>
      <c r="JV966" s="828"/>
      <c r="JW966" s="828"/>
      <c r="JX966" s="828"/>
      <c r="JY966" s="828"/>
      <c r="JZ966" s="828"/>
      <c r="KA966" s="828"/>
      <c r="KB966" s="828"/>
      <c r="KC966" s="828"/>
      <c r="KD966" s="828"/>
      <c r="KE966" s="828"/>
      <c r="KF966" s="828"/>
      <c r="KG966" s="828"/>
      <c r="KH966" s="828"/>
      <c r="KI966" s="828"/>
      <c r="KJ966" s="828"/>
      <c r="KK966" s="828"/>
      <c r="KL966" s="828"/>
      <c r="KM966" s="828"/>
      <c r="KN966" s="828"/>
      <c r="KO966" s="828"/>
      <c r="KP966" s="828"/>
      <c r="KQ966" s="828"/>
      <c r="KR966" s="828"/>
      <c r="KS966" s="828"/>
      <c r="KT966" s="828"/>
      <c r="KU966" s="828"/>
      <c r="KV966" s="828"/>
      <c r="KW966" s="828"/>
      <c r="KX966" s="828"/>
      <c r="KY966" s="828"/>
      <c r="KZ966" s="828"/>
      <c r="LA966" s="828"/>
      <c r="LB966" s="828"/>
      <c r="LC966" s="828"/>
      <c r="LD966" s="828"/>
      <c r="LE966" s="828"/>
      <c r="LF966" s="828"/>
      <c r="LG966" s="828"/>
      <c r="LH966" s="828"/>
      <c r="LI966" s="828"/>
      <c r="LJ966" s="828"/>
      <c r="LK966" s="828"/>
      <c r="LL966" s="828"/>
      <c r="LM966" s="828"/>
      <c r="LN966" s="828"/>
      <c r="LO966" s="828"/>
      <c r="LP966" s="828"/>
      <c r="LQ966" s="828"/>
      <c r="LR966" s="828"/>
      <c r="LS966" s="828"/>
      <c r="LT966" s="828"/>
      <c r="LU966" s="828"/>
      <c r="LV966" s="828"/>
      <c r="LW966" s="828"/>
      <c r="LX966" s="828"/>
      <c r="LY966" s="828"/>
      <c r="LZ966" s="828"/>
      <c r="MA966" s="828"/>
      <c r="MB966" s="828"/>
      <c r="MC966" s="828"/>
      <c r="MD966" s="828"/>
      <c r="ME966" s="828"/>
      <c r="MF966" s="828"/>
      <c r="MG966" s="828"/>
      <c r="MH966" s="828"/>
      <c r="MI966" s="828"/>
      <c r="MJ966" s="828"/>
      <c r="MK966" s="828"/>
      <c r="ML966" s="828"/>
      <c r="MM966" s="828"/>
      <c r="MN966" s="828"/>
      <c r="MO966" s="828"/>
      <c r="MP966" s="828"/>
      <c r="MQ966" s="828"/>
      <c r="MR966" s="828"/>
      <c r="MS966" s="828"/>
      <c r="MT966" s="828"/>
      <c r="MU966" s="828"/>
      <c r="MV966" s="828"/>
      <c r="MW966" s="828"/>
      <c r="MX966" s="828"/>
      <c r="MY966" s="828"/>
      <c r="MZ966" s="828"/>
      <c r="NA966" s="828"/>
      <c r="NB966" s="828"/>
      <c r="NC966" s="828"/>
      <c r="ND966" s="828"/>
      <c r="NE966" s="828"/>
      <c r="NF966" s="828"/>
      <c r="NG966" s="828"/>
      <c r="NH966" s="828"/>
      <c r="NI966" s="828"/>
      <c r="NJ966" s="828"/>
      <c r="NK966" s="828"/>
      <c r="NL966" s="828"/>
      <c r="NM966" s="828"/>
      <c r="NN966" s="828"/>
      <c r="NO966" s="828"/>
      <c r="NP966" s="828"/>
      <c r="NQ966" s="828"/>
      <c r="NR966" s="828"/>
      <c r="NS966" s="828"/>
      <c r="NT966" s="828"/>
      <c r="NU966" s="828"/>
      <c r="NV966" s="828"/>
      <c r="NW966" s="828"/>
      <c r="NX966" s="828"/>
      <c r="NY966" s="828"/>
      <c r="NZ966" s="828"/>
      <c r="OA966" s="828"/>
      <c r="OB966" s="828"/>
      <c r="OC966" s="828"/>
      <c r="OD966" s="828"/>
      <c r="OE966" s="828"/>
      <c r="OF966" s="828"/>
      <c r="OG966" s="828"/>
      <c r="OH966" s="828"/>
      <c r="OI966" s="828"/>
      <c r="OJ966" s="828"/>
      <c r="OK966" s="828"/>
      <c r="OL966" s="828"/>
      <c r="OM966" s="828"/>
      <c r="ON966" s="828"/>
      <c r="OO966" s="828"/>
      <c r="OP966" s="828"/>
      <c r="OQ966" s="828"/>
      <c r="OR966" s="828"/>
      <c r="OS966" s="828"/>
      <c r="OT966" s="828"/>
      <c r="OU966" s="828"/>
      <c r="OV966" s="828"/>
      <c r="OW966" s="828"/>
      <c r="OX966" s="828"/>
      <c r="OY966" s="828"/>
      <c r="OZ966" s="828"/>
      <c r="PA966" s="828"/>
      <c r="PB966" s="828"/>
      <c r="PC966" s="828"/>
      <c r="PD966" s="828"/>
      <c r="PE966" s="828"/>
      <c r="PF966" s="828"/>
      <c r="PG966" s="828"/>
      <c r="PH966" s="828"/>
      <c r="PI966" s="828"/>
      <c r="PJ966" s="828"/>
      <c r="PK966" s="828"/>
      <c r="PL966" s="828"/>
      <c r="PM966" s="828"/>
      <c r="PN966" s="828"/>
      <c r="PO966" s="828"/>
      <c r="PP966" s="828"/>
      <c r="PQ966" s="828"/>
      <c r="PR966" s="828"/>
      <c r="PS966" s="828"/>
      <c r="PT966" s="828"/>
      <c r="PU966" s="828"/>
      <c r="PV966" s="828"/>
      <c r="PW966" s="828"/>
      <c r="PX966" s="828"/>
      <c r="PY966" s="828"/>
      <c r="PZ966" s="828"/>
      <c r="QA966" s="828"/>
      <c r="QB966" s="828"/>
      <c r="QC966" s="828"/>
      <c r="QD966" s="828"/>
      <c r="QE966" s="828"/>
      <c r="QF966" s="828"/>
      <c r="QG966" s="828"/>
      <c r="QH966" s="828"/>
      <c r="QI966" s="828"/>
      <c r="QJ966" s="828"/>
      <c r="QK966" s="828"/>
      <c r="QL966" s="828"/>
      <c r="QM966" s="828"/>
      <c r="QN966" s="828"/>
      <c r="QO966" s="828"/>
      <c r="QP966" s="828"/>
      <c r="QQ966" s="828"/>
      <c r="QR966" s="828"/>
      <c r="QS966" s="828"/>
      <c r="QT966" s="828"/>
      <c r="QU966" s="828"/>
      <c r="QV966" s="828"/>
      <c r="QW966" s="828"/>
      <c r="QX966" s="828"/>
      <c r="QY966" s="828"/>
      <c r="QZ966" s="828"/>
      <c r="RA966" s="828"/>
      <c r="RB966" s="828"/>
      <c r="RC966" s="828"/>
      <c r="RD966" s="828"/>
      <c r="RE966" s="828"/>
      <c r="RF966" s="828"/>
      <c r="RG966" s="828"/>
      <c r="RH966" s="828"/>
      <c r="RI966" s="828"/>
      <c r="RJ966" s="828"/>
      <c r="RK966" s="828"/>
      <c r="RL966" s="828"/>
      <c r="RM966" s="828"/>
      <c r="RN966" s="828"/>
      <c r="RO966" s="828"/>
      <c r="RP966" s="828"/>
      <c r="RQ966" s="828"/>
      <c r="RR966" s="828"/>
      <c r="RS966" s="828"/>
      <c r="RT966" s="828"/>
      <c r="RU966" s="828"/>
      <c r="RV966" s="828"/>
      <c r="RW966" s="828"/>
      <c r="RX966" s="828"/>
      <c r="RY966" s="828"/>
      <c r="RZ966" s="828"/>
      <c r="SA966" s="828"/>
      <c r="SB966" s="828"/>
      <c r="SC966" s="828"/>
      <c r="SD966" s="828"/>
      <c r="SE966" s="828"/>
      <c r="SF966" s="828"/>
      <c r="SG966" s="828"/>
      <c r="SH966" s="828"/>
      <c r="SI966" s="828"/>
      <c r="SJ966" s="828"/>
      <c r="SK966" s="828"/>
      <c r="SL966" s="828"/>
      <c r="SM966" s="828"/>
      <c r="SN966" s="828"/>
      <c r="SO966" s="828"/>
      <c r="SP966" s="828"/>
      <c r="SQ966" s="828"/>
      <c r="SR966" s="828"/>
      <c r="SS966" s="828"/>
      <c r="ST966" s="828"/>
      <c r="SU966" s="828"/>
      <c r="SV966" s="828"/>
      <c r="SW966" s="828"/>
      <c r="SX966" s="828"/>
      <c r="SY966" s="828"/>
      <c r="SZ966" s="828"/>
      <c r="TA966" s="828"/>
      <c r="TB966" s="828"/>
      <c r="TC966" s="828"/>
      <c r="TD966" s="828"/>
      <c r="TE966" s="828"/>
      <c r="TF966" s="828"/>
      <c r="TG966" s="828"/>
      <c r="TH966" s="828"/>
      <c r="TI966" s="828"/>
      <c r="TJ966" s="828"/>
      <c r="TK966" s="828"/>
      <c r="TL966" s="828"/>
      <c r="TM966" s="828"/>
      <c r="TN966" s="828"/>
      <c r="TO966" s="828"/>
      <c r="TP966" s="828"/>
      <c r="TQ966" s="828"/>
      <c r="TR966" s="828"/>
      <c r="TS966" s="828"/>
      <c r="TT966" s="828"/>
      <c r="TU966" s="828"/>
      <c r="TV966" s="828"/>
      <c r="TW966" s="828"/>
      <c r="TX966" s="828"/>
      <c r="TY966" s="828"/>
      <c r="TZ966" s="828"/>
      <c r="UA966" s="828"/>
      <c r="UB966" s="828"/>
      <c r="UC966" s="828"/>
      <c r="UD966" s="828"/>
      <c r="UE966" s="828"/>
      <c r="UF966" s="828"/>
      <c r="UG966" s="828"/>
      <c r="UH966" s="828"/>
      <c r="UI966" s="828"/>
      <c r="UJ966" s="828"/>
      <c r="UK966" s="828"/>
      <c r="UL966" s="828"/>
      <c r="UM966" s="828"/>
      <c r="UN966" s="828"/>
      <c r="UO966" s="828"/>
      <c r="UP966" s="828"/>
      <c r="UQ966" s="828"/>
      <c r="UR966" s="828"/>
      <c r="US966" s="828"/>
      <c r="UT966" s="828"/>
      <c r="UU966" s="828"/>
      <c r="UV966" s="828"/>
      <c r="UW966" s="828"/>
      <c r="UX966" s="828"/>
      <c r="UY966" s="828"/>
      <c r="UZ966" s="828"/>
      <c r="VA966" s="828"/>
      <c r="VB966" s="828"/>
      <c r="VC966" s="828"/>
      <c r="VD966" s="828"/>
      <c r="VE966" s="828"/>
      <c r="VF966" s="828"/>
      <c r="VG966" s="828"/>
      <c r="VH966" s="828"/>
      <c r="VI966" s="828"/>
      <c r="VJ966" s="828"/>
      <c r="VK966" s="828"/>
      <c r="VL966" s="828"/>
      <c r="VM966" s="828"/>
      <c r="VN966" s="828"/>
      <c r="VO966" s="828"/>
      <c r="VP966" s="828"/>
      <c r="VQ966" s="828"/>
      <c r="VR966" s="828"/>
      <c r="VS966" s="828"/>
      <c r="VT966" s="828"/>
      <c r="VU966" s="828"/>
      <c r="VV966" s="828"/>
      <c r="VW966" s="828"/>
      <c r="VX966" s="828"/>
      <c r="VY966" s="828"/>
      <c r="VZ966" s="828"/>
      <c r="WA966" s="828"/>
      <c r="WB966" s="828"/>
      <c r="WC966" s="828"/>
      <c r="WD966" s="828"/>
      <c r="WE966" s="828"/>
      <c r="WF966" s="828"/>
      <c r="WG966" s="828"/>
      <c r="WH966" s="828"/>
      <c r="WI966" s="828"/>
      <c r="WJ966" s="828"/>
      <c r="WK966" s="828"/>
      <c r="WL966" s="828"/>
      <c r="WM966" s="828"/>
      <c r="WN966" s="828"/>
      <c r="WO966" s="828"/>
      <c r="WP966" s="828"/>
      <c r="WQ966" s="828"/>
      <c r="WR966" s="828"/>
      <c r="WS966" s="828"/>
      <c r="WT966" s="828"/>
      <c r="WU966" s="828"/>
      <c r="WV966" s="828"/>
      <c r="WW966" s="828"/>
      <c r="WX966" s="828"/>
      <c r="WY966" s="828"/>
      <c r="WZ966" s="828"/>
      <c r="XA966" s="828"/>
      <c r="XB966" s="828"/>
      <c r="XC966" s="828"/>
      <c r="XD966" s="828"/>
      <c r="XE966" s="828"/>
      <c r="XF966" s="828"/>
      <c r="XG966" s="828"/>
      <c r="XH966" s="828"/>
      <c r="XI966" s="828"/>
      <c r="XJ966" s="828"/>
      <c r="XK966" s="828"/>
      <c r="XL966" s="828"/>
      <c r="XM966" s="828"/>
      <c r="XN966" s="828"/>
      <c r="XO966" s="828"/>
      <c r="XP966" s="828"/>
      <c r="XQ966" s="828"/>
      <c r="XR966" s="828"/>
      <c r="XS966" s="828"/>
      <c r="XT966" s="828"/>
      <c r="XU966" s="828"/>
      <c r="XV966" s="828"/>
      <c r="XW966" s="828"/>
      <c r="XX966" s="828"/>
      <c r="XY966" s="828"/>
      <c r="XZ966" s="828"/>
      <c r="YA966" s="828"/>
      <c r="YB966" s="828"/>
      <c r="YC966" s="828"/>
      <c r="YD966" s="828"/>
      <c r="YE966" s="828"/>
      <c r="YF966" s="828"/>
      <c r="YG966" s="828"/>
      <c r="YH966" s="828"/>
      <c r="YI966" s="828"/>
      <c r="YJ966" s="828"/>
      <c r="YK966" s="828"/>
      <c r="YL966" s="828"/>
      <c r="YM966" s="828"/>
      <c r="YN966" s="828"/>
      <c r="YO966" s="828"/>
      <c r="YP966" s="828"/>
      <c r="YQ966" s="828"/>
      <c r="YR966" s="828"/>
      <c r="YS966" s="828"/>
      <c r="YT966" s="828"/>
      <c r="YU966" s="828"/>
      <c r="YV966" s="828"/>
      <c r="YW966" s="828"/>
      <c r="YX966" s="828"/>
      <c r="YY966" s="828"/>
      <c r="YZ966" s="828"/>
      <c r="ZA966" s="828"/>
      <c r="ZB966" s="828"/>
      <c r="ZC966" s="828"/>
      <c r="ZD966" s="828"/>
      <c r="ZE966" s="828"/>
      <c r="ZF966" s="828"/>
      <c r="ZG966" s="828"/>
      <c r="ZH966" s="828"/>
      <c r="ZI966" s="828"/>
      <c r="ZJ966" s="828"/>
      <c r="ZK966" s="828"/>
      <c r="ZL966" s="828"/>
      <c r="ZM966" s="828"/>
      <c r="ZN966" s="828"/>
      <c r="ZO966" s="828"/>
      <c r="ZP966" s="828"/>
      <c r="ZQ966" s="828"/>
      <c r="ZR966" s="828"/>
      <c r="ZS966" s="828"/>
      <c r="ZT966" s="828"/>
      <c r="ZU966" s="828"/>
      <c r="ZV966" s="828"/>
      <c r="ZW966" s="828"/>
      <c r="ZX966" s="828"/>
      <c r="ZY966" s="828"/>
      <c r="ZZ966" s="828"/>
      <c r="AAA966" s="828"/>
      <c r="AAB966" s="828"/>
      <c r="AAC966" s="828"/>
      <c r="AAD966" s="828"/>
      <c r="AAE966" s="828"/>
      <c r="AAF966" s="828"/>
      <c r="AAG966" s="828"/>
      <c r="AAH966" s="828"/>
      <c r="AAI966" s="828"/>
      <c r="AAJ966" s="828"/>
      <c r="AAK966" s="828"/>
      <c r="AAL966" s="828"/>
      <c r="AAM966" s="828"/>
      <c r="AAN966" s="828"/>
      <c r="AAO966" s="828"/>
      <c r="AAP966" s="828"/>
      <c r="AAQ966" s="828"/>
      <c r="AAR966" s="828"/>
      <c r="AAS966" s="828"/>
      <c r="AAT966" s="828"/>
      <c r="AAU966" s="828"/>
      <c r="AAV966" s="828"/>
      <c r="AAW966" s="828"/>
      <c r="AAX966" s="828"/>
      <c r="AAY966" s="828"/>
      <c r="AAZ966" s="828"/>
      <c r="ABA966" s="828"/>
      <c r="ABB966" s="828"/>
      <c r="ABC966" s="828"/>
      <c r="ABD966" s="828"/>
      <c r="ABE966" s="828"/>
      <c r="ABF966" s="828"/>
      <c r="ABG966" s="828"/>
      <c r="ABH966" s="828"/>
      <c r="ABI966" s="828"/>
      <c r="ABJ966" s="828"/>
      <c r="ABK966" s="828"/>
      <c r="ABL966" s="828"/>
      <c r="ABM966" s="828"/>
      <c r="ABN966" s="828"/>
      <c r="ABO966" s="828"/>
      <c r="ABP966" s="828"/>
      <c r="ABQ966" s="828"/>
      <c r="ABR966" s="828"/>
      <c r="ABS966" s="828"/>
      <c r="ABT966" s="828"/>
      <c r="ABU966" s="828"/>
      <c r="ABV966" s="828"/>
      <c r="ABW966" s="828"/>
      <c r="ABX966" s="828"/>
      <c r="ABY966" s="828"/>
      <c r="ABZ966" s="828"/>
      <c r="ACA966" s="828"/>
      <c r="ACB966" s="828"/>
      <c r="ACC966" s="828"/>
      <c r="ACD966" s="828"/>
      <c r="ACE966" s="828"/>
      <c r="ACF966" s="828"/>
      <c r="ACG966" s="828"/>
      <c r="ACH966" s="828"/>
      <c r="ACI966" s="828"/>
      <c r="ACJ966" s="828"/>
      <c r="ACK966" s="828"/>
      <c r="ACL966" s="828"/>
      <c r="ACM966" s="828"/>
      <c r="ACN966" s="828"/>
      <c r="ACO966" s="828"/>
      <c r="ACP966" s="828"/>
      <c r="ACQ966" s="828"/>
      <c r="ACR966" s="828"/>
      <c r="ACS966" s="828"/>
      <c r="ACT966" s="828"/>
      <c r="ACU966" s="828"/>
      <c r="ACV966" s="828"/>
      <c r="ACW966" s="828"/>
      <c r="ACX966" s="828"/>
      <c r="ACY966" s="828"/>
      <c r="ACZ966" s="828"/>
      <c r="ADA966" s="828"/>
      <c r="ADB966" s="828"/>
      <c r="ADC966" s="828"/>
      <c r="ADD966" s="828"/>
      <c r="ADE966" s="828"/>
      <c r="ADF966" s="828"/>
      <c r="ADG966" s="828"/>
      <c r="ADH966" s="828"/>
      <c r="ADI966" s="828"/>
      <c r="ADJ966" s="828"/>
      <c r="ADK966" s="828"/>
      <c r="ADL966" s="828"/>
      <c r="ADM966" s="828"/>
      <c r="ADN966" s="828"/>
      <c r="ADO966" s="828"/>
      <c r="ADP966" s="828"/>
      <c r="ADQ966" s="828"/>
      <c r="ADR966" s="828"/>
      <c r="ADS966" s="828"/>
      <c r="ADT966" s="828"/>
      <c r="ADU966" s="828"/>
      <c r="ADV966" s="828"/>
      <c r="ADW966" s="828"/>
      <c r="ADX966" s="828"/>
      <c r="ADY966" s="828"/>
      <c r="ADZ966" s="828"/>
      <c r="AEA966" s="828"/>
      <c r="AEB966" s="828"/>
      <c r="AEC966" s="828"/>
      <c r="AED966" s="828"/>
      <c r="AEE966" s="828"/>
      <c r="AEF966" s="828"/>
      <c r="AEG966" s="828"/>
      <c r="AEH966" s="828"/>
      <c r="AEI966" s="828"/>
      <c r="AEJ966" s="828"/>
      <c r="AEK966" s="828"/>
      <c r="AEL966" s="828"/>
      <c r="AEM966" s="828"/>
      <c r="AEN966" s="828"/>
      <c r="AEO966" s="828"/>
      <c r="AEP966" s="828"/>
      <c r="AEQ966" s="828"/>
      <c r="AER966" s="828"/>
      <c r="AES966" s="828"/>
      <c r="AET966" s="828"/>
      <c r="AEU966" s="828"/>
      <c r="AEV966" s="828"/>
      <c r="AEW966" s="828"/>
      <c r="AEX966" s="828"/>
      <c r="AEY966" s="828"/>
      <c r="AEZ966" s="828"/>
      <c r="AFA966" s="828"/>
      <c r="AFB966" s="828"/>
      <c r="AFC966" s="828"/>
      <c r="AFD966" s="828"/>
      <c r="AFE966" s="828"/>
      <c r="AFF966" s="828"/>
      <c r="AFG966" s="828"/>
      <c r="AFH966" s="828"/>
      <c r="AFI966" s="828"/>
      <c r="AFJ966" s="828"/>
      <c r="AFK966" s="828"/>
      <c r="AFL966" s="828"/>
      <c r="AFM966" s="828"/>
      <c r="AFN966" s="828"/>
      <c r="AFO966" s="828"/>
      <c r="AFP966" s="828"/>
      <c r="AFQ966" s="828"/>
      <c r="AFR966" s="828"/>
      <c r="AFS966" s="828"/>
      <c r="AFT966" s="828"/>
      <c r="AFU966" s="828"/>
      <c r="AFV966" s="828"/>
      <c r="AFW966" s="828"/>
      <c r="AFX966" s="828"/>
      <c r="AFY966" s="828"/>
      <c r="AFZ966" s="828"/>
      <c r="AGA966" s="828"/>
      <c r="AGB966" s="828"/>
      <c r="AGC966" s="828"/>
      <c r="AGD966" s="828"/>
      <c r="AGE966" s="828"/>
      <c r="AGF966" s="828"/>
      <c r="AGG966" s="828"/>
      <c r="AGH966" s="828"/>
      <c r="AGI966" s="828"/>
      <c r="AGJ966" s="828"/>
    </row>
    <row r="967" spans="1:868" s="7" customFormat="1" hidden="1">
      <c r="A967" s="626" t="s">
        <v>127</v>
      </c>
      <c r="B967" s="59" t="s">
        <v>459</v>
      </c>
      <c r="C967" s="40" t="s">
        <v>147</v>
      </c>
      <c r="D967" s="34" t="s">
        <v>107</v>
      </c>
      <c r="E967" s="880">
        <v>1.9881068607437654E-2</v>
      </c>
      <c r="F967" s="34">
        <v>2</v>
      </c>
      <c r="G967" s="40" t="s">
        <v>451</v>
      </c>
      <c r="H967" s="29">
        <v>1</v>
      </c>
      <c r="I967" s="9">
        <v>2</v>
      </c>
      <c r="J967" s="9">
        <v>2</v>
      </c>
      <c r="K967" s="9">
        <v>1</v>
      </c>
      <c r="L967" s="9">
        <v>1</v>
      </c>
      <c r="M967" s="9">
        <v>2</v>
      </c>
      <c r="N967" s="186">
        <f t="shared" si="53"/>
        <v>0.35859414261160716</v>
      </c>
      <c r="O967" s="160">
        <f t="shared" si="51"/>
        <v>0.37356464144298934</v>
      </c>
      <c r="P967" s="863"/>
      <c r="Q967" s="828"/>
      <c r="R967" s="828"/>
      <c r="S967" s="828"/>
      <c r="T967" s="828"/>
      <c r="U967" s="828"/>
      <c r="V967" s="828"/>
      <c r="W967" s="828"/>
      <c r="X967" s="828"/>
      <c r="Y967" s="828"/>
      <c r="Z967" s="828"/>
      <c r="AA967" s="828"/>
      <c r="AB967" s="828"/>
      <c r="AC967" s="828"/>
      <c r="AD967" s="828"/>
      <c r="AE967" s="828"/>
      <c r="AF967" s="828"/>
      <c r="AG967" s="828"/>
      <c r="AH967" s="828"/>
      <c r="AI967" s="828"/>
      <c r="AJ967" s="828"/>
      <c r="AK967" s="828"/>
      <c r="AL967" s="828"/>
      <c r="AM967" s="828"/>
      <c r="AN967" s="828"/>
      <c r="AO967" s="828"/>
      <c r="AP967" s="828"/>
      <c r="AQ967" s="828"/>
      <c r="AR967" s="828"/>
      <c r="AS967" s="828"/>
      <c r="AT967" s="828"/>
      <c r="AU967" s="828"/>
      <c r="AV967" s="828"/>
      <c r="AW967" s="828"/>
      <c r="AX967" s="828"/>
      <c r="AY967" s="828"/>
      <c r="AZ967" s="828"/>
      <c r="BA967" s="828"/>
      <c r="BB967" s="828"/>
      <c r="BC967" s="828"/>
      <c r="BD967" s="828"/>
      <c r="BE967" s="828"/>
      <c r="BF967" s="828"/>
      <c r="BG967" s="828"/>
      <c r="BH967" s="828"/>
      <c r="BI967" s="828"/>
      <c r="BJ967" s="828"/>
      <c r="BK967" s="828"/>
      <c r="BL967" s="828"/>
      <c r="BM967" s="828"/>
      <c r="BN967" s="828"/>
      <c r="BO967" s="828"/>
      <c r="BP967" s="828"/>
      <c r="BQ967" s="828"/>
      <c r="BR967" s="828"/>
      <c r="BS967" s="828"/>
      <c r="BT967" s="828"/>
      <c r="BU967" s="828"/>
      <c r="BV967" s="828"/>
      <c r="BW967" s="828"/>
      <c r="BX967" s="828"/>
      <c r="BY967" s="828"/>
      <c r="BZ967" s="828"/>
      <c r="CA967" s="828"/>
      <c r="CB967" s="828"/>
      <c r="CC967" s="828"/>
      <c r="CD967" s="828"/>
      <c r="CE967" s="828"/>
      <c r="CF967" s="828"/>
      <c r="CG967" s="828"/>
      <c r="CH967" s="828"/>
      <c r="CI967" s="828"/>
      <c r="CJ967" s="828"/>
      <c r="CK967" s="828"/>
      <c r="CL967" s="828"/>
      <c r="CM967" s="828"/>
      <c r="CN967" s="828"/>
      <c r="CO967" s="828"/>
      <c r="CP967" s="828"/>
      <c r="CQ967" s="828"/>
      <c r="CR967" s="828"/>
      <c r="CS967" s="828"/>
      <c r="CT967" s="828"/>
      <c r="CU967" s="828"/>
      <c r="CV967" s="828"/>
      <c r="CW967" s="828"/>
      <c r="CX967" s="828"/>
      <c r="CY967" s="828"/>
      <c r="CZ967" s="828"/>
      <c r="DA967" s="828"/>
      <c r="DB967" s="828"/>
      <c r="DC967" s="828"/>
      <c r="DD967" s="828"/>
      <c r="DE967" s="828"/>
      <c r="DF967" s="828"/>
      <c r="DG967" s="828"/>
      <c r="DH967" s="828"/>
      <c r="DI967" s="828"/>
      <c r="DJ967" s="828"/>
      <c r="DK967" s="828"/>
      <c r="DL967" s="828"/>
      <c r="DM967" s="828"/>
      <c r="DN967" s="828"/>
      <c r="DO967" s="828"/>
      <c r="DP967" s="828"/>
      <c r="DQ967" s="828"/>
      <c r="DR967" s="828"/>
      <c r="DS967" s="828"/>
      <c r="DT967" s="828"/>
      <c r="DU967" s="828"/>
      <c r="DV967" s="828"/>
      <c r="DW967" s="828"/>
      <c r="DX967" s="828"/>
      <c r="DY967" s="828"/>
      <c r="DZ967" s="828"/>
      <c r="EA967" s="828"/>
      <c r="EB967" s="828"/>
      <c r="EC967" s="828"/>
      <c r="ED967" s="828"/>
      <c r="EE967" s="828"/>
      <c r="EF967" s="828"/>
      <c r="EG967" s="828"/>
      <c r="EH967" s="828"/>
      <c r="EI967" s="828"/>
      <c r="EJ967" s="828"/>
      <c r="EK967" s="828"/>
      <c r="EL967" s="828"/>
      <c r="EM967" s="828"/>
      <c r="EN967" s="828"/>
      <c r="EO967" s="828"/>
      <c r="EP967" s="828"/>
      <c r="EQ967" s="828"/>
      <c r="ER967" s="828"/>
      <c r="ES967" s="828"/>
      <c r="ET967" s="828"/>
      <c r="EU967" s="828"/>
      <c r="EV967" s="828"/>
      <c r="EW967" s="828"/>
      <c r="EX967" s="828"/>
      <c r="EY967" s="828"/>
      <c r="EZ967" s="828"/>
      <c r="FA967" s="828"/>
      <c r="FB967" s="828"/>
      <c r="FC967" s="828"/>
      <c r="FD967" s="828"/>
      <c r="FE967" s="828"/>
      <c r="FF967" s="828"/>
      <c r="FG967" s="828"/>
      <c r="FH967" s="828"/>
      <c r="FI967" s="828"/>
      <c r="FJ967" s="828"/>
      <c r="FK967" s="828"/>
      <c r="FL967" s="828"/>
      <c r="FM967" s="828"/>
      <c r="FN967" s="828"/>
      <c r="FO967" s="828"/>
      <c r="FP967" s="828"/>
      <c r="FQ967" s="828"/>
      <c r="FR967" s="828"/>
      <c r="FS967" s="828"/>
      <c r="FT967" s="828"/>
      <c r="FU967" s="828"/>
      <c r="FV967" s="828"/>
      <c r="FW967" s="828"/>
      <c r="FX967" s="828"/>
      <c r="FY967" s="828"/>
      <c r="FZ967" s="828"/>
      <c r="GA967" s="828"/>
      <c r="GB967" s="828"/>
      <c r="GC967" s="828"/>
      <c r="GD967" s="828"/>
      <c r="GE967" s="828"/>
      <c r="GF967" s="828"/>
      <c r="GG967" s="828"/>
      <c r="GH967" s="828"/>
      <c r="GI967" s="828"/>
      <c r="GJ967" s="828"/>
      <c r="GK967" s="828"/>
      <c r="GL967" s="828"/>
      <c r="GM967" s="828"/>
      <c r="GN967" s="828"/>
      <c r="GO967" s="828"/>
      <c r="GP967" s="828"/>
      <c r="GQ967" s="828"/>
      <c r="GR967" s="828"/>
      <c r="GS967" s="828"/>
      <c r="GT967" s="828"/>
      <c r="GU967" s="828"/>
      <c r="GV967" s="828"/>
      <c r="GW967" s="828"/>
      <c r="GX967" s="828"/>
      <c r="GY967" s="828"/>
      <c r="GZ967" s="828"/>
      <c r="HA967" s="828"/>
      <c r="HB967" s="828"/>
      <c r="HC967" s="828"/>
      <c r="HD967" s="828"/>
      <c r="HE967" s="828"/>
      <c r="HF967" s="828"/>
      <c r="HG967" s="828"/>
      <c r="HH967" s="828"/>
      <c r="HI967" s="828"/>
      <c r="HJ967" s="828"/>
      <c r="HK967" s="828"/>
      <c r="HL967" s="828"/>
      <c r="HM967" s="828"/>
      <c r="HN967" s="828"/>
      <c r="HO967" s="828"/>
      <c r="HP967" s="828"/>
      <c r="HQ967" s="828"/>
      <c r="HR967" s="828"/>
      <c r="HS967" s="828"/>
      <c r="HT967" s="828"/>
      <c r="HU967" s="828"/>
      <c r="HV967" s="828"/>
      <c r="HW967" s="828"/>
      <c r="HX967" s="828"/>
      <c r="HY967" s="828"/>
      <c r="HZ967" s="828"/>
      <c r="IA967" s="828"/>
      <c r="IB967" s="828"/>
      <c r="IC967" s="828"/>
      <c r="ID967" s="828"/>
      <c r="IE967" s="828"/>
      <c r="IF967" s="828"/>
      <c r="IG967" s="828"/>
      <c r="IH967" s="828"/>
      <c r="II967" s="828"/>
      <c r="IJ967" s="828"/>
      <c r="IK967" s="828"/>
      <c r="IL967" s="828"/>
      <c r="IM967" s="828"/>
      <c r="IN967" s="828"/>
      <c r="IO967" s="828"/>
      <c r="IP967" s="828"/>
      <c r="IQ967" s="828"/>
      <c r="IR967" s="828"/>
      <c r="IS967" s="828"/>
      <c r="IT967" s="828"/>
      <c r="IU967" s="828"/>
      <c r="IV967" s="828"/>
      <c r="IW967" s="828"/>
      <c r="IX967" s="828"/>
      <c r="IY967" s="828"/>
      <c r="IZ967" s="828"/>
      <c r="JA967" s="828"/>
      <c r="JB967" s="828"/>
      <c r="JC967" s="828"/>
      <c r="JD967" s="828"/>
      <c r="JE967" s="828"/>
      <c r="JF967" s="828"/>
      <c r="JG967" s="828"/>
      <c r="JH967" s="828"/>
      <c r="JI967" s="828"/>
      <c r="JJ967" s="828"/>
      <c r="JK967" s="828"/>
      <c r="JL967" s="828"/>
      <c r="JM967" s="828"/>
      <c r="JN967" s="828"/>
      <c r="JO967" s="828"/>
      <c r="JP967" s="828"/>
      <c r="JQ967" s="828"/>
      <c r="JR967" s="828"/>
      <c r="JS967" s="828"/>
      <c r="JT967" s="828"/>
      <c r="JU967" s="828"/>
      <c r="JV967" s="828"/>
      <c r="JW967" s="828"/>
      <c r="JX967" s="828"/>
      <c r="JY967" s="828"/>
      <c r="JZ967" s="828"/>
      <c r="KA967" s="828"/>
      <c r="KB967" s="828"/>
      <c r="KC967" s="828"/>
      <c r="KD967" s="828"/>
      <c r="KE967" s="828"/>
      <c r="KF967" s="828"/>
      <c r="KG967" s="828"/>
      <c r="KH967" s="828"/>
      <c r="KI967" s="828"/>
      <c r="KJ967" s="828"/>
      <c r="KK967" s="828"/>
      <c r="KL967" s="828"/>
      <c r="KM967" s="828"/>
      <c r="KN967" s="828"/>
      <c r="KO967" s="828"/>
      <c r="KP967" s="828"/>
      <c r="KQ967" s="828"/>
      <c r="KR967" s="828"/>
      <c r="KS967" s="828"/>
      <c r="KT967" s="828"/>
      <c r="KU967" s="828"/>
      <c r="KV967" s="828"/>
      <c r="KW967" s="828"/>
      <c r="KX967" s="828"/>
      <c r="KY967" s="828"/>
      <c r="KZ967" s="828"/>
      <c r="LA967" s="828"/>
      <c r="LB967" s="828"/>
      <c r="LC967" s="828"/>
      <c r="LD967" s="828"/>
      <c r="LE967" s="828"/>
      <c r="LF967" s="828"/>
      <c r="LG967" s="828"/>
      <c r="LH967" s="828"/>
      <c r="LI967" s="828"/>
      <c r="LJ967" s="828"/>
      <c r="LK967" s="828"/>
      <c r="LL967" s="828"/>
      <c r="LM967" s="828"/>
      <c r="LN967" s="828"/>
      <c r="LO967" s="828"/>
      <c r="LP967" s="828"/>
      <c r="LQ967" s="828"/>
      <c r="LR967" s="828"/>
      <c r="LS967" s="828"/>
      <c r="LT967" s="828"/>
      <c r="LU967" s="828"/>
      <c r="LV967" s="828"/>
      <c r="LW967" s="828"/>
      <c r="LX967" s="828"/>
      <c r="LY967" s="828"/>
      <c r="LZ967" s="828"/>
      <c r="MA967" s="828"/>
      <c r="MB967" s="828"/>
      <c r="MC967" s="828"/>
      <c r="MD967" s="828"/>
      <c r="ME967" s="828"/>
      <c r="MF967" s="828"/>
      <c r="MG967" s="828"/>
      <c r="MH967" s="828"/>
      <c r="MI967" s="828"/>
      <c r="MJ967" s="828"/>
      <c r="MK967" s="828"/>
      <c r="ML967" s="828"/>
      <c r="MM967" s="828"/>
      <c r="MN967" s="828"/>
      <c r="MO967" s="828"/>
      <c r="MP967" s="828"/>
      <c r="MQ967" s="828"/>
      <c r="MR967" s="828"/>
      <c r="MS967" s="828"/>
      <c r="MT967" s="828"/>
      <c r="MU967" s="828"/>
      <c r="MV967" s="828"/>
      <c r="MW967" s="828"/>
      <c r="MX967" s="828"/>
      <c r="MY967" s="828"/>
      <c r="MZ967" s="828"/>
      <c r="NA967" s="828"/>
      <c r="NB967" s="828"/>
      <c r="NC967" s="828"/>
      <c r="ND967" s="828"/>
      <c r="NE967" s="828"/>
      <c r="NF967" s="828"/>
      <c r="NG967" s="828"/>
      <c r="NH967" s="828"/>
      <c r="NI967" s="828"/>
      <c r="NJ967" s="828"/>
      <c r="NK967" s="828"/>
      <c r="NL967" s="828"/>
      <c r="NM967" s="828"/>
      <c r="NN967" s="828"/>
      <c r="NO967" s="828"/>
      <c r="NP967" s="828"/>
      <c r="NQ967" s="828"/>
      <c r="NR967" s="828"/>
      <c r="NS967" s="828"/>
      <c r="NT967" s="828"/>
      <c r="NU967" s="828"/>
      <c r="NV967" s="828"/>
      <c r="NW967" s="828"/>
      <c r="NX967" s="828"/>
      <c r="NY967" s="828"/>
      <c r="NZ967" s="828"/>
      <c r="OA967" s="828"/>
      <c r="OB967" s="828"/>
      <c r="OC967" s="828"/>
      <c r="OD967" s="828"/>
      <c r="OE967" s="828"/>
      <c r="OF967" s="828"/>
      <c r="OG967" s="828"/>
      <c r="OH967" s="828"/>
      <c r="OI967" s="828"/>
      <c r="OJ967" s="828"/>
      <c r="OK967" s="828"/>
      <c r="OL967" s="828"/>
      <c r="OM967" s="828"/>
      <c r="ON967" s="828"/>
      <c r="OO967" s="828"/>
      <c r="OP967" s="828"/>
      <c r="OQ967" s="828"/>
      <c r="OR967" s="828"/>
      <c r="OS967" s="828"/>
      <c r="OT967" s="828"/>
      <c r="OU967" s="828"/>
      <c r="OV967" s="828"/>
      <c r="OW967" s="828"/>
      <c r="OX967" s="828"/>
      <c r="OY967" s="828"/>
      <c r="OZ967" s="828"/>
      <c r="PA967" s="828"/>
      <c r="PB967" s="828"/>
      <c r="PC967" s="828"/>
      <c r="PD967" s="828"/>
      <c r="PE967" s="828"/>
      <c r="PF967" s="828"/>
      <c r="PG967" s="828"/>
      <c r="PH967" s="828"/>
      <c r="PI967" s="828"/>
      <c r="PJ967" s="828"/>
      <c r="PK967" s="828"/>
      <c r="PL967" s="828"/>
      <c r="PM967" s="828"/>
      <c r="PN967" s="828"/>
      <c r="PO967" s="828"/>
      <c r="PP967" s="828"/>
      <c r="PQ967" s="828"/>
      <c r="PR967" s="828"/>
      <c r="PS967" s="828"/>
      <c r="PT967" s="828"/>
      <c r="PU967" s="828"/>
      <c r="PV967" s="828"/>
      <c r="PW967" s="828"/>
      <c r="PX967" s="828"/>
      <c r="PY967" s="828"/>
      <c r="PZ967" s="828"/>
      <c r="QA967" s="828"/>
      <c r="QB967" s="828"/>
      <c r="QC967" s="828"/>
      <c r="QD967" s="828"/>
      <c r="QE967" s="828"/>
      <c r="QF967" s="828"/>
      <c r="QG967" s="828"/>
      <c r="QH967" s="828"/>
      <c r="QI967" s="828"/>
      <c r="QJ967" s="828"/>
      <c r="QK967" s="828"/>
      <c r="QL967" s="828"/>
      <c r="QM967" s="828"/>
      <c r="QN967" s="828"/>
      <c r="QO967" s="828"/>
      <c r="QP967" s="828"/>
      <c r="QQ967" s="828"/>
      <c r="QR967" s="828"/>
      <c r="QS967" s="828"/>
      <c r="QT967" s="828"/>
      <c r="QU967" s="828"/>
      <c r="QV967" s="828"/>
      <c r="QW967" s="828"/>
      <c r="QX967" s="828"/>
      <c r="QY967" s="828"/>
      <c r="QZ967" s="828"/>
      <c r="RA967" s="828"/>
      <c r="RB967" s="828"/>
      <c r="RC967" s="828"/>
      <c r="RD967" s="828"/>
      <c r="RE967" s="828"/>
      <c r="RF967" s="828"/>
      <c r="RG967" s="828"/>
      <c r="RH967" s="828"/>
      <c r="RI967" s="828"/>
      <c r="RJ967" s="828"/>
      <c r="RK967" s="828"/>
      <c r="RL967" s="828"/>
      <c r="RM967" s="828"/>
      <c r="RN967" s="828"/>
      <c r="RO967" s="828"/>
      <c r="RP967" s="828"/>
      <c r="RQ967" s="828"/>
      <c r="RR967" s="828"/>
      <c r="RS967" s="828"/>
      <c r="RT967" s="828"/>
      <c r="RU967" s="828"/>
      <c r="RV967" s="828"/>
      <c r="RW967" s="828"/>
      <c r="RX967" s="828"/>
      <c r="RY967" s="828"/>
      <c r="RZ967" s="828"/>
      <c r="SA967" s="828"/>
      <c r="SB967" s="828"/>
      <c r="SC967" s="828"/>
      <c r="SD967" s="828"/>
      <c r="SE967" s="828"/>
      <c r="SF967" s="828"/>
      <c r="SG967" s="828"/>
      <c r="SH967" s="828"/>
      <c r="SI967" s="828"/>
      <c r="SJ967" s="828"/>
      <c r="SK967" s="828"/>
      <c r="SL967" s="828"/>
      <c r="SM967" s="828"/>
      <c r="SN967" s="828"/>
      <c r="SO967" s="828"/>
      <c r="SP967" s="828"/>
      <c r="SQ967" s="828"/>
      <c r="SR967" s="828"/>
      <c r="SS967" s="828"/>
      <c r="ST967" s="828"/>
      <c r="SU967" s="828"/>
      <c r="SV967" s="828"/>
      <c r="SW967" s="828"/>
      <c r="SX967" s="828"/>
      <c r="SY967" s="828"/>
      <c r="SZ967" s="828"/>
      <c r="TA967" s="828"/>
      <c r="TB967" s="828"/>
      <c r="TC967" s="828"/>
      <c r="TD967" s="828"/>
      <c r="TE967" s="828"/>
      <c r="TF967" s="828"/>
      <c r="TG967" s="828"/>
      <c r="TH967" s="828"/>
      <c r="TI967" s="828"/>
      <c r="TJ967" s="828"/>
      <c r="TK967" s="828"/>
      <c r="TL967" s="828"/>
      <c r="TM967" s="828"/>
      <c r="TN967" s="828"/>
      <c r="TO967" s="828"/>
      <c r="TP967" s="828"/>
      <c r="TQ967" s="828"/>
      <c r="TR967" s="828"/>
      <c r="TS967" s="828"/>
      <c r="TT967" s="828"/>
      <c r="TU967" s="828"/>
      <c r="TV967" s="828"/>
      <c r="TW967" s="828"/>
      <c r="TX967" s="828"/>
      <c r="TY967" s="828"/>
      <c r="TZ967" s="828"/>
      <c r="UA967" s="828"/>
      <c r="UB967" s="828"/>
      <c r="UC967" s="828"/>
      <c r="UD967" s="828"/>
      <c r="UE967" s="828"/>
      <c r="UF967" s="828"/>
      <c r="UG967" s="828"/>
      <c r="UH967" s="828"/>
      <c r="UI967" s="828"/>
      <c r="UJ967" s="828"/>
      <c r="UK967" s="828"/>
      <c r="UL967" s="828"/>
      <c r="UM967" s="828"/>
      <c r="UN967" s="828"/>
      <c r="UO967" s="828"/>
      <c r="UP967" s="828"/>
      <c r="UQ967" s="828"/>
      <c r="UR967" s="828"/>
      <c r="US967" s="828"/>
      <c r="UT967" s="828"/>
      <c r="UU967" s="828"/>
      <c r="UV967" s="828"/>
      <c r="UW967" s="828"/>
      <c r="UX967" s="828"/>
      <c r="UY967" s="828"/>
      <c r="UZ967" s="828"/>
      <c r="VA967" s="828"/>
      <c r="VB967" s="828"/>
      <c r="VC967" s="828"/>
      <c r="VD967" s="828"/>
      <c r="VE967" s="828"/>
      <c r="VF967" s="828"/>
      <c r="VG967" s="828"/>
      <c r="VH967" s="828"/>
      <c r="VI967" s="828"/>
      <c r="VJ967" s="828"/>
      <c r="VK967" s="828"/>
      <c r="VL967" s="828"/>
      <c r="VM967" s="828"/>
      <c r="VN967" s="828"/>
      <c r="VO967" s="828"/>
      <c r="VP967" s="828"/>
      <c r="VQ967" s="828"/>
      <c r="VR967" s="828"/>
      <c r="VS967" s="828"/>
      <c r="VT967" s="828"/>
      <c r="VU967" s="828"/>
      <c r="VV967" s="828"/>
      <c r="VW967" s="828"/>
      <c r="VX967" s="828"/>
      <c r="VY967" s="828"/>
      <c r="VZ967" s="828"/>
      <c r="WA967" s="828"/>
      <c r="WB967" s="828"/>
      <c r="WC967" s="828"/>
      <c r="WD967" s="828"/>
      <c r="WE967" s="828"/>
      <c r="WF967" s="828"/>
      <c r="WG967" s="828"/>
      <c r="WH967" s="828"/>
      <c r="WI967" s="828"/>
      <c r="WJ967" s="828"/>
      <c r="WK967" s="828"/>
      <c r="WL967" s="828"/>
      <c r="WM967" s="828"/>
      <c r="WN967" s="828"/>
      <c r="WO967" s="828"/>
      <c r="WP967" s="828"/>
      <c r="WQ967" s="828"/>
      <c r="WR967" s="828"/>
      <c r="WS967" s="828"/>
      <c r="WT967" s="828"/>
      <c r="WU967" s="828"/>
      <c r="WV967" s="828"/>
      <c r="WW967" s="828"/>
      <c r="WX967" s="828"/>
      <c r="WY967" s="828"/>
      <c r="WZ967" s="828"/>
      <c r="XA967" s="828"/>
      <c r="XB967" s="828"/>
      <c r="XC967" s="828"/>
      <c r="XD967" s="828"/>
      <c r="XE967" s="828"/>
      <c r="XF967" s="828"/>
      <c r="XG967" s="828"/>
      <c r="XH967" s="828"/>
      <c r="XI967" s="828"/>
      <c r="XJ967" s="828"/>
      <c r="XK967" s="828"/>
      <c r="XL967" s="828"/>
      <c r="XM967" s="828"/>
      <c r="XN967" s="828"/>
      <c r="XO967" s="828"/>
      <c r="XP967" s="828"/>
      <c r="XQ967" s="828"/>
      <c r="XR967" s="828"/>
      <c r="XS967" s="828"/>
      <c r="XT967" s="828"/>
      <c r="XU967" s="828"/>
      <c r="XV967" s="828"/>
      <c r="XW967" s="828"/>
      <c r="XX967" s="828"/>
      <c r="XY967" s="828"/>
      <c r="XZ967" s="828"/>
      <c r="YA967" s="828"/>
      <c r="YB967" s="828"/>
      <c r="YC967" s="828"/>
      <c r="YD967" s="828"/>
      <c r="YE967" s="828"/>
      <c r="YF967" s="828"/>
      <c r="YG967" s="828"/>
      <c r="YH967" s="828"/>
      <c r="YI967" s="828"/>
      <c r="YJ967" s="828"/>
      <c r="YK967" s="828"/>
      <c r="YL967" s="828"/>
      <c r="YM967" s="828"/>
      <c r="YN967" s="828"/>
      <c r="YO967" s="828"/>
      <c r="YP967" s="828"/>
      <c r="YQ967" s="828"/>
      <c r="YR967" s="828"/>
      <c r="YS967" s="828"/>
      <c r="YT967" s="828"/>
      <c r="YU967" s="828"/>
      <c r="YV967" s="828"/>
      <c r="YW967" s="828"/>
      <c r="YX967" s="828"/>
      <c r="YY967" s="828"/>
      <c r="YZ967" s="828"/>
      <c r="ZA967" s="828"/>
      <c r="ZB967" s="828"/>
      <c r="ZC967" s="828"/>
      <c r="ZD967" s="828"/>
      <c r="ZE967" s="828"/>
      <c r="ZF967" s="828"/>
      <c r="ZG967" s="828"/>
      <c r="ZH967" s="828"/>
      <c r="ZI967" s="828"/>
      <c r="ZJ967" s="828"/>
      <c r="ZK967" s="828"/>
      <c r="ZL967" s="828"/>
      <c r="ZM967" s="828"/>
      <c r="ZN967" s="828"/>
      <c r="ZO967" s="828"/>
      <c r="ZP967" s="828"/>
      <c r="ZQ967" s="828"/>
      <c r="ZR967" s="828"/>
      <c r="ZS967" s="828"/>
      <c r="ZT967" s="828"/>
      <c r="ZU967" s="828"/>
      <c r="ZV967" s="828"/>
      <c r="ZW967" s="828"/>
      <c r="ZX967" s="828"/>
      <c r="ZY967" s="828"/>
      <c r="ZZ967" s="828"/>
      <c r="AAA967" s="828"/>
      <c r="AAB967" s="828"/>
      <c r="AAC967" s="828"/>
      <c r="AAD967" s="828"/>
      <c r="AAE967" s="828"/>
      <c r="AAF967" s="828"/>
      <c r="AAG967" s="828"/>
      <c r="AAH967" s="828"/>
      <c r="AAI967" s="828"/>
      <c r="AAJ967" s="828"/>
      <c r="AAK967" s="828"/>
      <c r="AAL967" s="828"/>
      <c r="AAM967" s="828"/>
      <c r="AAN967" s="828"/>
      <c r="AAO967" s="828"/>
      <c r="AAP967" s="828"/>
      <c r="AAQ967" s="828"/>
      <c r="AAR967" s="828"/>
      <c r="AAS967" s="828"/>
      <c r="AAT967" s="828"/>
      <c r="AAU967" s="828"/>
      <c r="AAV967" s="828"/>
      <c r="AAW967" s="828"/>
      <c r="AAX967" s="828"/>
      <c r="AAY967" s="828"/>
      <c r="AAZ967" s="828"/>
      <c r="ABA967" s="828"/>
      <c r="ABB967" s="828"/>
      <c r="ABC967" s="828"/>
      <c r="ABD967" s="828"/>
      <c r="ABE967" s="828"/>
      <c r="ABF967" s="828"/>
      <c r="ABG967" s="828"/>
      <c r="ABH967" s="828"/>
      <c r="ABI967" s="828"/>
      <c r="ABJ967" s="828"/>
      <c r="ABK967" s="828"/>
      <c r="ABL967" s="828"/>
      <c r="ABM967" s="828"/>
      <c r="ABN967" s="828"/>
      <c r="ABO967" s="828"/>
      <c r="ABP967" s="828"/>
      <c r="ABQ967" s="828"/>
      <c r="ABR967" s="828"/>
      <c r="ABS967" s="828"/>
      <c r="ABT967" s="828"/>
      <c r="ABU967" s="828"/>
      <c r="ABV967" s="828"/>
      <c r="ABW967" s="828"/>
      <c r="ABX967" s="828"/>
      <c r="ABY967" s="828"/>
      <c r="ABZ967" s="828"/>
      <c r="ACA967" s="828"/>
      <c r="ACB967" s="828"/>
      <c r="ACC967" s="828"/>
      <c r="ACD967" s="828"/>
      <c r="ACE967" s="828"/>
      <c r="ACF967" s="828"/>
      <c r="ACG967" s="828"/>
      <c r="ACH967" s="828"/>
      <c r="ACI967" s="828"/>
      <c r="ACJ967" s="828"/>
      <c r="ACK967" s="828"/>
      <c r="ACL967" s="828"/>
      <c r="ACM967" s="828"/>
      <c r="ACN967" s="828"/>
      <c r="ACO967" s="828"/>
      <c r="ACP967" s="828"/>
      <c r="ACQ967" s="828"/>
      <c r="ACR967" s="828"/>
      <c r="ACS967" s="828"/>
      <c r="ACT967" s="828"/>
      <c r="ACU967" s="828"/>
      <c r="ACV967" s="828"/>
      <c r="ACW967" s="828"/>
      <c r="ACX967" s="828"/>
      <c r="ACY967" s="828"/>
      <c r="ACZ967" s="828"/>
      <c r="ADA967" s="828"/>
      <c r="ADB967" s="828"/>
      <c r="ADC967" s="828"/>
      <c r="ADD967" s="828"/>
      <c r="ADE967" s="828"/>
      <c r="ADF967" s="828"/>
      <c r="ADG967" s="828"/>
      <c r="ADH967" s="828"/>
      <c r="ADI967" s="828"/>
      <c r="ADJ967" s="828"/>
      <c r="ADK967" s="828"/>
      <c r="ADL967" s="828"/>
      <c r="ADM967" s="828"/>
      <c r="ADN967" s="828"/>
      <c r="ADO967" s="828"/>
      <c r="ADP967" s="828"/>
      <c r="ADQ967" s="828"/>
      <c r="ADR967" s="828"/>
      <c r="ADS967" s="828"/>
      <c r="ADT967" s="828"/>
      <c r="ADU967" s="828"/>
      <c r="ADV967" s="828"/>
      <c r="ADW967" s="828"/>
      <c r="ADX967" s="828"/>
      <c r="ADY967" s="828"/>
      <c r="ADZ967" s="828"/>
      <c r="AEA967" s="828"/>
      <c r="AEB967" s="828"/>
      <c r="AEC967" s="828"/>
      <c r="AED967" s="828"/>
      <c r="AEE967" s="828"/>
      <c r="AEF967" s="828"/>
      <c r="AEG967" s="828"/>
      <c r="AEH967" s="828"/>
      <c r="AEI967" s="828"/>
      <c r="AEJ967" s="828"/>
      <c r="AEK967" s="828"/>
      <c r="AEL967" s="828"/>
      <c r="AEM967" s="828"/>
      <c r="AEN967" s="828"/>
      <c r="AEO967" s="828"/>
      <c r="AEP967" s="828"/>
      <c r="AEQ967" s="828"/>
      <c r="AER967" s="828"/>
      <c r="AES967" s="828"/>
      <c r="AET967" s="828"/>
      <c r="AEU967" s="828"/>
      <c r="AEV967" s="828"/>
      <c r="AEW967" s="828"/>
      <c r="AEX967" s="828"/>
      <c r="AEY967" s="828"/>
      <c r="AEZ967" s="828"/>
      <c r="AFA967" s="828"/>
      <c r="AFB967" s="828"/>
      <c r="AFC967" s="828"/>
      <c r="AFD967" s="828"/>
      <c r="AFE967" s="828"/>
      <c r="AFF967" s="828"/>
      <c r="AFG967" s="828"/>
      <c r="AFH967" s="828"/>
      <c r="AFI967" s="828"/>
      <c r="AFJ967" s="828"/>
      <c r="AFK967" s="828"/>
      <c r="AFL967" s="828"/>
      <c r="AFM967" s="828"/>
      <c r="AFN967" s="828"/>
      <c r="AFO967" s="828"/>
      <c r="AFP967" s="828"/>
      <c r="AFQ967" s="828"/>
      <c r="AFR967" s="828"/>
      <c r="AFS967" s="828"/>
      <c r="AFT967" s="828"/>
      <c r="AFU967" s="828"/>
      <c r="AFV967" s="828"/>
      <c r="AFW967" s="828"/>
      <c r="AFX967" s="828"/>
      <c r="AFY967" s="828"/>
      <c r="AFZ967" s="828"/>
      <c r="AGA967" s="828"/>
      <c r="AGB967" s="828"/>
      <c r="AGC967" s="828"/>
      <c r="AGD967" s="828"/>
      <c r="AGE967" s="828"/>
      <c r="AGF967" s="828"/>
      <c r="AGG967" s="828"/>
      <c r="AGH967" s="828"/>
      <c r="AGI967" s="828"/>
      <c r="AGJ967" s="828"/>
    </row>
    <row r="968" spans="1:868" s="7" customFormat="1" hidden="1">
      <c r="A968" s="626" t="s">
        <v>127</v>
      </c>
      <c r="B968" s="59" t="s">
        <v>460</v>
      </c>
      <c r="C968" s="40" t="s">
        <v>147</v>
      </c>
      <c r="D968" s="34" t="s">
        <v>107</v>
      </c>
      <c r="E968" s="880">
        <v>5.4672938670453558E-2</v>
      </c>
      <c r="F968" s="34">
        <v>2</v>
      </c>
      <c r="G968" s="40" t="s">
        <v>451</v>
      </c>
      <c r="H968" s="29">
        <v>1</v>
      </c>
      <c r="I968" s="9">
        <v>2</v>
      </c>
      <c r="J968" s="9">
        <v>2</v>
      </c>
      <c r="K968" s="9">
        <v>1</v>
      </c>
      <c r="L968" s="9">
        <v>1</v>
      </c>
      <c r="M968" s="9">
        <v>2</v>
      </c>
      <c r="N968" s="186">
        <f t="shared" si="53"/>
        <v>0.35859414261160716</v>
      </c>
      <c r="O968" s="160">
        <f t="shared" si="51"/>
        <v>0.37356464144298934</v>
      </c>
      <c r="P968" s="864"/>
      <c r="Q968" s="828"/>
      <c r="R968" s="828"/>
      <c r="S968" s="828"/>
      <c r="T968" s="828"/>
      <c r="U968" s="828"/>
      <c r="V968" s="828"/>
      <c r="W968" s="828"/>
      <c r="X968" s="828"/>
      <c r="Y968" s="828"/>
      <c r="Z968" s="828"/>
      <c r="AA968" s="828"/>
      <c r="AB968" s="828"/>
      <c r="AC968" s="828"/>
      <c r="AD968" s="828"/>
      <c r="AE968" s="828"/>
      <c r="AF968" s="828"/>
      <c r="AG968" s="828"/>
      <c r="AH968" s="828"/>
      <c r="AI968" s="828"/>
      <c r="AJ968" s="828"/>
      <c r="AK968" s="828"/>
      <c r="AL968" s="828"/>
      <c r="AM968" s="828"/>
      <c r="AN968" s="828"/>
      <c r="AO968" s="828"/>
      <c r="AP968" s="828"/>
      <c r="AQ968" s="828"/>
      <c r="AR968" s="828"/>
      <c r="AS968" s="828"/>
      <c r="AT968" s="828"/>
      <c r="AU968" s="828"/>
      <c r="AV968" s="828"/>
      <c r="AW968" s="828"/>
      <c r="AX968" s="828"/>
      <c r="AY968" s="828"/>
      <c r="AZ968" s="828"/>
      <c r="BA968" s="828"/>
      <c r="BB968" s="828"/>
      <c r="BC968" s="828"/>
      <c r="BD968" s="828"/>
      <c r="BE968" s="828"/>
      <c r="BF968" s="828"/>
      <c r="BG968" s="828"/>
      <c r="BH968" s="828"/>
      <c r="BI968" s="828"/>
      <c r="BJ968" s="828"/>
      <c r="BK968" s="828"/>
      <c r="BL968" s="828"/>
      <c r="BM968" s="828"/>
      <c r="BN968" s="828"/>
      <c r="BO968" s="828"/>
      <c r="BP968" s="828"/>
      <c r="BQ968" s="828"/>
      <c r="BR968" s="828"/>
      <c r="BS968" s="828"/>
      <c r="BT968" s="828"/>
      <c r="BU968" s="828"/>
      <c r="BV968" s="828"/>
      <c r="BW968" s="828"/>
      <c r="BX968" s="828"/>
      <c r="BY968" s="828"/>
      <c r="BZ968" s="828"/>
      <c r="CA968" s="828"/>
      <c r="CB968" s="828"/>
      <c r="CC968" s="828"/>
      <c r="CD968" s="828"/>
      <c r="CE968" s="828"/>
      <c r="CF968" s="828"/>
      <c r="CG968" s="828"/>
      <c r="CH968" s="828"/>
      <c r="CI968" s="828"/>
      <c r="CJ968" s="828"/>
      <c r="CK968" s="828"/>
      <c r="CL968" s="828"/>
      <c r="CM968" s="828"/>
      <c r="CN968" s="828"/>
      <c r="CO968" s="828"/>
      <c r="CP968" s="828"/>
      <c r="CQ968" s="828"/>
      <c r="CR968" s="828"/>
      <c r="CS968" s="828"/>
      <c r="CT968" s="828"/>
      <c r="CU968" s="828"/>
      <c r="CV968" s="828"/>
      <c r="CW968" s="828"/>
      <c r="CX968" s="828"/>
      <c r="CY968" s="828"/>
      <c r="CZ968" s="828"/>
      <c r="DA968" s="828"/>
      <c r="DB968" s="828"/>
      <c r="DC968" s="828"/>
      <c r="DD968" s="828"/>
      <c r="DE968" s="828"/>
      <c r="DF968" s="828"/>
      <c r="DG968" s="828"/>
      <c r="DH968" s="828"/>
      <c r="DI968" s="828"/>
      <c r="DJ968" s="828"/>
      <c r="DK968" s="828"/>
      <c r="DL968" s="828"/>
      <c r="DM968" s="828"/>
      <c r="DN968" s="828"/>
      <c r="DO968" s="828"/>
      <c r="DP968" s="828"/>
      <c r="DQ968" s="828"/>
      <c r="DR968" s="828"/>
      <c r="DS968" s="828"/>
      <c r="DT968" s="828"/>
      <c r="DU968" s="828"/>
      <c r="DV968" s="828"/>
      <c r="DW968" s="828"/>
      <c r="DX968" s="828"/>
      <c r="DY968" s="828"/>
      <c r="DZ968" s="828"/>
      <c r="EA968" s="828"/>
      <c r="EB968" s="828"/>
      <c r="EC968" s="828"/>
      <c r="ED968" s="828"/>
      <c r="EE968" s="828"/>
      <c r="EF968" s="828"/>
      <c r="EG968" s="828"/>
      <c r="EH968" s="828"/>
      <c r="EI968" s="828"/>
      <c r="EJ968" s="828"/>
      <c r="EK968" s="828"/>
      <c r="EL968" s="828"/>
      <c r="EM968" s="828"/>
      <c r="EN968" s="828"/>
      <c r="EO968" s="828"/>
      <c r="EP968" s="828"/>
      <c r="EQ968" s="828"/>
      <c r="ER968" s="828"/>
      <c r="ES968" s="828"/>
      <c r="ET968" s="828"/>
      <c r="EU968" s="828"/>
      <c r="EV968" s="828"/>
      <c r="EW968" s="828"/>
      <c r="EX968" s="828"/>
      <c r="EY968" s="828"/>
      <c r="EZ968" s="828"/>
      <c r="FA968" s="828"/>
      <c r="FB968" s="828"/>
      <c r="FC968" s="828"/>
      <c r="FD968" s="828"/>
      <c r="FE968" s="828"/>
      <c r="FF968" s="828"/>
      <c r="FG968" s="828"/>
      <c r="FH968" s="828"/>
      <c r="FI968" s="828"/>
      <c r="FJ968" s="828"/>
      <c r="FK968" s="828"/>
      <c r="FL968" s="828"/>
      <c r="FM968" s="828"/>
      <c r="FN968" s="828"/>
      <c r="FO968" s="828"/>
      <c r="FP968" s="828"/>
      <c r="FQ968" s="828"/>
      <c r="FR968" s="828"/>
      <c r="FS968" s="828"/>
      <c r="FT968" s="828"/>
      <c r="FU968" s="828"/>
      <c r="FV968" s="828"/>
      <c r="FW968" s="828"/>
      <c r="FX968" s="828"/>
      <c r="FY968" s="828"/>
      <c r="FZ968" s="828"/>
      <c r="GA968" s="828"/>
      <c r="GB968" s="828"/>
      <c r="GC968" s="828"/>
      <c r="GD968" s="828"/>
      <c r="GE968" s="828"/>
      <c r="GF968" s="828"/>
      <c r="GG968" s="828"/>
      <c r="GH968" s="828"/>
      <c r="GI968" s="828"/>
      <c r="GJ968" s="828"/>
      <c r="GK968" s="828"/>
      <c r="GL968" s="828"/>
      <c r="GM968" s="828"/>
      <c r="GN968" s="828"/>
      <c r="GO968" s="828"/>
      <c r="GP968" s="828"/>
      <c r="GQ968" s="828"/>
      <c r="GR968" s="828"/>
      <c r="GS968" s="828"/>
      <c r="GT968" s="828"/>
      <c r="GU968" s="828"/>
      <c r="GV968" s="828"/>
      <c r="GW968" s="828"/>
      <c r="GX968" s="828"/>
      <c r="GY968" s="828"/>
      <c r="GZ968" s="828"/>
      <c r="HA968" s="828"/>
      <c r="HB968" s="828"/>
      <c r="HC968" s="828"/>
      <c r="HD968" s="828"/>
      <c r="HE968" s="828"/>
      <c r="HF968" s="828"/>
      <c r="HG968" s="828"/>
      <c r="HH968" s="828"/>
      <c r="HI968" s="828"/>
      <c r="HJ968" s="828"/>
      <c r="HK968" s="828"/>
      <c r="HL968" s="828"/>
      <c r="HM968" s="828"/>
      <c r="HN968" s="828"/>
      <c r="HO968" s="828"/>
      <c r="HP968" s="828"/>
      <c r="HQ968" s="828"/>
      <c r="HR968" s="828"/>
      <c r="HS968" s="828"/>
      <c r="HT968" s="828"/>
      <c r="HU968" s="828"/>
      <c r="HV968" s="828"/>
      <c r="HW968" s="828"/>
      <c r="HX968" s="828"/>
      <c r="HY968" s="828"/>
      <c r="HZ968" s="828"/>
      <c r="IA968" s="828"/>
      <c r="IB968" s="828"/>
      <c r="IC968" s="828"/>
      <c r="ID968" s="828"/>
      <c r="IE968" s="828"/>
      <c r="IF968" s="828"/>
      <c r="IG968" s="828"/>
      <c r="IH968" s="828"/>
      <c r="II968" s="828"/>
      <c r="IJ968" s="828"/>
      <c r="IK968" s="828"/>
      <c r="IL968" s="828"/>
      <c r="IM968" s="828"/>
      <c r="IN968" s="828"/>
      <c r="IO968" s="828"/>
      <c r="IP968" s="828"/>
      <c r="IQ968" s="828"/>
      <c r="IR968" s="828"/>
      <c r="IS968" s="828"/>
      <c r="IT968" s="828"/>
      <c r="IU968" s="828"/>
      <c r="IV968" s="828"/>
      <c r="IW968" s="828"/>
      <c r="IX968" s="828"/>
      <c r="IY968" s="828"/>
      <c r="IZ968" s="828"/>
      <c r="JA968" s="828"/>
      <c r="JB968" s="828"/>
      <c r="JC968" s="828"/>
      <c r="JD968" s="828"/>
      <c r="JE968" s="828"/>
      <c r="JF968" s="828"/>
      <c r="JG968" s="828"/>
      <c r="JH968" s="828"/>
      <c r="JI968" s="828"/>
      <c r="JJ968" s="828"/>
      <c r="JK968" s="828"/>
      <c r="JL968" s="828"/>
      <c r="JM968" s="828"/>
      <c r="JN968" s="828"/>
      <c r="JO968" s="828"/>
      <c r="JP968" s="828"/>
      <c r="JQ968" s="828"/>
      <c r="JR968" s="828"/>
      <c r="JS968" s="828"/>
      <c r="JT968" s="828"/>
      <c r="JU968" s="828"/>
      <c r="JV968" s="828"/>
      <c r="JW968" s="828"/>
      <c r="JX968" s="828"/>
      <c r="JY968" s="828"/>
      <c r="JZ968" s="828"/>
      <c r="KA968" s="828"/>
      <c r="KB968" s="828"/>
      <c r="KC968" s="828"/>
      <c r="KD968" s="828"/>
      <c r="KE968" s="828"/>
      <c r="KF968" s="828"/>
      <c r="KG968" s="828"/>
      <c r="KH968" s="828"/>
      <c r="KI968" s="828"/>
      <c r="KJ968" s="828"/>
      <c r="KK968" s="828"/>
      <c r="KL968" s="828"/>
      <c r="KM968" s="828"/>
      <c r="KN968" s="828"/>
      <c r="KO968" s="828"/>
      <c r="KP968" s="828"/>
      <c r="KQ968" s="828"/>
      <c r="KR968" s="828"/>
      <c r="KS968" s="828"/>
      <c r="KT968" s="828"/>
      <c r="KU968" s="828"/>
      <c r="KV968" s="828"/>
      <c r="KW968" s="828"/>
      <c r="KX968" s="828"/>
      <c r="KY968" s="828"/>
      <c r="KZ968" s="828"/>
      <c r="LA968" s="828"/>
      <c r="LB968" s="828"/>
      <c r="LC968" s="828"/>
      <c r="LD968" s="828"/>
      <c r="LE968" s="828"/>
      <c r="LF968" s="828"/>
      <c r="LG968" s="828"/>
      <c r="LH968" s="828"/>
      <c r="LI968" s="828"/>
      <c r="LJ968" s="828"/>
      <c r="LK968" s="828"/>
      <c r="LL968" s="828"/>
      <c r="LM968" s="828"/>
      <c r="LN968" s="828"/>
      <c r="LO968" s="828"/>
      <c r="LP968" s="828"/>
      <c r="LQ968" s="828"/>
      <c r="LR968" s="828"/>
      <c r="LS968" s="828"/>
      <c r="LT968" s="828"/>
      <c r="LU968" s="828"/>
      <c r="LV968" s="828"/>
      <c r="LW968" s="828"/>
      <c r="LX968" s="828"/>
      <c r="LY968" s="828"/>
      <c r="LZ968" s="828"/>
      <c r="MA968" s="828"/>
      <c r="MB968" s="828"/>
      <c r="MC968" s="828"/>
      <c r="MD968" s="828"/>
      <c r="ME968" s="828"/>
      <c r="MF968" s="828"/>
      <c r="MG968" s="828"/>
      <c r="MH968" s="828"/>
      <c r="MI968" s="828"/>
      <c r="MJ968" s="828"/>
      <c r="MK968" s="828"/>
      <c r="ML968" s="828"/>
      <c r="MM968" s="828"/>
      <c r="MN968" s="828"/>
      <c r="MO968" s="828"/>
      <c r="MP968" s="828"/>
      <c r="MQ968" s="828"/>
      <c r="MR968" s="828"/>
      <c r="MS968" s="828"/>
      <c r="MT968" s="828"/>
      <c r="MU968" s="828"/>
      <c r="MV968" s="828"/>
      <c r="MW968" s="828"/>
      <c r="MX968" s="828"/>
      <c r="MY968" s="828"/>
      <c r="MZ968" s="828"/>
      <c r="NA968" s="828"/>
      <c r="NB968" s="828"/>
      <c r="NC968" s="828"/>
      <c r="ND968" s="828"/>
      <c r="NE968" s="828"/>
      <c r="NF968" s="828"/>
      <c r="NG968" s="828"/>
      <c r="NH968" s="828"/>
      <c r="NI968" s="828"/>
      <c r="NJ968" s="828"/>
      <c r="NK968" s="828"/>
      <c r="NL968" s="828"/>
      <c r="NM968" s="828"/>
      <c r="NN968" s="828"/>
      <c r="NO968" s="828"/>
      <c r="NP968" s="828"/>
      <c r="NQ968" s="828"/>
      <c r="NR968" s="828"/>
      <c r="NS968" s="828"/>
      <c r="NT968" s="828"/>
      <c r="NU968" s="828"/>
      <c r="NV968" s="828"/>
      <c r="NW968" s="828"/>
      <c r="NX968" s="828"/>
      <c r="NY968" s="828"/>
      <c r="NZ968" s="828"/>
      <c r="OA968" s="828"/>
      <c r="OB968" s="828"/>
      <c r="OC968" s="828"/>
      <c r="OD968" s="828"/>
      <c r="OE968" s="828"/>
      <c r="OF968" s="828"/>
      <c r="OG968" s="828"/>
      <c r="OH968" s="828"/>
      <c r="OI968" s="828"/>
      <c r="OJ968" s="828"/>
      <c r="OK968" s="828"/>
      <c r="OL968" s="828"/>
      <c r="OM968" s="828"/>
      <c r="ON968" s="828"/>
      <c r="OO968" s="828"/>
      <c r="OP968" s="828"/>
      <c r="OQ968" s="828"/>
      <c r="OR968" s="828"/>
      <c r="OS968" s="828"/>
      <c r="OT968" s="828"/>
      <c r="OU968" s="828"/>
      <c r="OV968" s="828"/>
      <c r="OW968" s="828"/>
      <c r="OX968" s="828"/>
      <c r="OY968" s="828"/>
      <c r="OZ968" s="828"/>
      <c r="PA968" s="828"/>
      <c r="PB968" s="828"/>
      <c r="PC968" s="828"/>
      <c r="PD968" s="828"/>
      <c r="PE968" s="828"/>
      <c r="PF968" s="828"/>
      <c r="PG968" s="828"/>
      <c r="PH968" s="828"/>
      <c r="PI968" s="828"/>
      <c r="PJ968" s="828"/>
      <c r="PK968" s="828"/>
      <c r="PL968" s="828"/>
      <c r="PM968" s="828"/>
      <c r="PN968" s="828"/>
      <c r="PO968" s="828"/>
      <c r="PP968" s="828"/>
      <c r="PQ968" s="828"/>
      <c r="PR968" s="828"/>
      <c r="PS968" s="828"/>
      <c r="PT968" s="828"/>
      <c r="PU968" s="828"/>
      <c r="PV968" s="828"/>
      <c r="PW968" s="828"/>
      <c r="PX968" s="828"/>
      <c r="PY968" s="828"/>
      <c r="PZ968" s="828"/>
      <c r="QA968" s="828"/>
      <c r="QB968" s="828"/>
      <c r="QC968" s="828"/>
      <c r="QD968" s="828"/>
      <c r="QE968" s="828"/>
      <c r="QF968" s="828"/>
      <c r="QG968" s="828"/>
      <c r="QH968" s="828"/>
      <c r="QI968" s="828"/>
      <c r="QJ968" s="828"/>
      <c r="QK968" s="828"/>
      <c r="QL968" s="828"/>
      <c r="QM968" s="828"/>
      <c r="QN968" s="828"/>
      <c r="QO968" s="828"/>
      <c r="QP968" s="828"/>
      <c r="QQ968" s="828"/>
      <c r="QR968" s="828"/>
      <c r="QS968" s="828"/>
      <c r="QT968" s="828"/>
      <c r="QU968" s="828"/>
      <c r="QV968" s="828"/>
      <c r="QW968" s="828"/>
      <c r="QX968" s="828"/>
      <c r="QY968" s="828"/>
      <c r="QZ968" s="828"/>
      <c r="RA968" s="828"/>
      <c r="RB968" s="828"/>
      <c r="RC968" s="828"/>
      <c r="RD968" s="828"/>
      <c r="RE968" s="828"/>
      <c r="RF968" s="828"/>
      <c r="RG968" s="828"/>
      <c r="RH968" s="828"/>
      <c r="RI968" s="828"/>
      <c r="RJ968" s="828"/>
      <c r="RK968" s="828"/>
      <c r="RL968" s="828"/>
      <c r="RM968" s="828"/>
      <c r="RN968" s="828"/>
      <c r="RO968" s="828"/>
      <c r="RP968" s="828"/>
      <c r="RQ968" s="828"/>
      <c r="RR968" s="828"/>
      <c r="RS968" s="828"/>
      <c r="RT968" s="828"/>
      <c r="RU968" s="828"/>
      <c r="RV968" s="828"/>
      <c r="RW968" s="828"/>
      <c r="RX968" s="828"/>
      <c r="RY968" s="828"/>
      <c r="RZ968" s="828"/>
      <c r="SA968" s="828"/>
      <c r="SB968" s="828"/>
      <c r="SC968" s="828"/>
      <c r="SD968" s="828"/>
      <c r="SE968" s="828"/>
      <c r="SF968" s="828"/>
      <c r="SG968" s="828"/>
      <c r="SH968" s="828"/>
      <c r="SI968" s="828"/>
      <c r="SJ968" s="828"/>
      <c r="SK968" s="828"/>
      <c r="SL968" s="828"/>
      <c r="SM968" s="828"/>
      <c r="SN968" s="828"/>
      <c r="SO968" s="828"/>
      <c r="SP968" s="828"/>
      <c r="SQ968" s="828"/>
      <c r="SR968" s="828"/>
      <c r="SS968" s="828"/>
      <c r="ST968" s="828"/>
      <c r="SU968" s="828"/>
      <c r="SV968" s="828"/>
      <c r="SW968" s="828"/>
      <c r="SX968" s="828"/>
      <c r="SY968" s="828"/>
      <c r="SZ968" s="828"/>
      <c r="TA968" s="828"/>
      <c r="TB968" s="828"/>
      <c r="TC968" s="828"/>
      <c r="TD968" s="828"/>
      <c r="TE968" s="828"/>
      <c r="TF968" s="828"/>
      <c r="TG968" s="828"/>
      <c r="TH968" s="828"/>
      <c r="TI968" s="828"/>
      <c r="TJ968" s="828"/>
      <c r="TK968" s="828"/>
      <c r="TL968" s="828"/>
      <c r="TM968" s="828"/>
      <c r="TN968" s="828"/>
      <c r="TO968" s="828"/>
      <c r="TP968" s="828"/>
      <c r="TQ968" s="828"/>
      <c r="TR968" s="828"/>
      <c r="TS968" s="828"/>
      <c r="TT968" s="828"/>
      <c r="TU968" s="828"/>
      <c r="TV968" s="828"/>
      <c r="TW968" s="828"/>
      <c r="TX968" s="828"/>
      <c r="TY968" s="828"/>
      <c r="TZ968" s="828"/>
      <c r="UA968" s="828"/>
      <c r="UB968" s="828"/>
      <c r="UC968" s="828"/>
      <c r="UD968" s="828"/>
      <c r="UE968" s="828"/>
      <c r="UF968" s="828"/>
      <c r="UG968" s="828"/>
      <c r="UH968" s="828"/>
      <c r="UI968" s="828"/>
      <c r="UJ968" s="828"/>
      <c r="UK968" s="828"/>
      <c r="UL968" s="828"/>
      <c r="UM968" s="828"/>
      <c r="UN968" s="828"/>
      <c r="UO968" s="828"/>
      <c r="UP968" s="828"/>
      <c r="UQ968" s="828"/>
      <c r="UR968" s="828"/>
      <c r="US968" s="828"/>
      <c r="UT968" s="828"/>
      <c r="UU968" s="828"/>
      <c r="UV968" s="828"/>
      <c r="UW968" s="828"/>
      <c r="UX968" s="828"/>
      <c r="UY968" s="828"/>
      <c r="UZ968" s="828"/>
      <c r="VA968" s="828"/>
      <c r="VB968" s="828"/>
      <c r="VC968" s="828"/>
      <c r="VD968" s="828"/>
      <c r="VE968" s="828"/>
      <c r="VF968" s="828"/>
      <c r="VG968" s="828"/>
      <c r="VH968" s="828"/>
      <c r="VI968" s="828"/>
      <c r="VJ968" s="828"/>
      <c r="VK968" s="828"/>
      <c r="VL968" s="828"/>
      <c r="VM968" s="828"/>
      <c r="VN968" s="828"/>
      <c r="VO968" s="828"/>
      <c r="VP968" s="828"/>
      <c r="VQ968" s="828"/>
      <c r="VR968" s="828"/>
      <c r="VS968" s="828"/>
      <c r="VT968" s="828"/>
      <c r="VU968" s="828"/>
      <c r="VV968" s="828"/>
      <c r="VW968" s="828"/>
      <c r="VX968" s="828"/>
      <c r="VY968" s="828"/>
      <c r="VZ968" s="828"/>
      <c r="WA968" s="828"/>
      <c r="WB968" s="828"/>
      <c r="WC968" s="828"/>
      <c r="WD968" s="828"/>
      <c r="WE968" s="828"/>
      <c r="WF968" s="828"/>
      <c r="WG968" s="828"/>
      <c r="WH968" s="828"/>
      <c r="WI968" s="828"/>
      <c r="WJ968" s="828"/>
      <c r="WK968" s="828"/>
      <c r="WL968" s="828"/>
      <c r="WM968" s="828"/>
      <c r="WN968" s="828"/>
      <c r="WO968" s="828"/>
      <c r="WP968" s="828"/>
      <c r="WQ968" s="828"/>
      <c r="WR968" s="828"/>
      <c r="WS968" s="828"/>
      <c r="WT968" s="828"/>
      <c r="WU968" s="828"/>
      <c r="WV968" s="828"/>
      <c r="WW968" s="828"/>
      <c r="WX968" s="828"/>
      <c r="WY968" s="828"/>
      <c r="WZ968" s="828"/>
      <c r="XA968" s="828"/>
      <c r="XB968" s="828"/>
      <c r="XC968" s="828"/>
      <c r="XD968" s="828"/>
      <c r="XE968" s="828"/>
      <c r="XF968" s="828"/>
      <c r="XG968" s="828"/>
      <c r="XH968" s="828"/>
      <c r="XI968" s="828"/>
      <c r="XJ968" s="828"/>
      <c r="XK968" s="828"/>
      <c r="XL968" s="828"/>
      <c r="XM968" s="828"/>
      <c r="XN968" s="828"/>
      <c r="XO968" s="828"/>
      <c r="XP968" s="828"/>
      <c r="XQ968" s="828"/>
      <c r="XR968" s="828"/>
      <c r="XS968" s="828"/>
      <c r="XT968" s="828"/>
      <c r="XU968" s="828"/>
      <c r="XV968" s="828"/>
      <c r="XW968" s="828"/>
      <c r="XX968" s="828"/>
      <c r="XY968" s="828"/>
      <c r="XZ968" s="828"/>
      <c r="YA968" s="828"/>
      <c r="YB968" s="828"/>
      <c r="YC968" s="828"/>
      <c r="YD968" s="828"/>
      <c r="YE968" s="828"/>
      <c r="YF968" s="828"/>
      <c r="YG968" s="828"/>
      <c r="YH968" s="828"/>
      <c r="YI968" s="828"/>
      <c r="YJ968" s="828"/>
      <c r="YK968" s="828"/>
      <c r="YL968" s="828"/>
      <c r="YM968" s="828"/>
      <c r="YN968" s="828"/>
      <c r="YO968" s="828"/>
      <c r="YP968" s="828"/>
      <c r="YQ968" s="828"/>
      <c r="YR968" s="828"/>
      <c r="YS968" s="828"/>
      <c r="YT968" s="828"/>
      <c r="YU968" s="828"/>
      <c r="YV968" s="828"/>
      <c r="YW968" s="828"/>
      <c r="YX968" s="828"/>
      <c r="YY968" s="828"/>
      <c r="YZ968" s="828"/>
      <c r="ZA968" s="828"/>
      <c r="ZB968" s="828"/>
      <c r="ZC968" s="828"/>
      <c r="ZD968" s="828"/>
      <c r="ZE968" s="828"/>
      <c r="ZF968" s="828"/>
      <c r="ZG968" s="828"/>
      <c r="ZH968" s="828"/>
      <c r="ZI968" s="828"/>
      <c r="ZJ968" s="828"/>
      <c r="ZK968" s="828"/>
      <c r="ZL968" s="828"/>
      <c r="ZM968" s="828"/>
      <c r="ZN968" s="828"/>
      <c r="ZO968" s="828"/>
      <c r="ZP968" s="828"/>
      <c r="ZQ968" s="828"/>
      <c r="ZR968" s="828"/>
      <c r="ZS968" s="828"/>
      <c r="ZT968" s="828"/>
      <c r="ZU968" s="828"/>
      <c r="ZV968" s="828"/>
      <c r="ZW968" s="828"/>
      <c r="ZX968" s="828"/>
      <c r="ZY968" s="828"/>
      <c r="ZZ968" s="828"/>
      <c r="AAA968" s="828"/>
      <c r="AAB968" s="828"/>
      <c r="AAC968" s="828"/>
      <c r="AAD968" s="828"/>
      <c r="AAE968" s="828"/>
      <c r="AAF968" s="828"/>
      <c r="AAG968" s="828"/>
      <c r="AAH968" s="828"/>
      <c r="AAI968" s="828"/>
      <c r="AAJ968" s="828"/>
      <c r="AAK968" s="828"/>
      <c r="AAL968" s="828"/>
      <c r="AAM968" s="828"/>
      <c r="AAN968" s="828"/>
      <c r="AAO968" s="828"/>
      <c r="AAP968" s="828"/>
      <c r="AAQ968" s="828"/>
      <c r="AAR968" s="828"/>
      <c r="AAS968" s="828"/>
      <c r="AAT968" s="828"/>
      <c r="AAU968" s="828"/>
      <c r="AAV968" s="828"/>
      <c r="AAW968" s="828"/>
      <c r="AAX968" s="828"/>
      <c r="AAY968" s="828"/>
      <c r="AAZ968" s="828"/>
      <c r="ABA968" s="828"/>
      <c r="ABB968" s="828"/>
      <c r="ABC968" s="828"/>
      <c r="ABD968" s="828"/>
      <c r="ABE968" s="828"/>
      <c r="ABF968" s="828"/>
      <c r="ABG968" s="828"/>
      <c r="ABH968" s="828"/>
      <c r="ABI968" s="828"/>
      <c r="ABJ968" s="828"/>
      <c r="ABK968" s="828"/>
      <c r="ABL968" s="828"/>
      <c r="ABM968" s="828"/>
      <c r="ABN968" s="828"/>
      <c r="ABO968" s="828"/>
      <c r="ABP968" s="828"/>
      <c r="ABQ968" s="828"/>
      <c r="ABR968" s="828"/>
      <c r="ABS968" s="828"/>
      <c r="ABT968" s="828"/>
      <c r="ABU968" s="828"/>
      <c r="ABV968" s="828"/>
      <c r="ABW968" s="828"/>
      <c r="ABX968" s="828"/>
      <c r="ABY968" s="828"/>
      <c r="ABZ968" s="828"/>
      <c r="ACA968" s="828"/>
      <c r="ACB968" s="828"/>
      <c r="ACC968" s="828"/>
      <c r="ACD968" s="828"/>
      <c r="ACE968" s="828"/>
      <c r="ACF968" s="828"/>
      <c r="ACG968" s="828"/>
      <c r="ACH968" s="828"/>
      <c r="ACI968" s="828"/>
      <c r="ACJ968" s="828"/>
      <c r="ACK968" s="828"/>
      <c r="ACL968" s="828"/>
      <c r="ACM968" s="828"/>
      <c r="ACN968" s="828"/>
      <c r="ACO968" s="828"/>
      <c r="ACP968" s="828"/>
      <c r="ACQ968" s="828"/>
      <c r="ACR968" s="828"/>
      <c r="ACS968" s="828"/>
      <c r="ACT968" s="828"/>
      <c r="ACU968" s="828"/>
      <c r="ACV968" s="828"/>
      <c r="ACW968" s="828"/>
      <c r="ACX968" s="828"/>
      <c r="ACY968" s="828"/>
      <c r="ACZ968" s="828"/>
      <c r="ADA968" s="828"/>
      <c r="ADB968" s="828"/>
      <c r="ADC968" s="828"/>
      <c r="ADD968" s="828"/>
      <c r="ADE968" s="828"/>
      <c r="ADF968" s="828"/>
      <c r="ADG968" s="828"/>
      <c r="ADH968" s="828"/>
      <c r="ADI968" s="828"/>
      <c r="ADJ968" s="828"/>
      <c r="ADK968" s="828"/>
      <c r="ADL968" s="828"/>
      <c r="ADM968" s="828"/>
      <c r="ADN968" s="828"/>
      <c r="ADO968" s="828"/>
      <c r="ADP968" s="828"/>
      <c r="ADQ968" s="828"/>
      <c r="ADR968" s="828"/>
      <c r="ADS968" s="828"/>
      <c r="ADT968" s="828"/>
      <c r="ADU968" s="828"/>
      <c r="ADV968" s="828"/>
      <c r="ADW968" s="828"/>
      <c r="ADX968" s="828"/>
      <c r="ADY968" s="828"/>
      <c r="ADZ968" s="828"/>
      <c r="AEA968" s="828"/>
      <c r="AEB968" s="828"/>
      <c r="AEC968" s="828"/>
      <c r="AED968" s="828"/>
      <c r="AEE968" s="828"/>
      <c r="AEF968" s="828"/>
      <c r="AEG968" s="828"/>
      <c r="AEH968" s="828"/>
      <c r="AEI968" s="828"/>
      <c r="AEJ968" s="828"/>
      <c r="AEK968" s="828"/>
      <c r="AEL968" s="828"/>
      <c r="AEM968" s="828"/>
      <c r="AEN968" s="828"/>
      <c r="AEO968" s="828"/>
      <c r="AEP968" s="828"/>
      <c r="AEQ968" s="828"/>
      <c r="AER968" s="828"/>
      <c r="AES968" s="828"/>
      <c r="AET968" s="828"/>
      <c r="AEU968" s="828"/>
      <c r="AEV968" s="828"/>
      <c r="AEW968" s="828"/>
      <c r="AEX968" s="828"/>
      <c r="AEY968" s="828"/>
      <c r="AEZ968" s="828"/>
      <c r="AFA968" s="828"/>
      <c r="AFB968" s="828"/>
      <c r="AFC968" s="828"/>
      <c r="AFD968" s="828"/>
      <c r="AFE968" s="828"/>
      <c r="AFF968" s="828"/>
      <c r="AFG968" s="828"/>
      <c r="AFH968" s="828"/>
      <c r="AFI968" s="828"/>
      <c r="AFJ968" s="828"/>
      <c r="AFK968" s="828"/>
      <c r="AFL968" s="828"/>
      <c r="AFM968" s="828"/>
      <c r="AFN968" s="828"/>
      <c r="AFO968" s="828"/>
      <c r="AFP968" s="828"/>
      <c r="AFQ968" s="828"/>
      <c r="AFR968" s="828"/>
      <c r="AFS968" s="828"/>
      <c r="AFT968" s="828"/>
      <c r="AFU968" s="828"/>
      <c r="AFV968" s="828"/>
      <c r="AFW968" s="828"/>
      <c r="AFX968" s="828"/>
      <c r="AFY968" s="828"/>
      <c r="AFZ968" s="828"/>
      <c r="AGA968" s="828"/>
      <c r="AGB968" s="828"/>
      <c r="AGC968" s="828"/>
      <c r="AGD968" s="828"/>
      <c r="AGE968" s="828"/>
      <c r="AGF968" s="828"/>
      <c r="AGG968" s="828"/>
      <c r="AGH968" s="828"/>
      <c r="AGI968" s="828"/>
      <c r="AGJ968" s="828"/>
    </row>
    <row r="969" spans="1:868" s="7" customFormat="1" hidden="1">
      <c r="A969" s="626" t="s">
        <v>127</v>
      </c>
      <c r="B969" s="59" t="s">
        <v>461</v>
      </c>
      <c r="C969" s="40" t="s">
        <v>147</v>
      </c>
      <c r="D969" s="34" t="s">
        <v>107</v>
      </c>
      <c r="E969" s="880">
        <v>5.4672938670453558E-2</v>
      </c>
      <c r="F969" s="34">
        <v>2</v>
      </c>
      <c r="G969" s="40" t="s">
        <v>451</v>
      </c>
      <c r="H969" s="29">
        <v>1</v>
      </c>
      <c r="I969" s="9">
        <v>2</v>
      </c>
      <c r="J969" s="9">
        <v>2</v>
      </c>
      <c r="K969" s="9">
        <v>1</v>
      </c>
      <c r="L969" s="9">
        <v>1</v>
      </c>
      <c r="M969" s="9">
        <v>2</v>
      </c>
      <c r="N969" s="186">
        <f t="shared" si="53"/>
        <v>0.35859414261160716</v>
      </c>
      <c r="O969" s="160">
        <f t="shared" si="51"/>
        <v>0.37356464144298934</v>
      </c>
      <c r="P969" s="63"/>
      <c r="Q969" s="828"/>
      <c r="R969" s="828"/>
      <c r="S969" s="828"/>
      <c r="T969" s="828"/>
      <c r="U969" s="828"/>
      <c r="V969" s="828"/>
      <c r="W969" s="828"/>
      <c r="X969" s="828"/>
      <c r="Y969" s="828"/>
      <c r="Z969" s="828"/>
      <c r="AA969" s="828"/>
      <c r="AB969" s="828"/>
      <c r="AC969" s="828"/>
      <c r="AD969" s="828"/>
      <c r="AE969" s="828"/>
      <c r="AF969" s="828"/>
      <c r="AG969" s="828"/>
      <c r="AH969" s="828"/>
      <c r="AI969" s="828"/>
      <c r="AJ969" s="828"/>
      <c r="AK969" s="828"/>
      <c r="AL969" s="828"/>
      <c r="AM969" s="828"/>
      <c r="AN969" s="828"/>
      <c r="AO969" s="828"/>
      <c r="AP969" s="828"/>
      <c r="AQ969" s="828"/>
      <c r="AR969" s="828"/>
      <c r="AS969" s="828"/>
      <c r="AT969" s="828"/>
      <c r="AU969" s="828"/>
      <c r="AV969" s="828"/>
      <c r="AW969" s="828"/>
      <c r="AX969" s="828"/>
      <c r="AY969" s="828"/>
      <c r="AZ969" s="828"/>
      <c r="BA969" s="828"/>
      <c r="BB969" s="828"/>
      <c r="BC969" s="828"/>
      <c r="BD969" s="828"/>
      <c r="BE969" s="828"/>
      <c r="BF969" s="828"/>
      <c r="BG969" s="828"/>
      <c r="BH969" s="828"/>
      <c r="BI969" s="828"/>
      <c r="BJ969" s="828"/>
      <c r="BK969" s="828"/>
      <c r="BL969" s="828"/>
      <c r="BM969" s="828"/>
      <c r="BN969" s="828"/>
      <c r="BO969" s="828"/>
      <c r="BP969" s="828"/>
      <c r="BQ969" s="828"/>
      <c r="BR969" s="828"/>
      <c r="BS969" s="828"/>
      <c r="BT969" s="828"/>
      <c r="BU969" s="828"/>
      <c r="BV969" s="828"/>
      <c r="BW969" s="828"/>
      <c r="BX969" s="828"/>
      <c r="BY969" s="828"/>
      <c r="BZ969" s="828"/>
      <c r="CA969" s="828"/>
      <c r="CB969" s="828"/>
      <c r="CC969" s="828"/>
      <c r="CD969" s="828"/>
      <c r="CE969" s="828"/>
      <c r="CF969" s="828"/>
      <c r="CG969" s="828"/>
      <c r="CH969" s="828"/>
      <c r="CI969" s="828"/>
      <c r="CJ969" s="828"/>
      <c r="CK969" s="828"/>
      <c r="CL969" s="828"/>
      <c r="CM969" s="828"/>
      <c r="CN969" s="828"/>
      <c r="CO969" s="828"/>
      <c r="CP969" s="828"/>
      <c r="CQ969" s="828"/>
      <c r="CR969" s="828"/>
      <c r="CS969" s="828"/>
      <c r="CT969" s="828"/>
      <c r="CU969" s="828"/>
      <c r="CV969" s="828"/>
      <c r="CW969" s="828"/>
      <c r="CX969" s="828"/>
      <c r="CY969" s="828"/>
      <c r="CZ969" s="828"/>
      <c r="DA969" s="828"/>
      <c r="DB969" s="828"/>
      <c r="DC969" s="828"/>
      <c r="DD969" s="828"/>
      <c r="DE969" s="828"/>
      <c r="DF969" s="828"/>
      <c r="DG969" s="828"/>
      <c r="DH969" s="828"/>
      <c r="DI969" s="828"/>
      <c r="DJ969" s="828"/>
      <c r="DK969" s="828"/>
      <c r="DL969" s="828"/>
      <c r="DM969" s="828"/>
      <c r="DN969" s="828"/>
      <c r="DO969" s="828"/>
      <c r="DP969" s="828"/>
      <c r="DQ969" s="828"/>
      <c r="DR969" s="828"/>
      <c r="DS969" s="828"/>
      <c r="DT969" s="828"/>
      <c r="DU969" s="828"/>
      <c r="DV969" s="828"/>
      <c r="DW969" s="828"/>
      <c r="DX969" s="828"/>
      <c r="DY969" s="828"/>
      <c r="DZ969" s="828"/>
      <c r="EA969" s="828"/>
      <c r="EB969" s="828"/>
      <c r="EC969" s="828"/>
      <c r="ED969" s="828"/>
      <c r="EE969" s="828"/>
      <c r="EF969" s="828"/>
      <c r="EG969" s="828"/>
      <c r="EH969" s="828"/>
      <c r="EI969" s="828"/>
      <c r="EJ969" s="828"/>
      <c r="EK969" s="828"/>
      <c r="EL969" s="828"/>
      <c r="EM969" s="828"/>
      <c r="EN969" s="828"/>
      <c r="EO969" s="828"/>
      <c r="EP969" s="828"/>
      <c r="EQ969" s="828"/>
      <c r="ER969" s="828"/>
      <c r="ES969" s="828"/>
      <c r="ET969" s="828"/>
      <c r="EU969" s="828"/>
      <c r="EV969" s="828"/>
      <c r="EW969" s="828"/>
      <c r="EX969" s="828"/>
      <c r="EY969" s="828"/>
      <c r="EZ969" s="828"/>
      <c r="FA969" s="828"/>
      <c r="FB969" s="828"/>
      <c r="FC969" s="828"/>
      <c r="FD969" s="828"/>
      <c r="FE969" s="828"/>
      <c r="FF969" s="828"/>
      <c r="FG969" s="828"/>
      <c r="FH969" s="828"/>
      <c r="FI969" s="828"/>
      <c r="FJ969" s="828"/>
      <c r="FK969" s="828"/>
      <c r="FL969" s="828"/>
      <c r="FM969" s="828"/>
      <c r="FN969" s="828"/>
      <c r="FO969" s="828"/>
      <c r="FP969" s="828"/>
      <c r="FQ969" s="828"/>
      <c r="FR969" s="828"/>
      <c r="FS969" s="828"/>
      <c r="FT969" s="828"/>
      <c r="FU969" s="828"/>
      <c r="FV969" s="828"/>
      <c r="FW969" s="828"/>
      <c r="FX969" s="828"/>
      <c r="FY969" s="828"/>
      <c r="FZ969" s="828"/>
      <c r="GA969" s="828"/>
      <c r="GB969" s="828"/>
      <c r="GC969" s="828"/>
      <c r="GD969" s="828"/>
      <c r="GE969" s="828"/>
      <c r="GF969" s="828"/>
      <c r="GG969" s="828"/>
      <c r="GH969" s="828"/>
      <c r="GI969" s="828"/>
      <c r="GJ969" s="828"/>
      <c r="GK969" s="828"/>
      <c r="GL969" s="828"/>
      <c r="GM969" s="828"/>
      <c r="GN969" s="828"/>
      <c r="GO969" s="828"/>
      <c r="GP969" s="828"/>
      <c r="GQ969" s="828"/>
      <c r="GR969" s="828"/>
      <c r="GS969" s="828"/>
      <c r="GT969" s="828"/>
      <c r="GU969" s="828"/>
      <c r="GV969" s="828"/>
      <c r="GW969" s="828"/>
      <c r="GX969" s="828"/>
      <c r="GY969" s="828"/>
      <c r="GZ969" s="828"/>
      <c r="HA969" s="828"/>
      <c r="HB969" s="828"/>
      <c r="HC969" s="828"/>
      <c r="HD969" s="828"/>
      <c r="HE969" s="828"/>
      <c r="HF969" s="828"/>
      <c r="HG969" s="828"/>
      <c r="HH969" s="828"/>
      <c r="HI969" s="828"/>
      <c r="HJ969" s="828"/>
      <c r="HK969" s="828"/>
      <c r="HL969" s="828"/>
      <c r="HM969" s="828"/>
      <c r="HN969" s="828"/>
      <c r="HO969" s="828"/>
      <c r="HP969" s="828"/>
      <c r="HQ969" s="828"/>
      <c r="HR969" s="828"/>
      <c r="HS969" s="828"/>
      <c r="HT969" s="828"/>
      <c r="HU969" s="828"/>
      <c r="HV969" s="828"/>
      <c r="HW969" s="828"/>
      <c r="HX969" s="828"/>
      <c r="HY969" s="828"/>
      <c r="HZ969" s="828"/>
      <c r="IA969" s="828"/>
      <c r="IB969" s="828"/>
      <c r="IC969" s="828"/>
      <c r="ID969" s="828"/>
      <c r="IE969" s="828"/>
      <c r="IF969" s="828"/>
      <c r="IG969" s="828"/>
      <c r="IH969" s="828"/>
      <c r="II969" s="828"/>
      <c r="IJ969" s="828"/>
      <c r="IK969" s="828"/>
      <c r="IL969" s="828"/>
      <c r="IM969" s="828"/>
      <c r="IN969" s="828"/>
      <c r="IO969" s="828"/>
      <c r="IP969" s="828"/>
      <c r="IQ969" s="828"/>
      <c r="IR969" s="828"/>
      <c r="IS969" s="828"/>
      <c r="IT969" s="828"/>
      <c r="IU969" s="828"/>
      <c r="IV969" s="828"/>
      <c r="IW969" s="828"/>
      <c r="IX969" s="828"/>
      <c r="IY969" s="828"/>
      <c r="IZ969" s="828"/>
      <c r="JA969" s="828"/>
      <c r="JB969" s="828"/>
      <c r="JC969" s="828"/>
      <c r="JD969" s="828"/>
      <c r="JE969" s="828"/>
      <c r="JF969" s="828"/>
      <c r="JG969" s="828"/>
      <c r="JH969" s="828"/>
      <c r="JI969" s="828"/>
      <c r="JJ969" s="828"/>
      <c r="JK969" s="828"/>
      <c r="JL969" s="828"/>
      <c r="JM969" s="828"/>
      <c r="JN969" s="828"/>
      <c r="JO969" s="828"/>
      <c r="JP969" s="828"/>
      <c r="JQ969" s="828"/>
      <c r="JR969" s="828"/>
      <c r="JS969" s="828"/>
      <c r="JT969" s="828"/>
      <c r="JU969" s="828"/>
      <c r="JV969" s="828"/>
      <c r="JW969" s="828"/>
      <c r="JX969" s="828"/>
      <c r="JY969" s="828"/>
      <c r="JZ969" s="828"/>
      <c r="KA969" s="828"/>
      <c r="KB969" s="828"/>
      <c r="KC969" s="828"/>
      <c r="KD969" s="828"/>
      <c r="KE969" s="828"/>
      <c r="KF969" s="828"/>
      <c r="KG969" s="828"/>
      <c r="KH969" s="828"/>
      <c r="KI969" s="828"/>
      <c r="KJ969" s="828"/>
      <c r="KK969" s="828"/>
      <c r="KL969" s="828"/>
      <c r="KM969" s="828"/>
      <c r="KN969" s="828"/>
      <c r="KO969" s="828"/>
      <c r="KP969" s="828"/>
      <c r="KQ969" s="828"/>
      <c r="KR969" s="828"/>
      <c r="KS969" s="828"/>
      <c r="KT969" s="828"/>
      <c r="KU969" s="828"/>
      <c r="KV969" s="828"/>
      <c r="KW969" s="828"/>
      <c r="KX969" s="828"/>
      <c r="KY969" s="828"/>
      <c r="KZ969" s="828"/>
      <c r="LA969" s="828"/>
      <c r="LB969" s="828"/>
      <c r="LC969" s="828"/>
      <c r="LD969" s="828"/>
      <c r="LE969" s="828"/>
      <c r="LF969" s="828"/>
      <c r="LG969" s="828"/>
      <c r="LH969" s="828"/>
      <c r="LI969" s="828"/>
      <c r="LJ969" s="828"/>
      <c r="LK969" s="828"/>
      <c r="LL969" s="828"/>
      <c r="LM969" s="828"/>
      <c r="LN969" s="828"/>
      <c r="LO969" s="828"/>
      <c r="LP969" s="828"/>
      <c r="LQ969" s="828"/>
      <c r="LR969" s="828"/>
      <c r="LS969" s="828"/>
      <c r="LT969" s="828"/>
      <c r="LU969" s="828"/>
      <c r="LV969" s="828"/>
      <c r="LW969" s="828"/>
      <c r="LX969" s="828"/>
      <c r="LY969" s="828"/>
      <c r="LZ969" s="828"/>
      <c r="MA969" s="828"/>
      <c r="MB969" s="828"/>
      <c r="MC969" s="828"/>
      <c r="MD969" s="828"/>
      <c r="ME969" s="828"/>
      <c r="MF969" s="828"/>
      <c r="MG969" s="828"/>
      <c r="MH969" s="828"/>
      <c r="MI969" s="828"/>
      <c r="MJ969" s="828"/>
      <c r="MK969" s="828"/>
      <c r="ML969" s="828"/>
      <c r="MM969" s="828"/>
      <c r="MN969" s="828"/>
      <c r="MO969" s="828"/>
      <c r="MP969" s="828"/>
      <c r="MQ969" s="828"/>
      <c r="MR969" s="828"/>
      <c r="MS969" s="828"/>
      <c r="MT969" s="828"/>
      <c r="MU969" s="828"/>
      <c r="MV969" s="828"/>
      <c r="MW969" s="828"/>
      <c r="MX969" s="828"/>
      <c r="MY969" s="828"/>
      <c r="MZ969" s="828"/>
      <c r="NA969" s="828"/>
      <c r="NB969" s="828"/>
      <c r="NC969" s="828"/>
      <c r="ND969" s="828"/>
      <c r="NE969" s="828"/>
      <c r="NF969" s="828"/>
      <c r="NG969" s="828"/>
      <c r="NH969" s="828"/>
      <c r="NI969" s="828"/>
      <c r="NJ969" s="828"/>
      <c r="NK969" s="828"/>
      <c r="NL969" s="828"/>
      <c r="NM969" s="828"/>
      <c r="NN969" s="828"/>
      <c r="NO969" s="828"/>
      <c r="NP969" s="828"/>
      <c r="NQ969" s="828"/>
      <c r="NR969" s="828"/>
      <c r="NS969" s="828"/>
      <c r="NT969" s="828"/>
      <c r="NU969" s="828"/>
      <c r="NV969" s="828"/>
      <c r="NW969" s="828"/>
      <c r="NX969" s="828"/>
      <c r="NY969" s="828"/>
      <c r="NZ969" s="828"/>
      <c r="OA969" s="828"/>
      <c r="OB969" s="828"/>
      <c r="OC969" s="828"/>
      <c r="OD969" s="828"/>
      <c r="OE969" s="828"/>
      <c r="OF969" s="828"/>
      <c r="OG969" s="828"/>
      <c r="OH969" s="828"/>
      <c r="OI969" s="828"/>
      <c r="OJ969" s="828"/>
      <c r="OK969" s="828"/>
      <c r="OL969" s="828"/>
      <c r="OM969" s="828"/>
      <c r="ON969" s="828"/>
      <c r="OO969" s="828"/>
      <c r="OP969" s="828"/>
      <c r="OQ969" s="828"/>
      <c r="OR969" s="828"/>
      <c r="OS969" s="828"/>
      <c r="OT969" s="828"/>
      <c r="OU969" s="828"/>
      <c r="OV969" s="828"/>
      <c r="OW969" s="828"/>
      <c r="OX969" s="828"/>
      <c r="OY969" s="828"/>
      <c r="OZ969" s="828"/>
      <c r="PA969" s="828"/>
      <c r="PB969" s="828"/>
      <c r="PC969" s="828"/>
      <c r="PD969" s="828"/>
      <c r="PE969" s="828"/>
      <c r="PF969" s="828"/>
      <c r="PG969" s="828"/>
      <c r="PH969" s="828"/>
      <c r="PI969" s="828"/>
      <c r="PJ969" s="828"/>
      <c r="PK969" s="828"/>
      <c r="PL969" s="828"/>
      <c r="PM969" s="828"/>
      <c r="PN969" s="828"/>
      <c r="PO969" s="828"/>
      <c r="PP969" s="828"/>
      <c r="PQ969" s="828"/>
      <c r="PR969" s="828"/>
      <c r="PS969" s="828"/>
      <c r="PT969" s="828"/>
      <c r="PU969" s="828"/>
      <c r="PV969" s="828"/>
      <c r="PW969" s="828"/>
      <c r="PX969" s="828"/>
      <c r="PY969" s="828"/>
      <c r="PZ969" s="828"/>
      <c r="QA969" s="828"/>
      <c r="QB969" s="828"/>
      <c r="QC969" s="828"/>
      <c r="QD969" s="828"/>
      <c r="QE969" s="828"/>
      <c r="QF969" s="828"/>
      <c r="QG969" s="828"/>
      <c r="QH969" s="828"/>
      <c r="QI969" s="828"/>
      <c r="QJ969" s="828"/>
      <c r="QK969" s="828"/>
      <c r="QL969" s="828"/>
      <c r="QM969" s="828"/>
      <c r="QN969" s="828"/>
      <c r="QO969" s="828"/>
      <c r="QP969" s="828"/>
      <c r="QQ969" s="828"/>
      <c r="QR969" s="828"/>
      <c r="QS969" s="828"/>
      <c r="QT969" s="828"/>
      <c r="QU969" s="828"/>
      <c r="QV969" s="828"/>
      <c r="QW969" s="828"/>
      <c r="QX969" s="828"/>
      <c r="QY969" s="828"/>
      <c r="QZ969" s="828"/>
      <c r="RA969" s="828"/>
      <c r="RB969" s="828"/>
      <c r="RC969" s="828"/>
      <c r="RD969" s="828"/>
      <c r="RE969" s="828"/>
      <c r="RF969" s="828"/>
      <c r="RG969" s="828"/>
      <c r="RH969" s="828"/>
      <c r="RI969" s="828"/>
      <c r="RJ969" s="828"/>
      <c r="RK969" s="828"/>
      <c r="RL969" s="828"/>
      <c r="RM969" s="828"/>
      <c r="RN969" s="828"/>
      <c r="RO969" s="828"/>
      <c r="RP969" s="828"/>
      <c r="RQ969" s="828"/>
      <c r="RR969" s="828"/>
      <c r="RS969" s="828"/>
      <c r="RT969" s="828"/>
      <c r="RU969" s="828"/>
      <c r="RV969" s="828"/>
      <c r="RW969" s="828"/>
      <c r="RX969" s="828"/>
      <c r="RY969" s="828"/>
      <c r="RZ969" s="828"/>
      <c r="SA969" s="828"/>
      <c r="SB969" s="828"/>
      <c r="SC969" s="828"/>
      <c r="SD969" s="828"/>
      <c r="SE969" s="828"/>
      <c r="SF969" s="828"/>
      <c r="SG969" s="828"/>
      <c r="SH969" s="828"/>
      <c r="SI969" s="828"/>
      <c r="SJ969" s="828"/>
      <c r="SK969" s="828"/>
      <c r="SL969" s="828"/>
      <c r="SM969" s="828"/>
      <c r="SN969" s="828"/>
      <c r="SO969" s="828"/>
      <c r="SP969" s="828"/>
      <c r="SQ969" s="828"/>
      <c r="SR969" s="828"/>
      <c r="SS969" s="828"/>
      <c r="ST969" s="828"/>
      <c r="SU969" s="828"/>
      <c r="SV969" s="828"/>
      <c r="SW969" s="828"/>
      <c r="SX969" s="828"/>
      <c r="SY969" s="828"/>
      <c r="SZ969" s="828"/>
      <c r="TA969" s="828"/>
      <c r="TB969" s="828"/>
      <c r="TC969" s="828"/>
      <c r="TD969" s="828"/>
      <c r="TE969" s="828"/>
      <c r="TF969" s="828"/>
      <c r="TG969" s="828"/>
      <c r="TH969" s="828"/>
      <c r="TI969" s="828"/>
      <c r="TJ969" s="828"/>
      <c r="TK969" s="828"/>
      <c r="TL969" s="828"/>
      <c r="TM969" s="828"/>
      <c r="TN969" s="828"/>
      <c r="TO969" s="828"/>
      <c r="TP969" s="828"/>
      <c r="TQ969" s="828"/>
      <c r="TR969" s="828"/>
      <c r="TS969" s="828"/>
      <c r="TT969" s="828"/>
      <c r="TU969" s="828"/>
      <c r="TV969" s="828"/>
      <c r="TW969" s="828"/>
      <c r="TX969" s="828"/>
      <c r="TY969" s="828"/>
      <c r="TZ969" s="828"/>
      <c r="UA969" s="828"/>
      <c r="UB969" s="828"/>
      <c r="UC969" s="828"/>
      <c r="UD969" s="828"/>
      <c r="UE969" s="828"/>
      <c r="UF969" s="828"/>
      <c r="UG969" s="828"/>
      <c r="UH969" s="828"/>
      <c r="UI969" s="828"/>
      <c r="UJ969" s="828"/>
      <c r="UK969" s="828"/>
      <c r="UL969" s="828"/>
      <c r="UM969" s="828"/>
      <c r="UN969" s="828"/>
      <c r="UO969" s="828"/>
      <c r="UP969" s="828"/>
      <c r="UQ969" s="828"/>
      <c r="UR969" s="828"/>
      <c r="US969" s="828"/>
      <c r="UT969" s="828"/>
      <c r="UU969" s="828"/>
      <c r="UV969" s="828"/>
      <c r="UW969" s="828"/>
      <c r="UX969" s="828"/>
      <c r="UY969" s="828"/>
      <c r="UZ969" s="828"/>
      <c r="VA969" s="828"/>
      <c r="VB969" s="828"/>
      <c r="VC969" s="828"/>
      <c r="VD969" s="828"/>
      <c r="VE969" s="828"/>
      <c r="VF969" s="828"/>
      <c r="VG969" s="828"/>
      <c r="VH969" s="828"/>
      <c r="VI969" s="828"/>
      <c r="VJ969" s="828"/>
      <c r="VK969" s="828"/>
      <c r="VL969" s="828"/>
      <c r="VM969" s="828"/>
      <c r="VN969" s="828"/>
      <c r="VO969" s="828"/>
      <c r="VP969" s="828"/>
      <c r="VQ969" s="828"/>
      <c r="VR969" s="828"/>
      <c r="VS969" s="828"/>
      <c r="VT969" s="828"/>
      <c r="VU969" s="828"/>
      <c r="VV969" s="828"/>
      <c r="VW969" s="828"/>
      <c r="VX969" s="828"/>
      <c r="VY969" s="828"/>
      <c r="VZ969" s="828"/>
      <c r="WA969" s="828"/>
      <c r="WB969" s="828"/>
      <c r="WC969" s="828"/>
      <c r="WD969" s="828"/>
      <c r="WE969" s="828"/>
      <c r="WF969" s="828"/>
      <c r="WG969" s="828"/>
      <c r="WH969" s="828"/>
      <c r="WI969" s="828"/>
      <c r="WJ969" s="828"/>
      <c r="WK969" s="828"/>
      <c r="WL969" s="828"/>
      <c r="WM969" s="828"/>
      <c r="WN969" s="828"/>
      <c r="WO969" s="828"/>
      <c r="WP969" s="828"/>
      <c r="WQ969" s="828"/>
      <c r="WR969" s="828"/>
      <c r="WS969" s="828"/>
      <c r="WT969" s="828"/>
      <c r="WU969" s="828"/>
      <c r="WV969" s="828"/>
      <c r="WW969" s="828"/>
      <c r="WX969" s="828"/>
      <c r="WY969" s="828"/>
      <c r="WZ969" s="828"/>
      <c r="XA969" s="828"/>
      <c r="XB969" s="828"/>
      <c r="XC969" s="828"/>
      <c r="XD969" s="828"/>
      <c r="XE969" s="828"/>
      <c r="XF969" s="828"/>
      <c r="XG969" s="828"/>
      <c r="XH969" s="828"/>
      <c r="XI969" s="828"/>
      <c r="XJ969" s="828"/>
      <c r="XK969" s="828"/>
      <c r="XL969" s="828"/>
      <c r="XM969" s="828"/>
      <c r="XN969" s="828"/>
      <c r="XO969" s="828"/>
      <c r="XP969" s="828"/>
      <c r="XQ969" s="828"/>
      <c r="XR969" s="828"/>
      <c r="XS969" s="828"/>
      <c r="XT969" s="828"/>
      <c r="XU969" s="828"/>
      <c r="XV969" s="828"/>
      <c r="XW969" s="828"/>
      <c r="XX969" s="828"/>
      <c r="XY969" s="828"/>
      <c r="XZ969" s="828"/>
      <c r="YA969" s="828"/>
      <c r="YB969" s="828"/>
      <c r="YC969" s="828"/>
      <c r="YD969" s="828"/>
      <c r="YE969" s="828"/>
      <c r="YF969" s="828"/>
      <c r="YG969" s="828"/>
      <c r="YH969" s="828"/>
      <c r="YI969" s="828"/>
      <c r="YJ969" s="828"/>
      <c r="YK969" s="828"/>
      <c r="YL969" s="828"/>
      <c r="YM969" s="828"/>
      <c r="YN969" s="828"/>
      <c r="YO969" s="828"/>
      <c r="YP969" s="828"/>
      <c r="YQ969" s="828"/>
      <c r="YR969" s="828"/>
      <c r="YS969" s="828"/>
      <c r="YT969" s="828"/>
      <c r="YU969" s="828"/>
      <c r="YV969" s="828"/>
      <c r="YW969" s="828"/>
      <c r="YX969" s="828"/>
      <c r="YY969" s="828"/>
      <c r="YZ969" s="828"/>
      <c r="ZA969" s="828"/>
      <c r="ZB969" s="828"/>
      <c r="ZC969" s="828"/>
      <c r="ZD969" s="828"/>
      <c r="ZE969" s="828"/>
      <c r="ZF969" s="828"/>
      <c r="ZG969" s="828"/>
      <c r="ZH969" s="828"/>
      <c r="ZI969" s="828"/>
      <c r="ZJ969" s="828"/>
      <c r="ZK969" s="828"/>
      <c r="ZL969" s="828"/>
      <c r="ZM969" s="828"/>
      <c r="ZN969" s="828"/>
      <c r="ZO969" s="828"/>
      <c r="ZP969" s="828"/>
      <c r="ZQ969" s="828"/>
      <c r="ZR969" s="828"/>
      <c r="ZS969" s="828"/>
      <c r="ZT969" s="828"/>
      <c r="ZU969" s="828"/>
      <c r="ZV969" s="828"/>
      <c r="ZW969" s="828"/>
      <c r="ZX969" s="828"/>
      <c r="ZY969" s="828"/>
      <c r="ZZ969" s="828"/>
      <c r="AAA969" s="828"/>
      <c r="AAB969" s="828"/>
      <c r="AAC969" s="828"/>
      <c r="AAD969" s="828"/>
      <c r="AAE969" s="828"/>
      <c r="AAF969" s="828"/>
      <c r="AAG969" s="828"/>
      <c r="AAH969" s="828"/>
      <c r="AAI969" s="828"/>
      <c r="AAJ969" s="828"/>
      <c r="AAK969" s="828"/>
      <c r="AAL969" s="828"/>
      <c r="AAM969" s="828"/>
      <c r="AAN969" s="828"/>
      <c r="AAO969" s="828"/>
      <c r="AAP969" s="828"/>
      <c r="AAQ969" s="828"/>
      <c r="AAR969" s="828"/>
      <c r="AAS969" s="828"/>
      <c r="AAT969" s="828"/>
      <c r="AAU969" s="828"/>
      <c r="AAV969" s="828"/>
      <c r="AAW969" s="828"/>
      <c r="AAX969" s="828"/>
      <c r="AAY969" s="828"/>
      <c r="AAZ969" s="828"/>
      <c r="ABA969" s="828"/>
      <c r="ABB969" s="828"/>
      <c r="ABC969" s="828"/>
      <c r="ABD969" s="828"/>
      <c r="ABE969" s="828"/>
      <c r="ABF969" s="828"/>
      <c r="ABG969" s="828"/>
      <c r="ABH969" s="828"/>
      <c r="ABI969" s="828"/>
      <c r="ABJ969" s="828"/>
      <c r="ABK969" s="828"/>
      <c r="ABL969" s="828"/>
      <c r="ABM969" s="828"/>
      <c r="ABN969" s="828"/>
      <c r="ABO969" s="828"/>
      <c r="ABP969" s="828"/>
      <c r="ABQ969" s="828"/>
      <c r="ABR969" s="828"/>
      <c r="ABS969" s="828"/>
      <c r="ABT969" s="828"/>
      <c r="ABU969" s="828"/>
      <c r="ABV969" s="828"/>
      <c r="ABW969" s="828"/>
      <c r="ABX969" s="828"/>
      <c r="ABY969" s="828"/>
      <c r="ABZ969" s="828"/>
      <c r="ACA969" s="828"/>
      <c r="ACB969" s="828"/>
      <c r="ACC969" s="828"/>
      <c r="ACD969" s="828"/>
      <c r="ACE969" s="828"/>
      <c r="ACF969" s="828"/>
      <c r="ACG969" s="828"/>
      <c r="ACH969" s="828"/>
      <c r="ACI969" s="828"/>
      <c r="ACJ969" s="828"/>
      <c r="ACK969" s="828"/>
      <c r="ACL969" s="828"/>
      <c r="ACM969" s="828"/>
      <c r="ACN969" s="828"/>
      <c r="ACO969" s="828"/>
      <c r="ACP969" s="828"/>
      <c r="ACQ969" s="828"/>
      <c r="ACR969" s="828"/>
      <c r="ACS969" s="828"/>
      <c r="ACT969" s="828"/>
      <c r="ACU969" s="828"/>
      <c r="ACV969" s="828"/>
      <c r="ACW969" s="828"/>
      <c r="ACX969" s="828"/>
      <c r="ACY969" s="828"/>
      <c r="ACZ969" s="828"/>
      <c r="ADA969" s="828"/>
      <c r="ADB969" s="828"/>
      <c r="ADC969" s="828"/>
      <c r="ADD969" s="828"/>
      <c r="ADE969" s="828"/>
      <c r="ADF969" s="828"/>
      <c r="ADG969" s="828"/>
      <c r="ADH969" s="828"/>
      <c r="ADI969" s="828"/>
      <c r="ADJ969" s="828"/>
      <c r="ADK969" s="828"/>
      <c r="ADL969" s="828"/>
      <c r="ADM969" s="828"/>
      <c r="ADN969" s="828"/>
      <c r="ADO969" s="828"/>
      <c r="ADP969" s="828"/>
      <c r="ADQ969" s="828"/>
      <c r="ADR969" s="828"/>
      <c r="ADS969" s="828"/>
      <c r="ADT969" s="828"/>
      <c r="ADU969" s="828"/>
      <c r="ADV969" s="828"/>
      <c r="ADW969" s="828"/>
      <c r="ADX969" s="828"/>
      <c r="ADY969" s="828"/>
      <c r="ADZ969" s="828"/>
      <c r="AEA969" s="828"/>
      <c r="AEB969" s="828"/>
      <c r="AEC969" s="828"/>
      <c r="AED969" s="828"/>
      <c r="AEE969" s="828"/>
      <c r="AEF969" s="828"/>
      <c r="AEG969" s="828"/>
      <c r="AEH969" s="828"/>
      <c r="AEI969" s="828"/>
      <c r="AEJ969" s="828"/>
      <c r="AEK969" s="828"/>
      <c r="AEL969" s="828"/>
      <c r="AEM969" s="828"/>
      <c r="AEN969" s="828"/>
      <c r="AEO969" s="828"/>
      <c r="AEP969" s="828"/>
      <c r="AEQ969" s="828"/>
      <c r="AER969" s="828"/>
      <c r="AES969" s="828"/>
      <c r="AET969" s="828"/>
      <c r="AEU969" s="828"/>
      <c r="AEV969" s="828"/>
      <c r="AEW969" s="828"/>
      <c r="AEX969" s="828"/>
      <c r="AEY969" s="828"/>
      <c r="AEZ969" s="828"/>
      <c r="AFA969" s="828"/>
      <c r="AFB969" s="828"/>
      <c r="AFC969" s="828"/>
      <c r="AFD969" s="828"/>
      <c r="AFE969" s="828"/>
      <c r="AFF969" s="828"/>
      <c r="AFG969" s="828"/>
      <c r="AFH969" s="828"/>
      <c r="AFI969" s="828"/>
      <c r="AFJ969" s="828"/>
      <c r="AFK969" s="828"/>
      <c r="AFL969" s="828"/>
      <c r="AFM969" s="828"/>
      <c r="AFN969" s="828"/>
      <c r="AFO969" s="828"/>
      <c r="AFP969" s="828"/>
      <c r="AFQ969" s="828"/>
      <c r="AFR969" s="828"/>
      <c r="AFS969" s="828"/>
      <c r="AFT969" s="828"/>
      <c r="AFU969" s="828"/>
      <c r="AFV969" s="828"/>
      <c r="AFW969" s="828"/>
      <c r="AFX969" s="828"/>
      <c r="AFY969" s="828"/>
      <c r="AFZ969" s="828"/>
      <c r="AGA969" s="828"/>
      <c r="AGB969" s="828"/>
      <c r="AGC969" s="828"/>
      <c r="AGD969" s="828"/>
      <c r="AGE969" s="828"/>
      <c r="AGF969" s="828"/>
      <c r="AGG969" s="828"/>
      <c r="AGH969" s="828"/>
      <c r="AGI969" s="828"/>
      <c r="AGJ969" s="828"/>
    </row>
    <row r="970" spans="1:868" s="7" customFormat="1" hidden="1">
      <c r="A970" s="626" t="s">
        <v>127</v>
      </c>
      <c r="B970" s="59" t="s">
        <v>462</v>
      </c>
      <c r="C970" s="40" t="s">
        <v>147</v>
      </c>
      <c r="D970" s="34" t="s">
        <v>107</v>
      </c>
      <c r="E970" s="880">
        <v>6.4613472974172373E-2</v>
      </c>
      <c r="F970" s="34">
        <v>2</v>
      </c>
      <c r="G970" s="40" t="s">
        <v>451</v>
      </c>
      <c r="H970" s="29">
        <v>1</v>
      </c>
      <c r="I970" s="9">
        <v>2</v>
      </c>
      <c r="J970" s="9">
        <v>2</v>
      </c>
      <c r="K970" s="9">
        <v>1</v>
      </c>
      <c r="L970" s="9">
        <v>1</v>
      </c>
      <c r="M970" s="9">
        <v>2</v>
      </c>
      <c r="N970" s="186">
        <f t="shared" si="53"/>
        <v>0.35859414261160716</v>
      </c>
      <c r="O970" s="160">
        <f t="shared" si="51"/>
        <v>0.37356464144298934</v>
      </c>
      <c r="P970" s="63"/>
      <c r="Q970" s="828"/>
      <c r="R970" s="828"/>
      <c r="S970" s="828"/>
      <c r="T970" s="828"/>
      <c r="U970" s="828"/>
      <c r="V970" s="828"/>
      <c r="W970" s="828"/>
      <c r="X970" s="828"/>
      <c r="Y970" s="828"/>
      <c r="Z970" s="828"/>
      <c r="AA970" s="828"/>
      <c r="AB970" s="828"/>
      <c r="AC970" s="828"/>
      <c r="AD970" s="828"/>
      <c r="AE970" s="828"/>
      <c r="AF970" s="828"/>
      <c r="AG970" s="828"/>
      <c r="AH970" s="828"/>
      <c r="AI970" s="828"/>
      <c r="AJ970" s="828"/>
      <c r="AK970" s="828"/>
      <c r="AL970" s="828"/>
      <c r="AM970" s="828"/>
      <c r="AN970" s="828"/>
      <c r="AO970" s="828"/>
      <c r="AP970" s="828"/>
      <c r="AQ970" s="828"/>
      <c r="AR970" s="828"/>
      <c r="AS970" s="828"/>
      <c r="AT970" s="828"/>
      <c r="AU970" s="828"/>
      <c r="AV970" s="828"/>
      <c r="AW970" s="828"/>
      <c r="AX970" s="828"/>
      <c r="AY970" s="828"/>
      <c r="AZ970" s="828"/>
      <c r="BA970" s="828"/>
      <c r="BB970" s="828"/>
      <c r="BC970" s="828"/>
      <c r="BD970" s="828"/>
      <c r="BE970" s="828"/>
      <c r="BF970" s="828"/>
      <c r="BG970" s="828"/>
      <c r="BH970" s="828"/>
      <c r="BI970" s="828"/>
      <c r="BJ970" s="828"/>
      <c r="BK970" s="828"/>
      <c r="BL970" s="828"/>
      <c r="BM970" s="828"/>
      <c r="BN970" s="828"/>
      <c r="BO970" s="828"/>
      <c r="BP970" s="828"/>
      <c r="BQ970" s="828"/>
      <c r="BR970" s="828"/>
      <c r="BS970" s="828"/>
      <c r="BT970" s="828"/>
      <c r="BU970" s="828"/>
      <c r="BV970" s="828"/>
      <c r="BW970" s="828"/>
      <c r="BX970" s="828"/>
      <c r="BY970" s="828"/>
      <c r="BZ970" s="828"/>
      <c r="CA970" s="828"/>
      <c r="CB970" s="828"/>
      <c r="CC970" s="828"/>
      <c r="CD970" s="828"/>
      <c r="CE970" s="828"/>
      <c r="CF970" s="828"/>
      <c r="CG970" s="828"/>
      <c r="CH970" s="828"/>
      <c r="CI970" s="828"/>
      <c r="CJ970" s="828"/>
      <c r="CK970" s="828"/>
      <c r="CL970" s="828"/>
      <c r="CM970" s="828"/>
      <c r="CN970" s="828"/>
      <c r="CO970" s="828"/>
      <c r="CP970" s="828"/>
      <c r="CQ970" s="828"/>
      <c r="CR970" s="828"/>
      <c r="CS970" s="828"/>
      <c r="CT970" s="828"/>
      <c r="CU970" s="828"/>
      <c r="CV970" s="828"/>
      <c r="CW970" s="828"/>
      <c r="CX970" s="828"/>
      <c r="CY970" s="828"/>
      <c r="CZ970" s="828"/>
      <c r="DA970" s="828"/>
      <c r="DB970" s="828"/>
      <c r="DC970" s="828"/>
      <c r="DD970" s="828"/>
      <c r="DE970" s="828"/>
      <c r="DF970" s="828"/>
      <c r="DG970" s="828"/>
      <c r="DH970" s="828"/>
      <c r="DI970" s="828"/>
      <c r="DJ970" s="828"/>
      <c r="DK970" s="828"/>
      <c r="DL970" s="828"/>
      <c r="DM970" s="828"/>
      <c r="DN970" s="828"/>
      <c r="DO970" s="828"/>
      <c r="DP970" s="828"/>
      <c r="DQ970" s="828"/>
      <c r="DR970" s="828"/>
      <c r="DS970" s="828"/>
      <c r="DT970" s="828"/>
      <c r="DU970" s="828"/>
      <c r="DV970" s="828"/>
      <c r="DW970" s="828"/>
      <c r="DX970" s="828"/>
      <c r="DY970" s="828"/>
      <c r="DZ970" s="828"/>
      <c r="EA970" s="828"/>
      <c r="EB970" s="828"/>
      <c r="EC970" s="828"/>
      <c r="ED970" s="828"/>
      <c r="EE970" s="828"/>
      <c r="EF970" s="828"/>
      <c r="EG970" s="828"/>
      <c r="EH970" s="828"/>
      <c r="EI970" s="828"/>
      <c r="EJ970" s="828"/>
      <c r="EK970" s="828"/>
      <c r="EL970" s="828"/>
      <c r="EM970" s="828"/>
      <c r="EN970" s="828"/>
      <c r="EO970" s="828"/>
      <c r="EP970" s="828"/>
      <c r="EQ970" s="828"/>
      <c r="ER970" s="828"/>
      <c r="ES970" s="828"/>
      <c r="ET970" s="828"/>
      <c r="EU970" s="828"/>
      <c r="EV970" s="828"/>
      <c r="EW970" s="828"/>
      <c r="EX970" s="828"/>
      <c r="EY970" s="828"/>
      <c r="EZ970" s="828"/>
      <c r="FA970" s="828"/>
      <c r="FB970" s="828"/>
      <c r="FC970" s="828"/>
      <c r="FD970" s="828"/>
      <c r="FE970" s="828"/>
      <c r="FF970" s="828"/>
      <c r="FG970" s="828"/>
      <c r="FH970" s="828"/>
      <c r="FI970" s="828"/>
      <c r="FJ970" s="828"/>
      <c r="FK970" s="828"/>
      <c r="FL970" s="828"/>
      <c r="FM970" s="828"/>
      <c r="FN970" s="828"/>
      <c r="FO970" s="828"/>
      <c r="FP970" s="828"/>
      <c r="FQ970" s="828"/>
      <c r="FR970" s="828"/>
      <c r="FS970" s="828"/>
      <c r="FT970" s="828"/>
      <c r="FU970" s="828"/>
      <c r="FV970" s="828"/>
      <c r="FW970" s="828"/>
      <c r="FX970" s="828"/>
      <c r="FY970" s="828"/>
      <c r="FZ970" s="828"/>
      <c r="GA970" s="828"/>
      <c r="GB970" s="828"/>
      <c r="GC970" s="828"/>
      <c r="GD970" s="828"/>
      <c r="GE970" s="828"/>
      <c r="GF970" s="828"/>
      <c r="GG970" s="828"/>
      <c r="GH970" s="828"/>
      <c r="GI970" s="828"/>
      <c r="GJ970" s="828"/>
      <c r="GK970" s="828"/>
      <c r="GL970" s="828"/>
      <c r="GM970" s="828"/>
      <c r="GN970" s="828"/>
      <c r="GO970" s="828"/>
      <c r="GP970" s="828"/>
      <c r="GQ970" s="828"/>
      <c r="GR970" s="828"/>
      <c r="GS970" s="828"/>
      <c r="GT970" s="828"/>
      <c r="GU970" s="828"/>
      <c r="GV970" s="828"/>
      <c r="GW970" s="828"/>
      <c r="GX970" s="828"/>
      <c r="GY970" s="828"/>
      <c r="GZ970" s="828"/>
      <c r="HA970" s="828"/>
      <c r="HB970" s="828"/>
      <c r="HC970" s="828"/>
      <c r="HD970" s="828"/>
      <c r="HE970" s="828"/>
      <c r="HF970" s="828"/>
      <c r="HG970" s="828"/>
      <c r="HH970" s="828"/>
      <c r="HI970" s="828"/>
      <c r="HJ970" s="828"/>
      <c r="HK970" s="828"/>
      <c r="HL970" s="828"/>
      <c r="HM970" s="828"/>
      <c r="HN970" s="828"/>
      <c r="HO970" s="828"/>
      <c r="HP970" s="828"/>
      <c r="HQ970" s="828"/>
      <c r="HR970" s="828"/>
      <c r="HS970" s="828"/>
      <c r="HT970" s="828"/>
      <c r="HU970" s="828"/>
      <c r="HV970" s="828"/>
      <c r="HW970" s="828"/>
      <c r="HX970" s="828"/>
      <c r="HY970" s="828"/>
      <c r="HZ970" s="828"/>
      <c r="IA970" s="828"/>
      <c r="IB970" s="828"/>
      <c r="IC970" s="828"/>
      <c r="ID970" s="828"/>
      <c r="IE970" s="828"/>
      <c r="IF970" s="828"/>
      <c r="IG970" s="828"/>
      <c r="IH970" s="828"/>
      <c r="II970" s="828"/>
      <c r="IJ970" s="828"/>
      <c r="IK970" s="828"/>
      <c r="IL970" s="828"/>
      <c r="IM970" s="828"/>
      <c r="IN970" s="828"/>
      <c r="IO970" s="828"/>
      <c r="IP970" s="828"/>
      <c r="IQ970" s="828"/>
      <c r="IR970" s="828"/>
      <c r="IS970" s="828"/>
      <c r="IT970" s="828"/>
      <c r="IU970" s="828"/>
      <c r="IV970" s="828"/>
      <c r="IW970" s="828"/>
      <c r="IX970" s="828"/>
      <c r="IY970" s="828"/>
      <c r="IZ970" s="828"/>
      <c r="JA970" s="828"/>
      <c r="JB970" s="828"/>
      <c r="JC970" s="828"/>
      <c r="JD970" s="828"/>
      <c r="JE970" s="828"/>
      <c r="JF970" s="828"/>
      <c r="JG970" s="828"/>
      <c r="JH970" s="828"/>
      <c r="JI970" s="828"/>
      <c r="JJ970" s="828"/>
      <c r="JK970" s="828"/>
      <c r="JL970" s="828"/>
      <c r="JM970" s="828"/>
      <c r="JN970" s="828"/>
      <c r="JO970" s="828"/>
      <c r="JP970" s="828"/>
      <c r="JQ970" s="828"/>
      <c r="JR970" s="828"/>
      <c r="JS970" s="828"/>
      <c r="JT970" s="828"/>
      <c r="JU970" s="828"/>
      <c r="JV970" s="828"/>
      <c r="JW970" s="828"/>
      <c r="JX970" s="828"/>
      <c r="JY970" s="828"/>
      <c r="JZ970" s="828"/>
      <c r="KA970" s="828"/>
      <c r="KB970" s="828"/>
      <c r="KC970" s="828"/>
      <c r="KD970" s="828"/>
      <c r="KE970" s="828"/>
      <c r="KF970" s="828"/>
      <c r="KG970" s="828"/>
      <c r="KH970" s="828"/>
      <c r="KI970" s="828"/>
      <c r="KJ970" s="828"/>
      <c r="KK970" s="828"/>
      <c r="KL970" s="828"/>
      <c r="KM970" s="828"/>
      <c r="KN970" s="828"/>
      <c r="KO970" s="828"/>
      <c r="KP970" s="828"/>
      <c r="KQ970" s="828"/>
      <c r="KR970" s="828"/>
      <c r="KS970" s="828"/>
      <c r="KT970" s="828"/>
      <c r="KU970" s="828"/>
      <c r="KV970" s="828"/>
      <c r="KW970" s="828"/>
      <c r="KX970" s="828"/>
      <c r="KY970" s="828"/>
      <c r="KZ970" s="828"/>
      <c r="LA970" s="828"/>
      <c r="LB970" s="828"/>
      <c r="LC970" s="828"/>
      <c r="LD970" s="828"/>
      <c r="LE970" s="828"/>
      <c r="LF970" s="828"/>
      <c r="LG970" s="828"/>
      <c r="LH970" s="828"/>
      <c r="LI970" s="828"/>
      <c r="LJ970" s="828"/>
      <c r="LK970" s="828"/>
      <c r="LL970" s="828"/>
      <c r="LM970" s="828"/>
      <c r="LN970" s="828"/>
      <c r="LO970" s="828"/>
      <c r="LP970" s="828"/>
      <c r="LQ970" s="828"/>
      <c r="LR970" s="828"/>
      <c r="LS970" s="828"/>
      <c r="LT970" s="828"/>
      <c r="LU970" s="828"/>
      <c r="LV970" s="828"/>
      <c r="LW970" s="828"/>
      <c r="LX970" s="828"/>
      <c r="LY970" s="828"/>
      <c r="LZ970" s="828"/>
      <c r="MA970" s="828"/>
      <c r="MB970" s="828"/>
      <c r="MC970" s="828"/>
      <c r="MD970" s="828"/>
      <c r="ME970" s="828"/>
      <c r="MF970" s="828"/>
      <c r="MG970" s="828"/>
      <c r="MH970" s="828"/>
      <c r="MI970" s="828"/>
      <c r="MJ970" s="828"/>
      <c r="MK970" s="828"/>
      <c r="ML970" s="828"/>
      <c r="MM970" s="828"/>
      <c r="MN970" s="828"/>
      <c r="MO970" s="828"/>
      <c r="MP970" s="828"/>
      <c r="MQ970" s="828"/>
      <c r="MR970" s="828"/>
      <c r="MS970" s="828"/>
      <c r="MT970" s="828"/>
      <c r="MU970" s="828"/>
      <c r="MV970" s="828"/>
      <c r="MW970" s="828"/>
      <c r="MX970" s="828"/>
      <c r="MY970" s="828"/>
      <c r="MZ970" s="828"/>
      <c r="NA970" s="828"/>
      <c r="NB970" s="828"/>
      <c r="NC970" s="828"/>
      <c r="ND970" s="828"/>
      <c r="NE970" s="828"/>
      <c r="NF970" s="828"/>
      <c r="NG970" s="828"/>
      <c r="NH970" s="828"/>
      <c r="NI970" s="828"/>
      <c r="NJ970" s="828"/>
      <c r="NK970" s="828"/>
      <c r="NL970" s="828"/>
      <c r="NM970" s="828"/>
      <c r="NN970" s="828"/>
      <c r="NO970" s="828"/>
      <c r="NP970" s="828"/>
      <c r="NQ970" s="828"/>
      <c r="NR970" s="828"/>
      <c r="NS970" s="828"/>
      <c r="NT970" s="828"/>
      <c r="NU970" s="828"/>
      <c r="NV970" s="828"/>
      <c r="NW970" s="828"/>
      <c r="NX970" s="828"/>
      <c r="NY970" s="828"/>
      <c r="NZ970" s="828"/>
      <c r="OA970" s="828"/>
      <c r="OB970" s="828"/>
      <c r="OC970" s="828"/>
      <c r="OD970" s="828"/>
      <c r="OE970" s="828"/>
      <c r="OF970" s="828"/>
      <c r="OG970" s="828"/>
      <c r="OH970" s="828"/>
      <c r="OI970" s="828"/>
      <c r="OJ970" s="828"/>
      <c r="OK970" s="828"/>
      <c r="OL970" s="828"/>
      <c r="OM970" s="828"/>
      <c r="ON970" s="828"/>
      <c r="OO970" s="828"/>
      <c r="OP970" s="828"/>
      <c r="OQ970" s="828"/>
      <c r="OR970" s="828"/>
      <c r="OS970" s="828"/>
      <c r="OT970" s="828"/>
      <c r="OU970" s="828"/>
      <c r="OV970" s="828"/>
      <c r="OW970" s="828"/>
      <c r="OX970" s="828"/>
      <c r="OY970" s="828"/>
      <c r="OZ970" s="828"/>
      <c r="PA970" s="828"/>
      <c r="PB970" s="828"/>
      <c r="PC970" s="828"/>
      <c r="PD970" s="828"/>
      <c r="PE970" s="828"/>
      <c r="PF970" s="828"/>
      <c r="PG970" s="828"/>
      <c r="PH970" s="828"/>
      <c r="PI970" s="828"/>
      <c r="PJ970" s="828"/>
      <c r="PK970" s="828"/>
      <c r="PL970" s="828"/>
      <c r="PM970" s="828"/>
      <c r="PN970" s="828"/>
      <c r="PO970" s="828"/>
      <c r="PP970" s="828"/>
      <c r="PQ970" s="828"/>
      <c r="PR970" s="828"/>
      <c r="PS970" s="828"/>
      <c r="PT970" s="828"/>
      <c r="PU970" s="828"/>
      <c r="PV970" s="828"/>
      <c r="PW970" s="828"/>
      <c r="PX970" s="828"/>
      <c r="PY970" s="828"/>
      <c r="PZ970" s="828"/>
      <c r="QA970" s="828"/>
      <c r="QB970" s="828"/>
      <c r="QC970" s="828"/>
      <c r="QD970" s="828"/>
      <c r="QE970" s="828"/>
      <c r="QF970" s="828"/>
      <c r="QG970" s="828"/>
      <c r="QH970" s="828"/>
      <c r="QI970" s="828"/>
      <c r="QJ970" s="828"/>
      <c r="QK970" s="828"/>
      <c r="QL970" s="828"/>
      <c r="QM970" s="828"/>
      <c r="QN970" s="828"/>
      <c r="QO970" s="828"/>
      <c r="QP970" s="828"/>
      <c r="QQ970" s="828"/>
      <c r="QR970" s="828"/>
      <c r="QS970" s="828"/>
      <c r="QT970" s="828"/>
      <c r="QU970" s="828"/>
      <c r="QV970" s="828"/>
      <c r="QW970" s="828"/>
      <c r="QX970" s="828"/>
      <c r="QY970" s="828"/>
      <c r="QZ970" s="828"/>
      <c r="RA970" s="828"/>
      <c r="RB970" s="828"/>
      <c r="RC970" s="828"/>
      <c r="RD970" s="828"/>
      <c r="RE970" s="828"/>
      <c r="RF970" s="828"/>
      <c r="RG970" s="828"/>
      <c r="RH970" s="828"/>
      <c r="RI970" s="828"/>
      <c r="RJ970" s="828"/>
      <c r="RK970" s="828"/>
      <c r="RL970" s="828"/>
      <c r="RM970" s="828"/>
      <c r="RN970" s="828"/>
      <c r="RO970" s="828"/>
      <c r="RP970" s="828"/>
      <c r="RQ970" s="828"/>
      <c r="RR970" s="828"/>
      <c r="RS970" s="828"/>
      <c r="RT970" s="828"/>
      <c r="RU970" s="828"/>
      <c r="RV970" s="828"/>
      <c r="RW970" s="828"/>
      <c r="RX970" s="828"/>
      <c r="RY970" s="828"/>
      <c r="RZ970" s="828"/>
      <c r="SA970" s="828"/>
      <c r="SB970" s="828"/>
      <c r="SC970" s="828"/>
      <c r="SD970" s="828"/>
      <c r="SE970" s="828"/>
      <c r="SF970" s="828"/>
      <c r="SG970" s="828"/>
      <c r="SH970" s="828"/>
      <c r="SI970" s="828"/>
      <c r="SJ970" s="828"/>
      <c r="SK970" s="828"/>
      <c r="SL970" s="828"/>
      <c r="SM970" s="828"/>
      <c r="SN970" s="828"/>
      <c r="SO970" s="828"/>
      <c r="SP970" s="828"/>
      <c r="SQ970" s="828"/>
      <c r="SR970" s="828"/>
      <c r="SS970" s="828"/>
      <c r="ST970" s="828"/>
      <c r="SU970" s="828"/>
      <c r="SV970" s="828"/>
      <c r="SW970" s="828"/>
      <c r="SX970" s="828"/>
      <c r="SY970" s="828"/>
      <c r="SZ970" s="828"/>
      <c r="TA970" s="828"/>
      <c r="TB970" s="828"/>
      <c r="TC970" s="828"/>
      <c r="TD970" s="828"/>
      <c r="TE970" s="828"/>
      <c r="TF970" s="828"/>
      <c r="TG970" s="828"/>
      <c r="TH970" s="828"/>
      <c r="TI970" s="828"/>
      <c r="TJ970" s="828"/>
      <c r="TK970" s="828"/>
      <c r="TL970" s="828"/>
      <c r="TM970" s="828"/>
      <c r="TN970" s="828"/>
      <c r="TO970" s="828"/>
      <c r="TP970" s="828"/>
      <c r="TQ970" s="828"/>
      <c r="TR970" s="828"/>
      <c r="TS970" s="828"/>
      <c r="TT970" s="828"/>
      <c r="TU970" s="828"/>
      <c r="TV970" s="828"/>
      <c r="TW970" s="828"/>
      <c r="TX970" s="828"/>
      <c r="TY970" s="828"/>
      <c r="TZ970" s="828"/>
      <c r="UA970" s="828"/>
      <c r="UB970" s="828"/>
      <c r="UC970" s="828"/>
      <c r="UD970" s="828"/>
      <c r="UE970" s="828"/>
      <c r="UF970" s="828"/>
      <c r="UG970" s="828"/>
      <c r="UH970" s="828"/>
      <c r="UI970" s="828"/>
      <c r="UJ970" s="828"/>
      <c r="UK970" s="828"/>
      <c r="UL970" s="828"/>
      <c r="UM970" s="828"/>
      <c r="UN970" s="828"/>
      <c r="UO970" s="828"/>
      <c r="UP970" s="828"/>
      <c r="UQ970" s="828"/>
      <c r="UR970" s="828"/>
      <c r="US970" s="828"/>
      <c r="UT970" s="828"/>
      <c r="UU970" s="828"/>
      <c r="UV970" s="828"/>
      <c r="UW970" s="828"/>
      <c r="UX970" s="828"/>
      <c r="UY970" s="828"/>
      <c r="UZ970" s="828"/>
      <c r="VA970" s="828"/>
      <c r="VB970" s="828"/>
      <c r="VC970" s="828"/>
      <c r="VD970" s="828"/>
      <c r="VE970" s="828"/>
      <c r="VF970" s="828"/>
      <c r="VG970" s="828"/>
      <c r="VH970" s="828"/>
      <c r="VI970" s="828"/>
      <c r="VJ970" s="828"/>
      <c r="VK970" s="828"/>
      <c r="VL970" s="828"/>
      <c r="VM970" s="828"/>
      <c r="VN970" s="828"/>
      <c r="VO970" s="828"/>
      <c r="VP970" s="828"/>
      <c r="VQ970" s="828"/>
      <c r="VR970" s="828"/>
      <c r="VS970" s="828"/>
      <c r="VT970" s="828"/>
      <c r="VU970" s="828"/>
      <c r="VV970" s="828"/>
      <c r="VW970" s="828"/>
      <c r="VX970" s="828"/>
      <c r="VY970" s="828"/>
      <c r="VZ970" s="828"/>
      <c r="WA970" s="828"/>
      <c r="WB970" s="828"/>
      <c r="WC970" s="828"/>
      <c r="WD970" s="828"/>
      <c r="WE970" s="828"/>
      <c r="WF970" s="828"/>
      <c r="WG970" s="828"/>
      <c r="WH970" s="828"/>
      <c r="WI970" s="828"/>
      <c r="WJ970" s="828"/>
      <c r="WK970" s="828"/>
      <c r="WL970" s="828"/>
      <c r="WM970" s="828"/>
      <c r="WN970" s="828"/>
      <c r="WO970" s="828"/>
      <c r="WP970" s="828"/>
      <c r="WQ970" s="828"/>
      <c r="WR970" s="828"/>
      <c r="WS970" s="828"/>
      <c r="WT970" s="828"/>
      <c r="WU970" s="828"/>
      <c r="WV970" s="828"/>
      <c r="WW970" s="828"/>
      <c r="WX970" s="828"/>
      <c r="WY970" s="828"/>
      <c r="WZ970" s="828"/>
      <c r="XA970" s="828"/>
      <c r="XB970" s="828"/>
      <c r="XC970" s="828"/>
      <c r="XD970" s="828"/>
      <c r="XE970" s="828"/>
      <c r="XF970" s="828"/>
      <c r="XG970" s="828"/>
      <c r="XH970" s="828"/>
      <c r="XI970" s="828"/>
      <c r="XJ970" s="828"/>
      <c r="XK970" s="828"/>
      <c r="XL970" s="828"/>
      <c r="XM970" s="828"/>
      <c r="XN970" s="828"/>
      <c r="XO970" s="828"/>
      <c r="XP970" s="828"/>
      <c r="XQ970" s="828"/>
      <c r="XR970" s="828"/>
      <c r="XS970" s="828"/>
      <c r="XT970" s="828"/>
      <c r="XU970" s="828"/>
      <c r="XV970" s="828"/>
      <c r="XW970" s="828"/>
      <c r="XX970" s="828"/>
      <c r="XY970" s="828"/>
      <c r="XZ970" s="828"/>
      <c r="YA970" s="828"/>
      <c r="YB970" s="828"/>
      <c r="YC970" s="828"/>
      <c r="YD970" s="828"/>
      <c r="YE970" s="828"/>
      <c r="YF970" s="828"/>
      <c r="YG970" s="828"/>
      <c r="YH970" s="828"/>
      <c r="YI970" s="828"/>
      <c r="YJ970" s="828"/>
      <c r="YK970" s="828"/>
      <c r="YL970" s="828"/>
      <c r="YM970" s="828"/>
      <c r="YN970" s="828"/>
      <c r="YO970" s="828"/>
      <c r="YP970" s="828"/>
      <c r="YQ970" s="828"/>
      <c r="YR970" s="828"/>
      <c r="YS970" s="828"/>
      <c r="YT970" s="828"/>
      <c r="YU970" s="828"/>
      <c r="YV970" s="828"/>
      <c r="YW970" s="828"/>
      <c r="YX970" s="828"/>
      <c r="YY970" s="828"/>
      <c r="YZ970" s="828"/>
      <c r="ZA970" s="828"/>
      <c r="ZB970" s="828"/>
      <c r="ZC970" s="828"/>
      <c r="ZD970" s="828"/>
      <c r="ZE970" s="828"/>
      <c r="ZF970" s="828"/>
      <c r="ZG970" s="828"/>
      <c r="ZH970" s="828"/>
      <c r="ZI970" s="828"/>
      <c r="ZJ970" s="828"/>
      <c r="ZK970" s="828"/>
      <c r="ZL970" s="828"/>
      <c r="ZM970" s="828"/>
      <c r="ZN970" s="828"/>
      <c r="ZO970" s="828"/>
      <c r="ZP970" s="828"/>
      <c r="ZQ970" s="828"/>
      <c r="ZR970" s="828"/>
      <c r="ZS970" s="828"/>
      <c r="ZT970" s="828"/>
      <c r="ZU970" s="828"/>
      <c r="ZV970" s="828"/>
      <c r="ZW970" s="828"/>
      <c r="ZX970" s="828"/>
      <c r="ZY970" s="828"/>
      <c r="ZZ970" s="828"/>
      <c r="AAA970" s="828"/>
      <c r="AAB970" s="828"/>
      <c r="AAC970" s="828"/>
      <c r="AAD970" s="828"/>
      <c r="AAE970" s="828"/>
      <c r="AAF970" s="828"/>
      <c r="AAG970" s="828"/>
      <c r="AAH970" s="828"/>
      <c r="AAI970" s="828"/>
      <c r="AAJ970" s="828"/>
      <c r="AAK970" s="828"/>
      <c r="AAL970" s="828"/>
      <c r="AAM970" s="828"/>
      <c r="AAN970" s="828"/>
      <c r="AAO970" s="828"/>
      <c r="AAP970" s="828"/>
      <c r="AAQ970" s="828"/>
      <c r="AAR970" s="828"/>
      <c r="AAS970" s="828"/>
      <c r="AAT970" s="828"/>
      <c r="AAU970" s="828"/>
      <c r="AAV970" s="828"/>
      <c r="AAW970" s="828"/>
      <c r="AAX970" s="828"/>
      <c r="AAY970" s="828"/>
      <c r="AAZ970" s="828"/>
      <c r="ABA970" s="828"/>
      <c r="ABB970" s="828"/>
      <c r="ABC970" s="828"/>
      <c r="ABD970" s="828"/>
      <c r="ABE970" s="828"/>
      <c r="ABF970" s="828"/>
      <c r="ABG970" s="828"/>
      <c r="ABH970" s="828"/>
      <c r="ABI970" s="828"/>
      <c r="ABJ970" s="828"/>
      <c r="ABK970" s="828"/>
      <c r="ABL970" s="828"/>
      <c r="ABM970" s="828"/>
      <c r="ABN970" s="828"/>
      <c r="ABO970" s="828"/>
      <c r="ABP970" s="828"/>
      <c r="ABQ970" s="828"/>
      <c r="ABR970" s="828"/>
      <c r="ABS970" s="828"/>
      <c r="ABT970" s="828"/>
      <c r="ABU970" s="828"/>
      <c r="ABV970" s="828"/>
      <c r="ABW970" s="828"/>
      <c r="ABX970" s="828"/>
      <c r="ABY970" s="828"/>
      <c r="ABZ970" s="828"/>
      <c r="ACA970" s="828"/>
      <c r="ACB970" s="828"/>
      <c r="ACC970" s="828"/>
      <c r="ACD970" s="828"/>
      <c r="ACE970" s="828"/>
      <c r="ACF970" s="828"/>
      <c r="ACG970" s="828"/>
      <c r="ACH970" s="828"/>
      <c r="ACI970" s="828"/>
      <c r="ACJ970" s="828"/>
      <c r="ACK970" s="828"/>
      <c r="ACL970" s="828"/>
      <c r="ACM970" s="828"/>
      <c r="ACN970" s="828"/>
      <c r="ACO970" s="828"/>
      <c r="ACP970" s="828"/>
      <c r="ACQ970" s="828"/>
      <c r="ACR970" s="828"/>
      <c r="ACS970" s="828"/>
      <c r="ACT970" s="828"/>
      <c r="ACU970" s="828"/>
      <c r="ACV970" s="828"/>
      <c r="ACW970" s="828"/>
      <c r="ACX970" s="828"/>
      <c r="ACY970" s="828"/>
      <c r="ACZ970" s="828"/>
      <c r="ADA970" s="828"/>
      <c r="ADB970" s="828"/>
      <c r="ADC970" s="828"/>
      <c r="ADD970" s="828"/>
      <c r="ADE970" s="828"/>
      <c r="ADF970" s="828"/>
      <c r="ADG970" s="828"/>
      <c r="ADH970" s="828"/>
      <c r="ADI970" s="828"/>
      <c r="ADJ970" s="828"/>
      <c r="ADK970" s="828"/>
      <c r="ADL970" s="828"/>
      <c r="ADM970" s="828"/>
      <c r="ADN970" s="828"/>
      <c r="ADO970" s="828"/>
      <c r="ADP970" s="828"/>
      <c r="ADQ970" s="828"/>
      <c r="ADR970" s="828"/>
      <c r="ADS970" s="828"/>
      <c r="ADT970" s="828"/>
      <c r="ADU970" s="828"/>
      <c r="ADV970" s="828"/>
      <c r="ADW970" s="828"/>
      <c r="ADX970" s="828"/>
      <c r="ADY970" s="828"/>
      <c r="ADZ970" s="828"/>
      <c r="AEA970" s="828"/>
      <c r="AEB970" s="828"/>
      <c r="AEC970" s="828"/>
      <c r="AED970" s="828"/>
      <c r="AEE970" s="828"/>
      <c r="AEF970" s="828"/>
      <c r="AEG970" s="828"/>
      <c r="AEH970" s="828"/>
      <c r="AEI970" s="828"/>
      <c r="AEJ970" s="828"/>
      <c r="AEK970" s="828"/>
      <c r="AEL970" s="828"/>
      <c r="AEM970" s="828"/>
      <c r="AEN970" s="828"/>
      <c r="AEO970" s="828"/>
      <c r="AEP970" s="828"/>
      <c r="AEQ970" s="828"/>
      <c r="AER970" s="828"/>
      <c r="AES970" s="828"/>
      <c r="AET970" s="828"/>
      <c r="AEU970" s="828"/>
      <c r="AEV970" s="828"/>
      <c r="AEW970" s="828"/>
      <c r="AEX970" s="828"/>
      <c r="AEY970" s="828"/>
      <c r="AEZ970" s="828"/>
      <c r="AFA970" s="828"/>
      <c r="AFB970" s="828"/>
      <c r="AFC970" s="828"/>
      <c r="AFD970" s="828"/>
      <c r="AFE970" s="828"/>
      <c r="AFF970" s="828"/>
      <c r="AFG970" s="828"/>
      <c r="AFH970" s="828"/>
      <c r="AFI970" s="828"/>
      <c r="AFJ970" s="828"/>
      <c r="AFK970" s="828"/>
      <c r="AFL970" s="828"/>
      <c r="AFM970" s="828"/>
      <c r="AFN970" s="828"/>
      <c r="AFO970" s="828"/>
      <c r="AFP970" s="828"/>
      <c r="AFQ970" s="828"/>
      <c r="AFR970" s="828"/>
      <c r="AFS970" s="828"/>
      <c r="AFT970" s="828"/>
      <c r="AFU970" s="828"/>
      <c r="AFV970" s="828"/>
      <c r="AFW970" s="828"/>
      <c r="AFX970" s="828"/>
      <c r="AFY970" s="828"/>
      <c r="AFZ970" s="828"/>
      <c r="AGA970" s="828"/>
      <c r="AGB970" s="828"/>
      <c r="AGC970" s="828"/>
      <c r="AGD970" s="828"/>
      <c r="AGE970" s="828"/>
      <c r="AGF970" s="828"/>
      <c r="AGG970" s="828"/>
      <c r="AGH970" s="828"/>
      <c r="AGI970" s="828"/>
      <c r="AGJ970" s="828"/>
    </row>
    <row r="971" spans="1:868" s="7" customFormat="1" hidden="1">
      <c r="A971" s="626" t="s">
        <v>127</v>
      </c>
      <c r="B971" s="59" t="s">
        <v>463</v>
      </c>
      <c r="C971" s="40" t="s">
        <v>147</v>
      </c>
      <c r="D971" s="34" t="s">
        <v>107</v>
      </c>
      <c r="E971" s="880">
        <v>4.6596254548681999E-2</v>
      </c>
      <c r="F971" s="34">
        <v>2</v>
      </c>
      <c r="G971" s="40" t="s">
        <v>451</v>
      </c>
      <c r="H971" s="29">
        <v>1</v>
      </c>
      <c r="I971" s="9">
        <v>2</v>
      </c>
      <c r="J971" s="9">
        <v>2</v>
      </c>
      <c r="K971" s="9">
        <v>1</v>
      </c>
      <c r="L971" s="9">
        <v>1</v>
      </c>
      <c r="M971" s="9">
        <v>2</v>
      </c>
      <c r="N971" s="186">
        <f t="shared" si="53"/>
        <v>0.35859414261160716</v>
      </c>
      <c r="O971" s="160">
        <f t="shared" si="51"/>
        <v>0.37356464144298934</v>
      </c>
      <c r="P971" s="63"/>
      <c r="Q971" s="828"/>
      <c r="R971" s="828"/>
      <c r="S971" s="828"/>
      <c r="T971" s="828"/>
      <c r="U971" s="828"/>
      <c r="V971" s="828"/>
      <c r="W971" s="828"/>
      <c r="X971" s="828"/>
      <c r="Y971" s="828"/>
      <c r="Z971" s="828"/>
      <c r="AA971" s="828"/>
      <c r="AB971" s="828"/>
      <c r="AC971" s="828"/>
      <c r="AD971" s="828"/>
      <c r="AE971" s="828"/>
      <c r="AF971" s="828"/>
      <c r="AG971" s="828"/>
      <c r="AH971" s="828"/>
      <c r="AI971" s="828"/>
      <c r="AJ971" s="828"/>
      <c r="AK971" s="828"/>
      <c r="AL971" s="828"/>
      <c r="AM971" s="828"/>
      <c r="AN971" s="828"/>
      <c r="AO971" s="828"/>
      <c r="AP971" s="828"/>
      <c r="AQ971" s="828"/>
      <c r="AR971" s="828"/>
      <c r="AS971" s="828"/>
      <c r="AT971" s="828"/>
      <c r="AU971" s="828"/>
      <c r="AV971" s="828"/>
      <c r="AW971" s="828"/>
      <c r="AX971" s="828"/>
      <c r="AY971" s="828"/>
      <c r="AZ971" s="828"/>
      <c r="BA971" s="828"/>
      <c r="BB971" s="828"/>
      <c r="BC971" s="828"/>
      <c r="BD971" s="828"/>
      <c r="BE971" s="828"/>
      <c r="BF971" s="828"/>
      <c r="BG971" s="828"/>
      <c r="BH971" s="828"/>
      <c r="BI971" s="828"/>
      <c r="BJ971" s="828"/>
      <c r="BK971" s="828"/>
      <c r="BL971" s="828"/>
      <c r="BM971" s="828"/>
      <c r="BN971" s="828"/>
      <c r="BO971" s="828"/>
      <c r="BP971" s="828"/>
      <c r="BQ971" s="828"/>
      <c r="BR971" s="828"/>
      <c r="BS971" s="828"/>
      <c r="BT971" s="828"/>
      <c r="BU971" s="828"/>
      <c r="BV971" s="828"/>
      <c r="BW971" s="828"/>
      <c r="BX971" s="828"/>
      <c r="BY971" s="828"/>
      <c r="BZ971" s="828"/>
      <c r="CA971" s="828"/>
      <c r="CB971" s="828"/>
      <c r="CC971" s="828"/>
      <c r="CD971" s="828"/>
      <c r="CE971" s="828"/>
      <c r="CF971" s="828"/>
      <c r="CG971" s="828"/>
      <c r="CH971" s="828"/>
      <c r="CI971" s="828"/>
      <c r="CJ971" s="828"/>
      <c r="CK971" s="828"/>
      <c r="CL971" s="828"/>
      <c r="CM971" s="828"/>
      <c r="CN971" s="828"/>
      <c r="CO971" s="828"/>
      <c r="CP971" s="828"/>
      <c r="CQ971" s="828"/>
      <c r="CR971" s="828"/>
      <c r="CS971" s="828"/>
      <c r="CT971" s="828"/>
      <c r="CU971" s="828"/>
      <c r="CV971" s="828"/>
      <c r="CW971" s="828"/>
      <c r="CX971" s="828"/>
      <c r="CY971" s="828"/>
      <c r="CZ971" s="828"/>
      <c r="DA971" s="828"/>
      <c r="DB971" s="828"/>
      <c r="DC971" s="828"/>
      <c r="DD971" s="828"/>
      <c r="DE971" s="828"/>
      <c r="DF971" s="828"/>
      <c r="DG971" s="828"/>
      <c r="DH971" s="828"/>
      <c r="DI971" s="828"/>
      <c r="DJ971" s="828"/>
      <c r="DK971" s="828"/>
      <c r="DL971" s="828"/>
      <c r="DM971" s="828"/>
      <c r="DN971" s="828"/>
      <c r="DO971" s="828"/>
      <c r="DP971" s="828"/>
      <c r="DQ971" s="828"/>
      <c r="DR971" s="828"/>
      <c r="DS971" s="828"/>
      <c r="DT971" s="828"/>
      <c r="DU971" s="828"/>
      <c r="DV971" s="828"/>
      <c r="DW971" s="828"/>
      <c r="DX971" s="828"/>
      <c r="DY971" s="828"/>
      <c r="DZ971" s="828"/>
      <c r="EA971" s="828"/>
      <c r="EB971" s="828"/>
      <c r="EC971" s="828"/>
      <c r="ED971" s="828"/>
      <c r="EE971" s="828"/>
      <c r="EF971" s="828"/>
      <c r="EG971" s="828"/>
      <c r="EH971" s="828"/>
      <c r="EI971" s="828"/>
      <c r="EJ971" s="828"/>
      <c r="EK971" s="828"/>
      <c r="EL971" s="828"/>
      <c r="EM971" s="828"/>
      <c r="EN971" s="828"/>
      <c r="EO971" s="828"/>
      <c r="EP971" s="828"/>
      <c r="EQ971" s="828"/>
      <c r="ER971" s="828"/>
      <c r="ES971" s="828"/>
      <c r="ET971" s="828"/>
      <c r="EU971" s="828"/>
      <c r="EV971" s="828"/>
      <c r="EW971" s="828"/>
      <c r="EX971" s="828"/>
      <c r="EY971" s="828"/>
      <c r="EZ971" s="828"/>
      <c r="FA971" s="828"/>
      <c r="FB971" s="828"/>
      <c r="FC971" s="828"/>
      <c r="FD971" s="828"/>
      <c r="FE971" s="828"/>
      <c r="FF971" s="828"/>
      <c r="FG971" s="828"/>
      <c r="FH971" s="828"/>
      <c r="FI971" s="828"/>
      <c r="FJ971" s="828"/>
      <c r="FK971" s="828"/>
      <c r="FL971" s="828"/>
      <c r="FM971" s="828"/>
      <c r="FN971" s="828"/>
      <c r="FO971" s="828"/>
      <c r="FP971" s="828"/>
      <c r="FQ971" s="828"/>
      <c r="FR971" s="828"/>
      <c r="FS971" s="828"/>
      <c r="FT971" s="828"/>
      <c r="FU971" s="828"/>
      <c r="FV971" s="828"/>
      <c r="FW971" s="828"/>
      <c r="FX971" s="828"/>
      <c r="FY971" s="828"/>
      <c r="FZ971" s="828"/>
      <c r="GA971" s="828"/>
      <c r="GB971" s="828"/>
      <c r="GC971" s="828"/>
      <c r="GD971" s="828"/>
      <c r="GE971" s="828"/>
      <c r="GF971" s="828"/>
      <c r="GG971" s="828"/>
      <c r="GH971" s="828"/>
      <c r="GI971" s="828"/>
      <c r="GJ971" s="828"/>
      <c r="GK971" s="828"/>
      <c r="GL971" s="828"/>
      <c r="GM971" s="828"/>
      <c r="GN971" s="828"/>
      <c r="GO971" s="828"/>
      <c r="GP971" s="828"/>
      <c r="GQ971" s="828"/>
      <c r="GR971" s="828"/>
      <c r="GS971" s="828"/>
      <c r="GT971" s="828"/>
      <c r="GU971" s="828"/>
      <c r="GV971" s="828"/>
      <c r="GW971" s="828"/>
      <c r="GX971" s="828"/>
      <c r="GY971" s="828"/>
      <c r="GZ971" s="828"/>
      <c r="HA971" s="828"/>
      <c r="HB971" s="828"/>
      <c r="HC971" s="828"/>
      <c r="HD971" s="828"/>
      <c r="HE971" s="828"/>
      <c r="HF971" s="828"/>
      <c r="HG971" s="828"/>
      <c r="HH971" s="828"/>
      <c r="HI971" s="828"/>
      <c r="HJ971" s="828"/>
      <c r="HK971" s="828"/>
      <c r="HL971" s="828"/>
      <c r="HM971" s="828"/>
      <c r="HN971" s="828"/>
      <c r="HO971" s="828"/>
      <c r="HP971" s="828"/>
      <c r="HQ971" s="828"/>
      <c r="HR971" s="828"/>
      <c r="HS971" s="828"/>
      <c r="HT971" s="828"/>
      <c r="HU971" s="828"/>
      <c r="HV971" s="828"/>
      <c r="HW971" s="828"/>
      <c r="HX971" s="828"/>
      <c r="HY971" s="828"/>
      <c r="HZ971" s="828"/>
      <c r="IA971" s="828"/>
      <c r="IB971" s="828"/>
      <c r="IC971" s="828"/>
      <c r="ID971" s="828"/>
      <c r="IE971" s="828"/>
      <c r="IF971" s="828"/>
      <c r="IG971" s="828"/>
      <c r="IH971" s="828"/>
      <c r="II971" s="828"/>
      <c r="IJ971" s="828"/>
      <c r="IK971" s="828"/>
      <c r="IL971" s="828"/>
      <c r="IM971" s="828"/>
      <c r="IN971" s="828"/>
      <c r="IO971" s="828"/>
      <c r="IP971" s="828"/>
      <c r="IQ971" s="828"/>
      <c r="IR971" s="828"/>
      <c r="IS971" s="828"/>
      <c r="IT971" s="828"/>
      <c r="IU971" s="828"/>
      <c r="IV971" s="828"/>
      <c r="IW971" s="828"/>
      <c r="IX971" s="828"/>
      <c r="IY971" s="828"/>
      <c r="IZ971" s="828"/>
      <c r="JA971" s="828"/>
      <c r="JB971" s="828"/>
      <c r="JC971" s="828"/>
      <c r="JD971" s="828"/>
      <c r="JE971" s="828"/>
      <c r="JF971" s="828"/>
      <c r="JG971" s="828"/>
      <c r="JH971" s="828"/>
      <c r="JI971" s="828"/>
      <c r="JJ971" s="828"/>
      <c r="JK971" s="828"/>
      <c r="JL971" s="828"/>
      <c r="JM971" s="828"/>
      <c r="JN971" s="828"/>
      <c r="JO971" s="828"/>
      <c r="JP971" s="828"/>
      <c r="JQ971" s="828"/>
      <c r="JR971" s="828"/>
      <c r="JS971" s="828"/>
      <c r="JT971" s="828"/>
      <c r="JU971" s="828"/>
      <c r="JV971" s="828"/>
      <c r="JW971" s="828"/>
      <c r="JX971" s="828"/>
      <c r="JY971" s="828"/>
      <c r="JZ971" s="828"/>
      <c r="KA971" s="828"/>
      <c r="KB971" s="828"/>
      <c r="KC971" s="828"/>
      <c r="KD971" s="828"/>
      <c r="KE971" s="828"/>
      <c r="KF971" s="828"/>
      <c r="KG971" s="828"/>
      <c r="KH971" s="828"/>
      <c r="KI971" s="828"/>
      <c r="KJ971" s="828"/>
      <c r="KK971" s="828"/>
      <c r="KL971" s="828"/>
      <c r="KM971" s="828"/>
      <c r="KN971" s="828"/>
      <c r="KO971" s="828"/>
      <c r="KP971" s="828"/>
      <c r="KQ971" s="828"/>
      <c r="KR971" s="828"/>
      <c r="KS971" s="828"/>
      <c r="KT971" s="828"/>
      <c r="KU971" s="828"/>
      <c r="KV971" s="828"/>
      <c r="KW971" s="828"/>
      <c r="KX971" s="828"/>
      <c r="KY971" s="828"/>
      <c r="KZ971" s="828"/>
      <c r="LA971" s="828"/>
      <c r="LB971" s="828"/>
      <c r="LC971" s="828"/>
      <c r="LD971" s="828"/>
      <c r="LE971" s="828"/>
      <c r="LF971" s="828"/>
      <c r="LG971" s="828"/>
      <c r="LH971" s="828"/>
      <c r="LI971" s="828"/>
      <c r="LJ971" s="828"/>
      <c r="LK971" s="828"/>
      <c r="LL971" s="828"/>
      <c r="LM971" s="828"/>
      <c r="LN971" s="828"/>
      <c r="LO971" s="828"/>
      <c r="LP971" s="828"/>
      <c r="LQ971" s="828"/>
      <c r="LR971" s="828"/>
      <c r="LS971" s="828"/>
      <c r="LT971" s="828"/>
      <c r="LU971" s="828"/>
      <c r="LV971" s="828"/>
      <c r="LW971" s="828"/>
      <c r="LX971" s="828"/>
      <c r="LY971" s="828"/>
      <c r="LZ971" s="828"/>
      <c r="MA971" s="828"/>
      <c r="MB971" s="828"/>
      <c r="MC971" s="828"/>
      <c r="MD971" s="828"/>
      <c r="ME971" s="828"/>
      <c r="MF971" s="828"/>
      <c r="MG971" s="828"/>
      <c r="MH971" s="828"/>
      <c r="MI971" s="828"/>
      <c r="MJ971" s="828"/>
      <c r="MK971" s="828"/>
      <c r="ML971" s="828"/>
      <c r="MM971" s="828"/>
      <c r="MN971" s="828"/>
      <c r="MO971" s="828"/>
      <c r="MP971" s="828"/>
      <c r="MQ971" s="828"/>
      <c r="MR971" s="828"/>
      <c r="MS971" s="828"/>
      <c r="MT971" s="828"/>
      <c r="MU971" s="828"/>
      <c r="MV971" s="828"/>
      <c r="MW971" s="828"/>
      <c r="MX971" s="828"/>
      <c r="MY971" s="828"/>
      <c r="MZ971" s="828"/>
      <c r="NA971" s="828"/>
      <c r="NB971" s="828"/>
      <c r="NC971" s="828"/>
      <c r="ND971" s="828"/>
      <c r="NE971" s="828"/>
      <c r="NF971" s="828"/>
      <c r="NG971" s="828"/>
      <c r="NH971" s="828"/>
      <c r="NI971" s="828"/>
      <c r="NJ971" s="828"/>
      <c r="NK971" s="828"/>
      <c r="NL971" s="828"/>
      <c r="NM971" s="828"/>
      <c r="NN971" s="828"/>
      <c r="NO971" s="828"/>
      <c r="NP971" s="828"/>
      <c r="NQ971" s="828"/>
      <c r="NR971" s="828"/>
      <c r="NS971" s="828"/>
      <c r="NT971" s="828"/>
      <c r="NU971" s="828"/>
      <c r="NV971" s="828"/>
      <c r="NW971" s="828"/>
      <c r="NX971" s="828"/>
      <c r="NY971" s="828"/>
      <c r="NZ971" s="828"/>
      <c r="OA971" s="828"/>
      <c r="OB971" s="828"/>
      <c r="OC971" s="828"/>
      <c r="OD971" s="828"/>
      <c r="OE971" s="828"/>
      <c r="OF971" s="828"/>
      <c r="OG971" s="828"/>
      <c r="OH971" s="828"/>
      <c r="OI971" s="828"/>
      <c r="OJ971" s="828"/>
      <c r="OK971" s="828"/>
      <c r="OL971" s="828"/>
      <c r="OM971" s="828"/>
      <c r="ON971" s="828"/>
      <c r="OO971" s="828"/>
      <c r="OP971" s="828"/>
      <c r="OQ971" s="828"/>
      <c r="OR971" s="828"/>
      <c r="OS971" s="828"/>
      <c r="OT971" s="828"/>
      <c r="OU971" s="828"/>
      <c r="OV971" s="828"/>
      <c r="OW971" s="828"/>
      <c r="OX971" s="828"/>
      <c r="OY971" s="828"/>
      <c r="OZ971" s="828"/>
      <c r="PA971" s="828"/>
      <c r="PB971" s="828"/>
      <c r="PC971" s="828"/>
      <c r="PD971" s="828"/>
      <c r="PE971" s="828"/>
      <c r="PF971" s="828"/>
      <c r="PG971" s="828"/>
      <c r="PH971" s="828"/>
      <c r="PI971" s="828"/>
      <c r="PJ971" s="828"/>
      <c r="PK971" s="828"/>
      <c r="PL971" s="828"/>
      <c r="PM971" s="828"/>
      <c r="PN971" s="828"/>
      <c r="PO971" s="828"/>
      <c r="PP971" s="828"/>
      <c r="PQ971" s="828"/>
      <c r="PR971" s="828"/>
      <c r="PS971" s="828"/>
      <c r="PT971" s="828"/>
      <c r="PU971" s="828"/>
      <c r="PV971" s="828"/>
      <c r="PW971" s="828"/>
      <c r="PX971" s="828"/>
      <c r="PY971" s="828"/>
      <c r="PZ971" s="828"/>
      <c r="QA971" s="828"/>
      <c r="QB971" s="828"/>
      <c r="QC971" s="828"/>
      <c r="QD971" s="828"/>
      <c r="QE971" s="828"/>
      <c r="QF971" s="828"/>
      <c r="QG971" s="828"/>
      <c r="QH971" s="828"/>
      <c r="QI971" s="828"/>
      <c r="QJ971" s="828"/>
      <c r="QK971" s="828"/>
      <c r="QL971" s="828"/>
      <c r="QM971" s="828"/>
      <c r="QN971" s="828"/>
      <c r="QO971" s="828"/>
      <c r="QP971" s="828"/>
      <c r="QQ971" s="828"/>
      <c r="QR971" s="828"/>
      <c r="QS971" s="828"/>
      <c r="QT971" s="828"/>
      <c r="QU971" s="828"/>
      <c r="QV971" s="828"/>
      <c r="QW971" s="828"/>
      <c r="QX971" s="828"/>
      <c r="QY971" s="828"/>
      <c r="QZ971" s="828"/>
      <c r="RA971" s="828"/>
      <c r="RB971" s="828"/>
      <c r="RC971" s="828"/>
      <c r="RD971" s="828"/>
      <c r="RE971" s="828"/>
      <c r="RF971" s="828"/>
      <c r="RG971" s="828"/>
      <c r="RH971" s="828"/>
      <c r="RI971" s="828"/>
      <c r="RJ971" s="828"/>
      <c r="RK971" s="828"/>
      <c r="RL971" s="828"/>
      <c r="RM971" s="828"/>
      <c r="RN971" s="828"/>
      <c r="RO971" s="828"/>
      <c r="RP971" s="828"/>
      <c r="RQ971" s="828"/>
      <c r="RR971" s="828"/>
      <c r="RS971" s="828"/>
      <c r="RT971" s="828"/>
      <c r="RU971" s="828"/>
      <c r="RV971" s="828"/>
      <c r="RW971" s="828"/>
      <c r="RX971" s="828"/>
      <c r="RY971" s="828"/>
      <c r="RZ971" s="828"/>
      <c r="SA971" s="828"/>
      <c r="SB971" s="828"/>
      <c r="SC971" s="828"/>
      <c r="SD971" s="828"/>
      <c r="SE971" s="828"/>
      <c r="SF971" s="828"/>
      <c r="SG971" s="828"/>
      <c r="SH971" s="828"/>
      <c r="SI971" s="828"/>
      <c r="SJ971" s="828"/>
      <c r="SK971" s="828"/>
      <c r="SL971" s="828"/>
      <c r="SM971" s="828"/>
      <c r="SN971" s="828"/>
      <c r="SO971" s="828"/>
      <c r="SP971" s="828"/>
      <c r="SQ971" s="828"/>
      <c r="SR971" s="828"/>
      <c r="SS971" s="828"/>
      <c r="ST971" s="828"/>
      <c r="SU971" s="828"/>
      <c r="SV971" s="828"/>
      <c r="SW971" s="828"/>
      <c r="SX971" s="828"/>
      <c r="SY971" s="828"/>
      <c r="SZ971" s="828"/>
      <c r="TA971" s="828"/>
      <c r="TB971" s="828"/>
      <c r="TC971" s="828"/>
      <c r="TD971" s="828"/>
      <c r="TE971" s="828"/>
      <c r="TF971" s="828"/>
      <c r="TG971" s="828"/>
      <c r="TH971" s="828"/>
      <c r="TI971" s="828"/>
      <c r="TJ971" s="828"/>
      <c r="TK971" s="828"/>
      <c r="TL971" s="828"/>
      <c r="TM971" s="828"/>
      <c r="TN971" s="828"/>
      <c r="TO971" s="828"/>
      <c r="TP971" s="828"/>
      <c r="TQ971" s="828"/>
      <c r="TR971" s="828"/>
      <c r="TS971" s="828"/>
      <c r="TT971" s="828"/>
      <c r="TU971" s="828"/>
      <c r="TV971" s="828"/>
      <c r="TW971" s="828"/>
      <c r="TX971" s="828"/>
      <c r="TY971" s="828"/>
      <c r="TZ971" s="828"/>
      <c r="UA971" s="828"/>
      <c r="UB971" s="828"/>
      <c r="UC971" s="828"/>
      <c r="UD971" s="828"/>
      <c r="UE971" s="828"/>
      <c r="UF971" s="828"/>
      <c r="UG971" s="828"/>
      <c r="UH971" s="828"/>
      <c r="UI971" s="828"/>
      <c r="UJ971" s="828"/>
      <c r="UK971" s="828"/>
      <c r="UL971" s="828"/>
      <c r="UM971" s="828"/>
      <c r="UN971" s="828"/>
      <c r="UO971" s="828"/>
      <c r="UP971" s="828"/>
      <c r="UQ971" s="828"/>
      <c r="UR971" s="828"/>
      <c r="US971" s="828"/>
      <c r="UT971" s="828"/>
      <c r="UU971" s="828"/>
      <c r="UV971" s="828"/>
      <c r="UW971" s="828"/>
      <c r="UX971" s="828"/>
      <c r="UY971" s="828"/>
      <c r="UZ971" s="828"/>
      <c r="VA971" s="828"/>
      <c r="VB971" s="828"/>
      <c r="VC971" s="828"/>
      <c r="VD971" s="828"/>
      <c r="VE971" s="828"/>
      <c r="VF971" s="828"/>
      <c r="VG971" s="828"/>
      <c r="VH971" s="828"/>
      <c r="VI971" s="828"/>
      <c r="VJ971" s="828"/>
      <c r="VK971" s="828"/>
      <c r="VL971" s="828"/>
      <c r="VM971" s="828"/>
      <c r="VN971" s="828"/>
      <c r="VO971" s="828"/>
      <c r="VP971" s="828"/>
      <c r="VQ971" s="828"/>
      <c r="VR971" s="828"/>
      <c r="VS971" s="828"/>
      <c r="VT971" s="828"/>
      <c r="VU971" s="828"/>
      <c r="VV971" s="828"/>
      <c r="VW971" s="828"/>
      <c r="VX971" s="828"/>
      <c r="VY971" s="828"/>
      <c r="VZ971" s="828"/>
      <c r="WA971" s="828"/>
      <c r="WB971" s="828"/>
      <c r="WC971" s="828"/>
      <c r="WD971" s="828"/>
      <c r="WE971" s="828"/>
      <c r="WF971" s="828"/>
      <c r="WG971" s="828"/>
      <c r="WH971" s="828"/>
      <c r="WI971" s="828"/>
      <c r="WJ971" s="828"/>
      <c r="WK971" s="828"/>
      <c r="WL971" s="828"/>
      <c r="WM971" s="828"/>
      <c r="WN971" s="828"/>
      <c r="WO971" s="828"/>
      <c r="WP971" s="828"/>
      <c r="WQ971" s="828"/>
      <c r="WR971" s="828"/>
      <c r="WS971" s="828"/>
      <c r="WT971" s="828"/>
      <c r="WU971" s="828"/>
      <c r="WV971" s="828"/>
      <c r="WW971" s="828"/>
      <c r="WX971" s="828"/>
      <c r="WY971" s="828"/>
      <c r="WZ971" s="828"/>
      <c r="XA971" s="828"/>
      <c r="XB971" s="828"/>
      <c r="XC971" s="828"/>
      <c r="XD971" s="828"/>
      <c r="XE971" s="828"/>
      <c r="XF971" s="828"/>
      <c r="XG971" s="828"/>
      <c r="XH971" s="828"/>
      <c r="XI971" s="828"/>
      <c r="XJ971" s="828"/>
      <c r="XK971" s="828"/>
      <c r="XL971" s="828"/>
      <c r="XM971" s="828"/>
      <c r="XN971" s="828"/>
      <c r="XO971" s="828"/>
      <c r="XP971" s="828"/>
      <c r="XQ971" s="828"/>
      <c r="XR971" s="828"/>
      <c r="XS971" s="828"/>
      <c r="XT971" s="828"/>
      <c r="XU971" s="828"/>
      <c r="XV971" s="828"/>
      <c r="XW971" s="828"/>
      <c r="XX971" s="828"/>
      <c r="XY971" s="828"/>
      <c r="XZ971" s="828"/>
      <c r="YA971" s="828"/>
      <c r="YB971" s="828"/>
      <c r="YC971" s="828"/>
      <c r="YD971" s="828"/>
      <c r="YE971" s="828"/>
      <c r="YF971" s="828"/>
      <c r="YG971" s="828"/>
      <c r="YH971" s="828"/>
      <c r="YI971" s="828"/>
      <c r="YJ971" s="828"/>
      <c r="YK971" s="828"/>
      <c r="YL971" s="828"/>
      <c r="YM971" s="828"/>
      <c r="YN971" s="828"/>
      <c r="YO971" s="828"/>
      <c r="YP971" s="828"/>
      <c r="YQ971" s="828"/>
      <c r="YR971" s="828"/>
      <c r="YS971" s="828"/>
      <c r="YT971" s="828"/>
      <c r="YU971" s="828"/>
      <c r="YV971" s="828"/>
      <c r="YW971" s="828"/>
      <c r="YX971" s="828"/>
      <c r="YY971" s="828"/>
      <c r="YZ971" s="828"/>
      <c r="ZA971" s="828"/>
      <c r="ZB971" s="828"/>
      <c r="ZC971" s="828"/>
      <c r="ZD971" s="828"/>
      <c r="ZE971" s="828"/>
      <c r="ZF971" s="828"/>
      <c r="ZG971" s="828"/>
      <c r="ZH971" s="828"/>
      <c r="ZI971" s="828"/>
      <c r="ZJ971" s="828"/>
      <c r="ZK971" s="828"/>
      <c r="ZL971" s="828"/>
      <c r="ZM971" s="828"/>
      <c r="ZN971" s="828"/>
      <c r="ZO971" s="828"/>
      <c r="ZP971" s="828"/>
      <c r="ZQ971" s="828"/>
      <c r="ZR971" s="828"/>
      <c r="ZS971" s="828"/>
      <c r="ZT971" s="828"/>
      <c r="ZU971" s="828"/>
      <c r="ZV971" s="828"/>
      <c r="ZW971" s="828"/>
      <c r="ZX971" s="828"/>
      <c r="ZY971" s="828"/>
      <c r="ZZ971" s="828"/>
      <c r="AAA971" s="828"/>
      <c r="AAB971" s="828"/>
      <c r="AAC971" s="828"/>
      <c r="AAD971" s="828"/>
      <c r="AAE971" s="828"/>
      <c r="AAF971" s="828"/>
      <c r="AAG971" s="828"/>
      <c r="AAH971" s="828"/>
      <c r="AAI971" s="828"/>
      <c r="AAJ971" s="828"/>
      <c r="AAK971" s="828"/>
      <c r="AAL971" s="828"/>
      <c r="AAM971" s="828"/>
      <c r="AAN971" s="828"/>
      <c r="AAO971" s="828"/>
      <c r="AAP971" s="828"/>
      <c r="AAQ971" s="828"/>
      <c r="AAR971" s="828"/>
      <c r="AAS971" s="828"/>
      <c r="AAT971" s="828"/>
      <c r="AAU971" s="828"/>
      <c r="AAV971" s="828"/>
      <c r="AAW971" s="828"/>
      <c r="AAX971" s="828"/>
      <c r="AAY971" s="828"/>
      <c r="AAZ971" s="828"/>
      <c r="ABA971" s="828"/>
      <c r="ABB971" s="828"/>
      <c r="ABC971" s="828"/>
      <c r="ABD971" s="828"/>
      <c r="ABE971" s="828"/>
      <c r="ABF971" s="828"/>
      <c r="ABG971" s="828"/>
      <c r="ABH971" s="828"/>
      <c r="ABI971" s="828"/>
      <c r="ABJ971" s="828"/>
      <c r="ABK971" s="828"/>
      <c r="ABL971" s="828"/>
      <c r="ABM971" s="828"/>
      <c r="ABN971" s="828"/>
      <c r="ABO971" s="828"/>
      <c r="ABP971" s="828"/>
      <c r="ABQ971" s="828"/>
      <c r="ABR971" s="828"/>
      <c r="ABS971" s="828"/>
      <c r="ABT971" s="828"/>
      <c r="ABU971" s="828"/>
      <c r="ABV971" s="828"/>
      <c r="ABW971" s="828"/>
      <c r="ABX971" s="828"/>
      <c r="ABY971" s="828"/>
      <c r="ABZ971" s="828"/>
      <c r="ACA971" s="828"/>
      <c r="ACB971" s="828"/>
      <c r="ACC971" s="828"/>
      <c r="ACD971" s="828"/>
      <c r="ACE971" s="828"/>
      <c r="ACF971" s="828"/>
      <c r="ACG971" s="828"/>
      <c r="ACH971" s="828"/>
      <c r="ACI971" s="828"/>
      <c r="ACJ971" s="828"/>
      <c r="ACK971" s="828"/>
      <c r="ACL971" s="828"/>
      <c r="ACM971" s="828"/>
      <c r="ACN971" s="828"/>
      <c r="ACO971" s="828"/>
      <c r="ACP971" s="828"/>
      <c r="ACQ971" s="828"/>
      <c r="ACR971" s="828"/>
      <c r="ACS971" s="828"/>
      <c r="ACT971" s="828"/>
      <c r="ACU971" s="828"/>
      <c r="ACV971" s="828"/>
      <c r="ACW971" s="828"/>
      <c r="ACX971" s="828"/>
      <c r="ACY971" s="828"/>
      <c r="ACZ971" s="828"/>
      <c r="ADA971" s="828"/>
      <c r="ADB971" s="828"/>
      <c r="ADC971" s="828"/>
      <c r="ADD971" s="828"/>
      <c r="ADE971" s="828"/>
      <c r="ADF971" s="828"/>
      <c r="ADG971" s="828"/>
      <c r="ADH971" s="828"/>
      <c r="ADI971" s="828"/>
      <c r="ADJ971" s="828"/>
      <c r="ADK971" s="828"/>
      <c r="ADL971" s="828"/>
      <c r="ADM971" s="828"/>
      <c r="ADN971" s="828"/>
      <c r="ADO971" s="828"/>
      <c r="ADP971" s="828"/>
      <c r="ADQ971" s="828"/>
      <c r="ADR971" s="828"/>
      <c r="ADS971" s="828"/>
      <c r="ADT971" s="828"/>
      <c r="ADU971" s="828"/>
      <c r="ADV971" s="828"/>
      <c r="ADW971" s="828"/>
      <c r="ADX971" s="828"/>
      <c r="ADY971" s="828"/>
      <c r="ADZ971" s="828"/>
      <c r="AEA971" s="828"/>
      <c r="AEB971" s="828"/>
      <c r="AEC971" s="828"/>
      <c r="AED971" s="828"/>
      <c r="AEE971" s="828"/>
      <c r="AEF971" s="828"/>
      <c r="AEG971" s="828"/>
      <c r="AEH971" s="828"/>
      <c r="AEI971" s="828"/>
      <c r="AEJ971" s="828"/>
      <c r="AEK971" s="828"/>
      <c r="AEL971" s="828"/>
      <c r="AEM971" s="828"/>
      <c r="AEN971" s="828"/>
      <c r="AEO971" s="828"/>
      <c r="AEP971" s="828"/>
      <c r="AEQ971" s="828"/>
      <c r="AER971" s="828"/>
      <c r="AES971" s="828"/>
      <c r="AET971" s="828"/>
      <c r="AEU971" s="828"/>
      <c r="AEV971" s="828"/>
      <c r="AEW971" s="828"/>
      <c r="AEX971" s="828"/>
      <c r="AEY971" s="828"/>
      <c r="AEZ971" s="828"/>
      <c r="AFA971" s="828"/>
      <c r="AFB971" s="828"/>
      <c r="AFC971" s="828"/>
      <c r="AFD971" s="828"/>
      <c r="AFE971" s="828"/>
      <c r="AFF971" s="828"/>
      <c r="AFG971" s="828"/>
      <c r="AFH971" s="828"/>
      <c r="AFI971" s="828"/>
      <c r="AFJ971" s="828"/>
      <c r="AFK971" s="828"/>
      <c r="AFL971" s="828"/>
      <c r="AFM971" s="828"/>
      <c r="AFN971" s="828"/>
      <c r="AFO971" s="828"/>
      <c r="AFP971" s="828"/>
      <c r="AFQ971" s="828"/>
      <c r="AFR971" s="828"/>
      <c r="AFS971" s="828"/>
      <c r="AFT971" s="828"/>
      <c r="AFU971" s="828"/>
      <c r="AFV971" s="828"/>
      <c r="AFW971" s="828"/>
      <c r="AFX971" s="828"/>
      <c r="AFY971" s="828"/>
      <c r="AFZ971" s="828"/>
      <c r="AGA971" s="828"/>
      <c r="AGB971" s="828"/>
      <c r="AGC971" s="828"/>
      <c r="AGD971" s="828"/>
      <c r="AGE971" s="828"/>
      <c r="AGF971" s="828"/>
      <c r="AGG971" s="828"/>
      <c r="AGH971" s="828"/>
      <c r="AGI971" s="828"/>
      <c r="AGJ971" s="828"/>
    </row>
    <row r="972" spans="1:868" s="7" customFormat="1" hidden="1">
      <c r="A972" s="626" t="s">
        <v>127</v>
      </c>
      <c r="B972" s="59" t="s">
        <v>464</v>
      </c>
      <c r="C972" s="40" t="s">
        <v>147</v>
      </c>
      <c r="D972" s="34" t="s">
        <v>107</v>
      </c>
      <c r="E972" s="880">
        <v>5.5915505458418391E-2</v>
      </c>
      <c r="F972" s="34">
        <v>2</v>
      </c>
      <c r="G972" s="40" t="s">
        <v>451</v>
      </c>
      <c r="H972" s="29">
        <v>1</v>
      </c>
      <c r="I972" s="9">
        <v>2</v>
      </c>
      <c r="J972" s="9">
        <v>2</v>
      </c>
      <c r="K972" s="9">
        <v>1</v>
      </c>
      <c r="L972" s="9">
        <v>1</v>
      </c>
      <c r="M972" s="9">
        <v>2</v>
      </c>
      <c r="N972" s="186">
        <f t="shared" si="53"/>
        <v>0.35859414261160716</v>
      </c>
      <c r="O972" s="160">
        <f t="shared" si="51"/>
        <v>0.37356464144298934</v>
      </c>
      <c r="P972" s="63"/>
      <c r="Q972" s="828"/>
      <c r="R972" s="828"/>
      <c r="S972" s="828"/>
      <c r="T972" s="828"/>
      <c r="U972" s="828"/>
      <c r="V972" s="828"/>
      <c r="W972" s="828"/>
      <c r="X972" s="828"/>
      <c r="Y972" s="828"/>
      <c r="Z972" s="828"/>
      <c r="AA972" s="828"/>
      <c r="AB972" s="828"/>
      <c r="AC972" s="828"/>
      <c r="AD972" s="828"/>
      <c r="AE972" s="828"/>
      <c r="AF972" s="828"/>
      <c r="AG972" s="828"/>
      <c r="AH972" s="828"/>
      <c r="AI972" s="828"/>
      <c r="AJ972" s="828"/>
      <c r="AK972" s="828"/>
      <c r="AL972" s="828"/>
      <c r="AM972" s="828"/>
      <c r="AN972" s="828"/>
      <c r="AO972" s="828"/>
      <c r="AP972" s="828"/>
      <c r="AQ972" s="828"/>
      <c r="AR972" s="828"/>
      <c r="AS972" s="828"/>
      <c r="AT972" s="828"/>
      <c r="AU972" s="828"/>
      <c r="AV972" s="828"/>
      <c r="AW972" s="828"/>
      <c r="AX972" s="828"/>
      <c r="AY972" s="828"/>
      <c r="AZ972" s="828"/>
      <c r="BA972" s="828"/>
      <c r="BB972" s="828"/>
      <c r="BC972" s="828"/>
      <c r="BD972" s="828"/>
      <c r="BE972" s="828"/>
      <c r="BF972" s="828"/>
      <c r="BG972" s="828"/>
      <c r="BH972" s="828"/>
      <c r="BI972" s="828"/>
      <c r="BJ972" s="828"/>
      <c r="BK972" s="828"/>
      <c r="BL972" s="828"/>
      <c r="BM972" s="828"/>
      <c r="BN972" s="828"/>
      <c r="BO972" s="828"/>
      <c r="BP972" s="828"/>
      <c r="BQ972" s="828"/>
      <c r="BR972" s="828"/>
      <c r="BS972" s="828"/>
      <c r="BT972" s="828"/>
      <c r="BU972" s="828"/>
      <c r="BV972" s="828"/>
      <c r="BW972" s="828"/>
      <c r="BX972" s="828"/>
      <c r="BY972" s="828"/>
      <c r="BZ972" s="828"/>
      <c r="CA972" s="828"/>
      <c r="CB972" s="828"/>
      <c r="CC972" s="828"/>
      <c r="CD972" s="828"/>
      <c r="CE972" s="828"/>
      <c r="CF972" s="828"/>
      <c r="CG972" s="828"/>
      <c r="CH972" s="828"/>
      <c r="CI972" s="828"/>
      <c r="CJ972" s="828"/>
      <c r="CK972" s="828"/>
      <c r="CL972" s="828"/>
      <c r="CM972" s="828"/>
      <c r="CN972" s="828"/>
      <c r="CO972" s="828"/>
      <c r="CP972" s="828"/>
      <c r="CQ972" s="828"/>
      <c r="CR972" s="828"/>
      <c r="CS972" s="828"/>
      <c r="CT972" s="828"/>
      <c r="CU972" s="828"/>
      <c r="CV972" s="828"/>
      <c r="CW972" s="828"/>
      <c r="CX972" s="828"/>
      <c r="CY972" s="828"/>
      <c r="CZ972" s="828"/>
      <c r="DA972" s="828"/>
      <c r="DB972" s="828"/>
      <c r="DC972" s="828"/>
      <c r="DD972" s="828"/>
      <c r="DE972" s="828"/>
      <c r="DF972" s="828"/>
      <c r="DG972" s="828"/>
      <c r="DH972" s="828"/>
      <c r="DI972" s="828"/>
      <c r="DJ972" s="828"/>
      <c r="DK972" s="828"/>
      <c r="DL972" s="828"/>
      <c r="DM972" s="828"/>
      <c r="DN972" s="828"/>
      <c r="DO972" s="828"/>
      <c r="DP972" s="828"/>
      <c r="DQ972" s="828"/>
      <c r="DR972" s="828"/>
      <c r="DS972" s="828"/>
      <c r="DT972" s="828"/>
      <c r="DU972" s="828"/>
      <c r="DV972" s="828"/>
      <c r="DW972" s="828"/>
      <c r="DX972" s="828"/>
      <c r="DY972" s="828"/>
      <c r="DZ972" s="828"/>
      <c r="EA972" s="828"/>
      <c r="EB972" s="828"/>
      <c r="EC972" s="828"/>
      <c r="ED972" s="828"/>
      <c r="EE972" s="828"/>
      <c r="EF972" s="828"/>
      <c r="EG972" s="828"/>
      <c r="EH972" s="828"/>
      <c r="EI972" s="828"/>
      <c r="EJ972" s="828"/>
      <c r="EK972" s="828"/>
      <c r="EL972" s="828"/>
      <c r="EM972" s="828"/>
      <c r="EN972" s="828"/>
      <c r="EO972" s="828"/>
      <c r="EP972" s="828"/>
      <c r="EQ972" s="828"/>
      <c r="ER972" s="828"/>
      <c r="ES972" s="828"/>
      <c r="ET972" s="828"/>
      <c r="EU972" s="828"/>
      <c r="EV972" s="828"/>
      <c r="EW972" s="828"/>
      <c r="EX972" s="828"/>
      <c r="EY972" s="828"/>
      <c r="EZ972" s="828"/>
      <c r="FA972" s="828"/>
      <c r="FB972" s="828"/>
      <c r="FC972" s="828"/>
      <c r="FD972" s="828"/>
      <c r="FE972" s="828"/>
      <c r="FF972" s="828"/>
      <c r="FG972" s="828"/>
      <c r="FH972" s="828"/>
      <c r="FI972" s="828"/>
      <c r="FJ972" s="828"/>
      <c r="FK972" s="828"/>
      <c r="FL972" s="828"/>
      <c r="FM972" s="828"/>
      <c r="FN972" s="828"/>
      <c r="FO972" s="828"/>
      <c r="FP972" s="828"/>
      <c r="FQ972" s="828"/>
      <c r="FR972" s="828"/>
      <c r="FS972" s="828"/>
      <c r="FT972" s="828"/>
      <c r="FU972" s="828"/>
      <c r="FV972" s="828"/>
      <c r="FW972" s="828"/>
      <c r="FX972" s="828"/>
      <c r="FY972" s="828"/>
      <c r="FZ972" s="828"/>
      <c r="GA972" s="828"/>
      <c r="GB972" s="828"/>
      <c r="GC972" s="828"/>
      <c r="GD972" s="828"/>
      <c r="GE972" s="828"/>
      <c r="GF972" s="828"/>
      <c r="GG972" s="828"/>
      <c r="GH972" s="828"/>
      <c r="GI972" s="828"/>
      <c r="GJ972" s="828"/>
      <c r="GK972" s="828"/>
      <c r="GL972" s="828"/>
      <c r="GM972" s="828"/>
      <c r="GN972" s="828"/>
      <c r="GO972" s="828"/>
      <c r="GP972" s="828"/>
      <c r="GQ972" s="828"/>
      <c r="GR972" s="828"/>
      <c r="GS972" s="828"/>
      <c r="GT972" s="828"/>
      <c r="GU972" s="828"/>
      <c r="GV972" s="828"/>
      <c r="GW972" s="828"/>
      <c r="GX972" s="828"/>
      <c r="GY972" s="828"/>
      <c r="GZ972" s="828"/>
      <c r="HA972" s="828"/>
      <c r="HB972" s="828"/>
      <c r="HC972" s="828"/>
      <c r="HD972" s="828"/>
      <c r="HE972" s="828"/>
      <c r="HF972" s="828"/>
      <c r="HG972" s="828"/>
      <c r="HH972" s="828"/>
      <c r="HI972" s="828"/>
      <c r="HJ972" s="828"/>
      <c r="HK972" s="828"/>
      <c r="HL972" s="828"/>
      <c r="HM972" s="828"/>
      <c r="HN972" s="828"/>
      <c r="HO972" s="828"/>
      <c r="HP972" s="828"/>
      <c r="HQ972" s="828"/>
      <c r="HR972" s="828"/>
      <c r="HS972" s="828"/>
      <c r="HT972" s="828"/>
      <c r="HU972" s="828"/>
      <c r="HV972" s="828"/>
      <c r="HW972" s="828"/>
      <c r="HX972" s="828"/>
      <c r="HY972" s="828"/>
      <c r="HZ972" s="828"/>
      <c r="IA972" s="828"/>
      <c r="IB972" s="828"/>
      <c r="IC972" s="828"/>
      <c r="ID972" s="828"/>
      <c r="IE972" s="828"/>
      <c r="IF972" s="828"/>
      <c r="IG972" s="828"/>
      <c r="IH972" s="828"/>
      <c r="II972" s="828"/>
      <c r="IJ972" s="828"/>
      <c r="IK972" s="828"/>
      <c r="IL972" s="828"/>
      <c r="IM972" s="828"/>
      <c r="IN972" s="828"/>
      <c r="IO972" s="828"/>
      <c r="IP972" s="828"/>
      <c r="IQ972" s="828"/>
      <c r="IR972" s="828"/>
      <c r="IS972" s="828"/>
      <c r="IT972" s="828"/>
      <c r="IU972" s="828"/>
      <c r="IV972" s="828"/>
      <c r="IW972" s="828"/>
      <c r="IX972" s="828"/>
      <c r="IY972" s="828"/>
      <c r="IZ972" s="828"/>
      <c r="JA972" s="828"/>
      <c r="JB972" s="828"/>
      <c r="JC972" s="828"/>
      <c r="JD972" s="828"/>
      <c r="JE972" s="828"/>
      <c r="JF972" s="828"/>
      <c r="JG972" s="828"/>
      <c r="JH972" s="828"/>
      <c r="JI972" s="828"/>
      <c r="JJ972" s="828"/>
      <c r="JK972" s="828"/>
      <c r="JL972" s="828"/>
      <c r="JM972" s="828"/>
      <c r="JN972" s="828"/>
      <c r="JO972" s="828"/>
      <c r="JP972" s="828"/>
      <c r="JQ972" s="828"/>
      <c r="JR972" s="828"/>
      <c r="JS972" s="828"/>
      <c r="JT972" s="828"/>
      <c r="JU972" s="828"/>
      <c r="JV972" s="828"/>
      <c r="JW972" s="828"/>
      <c r="JX972" s="828"/>
      <c r="JY972" s="828"/>
      <c r="JZ972" s="828"/>
      <c r="KA972" s="828"/>
      <c r="KB972" s="828"/>
      <c r="KC972" s="828"/>
      <c r="KD972" s="828"/>
      <c r="KE972" s="828"/>
      <c r="KF972" s="828"/>
      <c r="KG972" s="828"/>
      <c r="KH972" s="828"/>
      <c r="KI972" s="828"/>
      <c r="KJ972" s="828"/>
      <c r="KK972" s="828"/>
      <c r="KL972" s="828"/>
      <c r="KM972" s="828"/>
      <c r="KN972" s="828"/>
      <c r="KO972" s="828"/>
      <c r="KP972" s="828"/>
      <c r="KQ972" s="828"/>
      <c r="KR972" s="828"/>
      <c r="KS972" s="828"/>
      <c r="KT972" s="828"/>
      <c r="KU972" s="828"/>
      <c r="KV972" s="828"/>
      <c r="KW972" s="828"/>
      <c r="KX972" s="828"/>
      <c r="KY972" s="828"/>
      <c r="KZ972" s="828"/>
      <c r="LA972" s="828"/>
      <c r="LB972" s="828"/>
      <c r="LC972" s="828"/>
      <c r="LD972" s="828"/>
      <c r="LE972" s="828"/>
      <c r="LF972" s="828"/>
      <c r="LG972" s="828"/>
      <c r="LH972" s="828"/>
      <c r="LI972" s="828"/>
      <c r="LJ972" s="828"/>
      <c r="LK972" s="828"/>
      <c r="LL972" s="828"/>
      <c r="LM972" s="828"/>
      <c r="LN972" s="828"/>
      <c r="LO972" s="828"/>
      <c r="LP972" s="828"/>
      <c r="LQ972" s="828"/>
      <c r="LR972" s="828"/>
      <c r="LS972" s="828"/>
      <c r="LT972" s="828"/>
      <c r="LU972" s="828"/>
      <c r="LV972" s="828"/>
      <c r="LW972" s="828"/>
      <c r="LX972" s="828"/>
      <c r="LY972" s="828"/>
      <c r="LZ972" s="828"/>
      <c r="MA972" s="828"/>
      <c r="MB972" s="828"/>
      <c r="MC972" s="828"/>
      <c r="MD972" s="828"/>
      <c r="ME972" s="828"/>
      <c r="MF972" s="828"/>
      <c r="MG972" s="828"/>
      <c r="MH972" s="828"/>
      <c r="MI972" s="828"/>
      <c r="MJ972" s="828"/>
      <c r="MK972" s="828"/>
      <c r="ML972" s="828"/>
      <c r="MM972" s="828"/>
      <c r="MN972" s="828"/>
      <c r="MO972" s="828"/>
      <c r="MP972" s="828"/>
      <c r="MQ972" s="828"/>
      <c r="MR972" s="828"/>
      <c r="MS972" s="828"/>
      <c r="MT972" s="828"/>
      <c r="MU972" s="828"/>
      <c r="MV972" s="828"/>
      <c r="MW972" s="828"/>
      <c r="MX972" s="828"/>
      <c r="MY972" s="828"/>
      <c r="MZ972" s="828"/>
      <c r="NA972" s="828"/>
      <c r="NB972" s="828"/>
      <c r="NC972" s="828"/>
      <c r="ND972" s="828"/>
      <c r="NE972" s="828"/>
      <c r="NF972" s="828"/>
      <c r="NG972" s="828"/>
      <c r="NH972" s="828"/>
      <c r="NI972" s="828"/>
      <c r="NJ972" s="828"/>
      <c r="NK972" s="828"/>
      <c r="NL972" s="828"/>
      <c r="NM972" s="828"/>
      <c r="NN972" s="828"/>
      <c r="NO972" s="828"/>
      <c r="NP972" s="828"/>
      <c r="NQ972" s="828"/>
      <c r="NR972" s="828"/>
      <c r="NS972" s="828"/>
      <c r="NT972" s="828"/>
      <c r="NU972" s="828"/>
      <c r="NV972" s="828"/>
      <c r="NW972" s="828"/>
      <c r="NX972" s="828"/>
      <c r="NY972" s="828"/>
      <c r="NZ972" s="828"/>
      <c r="OA972" s="828"/>
      <c r="OB972" s="828"/>
      <c r="OC972" s="828"/>
      <c r="OD972" s="828"/>
      <c r="OE972" s="828"/>
      <c r="OF972" s="828"/>
      <c r="OG972" s="828"/>
      <c r="OH972" s="828"/>
      <c r="OI972" s="828"/>
      <c r="OJ972" s="828"/>
      <c r="OK972" s="828"/>
      <c r="OL972" s="828"/>
      <c r="OM972" s="828"/>
      <c r="ON972" s="828"/>
      <c r="OO972" s="828"/>
      <c r="OP972" s="828"/>
      <c r="OQ972" s="828"/>
      <c r="OR972" s="828"/>
      <c r="OS972" s="828"/>
      <c r="OT972" s="828"/>
      <c r="OU972" s="828"/>
      <c r="OV972" s="828"/>
      <c r="OW972" s="828"/>
      <c r="OX972" s="828"/>
      <c r="OY972" s="828"/>
      <c r="OZ972" s="828"/>
      <c r="PA972" s="828"/>
      <c r="PB972" s="828"/>
      <c r="PC972" s="828"/>
      <c r="PD972" s="828"/>
      <c r="PE972" s="828"/>
      <c r="PF972" s="828"/>
      <c r="PG972" s="828"/>
      <c r="PH972" s="828"/>
      <c r="PI972" s="828"/>
      <c r="PJ972" s="828"/>
      <c r="PK972" s="828"/>
      <c r="PL972" s="828"/>
      <c r="PM972" s="828"/>
      <c r="PN972" s="828"/>
      <c r="PO972" s="828"/>
      <c r="PP972" s="828"/>
      <c r="PQ972" s="828"/>
      <c r="PR972" s="828"/>
      <c r="PS972" s="828"/>
      <c r="PT972" s="828"/>
      <c r="PU972" s="828"/>
      <c r="PV972" s="828"/>
      <c r="PW972" s="828"/>
      <c r="PX972" s="828"/>
      <c r="PY972" s="828"/>
      <c r="PZ972" s="828"/>
      <c r="QA972" s="828"/>
      <c r="QB972" s="828"/>
      <c r="QC972" s="828"/>
      <c r="QD972" s="828"/>
      <c r="QE972" s="828"/>
      <c r="QF972" s="828"/>
      <c r="QG972" s="828"/>
      <c r="QH972" s="828"/>
      <c r="QI972" s="828"/>
      <c r="QJ972" s="828"/>
      <c r="QK972" s="828"/>
      <c r="QL972" s="828"/>
      <c r="QM972" s="828"/>
      <c r="QN972" s="828"/>
      <c r="QO972" s="828"/>
      <c r="QP972" s="828"/>
      <c r="QQ972" s="828"/>
      <c r="QR972" s="828"/>
      <c r="QS972" s="828"/>
      <c r="QT972" s="828"/>
      <c r="QU972" s="828"/>
      <c r="QV972" s="828"/>
      <c r="QW972" s="828"/>
      <c r="QX972" s="828"/>
      <c r="QY972" s="828"/>
      <c r="QZ972" s="828"/>
      <c r="RA972" s="828"/>
      <c r="RB972" s="828"/>
      <c r="RC972" s="828"/>
      <c r="RD972" s="828"/>
      <c r="RE972" s="828"/>
      <c r="RF972" s="828"/>
      <c r="RG972" s="828"/>
      <c r="RH972" s="828"/>
      <c r="RI972" s="828"/>
      <c r="RJ972" s="828"/>
      <c r="RK972" s="828"/>
      <c r="RL972" s="828"/>
      <c r="RM972" s="828"/>
      <c r="RN972" s="828"/>
      <c r="RO972" s="828"/>
      <c r="RP972" s="828"/>
      <c r="RQ972" s="828"/>
      <c r="RR972" s="828"/>
      <c r="RS972" s="828"/>
      <c r="RT972" s="828"/>
      <c r="RU972" s="828"/>
      <c r="RV972" s="828"/>
      <c r="RW972" s="828"/>
      <c r="RX972" s="828"/>
      <c r="RY972" s="828"/>
      <c r="RZ972" s="828"/>
      <c r="SA972" s="828"/>
      <c r="SB972" s="828"/>
      <c r="SC972" s="828"/>
      <c r="SD972" s="828"/>
      <c r="SE972" s="828"/>
      <c r="SF972" s="828"/>
      <c r="SG972" s="828"/>
      <c r="SH972" s="828"/>
      <c r="SI972" s="828"/>
      <c r="SJ972" s="828"/>
      <c r="SK972" s="828"/>
      <c r="SL972" s="828"/>
      <c r="SM972" s="828"/>
      <c r="SN972" s="828"/>
      <c r="SO972" s="828"/>
      <c r="SP972" s="828"/>
      <c r="SQ972" s="828"/>
      <c r="SR972" s="828"/>
      <c r="SS972" s="828"/>
      <c r="ST972" s="828"/>
      <c r="SU972" s="828"/>
      <c r="SV972" s="828"/>
      <c r="SW972" s="828"/>
      <c r="SX972" s="828"/>
      <c r="SY972" s="828"/>
      <c r="SZ972" s="828"/>
      <c r="TA972" s="828"/>
      <c r="TB972" s="828"/>
      <c r="TC972" s="828"/>
      <c r="TD972" s="828"/>
      <c r="TE972" s="828"/>
      <c r="TF972" s="828"/>
      <c r="TG972" s="828"/>
      <c r="TH972" s="828"/>
      <c r="TI972" s="828"/>
      <c r="TJ972" s="828"/>
      <c r="TK972" s="828"/>
      <c r="TL972" s="828"/>
      <c r="TM972" s="828"/>
      <c r="TN972" s="828"/>
      <c r="TO972" s="828"/>
      <c r="TP972" s="828"/>
      <c r="TQ972" s="828"/>
      <c r="TR972" s="828"/>
      <c r="TS972" s="828"/>
      <c r="TT972" s="828"/>
      <c r="TU972" s="828"/>
      <c r="TV972" s="828"/>
      <c r="TW972" s="828"/>
      <c r="TX972" s="828"/>
      <c r="TY972" s="828"/>
      <c r="TZ972" s="828"/>
      <c r="UA972" s="828"/>
      <c r="UB972" s="828"/>
      <c r="UC972" s="828"/>
      <c r="UD972" s="828"/>
      <c r="UE972" s="828"/>
      <c r="UF972" s="828"/>
      <c r="UG972" s="828"/>
      <c r="UH972" s="828"/>
      <c r="UI972" s="828"/>
      <c r="UJ972" s="828"/>
      <c r="UK972" s="828"/>
      <c r="UL972" s="828"/>
      <c r="UM972" s="828"/>
      <c r="UN972" s="828"/>
      <c r="UO972" s="828"/>
      <c r="UP972" s="828"/>
      <c r="UQ972" s="828"/>
      <c r="UR972" s="828"/>
      <c r="US972" s="828"/>
      <c r="UT972" s="828"/>
      <c r="UU972" s="828"/>
      <c r="UV972" s="828"/>
      <c r="UW972" s="828"/>
      <c r="UX972" s="828"/>
      <c r="UY972" s="828"/>
      <c r="UZ972" s="828"/>
      <c r="VA972" s="828"/>
      <c r="VB972" s="828"/>
      <c r="VC972" s="828"/>
      <c r="VD972" s="828"/>
      <c r="VE972" s="828"/>
      <c r="VF972" s="828"/>
      <c r="VG972" s="828"/>
      <c r="VH972" s="828"/>
      <c r="VI972" s="828"/>
      <c r="VJ972" s="828"/>
      <c r="VK972" s="828"/>
      <c r="VL972" s="828"/>
      <c r="VM972" s="828"/>
      <c r="VN972" s="828"/>
      <c r="VO972" s="828"/>
      <c r="VP972" s="828"/>
      <c r="VQ972" s="828"/>
      <c r="VR972" s="828"/>
      <c r="VS972" s="828"/>
      <c r="VT972" s="828"/>
      <c r="VU972" s="828"/>
      <c r="VV972" s="828"/>
      <c r="VW972" s="828"/>
      <c r="VX972" s="828"/>
      <c r="VY972" s="828"/>
      <c r="VZ972" s="828"/>
      <c r="WA972" s="828"/>
      <c r="WB972" s="828"/>
      <c r="WC972" s="828"/>
      <c r="WD972" s="828"/>
      <c r="WE972" s="828"/>
      <c r="WF972" s="828"/>
      <c r="WG972" s="828"/>
      <c r="WH972" s="828"/>
      <c r="WI972" s="828"/>
      <c r="WJ972" s="828"/>
      <c r="WK972" s="828"/>
      <c r="WL972" s="828"/>
      <c r="WM972" s="828"/>
      <c r="WN972" s="828"/>
      <c r="WO972" s="828"/>
      <c r="WP972" s="828"/>
      <c r="WQ972" s="828"/>
      <c r="WR972" s="828"/>
      <c r="WS972" s="828"/>
      <c r="WT972" s="828"/>
      <c r="WU972" s="828"/>
      <c r="WV972" s="828"/>
      <c r="WW972" s="828"/>
      <c r="WX972" s="828"/>
      <c r="WY972" s="828"/>
      <c r="WZ972" s="828"/>
      <c r="XA972" s="828"/>
      <c r="XB972" s="828"/>
      <c r="XC972" s="828"/>
      <c r="XD972" s="828"/>
      <c r="XE972" s="828"/>
      <c r="XF972" s="828"/>
      <c r="XG972" s="828"/>
      <c r="XH972" s="828"/>
      <c r="XI972" s="828"/>
      <c r="XJ972" s="828"/>
      <c r="XK972" s="828"/>
      <c r="XL972" s="828"/>
      <c r="XM972" s="828"/>
      <c r="XN972" s="828"/>
      <c r="XO972" s="828"/>
      <c r="XP972" s="828"/>
      <c r="XQ972" s="828"/>
      <c r="XR972" s="828"/>
      <c r="XS972" s="828"/>
      <c r="XT972" s="828"/>
      <c r="XU972" s="828"/>
      <c r="XV972" s="828"/>
      <c r="XW972" s="828"/>
      <c r="XX972" s="828"/>
      <c r="XY972" s="828"/>
      <c r="XZ972" s="828"/>
      <c r="YA972" s="828"/>
      <c r="YB972" s="828"/>
      <c r="YC972" s="828"/>
      <c r="YD972" s="828"/>
      <c r="YE972" s="828"/>
      <c r="YF972" s="828"/>
      <c r="YG972" s="828"/>
      <c r="YH972" s="828"/>
      <c r="YI972" s="828"/>
      <c r="YJ972" s="828"/>
      <c r="YK972" s="828"/>
      <c r="YL972" s="828"/>
      <c r="YM972" s="828"/>
      <c r="YN972" s="828"/>
      <c r="YO972" s="828"/>
      <c r="YP972" s="828"/>
      <c r="YQ972" s="828"/>
      <c r="YR972" s="828"/>
      <c r="YS972" s="828"/>
      <c r="YT972" s="828"/>
      <c r="YU972" s="828"/>
      <c r="YV972" s="828"/>
      <c r="YW972" s="828"/>
      <c r="YX972" s="828"/>
      <c r="YY972" s="828"/>
      <c r="YZ972" s="828"/>
      <c r="ZA972" s="828"/>
      <c r="ZB972" s="828"/>
      <c r="ZC972" s="828"/>
      <c r="ZD972" s="828"/>
      <c r="ZE972" s="828"/>
      <c r="ZF972" s="828"/>
      <c r="ZG972" s="828"/>
      <c r="ZH972" s="828"/>
      <c r="ZI972" s="828"/>
      <c r="ZJ972" s="828"/>
      <c r="ZK972" s="828"/>
      <c r="ZL972" s="828"/>
      <c r="ZM972" s="828"/>
      <c r="ZN972" s="828"/>
      <c r="ZO972" s="828"/>
      <c r="ZP972" s="828"/>
      <c r="ZQ972" s="828"/>
      <c r="ZR972" s="828"/>
      <c r="ZS972" s="828"/>
      <c r="ZT972" s="828"/>
      <c r="ZU972" s="828"/>
      <c r="ZV972" s="828"/>
      <c r="ZW972" s="828"/>
      <c r="ZX972" s="828"/>
      <c r="ZY972" s="828"/>
      <c r="ZZ972" s="828"/>
      <c r="AAA972" s="828"/>
      <c r="AAB972" s="828"/>
      <c r="AAC972" s="828"/>
      <c r="AAD972" s="828"/>
      <c r="AAE972" s="828"/>
      <c r="AAF972" s="828"/>
      <c r="AAG972" s="828"/>
      <c r="AAH972" s="828"/>
      <c r="AAI972" s="828"/>
      <c r="AAJ972" s="828"/>
      <c r="AAK972" s="828"/>
      <c r="AAL972" s="828"/>
      <c r="AAM972" s="828"/>
      <c r="AAN972" s="828"/>
      <c r="AAO972" s="828"/>
      <c r="AAP972" s="828"/>
      <c r="AAQ972" s="828"/>
      <c r="AAR972" s="828"/>
      <c r="AAS972" s="828"/>
      <c r="AAT972" s="828"/>
      <c r="AAU972" s="828"/>
      <c r="AAV972" s="828"/>
      <c r="AAW972" s="828"/>
      <c r="AAX972" s="828"/>
      <c r="AAY972" s="828"/>
      <c r="AAZ972" s="828"/>
      <c r="ABA972" s="828"/>
      <c r="ABB972" s="828"/>
      <c r="ABC972" s="828"/>
      <c r="ABD972" s="828"/>
      <c r="ABE972" s="828"/>
      <c r="ABF972" s="828"/>
      <c r="ABG972" s="828"/>
      <c r="ABH972" s="828"/>
      <c r="ABI972" s="828"/>
      <c r="ABJ972" s="828"/>
      <c r="ABK972" s="828"/>
      <c r="ABL972" s="828"/>
      <c r="ABM972" s="828"/>
      <c r="ABN972" s="828"/>
      <c r="ABO972" s="828"/>
      <c r="ABP972" s="828"/>
      <c r="ABQ972" s="828"/>
      <c r="ABR972" s="828"/>
      <c r="ABS972" s="828"/>
      <c r="ABT972" s="828"/>
      <c r="ABU972" s="828"/>
      <c r="ABV972" s="828"/>
      <c r="ABW972" s="828"/>
      <c r="ABX972" s="828"/>
      <c r="ABY972" s="828"/>
      <c r="ABZ972" s="828"/>
      <c r="ACA972" s="828"/>
      <c r="ACB972" s="828"/>
      <c r="ACC972" s="828"/>
      <c r="ACD972" s="828"/>
      <c r="ACE972" s="828"/>
      <c r="ACF972" s="828"/>
      <c r="ACG972" s="828"/>
      <c r="ACH972" s="828"/>
      <c r="ACI972" s="828"/>
      <c r="ACJ972" s="828"/>
      <c r="ACK972" s="828"/>
      <c r="ACL972" s="828"/>
      <c r="ACM972" s="828"/>
      <c r="ACN972" s="828"/>
      <c r="ACO972" s="828"/>
      <c r="ACP972" s="828"/>
      <c r="ACQ972" s="828"/>
      <c r="ACR972" s="828"/>
      <c r="ACS972" s="828"/>
      <c r="ACT972" s="828"/>
      <c r="ACU972" s="828"/>
      <c r="ACV972" s="828"/>
      <c r="ACW972" s="828"/>
      <c r="ACX972" s="828"/>
      <c r="ACY972" s="828"/>
      <c r="ACZ972" s="828"/>
      <c r="ADA972" s="828"/>
      <c r="ADB972" s="828"/>
      <c r="ADC972" s="828"/>
      <c r="ADD972" s="828"/>
      <c r="ADE972" s="828"/>
      <c r="ADF972" s="828"/>
      <c r="ADG972" s="828"/>
      <c r="ADH972" s="828"/>
      <c r="ADI972" s="828"/>
      <c r="ADJ972" s="828"/>
      <c r="ADK972" s="828"/>
      <c r="ADL972" s="828"/>
      <c r="ADM972" s="828"/>
      <c r="ADN972" s="828"/>
      <c r="ADO972" s="828"/>
      <c r="ADP972" s="828"/>
      <c r="ADQ972" s="828"/>
      <c r="ADR972" s="828"/>
      <c r="ADS972" s="828"/>
      <c r="ADT972" s="828"/>
      <c r="ADU972" s="828"/>
      <c r="ADV972" s="828"/>
      <c r="ADW972" s="828"/>
      <c r="ADX972" s="828"/>
      <c r="ADY972" s="828"/>
      <c r="ADZ972" s="828"/>
      <c r="AEA972" s="828"/>
      <c r="AEB972" s="828"/>
      <c r="AEC972" s="828"/>
      <c r="AED972" s="828"/>
      <c r="AEE972" s="828"/>
      <c r="AEF972" s="828"/>
      <c r="AEG972" s="828"/>
      <c r="AEH972" s="828"/>
      <c r="AEI972" s="828"/>
      <c r="AEJ972" s="828"/>
      <c r="AEK972" s="828"/>
      <c r="AEL972" s="828"/>
      <c r="AEM972" s="828"/>
      <c r="AEN972" s="828"/>
      <c r="AEO972" s="828"/>
      <c r="AEP972" s="828"/>
      <c r="AEQ972" s="828"/>
      <c r="AER972" s="828"/>
      <c r="AES972" s="828"/>
      <c r="AET972" s="828"/>
      <c r="AEU972" s="828"/>
      <c r="AEV972" s="828"/>
      <c r="AEW972" s="828"/>
      <c r="AEX972" s="828"/>
      <c r="AEY972" s="828"/>
      <c r="AEZ972" s="828"/>
      <c r="AFA972" s="828"/>
      <c r="AFB972" s="828"/>
      <c r="AFC972" s="828"/>
      <c r="AFD972" s="828"/>
      <c r="AFE972" s="828"/>
      <c r="AFF972" s="828"/>
      <c r="AFG972" s="828"/>
      <c r="AFH972" s="828"/>
      <c r="AFI972" s="828"/>
      <c r="AFJ972" s="828"/>
      <c r="AFK972" s="828"/>
      <c r="AFL972" s="828"/>
      <c r="AFM972" s="828"/>
      <c r="AFN972" s="828"/>
      <c r="AFO972" s="828"/>
      <c r="AFP972" s="828"/>
      <c r="AFQ972" s="828"/>
      <c r="AFR972" s="828"/>
      <c r="AFS972" s="828"/>
      <c r="AFT972" s="828"/>
      <c r="AFU972" s="828"/>
      <c r="AFV972" s="828"/>
      <c r="AFW972" s="828"/>
      <c r="AFX972" s="828"/>
      <c r="AFY972" s="828"/>
      <c r="AFZ972" s="828"/>
      <c r="AGA972" s="828"/>
      <c r="AGB972" s="828"/>
      <c r="AGC972" s="828"/>
      <c r="AGD972" s="828"/>
      <c r="AGE972" s="828"/>
      <c r="AGF972" s="828"/>
      <c r="AGG972" s="828"/>
      <c r="AGH972" s="828"/>
      <c r="AGI972" s="828"/>
      <c r="AGJ972" s="828"/>
    </row>
    <row r="973" spans="1:868" s="828" customFormat="1" hidden="1">
      <c r="A973" s="626" t="s">
        <v>463</v>
      </c>
      <c r="B973" s="59" t="s">
        <v>465</v>
      </c>
      <c r="C973" s="40" t="s">
        <v>147</v>
      </c>
      <c r="D973" s="34" t="s">
        <v>107</v>
      </c>
      <c r="E973" s="260">
        <v>0.01</v>
      </c>
      <c r="F973" s="34">
        <v>2</v>
      </c>
      <c r="G973" s="40" t="s">
        <v>451</v>
      </c>
      <c r="H973" s="29">
        <v>1</v>
      </c>
      <c r="I973" s="9">
        <v>2</v>
      </c>
      <c r="J973" s="9">
        <v>2</v>
      </c>
      <c r="K973" s="9">
        <v>1</v>
      </c>
      <c r="L973" s="9">
        <v>1</v>
      </c>
      <c r="M973" s="9">
        <v>1</v>
      </c>
      <c r="N973" s="186">
        <f t="shared" si="53"/>
        <v>0.16933510251023262</v>
      </c>
      <c r="O973" s="160">
        <f t="shared" si="51"/>
        <v>0.19908580854301616</v>
      </c>
      <c r="P973" s="63" t="s">
        <v>466</v>
      </c>
    </row>
    <row r="974" spans="1:868" s="828" customFormat="1" hidden="1">
      <c r="A974" s="626" t="s">
        <v>463</v>
      </c>
      <c r="B974" s="59" t="s">
        <v>467</v>
      </c>
      <c r="C974" s="40" t="s">
        <v>147</v>
      </c>
      <c r="D974" s="34" t="s">
        <v>107</v>
      </c>
      <c r="E974" s="260" t="s">
        <v>158</v>
      </c>
      <c r="F974" s="34">
        <v>1</v>
      </c>
      <c r="G974" s="40" t="s">
        <v>451</v>
      </c>
      <c r="H974" s="29"/>
      <c r="I974" s="9"/>
      <c r="J974" s="9"/>
      <c r="K974" s="9"/>
      <c r="L974" s="9"/>
      <c r="M974" s="9"/>
      <c r="N974" s="186" t="str">
        <f t="shared" si="53"/>
        <v/>
      </c>
      <c r="O974" s="160" t="str">
        <f t="shared" si="51"/>
        <v/>
      </c>
      <c r="P974" s="63"/>
    </row>
    <row r="975" spans="1:868" s="828" customFormat="1" hidden="1">
      <c r="A975" s="626" t="s">
        <v>465</v>
      </c>
      <c r="B975" s="59" t="s">
        <v>271</v>
      </c>
      <c r="C975" s="40" t="s">
        <v>147</v>
      </c>
      <c r="D975" s="34" t="s">
        <v>107</v>
      </c>
      <c r="E975" s="260">
        <v>1</v>
      </c>
      <c r="F975" s="34">
        <v>2</v>
      </c>
      <c r="G975" s="40" t="s">
        <v>451</v>
      </c>
      <c r="H975" s="29">
        <v>1</v>
      </c>
      <c r="I975" s="9">
        <v>2</v>
      </c>
      <c r="J975" s="9">
        <v>2</v>
      </c>
      <c r="K975" s="9">
        <v>1</v>
      </c>
      <c r="L975" s="9">
        <v>1</v>
      </c>
      <c r="M975" s="9">
        <v>1</v>
      </c>
      <c r="N975" s="186">
        <f t="shared" si="53"/>
        <v>0.16933510251023262</v>
      </c>
      <c r="O975" s="160">
        <f t="shared" si="51"/>
        <v>0.19908580854301616</v>
      </c>
      <c r="P975" s="63" t="s">
        <v>468</v>
      </c>
    </row>
    <row r="976" spans="1:868" s="828" customFormat="1" hidden="1">
      <c r="A976" s="626" t="s">
        <v>464</v>
      </c>
      <c r="B976" s="59" t="s">
        <v>469</v>
      </c>
      <c r="C976" s="40" t="s">
        <v>147</v>
      </c>
      <c r="D976" s="34" t="s">
        <v>107</v>
      </c>
      <c r="E976" s="260">
        <v>0.01</v>
      </c>
      <c r="F976" s="34">
        <v>2</v>
      </c>
      <c r="G976" s="40" t="s">
        <v>451</v>
      </c>
      <c r="H976" s="29">
        <v>1</v>
      </c>
      <c r="I976" s="9">
        <v>2</v>
      </c>
      <c r="J976" s="9">
        <v>2</v>
      </c>
      <c r="K976" s="9">
        <v>1</v>
      </c>
      <c r="L976" s="9">
        <v>1</v>
      </c>
      <c r="M976" s="9">
        <v>1</v>
      </c>
      <c r="N976" s="186">
        <f t="shared" si="53"/>
        <v>0.16933510251023262</v>
      </c>
      <c r="O976" s="160">
        <f t="shared" si="51"/>
        <v>0.19908580854301616</v>
      </c>
      <c r="P976" s="63" t="s">
        <v>470</v>
      </c>
    </row>
    <row r="977" spans="1:18" s="828" customFormat="1" hidden="1">
      <c r="A977" s="626" t="s">
        <v>464</v>
      </c>
      <c r="B977" s="59" t="s">
        <v>471</v>
      </c>
      <c r="C977" s="40" t="s">
        <v>147</v>
      </c>
      <c r="D977" s="34" t="s">
        <v>107</v>
      </c>
      <c r="E977" s="260" t="s">
        <v>158</v>
      </c>
      <c r="F977" s="34">
        <v>1</v>
      </c>
      <c r="G977" s="40" t="s">
        <v>451</v>
      </c>
      <c r="H977" s="29"/>
      <c r="I977" s="9"/>
      <c r="J977" s="9"/>
      <c r="K977" s="9"/>
      <c r="L977" s="9"/>
      <c r="M977" s="9"/>
      <c r="N977" s="186" t="str">
        <f t="shared" si="53"/>
        <v/>
      </c>
      <c r="O977" s="160" t="str">
        <f t="shared" si="51"/>
        <v/>
      </c>
      <c r="P977" s="63"/>
    </row>
    <row r="978" spans="1:18" s="828" customFormat="1" hidden="1">
      <c r="A978" s="626" t="s">
        <v>469</v>
      </c>
      <c r="B978" s="59" t="s">
        <v>271</v>
      </c>
      <c r="C978" s="40" t="s">
        <v>147</v>
      </c>
      <c r="D978" s="34" t="s">
        <v>107</v>
      </c>
      <c r="E978" s="260">
        <v>1</v>
      </c>
      <c r="F978" s="34">
        <v>2</v>
      </c>
      <c r="G978" s="40" t="s">
        <v>451</v>
      </c>
      <c r="H978" s="29">
        <v>1</v>
      </c>
      <c r="I978" s="9">
        <v>2</v>
      </c>
      <c r="J978" s="9">
        <v>2</v>
      </c>
      <c r="K978" s="9">
        <v>1</v>
      </c>
      <c r="L978" s="9">
        <v>1</v>
      </c>
      <c r="M978" s="9">
        <v>1</v>
      </c>
      <c r="N978" s="186">
        <f t="shared" si="53"/>
        <v>0.16933510251023262</v>
      </c>
      <c r="O978" s="160">
        <f t="shared" si="51"/>
        <v>0.19908580854301616</v>
      </c>
      <c r="P978" s="63" t="s">
        <v>468</v>
      </c>
    </row>
    <row r="979" spans="1:18" s="828" customFormat="1" hidden="1">
      <c r="A979" s="626" t="s">
        <v>467</v>
      </c>
      <c r="B979" s="59" t="s">
        <v>271</v>
      </c>
      <c r="C979" s="40" t="s">
        <v>147</v>
      </c>
      <c r="D979" s="34" t="s">
        <v>107</v>
      </c>
      <c r="E979" s="260">
        <v>0.01</v>
      </c>
      <c r="F979" s="34">
        <v>2</v>
      </c>
      <c r="G979" s="40" t="s">
        <v>451</v>
      </c>
      <c r="H979" s="29">
        <v>1</v>
      </c>
      <c r="I979" s="9">
        <v>2</v>
      </c>
      <c r="J979" s="9">
        <v>2</v>
      </c>
      <c r="K979" s="9">
        <v>1</v>
      </c>
      <c r="L979" s="9">
        <v>1</v>
      </c>
      <c r="M979" s="9">
        <v>1</v>
      </c>
      <c r="N979" s="186">
        <f t="shared" si="53"/>
        <v>0.16933510251023262</v>
      </c>
      <c r="O979" s="160">
        <f t="shared" ref="O979:O1010" si="54">IF( OR( ISBLANK(I979),ISBLANK(J979), ISBLANK(K979), ISBLANK(L979), ISBLANK(M979) ), "", 1.5*SQRT( EXP(2.21*(I979-1)) + EXP(2.21*(J979-1)) + EXP(2.21*(K979-1)) + EXP(2.21*(L979-1)) + EXP(2.21*M979)   )/100*2.45 )</f>
        <v>0.19908580854301616</v>
      </c>
      <c r="P979" s="63" t="s">
        <v>472</v>
      </c>
    </row>
    <row r="980" spans="1:18" s="828" customFormat="1" hidden="1">
      <c r="A980" s="626" t="s">
        <v>467</v>
      </c>
      <c r="B980" s="59" t="s">
        <v>344</v>
      </c>
      <c r="C980" s="40" t="s">
        <v>147</v>
      </c>
      <c r="D980" s="34" t="s">
        <v>107</v>
      </c>
      <c r="E980" s="260" t="s">
        <v>158</v>
      </c>
      <c r="F980" s="34">
        <v>1</v>
      </c>
      <c r="G980" s="40" t="s">
        <v>451</v>
      </c>
      <c r="H980" s="29"/>
      <c r="I980" s="9"/>
      <c r="J980" s="9"/>
      <c r="K980" s="9"/>
      <c r="L980" s="9"/>
      <c r="M980" s="9"/>
      <c r="N980" s="186" t="str">
        <f t="shared" si="53"/>
        <v/>
      </c>
      <c r="O980" s="160" t="str">
        <f t="shared" si="54"/>
        <v/>
      </c>
      <c r="P980" s="63"/>
    </row>
    <row r="981" spans="1:18" s="828" customFormat="1" hidden="1">
      <c r="A981" s="626" t="s">
        <v>471</v>
      </c>
      <c r="B981" s="59" t="s">
        <v>271</v>
      </c>
      <c r="C981" s="40" t="s">
        <v>147</v>
      </c>
      <c r="D981" s="34" t="s">
        <v>107</v>
      </c>
      <c r="E981" s="260">
        <v>0.05</v>
      </c>
      <c r="F981" s="34">
        <v>2</v>
      </c>
      <c r="G981" s="40" t="s">
        <v>451</v>
      </c>
      <c r="H981" s="29">
        <v>1</v>
      </c>
      <c r="I981" s="9">
        <v>2</v>
      </c>
      <c r="J981" s="9">
        <v>2</v>
      </c>
      <c r="K981" s="9">
        <v>1</v>
      </c>
      <c r="L981" s="9">
        <v>1</v>
      </c>
      <c r="M981" s="9">
        <v>1</v>
      </c>
      <c r="N981" s="186">
        <f t="shared" si="53"/>
        <v>0.16933510251023262</v>
      </c>
      <c r="O981" s="160">
        <f t="shared" si="54"/>
        <v>0.19908580854301616</v>
      </c>
      <c r="P981" s="63" t="s">
        <v>473</v>
      </c>
    </row>
    <row r="982" spans="1:18" s="828" customFormat="1" hidden="1">
      <c r="A982" s="626" t="s">
        <v>471</v>
      </c>
      <c r="B982" s="59" t="s">
        <v>344</v>
      </c>
      <c r="C982" s="40" t="s">
        <v>147</v>
      </c>
      <c r="D982" s="34" t="s">
        <v>107</v>
      </c>
      <c r="E982" s="260" t="s">
        <v>158</v>
      </c>
      <c r="F982" s="34">
        <v>1</v>
      </c>
      <c r="G982" s="40" t="s">
        <v>451</v>
      </c>
      <c r="H982" s="29"/>
      <c r="I982" s="9"/>
      <c r="J982" s="9"/>
      <c r="K982" s="9"/>
      <c r="L982" s="9"/>
      <c r="M982" s="9"/>
      <c r="N982" s="186" t="str">
        <f t="shared" si="53"/>
        <v/>
      </c>
      <c r="O982" s="160" t="str">
        <f t="shared" si="54"/>
        <v/>
      </c>
      <c r="P982" s="63"/>
    </row>
    <row r="983" spans="1:18" s="828" customFormat="1" hidden="1">
      <c r="A983" s="626" t="s">
        <v>450</v>
      </c>
      <c r="B983" s="59" t="s">
        <v>474</v>
      </c>
      <c r="C983" s="40" t="s">
        <v>147</v>
      </c>
      <c r="D983" s="34" t="s">
        <v>107</v>
      </c>
      <c r="E983" s="260">
        <f>0.5*0.97</f>
        <v>0.48499999999999999</v>
      </c>
      <c r="F983" s="34">
        <v>2</v>
      </c>
      <c r="G983" s="40" t="s">
        <v>451</v>
      </c>
      <c r="H983" s="29">
        <v>1</v>
      </c>
      <c r="I983" s="9">
        <v>2</v>
      </c>
      <c r="J983" s="9">
        <v>2</v>
      </c>
      <c r="K983" s="9">
        <v>1</v>
      </c>
      <c r="L983" s="9">
        <v>1</v>
      </c>
      <c r="M983" s="9">
        <v>1</v>
      </c>
      <c r="N983" s="186">
        <f t="shared" si="53"/>
        <v>0.16933510251023262</v>
      </c>
      <c r="O983" s="160">
        <f t="shared" si="54"/>
        <v>0.19908580854301616</v>
      </c>
      <c r="P983" s="63" t="s">
        <v>475</v>
      </c>
    </row>
    <row r="984" spans="1:18" s="828" customFormat="1" hidden="1">
      <c r="A984" s="626" t="s">
        <v>450</v>
      </c>
      <c r="B984" s="59" t="s">
        <v>476</v>
      </c>
      <c r="C984" s="40" t="s">
        <v>147</v>
      </c>
      <c r="D984" s="34" t="s">
        <v>107</v>
      </c>
      <c r="E984" s="260">
        <f>0.5*0.97</f>
        <v>0.48499999999999999</v>
      </c>
      <c r="F984" s="34">
        <v>2</v>
      </c>
      <c r="G984" s="40" t="s">
        <v>451</v>
      </c>
      <c r="H984" s="29">
        <v>1</v>
      </c>
      <c r="I984" s="9">
        <v>2</v>
      </c>
      <c r="J984" s="9">
        <v>2</v>
      </c>
      <c r="K984" s="9">
        <v>1</v>
      </c>
      <c r="L984" s="9">
        <v>1</v>
      </c>
      <c r="M984" s="9">
        <v>1</v>
      </c>
      <c r="N984" s="186">
        <f t="shared" si="53"/>
        <v>0.16933510251023262</v>
      </c>
      <c r="O984" s="160">
        <f t="shared" si="54"/>
        <v>0.19908580854301616</v>
      </c>
      <c r="P984" s="63" t="s">
        <v>477</v>
      </c>
    </row>
    <row r="985" spans="1:18" s="828" customFormat="1" hidden="1">
      <c r="A985" s="626" t="s">
        <v>450</v>
      </c>
      <c r="B985" s="59" t="s">
        <v>236</v>
      </c>
      <c r="C985" s="40" t="s">
        <v>147</v>
      </c>
      <c r="D985" s="34" t="s">
        <v>107</v>
      </c>
      <c r="E985" s="260">
        <v>0.03</v>
      </c>
      <c r="F985" s="34">
        <v>1</v>
      </c>
      <c r="G985" s="40" t="s">
        <v>451</v>
      </c>
      <c r="H985" s="29">
        <v>1</v>
      </c>
      <c r="I985" s="9">
        <v>2</v>
      </c>
      <c r="J985" s="9">
        <v>2</v>
      </c>
      <c r="K985" s="9">
        <v>1</v>
      </c>
      <c r="L985" s="9">
        <v>1</v>
      </c>
      <c r="M985" s="9">
        <v>1</v>
      </c>
      <c r="N985" s="186">
        <f t="shared" si="53"/>
        <v>0.16933510251023262</v>
      </c>
      <c r="O985" s="160">
        <f t="shared" si="54"/>
        <v>0.19908580854301616</v>
      </c>
      <c r="P985" s="63" t="s">
        <v>478</v>
      </c>
    </row>
    <row r="986" spans="1:18" s="828" customFormat="1" hidden="1">
      <c r="A986" s="626" t="s">
        <v>474</v>
      </c>
      <c r="B986" s="59" t="s">
        <v>479</v>
      </c>
      <c r="C986" s="40" t="s">
        <v>147</v>
      </c>
      <c r="D986" s="34" t="s">
        <v>107</v>
      </c>
      <c r="E986" s="260">
        <v>0.03</v>
      </c>
      <c r="F986" s="34">
        <v>2</v>
      </c>
      <c r="G986" s="40" t="s">
        <v>451</v>
      </c>
      <c r="H986" s="29">
        <v>1</v>
      </c>
      <c r="I986" s="9">
        <v>2</v>
      </c>
      <c r="J986" s="9">
        <v>2</v>
      </c>
      <c r="K986" s="9">
        <v>1</v>
      </c>
      <c r="L986" s="9">
        <v>1</v>
      </c>
      <c r="M986" s="9">
        <v>1</v>
      </c>
      <c r="N986" s="186">
        <f t="shared" si="53"/>
        <v>0.16933510251023262</v>
      </c>
      <c r="O986" s="160">
        <f t="shared" si="54"/>
        <v>0.19908580854301616</v>
      </c>
      <c r="P986" s="63" t="s">
        <v>480</v>
      </c>
    </row>
    <row r="987" spans="1:18" s="828" customFormat="1" hidden="1">
      <c r="A987" s="626" t="s">
        <v>474</v>
      </c>
      <c r="B987" s="59" t="s">
        <v>481</v>
      </c>
      <c r="C987" s="40" t="s">
        <v>147</v>
      </c>
      <c r="D987" s="34" t="s">
        <v>107</v>
      </c>
      <c r="E987" s="260" t="s">
        <v>158</v>
      </c>
      <c r="F987" s="34">
        <v>1</v>
      </c>
      <c r="G987" s="40" t="s">
        <v>451</v>
      </c>
      <c r="H987" s="29"/>
      <c r="I987" s="9"/>
      <c r="J987" s="9"/>
      <c r="K987" s="9"/>
      <c r="L987" s="9"/>
      <c r="M987" s="9"/>
      <c r="N987" s="186" t="str">
        <f t="shared" si="53"/>
        <v/>
      </c>
      <c r="O987" s="160" t="str">
        <f t="shared" si="54"/>
        <v/>
      </c>
      <c r="P987" s="63"/>
    </row>
    <row r="988" spans="1:18" s="828" customFormat="1" hidden="1">
      <c r="A988" s="626" t="s">
        <v>479</v>
      </c>
      <c r="B988" s="59" t="s">
        <v>244</v>
      </c>
      <c r="C988" s="40" t="s">
        <v>147</v>
      </c>
      <c r="D988" s="34" t="s">
        <v>107</v>
      </c>
      <c r="E988" s="260">
        <v>0.05</v>
      </c>
      <c r="F988" s="34">
        <v>2</v>
      </c>
      <c r="G988" s="40" t="s">
        <v>165</v>
      </c>
      <c r="H988" s="29">
        <v>1</v>
      </c>
      <c r="I988" s="9">
        <v>2</v>
      </c>
      <c r="J988" s="9">
        <v>2</v>
      </c>
      <c r="K988" s="9">
        <v>1</v>
      </c>
      <c r="L988" s="9">
        <v>3</v>
      </c>
      <c r="M988" s="9">
        <v>3</v>
      </c>
      <c r="N988" s="186">
        <f t="shared" si="53"/>
        <v>1.0725046436742278</v>
      </c>
      <c r="O988" s="160">
        <f t="shared" si="54"/>
        <v>1.0776024280428556</v>
      </c>
      <c r="P988" s="63" t="s">
        <v>482</v>
      </c>
      <c r="R988" s="856"/>
    </row>
    <row r="989" spans="1:18" s="828" customFormat="1" hidden="1">
      <c r="A989" s="626" t="s">
        <v>479</v>
      </c>
      <c r="B989" s="59" t="s">
        <v>245</v>
      </c>
      <c r="C989" s="40" t="s">
        <v>147</v>
      </c>
      <c r="D989" s="34" t="s">
        <v>107</v>
      </c>
      <c r="E989" s="260">
        <v>0.39400000000000002</v>
      </c>
      <c r="F989" s="34">
        <v>2</v>
      </c>
      <c r="G989" s="40" t="s">
        <v>451</v>
      </c>
      <c r="H989" s="29">
        <v>1</v>
      </c>
      <c r="I989" s="9">
        <v>2</v>
      </c>
      <c r="J989" s="9">
        <v>2</v>
      </c>
      <c r="K989" s="9">
        <v>1</v>
      </c>
      <c r="L989" s="9">
        <v>1</v>
      </c>
      <c r="M989" s="9">
        <v>1</v>
      </c>
      <c r="N989" s="186">
        <f t="shared" si="53"/>
        <v>0.16933510251023262</v>
      </c>
      <c r="O989" s="160">
        <f t="shared" si="54"/>
        <v>0.19908580854301616</v>
      </c>
      <c r="P989" s="63" t="s">
        <v>483</v>
      </c>
    </row>
    <row r="990" spans="1:18" s="828" customFormat="1" hidden="1">
      <c r="A990" s="626" t="s">
        <v>479</v>
      </c>
      <c r="B990" s="59" t="s">
        <v>264</v>
      </c>
      <c r="C990" s="40" t="s">
        <v>147</v>
      </c>
      <c r="D990" s="34" t="s">
        <v>107</v>
      </c>
      <c r="E990" s="260">
        <v>0.52200000000000002</v>
      </c>
      <c r="F990" s="34">
        <v>1</v>
      </c>
      <c r="G990" s="40" t="s">
        <v>451</v>
      </c>
      <c r="H990" s="29">
        <v>1</v>
      </c>
      <c r="I990" s="9">
        <v>2</v>
      </c>
      <c r="J990" s="9">
        <v>2</v>
      </c>
      <c r="K990" s="9">
        <v>1</v>
      </c>
      <c r="L990" s="9">
        <v>1</v>
      </c>
      <c r="M990" s="9">
        <v>1</v>
      </c>
      <c r="N990" s="186">
        <f t="shared" si="53"/>
        <v>0.16933510251023262</v>
      </c>
      <c r="O990" s="160">
        <f t="shared" si="54"/>
        <v>0.19908580854301616</v>
      </c>
      <c r="P990" s="63" t="s">
        <v>484</v>
      </c>
    </row>
    <row r="991" spans="1:18" s="828" customFormat="1" hidden="1">
      <c r="A991" s="626" t="s">
        <v>479</v>
      </c>
      <c r="B991" s="59" t="s">
        <v>271</v>
      </c>
      <c r="C991" s="40" t="s">
        <v>147</v>
      </c>
      <c r="D991" s="34" t="s">
        <v>107</v>
      </c>
      <c r="E991" s="260">
        <v>3.4000000000000002E-2</v>
      </c>
      <c r="F991" s="34">
        <v>2</v>
      </c>
      <c r="G991" s="40" t="s">
        <v>451</v>
      </c>
      <c r="H991" s="29">
        <v>1</v>
      </c>
      <c r="I991" s="9">
        <v>2</v>
      </c>
      <c r="J991" s="9">
        <v>2</v>
      </c>
      <c r="K991" s="9">
        <v>1</v>
      </c>
      <c r="L991" s="9">
        <v>1</v>
      </c>
      <c r="M991" s="9">
        <v>1</v>
      </c>
      <c r="N991" s="186">
        <f t="shared" si="53"/>
        <v>0.16933510251023262</v>
      </c>
      <c r="O991" s="160">
        <f t="shared" si="54"/>
        <v>0.19908580854301616</v>
      </c>
      <c r="P991" s="63" t="s">
        <v>485</v>
      </c>
    </row>
    <row r="992" spans="1:18" s="828" customFormat="1" hidden="1">
      <c r="A992" s="626" t="s">
        <v>476</v>
      </c>
      <c r="B992" s="59" t="s">
        <v>486</v>
      </c>
      <c r="C992" s="40" t="s">
        <v>147</v>
      </c>
      <c r="D992" s="34" t="s">
        <v>107</v>
      </c>
      <c r="E992" s="260">
        <f>0.1*E986</f>
        <v>3.0000000000000001E-3</v>
      </c>
      <c r="F992" s="34">
        <v>2</v>
      </c>
      <c r="G992" s="40" t="s">
        <v>451</v>
      </c>
      <c r="H992" s="29">
        <v>1</v>
      </c>
      <c r="I992" s="9">
        <v>2</v>
      </c>
      <c r="J992" s="9">
        <v>2</v>
      </c>
      <c r="K992" s="9">
        <v>1</v>
      </c>
      <c r="L992" s="9">
        <v>1</v>
      </c>
      <c r="M992" s="9">
        <v>1</v>
      </c>
      <c r="N992" s="186">
        <f t="shared" si="53"/>
        <v>0.16933510251023262</v>
      </c>
      <c r="O992" s="160">
        <f t="shared" si="54"/>
        <v>0.19908580854301616</v>
      </c>
      <c r="P992" s="63" t="s">
        <v>487</v>
      </c>
    </row>
    <row r="993" spans="1:16" s="828" customFormat="1" hidden="1">
      <c r="A993" s="626" t="s">
        <v>476</v>
      </c>
      <c r="B993" s="59" t="s">
        <v>488</v>
      </c>
      <c r="C993" s="40" t="s">
        <v>147</v>
      </c>
      <c r="D993" s="34" t="s">
        <v>107</v>
      </c>
      <c r="E993" s="260" t="s">
        <v>158</v>
      </c>
      <c r="F993" s="34">
        <v>1</v>
      </c>
      <c r="G993" s="40" t="s">
        <v>451</v>
      </c>
      <c r="H993" s="29"/>
      <c r="I993" s="9"/>
      <c r="J993" s="9"/>
      <c r="K993" s="9"/>
      <c r="L993" s="9"/>
      <c r="M993" s="9"/>
      <c r="N993" s="186" t="str">
        <f t="shared" ref="N993:N1024" si="55">IF( OR( ISBLANK(H993),ISBLANK(J993), ISBLANK(K993), ISBLANK(L993), ISBLANK(M993) ), "", 1.5*SQRT(   EXP(2.21*(H993-1)) + EXP(2.21*(J993-1)) + EXP(2.21*(K993-1)) + EXP(2.21*(L993-1)) + EXP(2.21*M993)   )/100*2.45 )</f>
        <v/>
      </c>
      <c r="O993" s="160" t="str">
        <f t="shared" si="54"/>
        <v/>
      </c>
      <c r="P993" s="63" t="s">
        <v>489</v>
      </c>
    </row>
    <row r="994" spans="1:16" s="828" customFormat="1" hidden="1">
      <c r="A994" s="626" t="s">
        <v>486</v>
      </c>
      <c r="B994" s="59" t="s">
        <v>241</v>
      </c>
      <c r="C994" s="40" t="s">
        <v>147</v>
      </c>
      <c r="D994" s="34" t="s">
        <v>107</v>
      </c>
      <c r="E994" s="260">
        <v>1</v>
      </c>
      <c r="F994" s="34">
        <v>2</v>
      </c>
      <c r="G994" s="40" t="s">
        <v>451</v>
      </c>
      <c r="H994" s="29">
        <v>1</v>
      </c>
      <c r="I994" s="9">
        <v>2</v>
      </c>
      <c r="J994" s="9">
        <v>2</v>
      </c>
      <c r="K994" s="9">
        <v>1</v>
      </c>
      <c r="L994" s="9">
        <v>1</v>
      </c>
      <c r="M994" s="9">
        <v>1</v>
      </c>
      <c r="N994" s="186">
        <f t="shared" si="55"/>
        <v>0.16933510251023262</v>
      </c>
      <c r="O994" s="160">
        <f t="shared" si="54"/>
        <v>0.19908580854301616</v>
      </c>
      <c r="P994" s="63" t="s">
        <v>490</v>
      </c>
    </row>
    <row r="995" spans="1:16" s="828" customFormat="1" hidden="1">
      <c r="A995" s="626" t="s">
        <v>481</v>
      </c>
      <c r="B995" s="59" t="s">
        <v>244</v>
      </c>
      <c r="C995" s="40" t="s">
        <v>147</v>
      </c>
      <c r="D995" s="34" t="s">
        <v>107</v>
      </c>
      <c r="E995" s="260">
        <v>0</v>
      </c>
      <c r="F995" s="34">
        <v>2</v>
      </c>
      <c r="G995" s="40" t="s">
        <v>451</v>
      </c>
      <c r="H995" s="29">
        <v>1</v>
      </c>
      <c r="I995" s="9">
        <v>2</v>
      </c>
      <c r="J995" s="9">
        <v>2</v>
      </c>
      <c r="K995" s="9">
        <v>1</v>
      </c>
      <c r="L995" s="9">
        <v>1</v>
      </c>
      <c r="M995" s="9">
        <v>1</v>
      </c>
      <c r="N995" s="186">
        <f t="shared" si="55"/>
        <v>0.16933510251023262</v>
      </c>
      <c r="O995" s="160">
        <f t="shared" si="54"/>
        <v>0.19908580854301616</v>
      </c>
      <c r="P995" s="63" t="s">
        <v>491</v>
      </c>
    </row>
    <row r="996" spans="1:16" s="828" customFormat="1" hidden="1">
      <c r="A996" s="626" t="s">
        <v>481</v>
      </c>
      <c r="B996" s="59" t="s">
        <v>245</v>
      </c>
      <c r="C996" s="40" t="s">
        <v>147</v>
      </c>
      <c r="D996" s="34" t="s">
        <v>107</v>
      </c>
      <c r="E996" s="260">
        <v>0</v>
      </c>
      <c r="F996" s="34">
        <v>2</v>
      </c>
      <c r="G996" s="40" t="s">
        <v>451</v>
      </c>
      <c r="H996" s="29">
        <v>1</v>
      </c>
      <c r="I996" s="9">
        <v>2</v>
      </c>
      <c r="J996" s="9">
        <v>2</v>
      </c>
      <c r="K996" s="9">
        <v>1</v>
      </c>
      <c r="L996" s="9">
        <v>1</v>
      </c>
      <c r="M996" s="9">
        <v>1</v>
      </c>
      <c r="N996" s="186">
        <f t="shared" si="55"/>
        <v>0.16933510251023262</v>
      </c>
      <c r="O996" s="160">
        <f t="shared" si="54"/>
        <v>0.19908580854301616</v>
      </c>
      <c r="P996" s="63" t="s">
        <v>491</v>
      </c>
    </row>
    <row r="997" spans="1:16" s="828" customFormat="1" hidden="1">
      <c r="A997" s="626" t="s">
        <v>481</v>
      </c>
      <c r="B997" s="59" t="s">
        <v>264</v>
      </c>
      <c r="C997" s="40" t="s">
        <v>147</v>
      </c>
      <c r="D997" s="34" t="s">
        <v>107</v>
      </c>
      <c r="E997" s="260">
        <v>0</v>
      </c>
      <c r="F997" s="34">
        <v>2</v>
      </c>
      <c r="G997" s="40" t="s">
        <v>451</v>
      </c>
      <c r="H997" s="29">
        <v>1</v>
      </c>
      <c r="I997" s="9">
        <v>2</v>
      </c>
      <c r="J997" s="9">
        <v>2</v>
      </c>
      <c r="K997" s="9">
        <v>1</v>
      </c>
      <c r="L997" s="9">
        <v>1</v>
      </c>
      <c r="M997" s="9">
        <v>1</v>
      </c>
      <c r="N997" s="186">
        <f t="shared" si="55"/>
        <v>0.16933510251023262</v>
      </c>
      <c r="O997" s="160">
        <f t="shared" si="54"/>
        <v>0.19908580854301616</v>
      </c>
      <c r="P997" s="63" t="s">
        <v>491</v>
      </c>
    </row>
    <row r="998" spans="1:16" s="828" customFormat="1" hidden="1">
      <c r="A998" s="626" t="s">
        <v>481</v>
      </c>
      <c r="B998" s="59" t="s">
        <v>271</v>
      </c>
      <c r="C998" s="40" t="s">
        <v>147</v>
      </c>
      <c r="D998" s="34" t="s">
        <v>107</v>
      </c>
      <c r="E998" s="260">
        <v>0</v>
      </c>
      <c r="F998" s="34">
        <v>2</v>
      </c>
      <c r="G998" s="40" t="s">
        <v>451</v>
      </c>
      <c r="H998" s="29">
        <v>1</v>
      </c>
      <c r="I998" s="9">
        <v>2</v>
      </c>
      <c r="J998" s="9">
        <v>2</v>
      </c>
      <c r="K998" s="9">
        <v>1</v>
      </c>
      <c r="L998" s="9">
        <v>1</v>
      </c>
      <c r="M998" s="9">
        <v>1</v>
      </c>
      <c r="N998" s="186">
        <f t="shared" si="55"/>
        <v>0.16933510251023262</v>
      </c>
      <c r="O998" s="160">
        <f t="shared" si="54"/>
        <v>0.19908580854301616</v>
      </c>
      <c r="P998" s="63" t="s">
        <v>491</v>
      </c>
    </row>
    <row r="999" spans="1:16" s="828" customFormat="1" hidden="1">
      <c r="A999" s="626" t="s">
        <v>481</v>
      </c>
      <c r="B999" s="59" t="s">
        <v>344</v>
      </c>
      <c r="C999" s="40" t="s">
        <v>147</v>
      </c>
      <c r="D999" s="34" t="s">
        <v>107</v>
      </c>
      <c r="E999" s="260" t="s">
        <v>158</v>
      </c>
      <c r="F999" s="34">
        <v>1</v>
      </c>
      <c r="G999" s="40" t="s">
        <v>451</v>
      </c>
      <c r="H999" s="29"/>
      <c r="I999" s="9"/>
      <c r="J999" s="9"/>
      <c r="K999" s="9"/>
      <c r="L999" s="9"/>
      <c r="M999" s="9"/>
      <c r="N999" s="186" t="str">
        <f t="shared" si="55"/>
        <v/>
      </c>
      <c r="O999" s="160" t="str">
        <f t="shared" si="54"/>
        <v/>
      </c>
      <c r="P999" s="63"/>
    </row>
    <row r="1000" spans="1:16" s="828" customFormat="1" hidden="1">
      <c r="A1000" s="626" t="s">
        <v>488</v>
      </c>
      <c r="B1000" s="59" t="s">
        <v>241</v>
      </c>
      <c r="C1000" s="40" t="s">
        <v>147</v>
      </c>
      <c r="D1000" s="34" t="s">
        <v>107</v>
      </c>
      <c r="E1000" s="260">
        <v>0</v>
      </c>
      <c r="F1000" s="34">
        <v>2</v>
      </c>
      <c r="G1000" s="40" t="s">
        <v>451</v>
      </c>
      <c r="H1000" s="29">
        <v>1</v>
      </c>
      <c r="I1000" s="9">
        <v>2</v>
      </c>
      <c r="J1000" s="9">
        <v>2</v>
      </c>
      <c r="K1000" s="9">
        <v>1</v>
      </c>
      <c r="L1000" s="9">
        <v>1</v>
      </c>
      <c r="M1000" s="9">
        <v>1</v>
      </c>
      <c r="N1000" s="186">
        <f t="shared" si="55"/>
        <v>0.16933510251023262</v>
      </c>
      <c r="O1000" s="160">
        <f t="shared" si="54"/>
        <v>0.19908580854301616</v>
      </c>
      <c r="P1000" s="63" t="s">
        <v>492</v>
      </c>
    </row>
    <row r="1001" spans="1:16" s="828" customFormat="1" hidden="1">
      <c r="A1001" s="626" t="s">
        <v>488</v>
      </c>
      <c r="B1001" s="59" t="s">
        <v>344</v>
      </c>
      <c r="C1001" s="40" t="s">
        <v>147</v>
      </c>
      <c r="D1001" s="34" t="s">
        <v>107</v>
      </c>
      <c r="E1001" s="260" t="s">
        <v>158</v>
      </c>
      <c r="F1001" s="34">
        <v>1</v>
      </c>
      <c r="G1001" s="40" t="s">
        <v>451</v>
      </c>
      <c r="H1001" s="29"/>
      <c r="I1001" s="9"/>
      <c r="J1001" s="9"/>
      <c r="K1001" s="9"/>
      <c r="L1001" s="9"/>
      <c r="M1001" s="9"/>
      <c r="N1001" s="186" t="str">
        <f t="shared" si="55"/>
        <v/>
      </c>
      <c r="O1001" s="160" t="str">
        <f t="shared" si="54"/>
        <v/>
      </c>
      <c r="P1001" s="63" t="s">
        <v>493</v>
      </c>
    </row>
    <row r="1002" spans="1:16" s="828" customFormat="1" hidden="1">
      <c r="A1002" s="626" t="s">
        <v>452</v>
      </c>
      <c r="B1002" s="59" t="s">
        <v>494</v>
      </c>
      <c r="C1002" s="40" t="s">
        <v>147</v>
      </c>
      <c r="D1002" s="34" t="s">
        <v>107</v>
      </c>
      <c r="E1002" s="260">
        <f>0.97*0.4</f>
        <v>0.38800000000000001</v>
      </c>
      <c r="F1002" s="34">
        <v>2</v>
      </c>
      <c r="G1002" s="40" t="s">
        <v>451</v>
      </c>
      <c r="H1002" s="29">
        <v>1</v>
      </c>
      <c r="I1002" s="9">
        <v>2</v>
      </c>
      <c r="J1002" s="9">
        <v>2</v>
      </c>
      <c r="K1002" s="9">
        <v>1</v>
      </c>
      <c r="L1002" s="9">
        <v>1</v>
      </c>
      <c r="M1002" s="9">
        <v>1</v>
      </c>
      <c r="N1002" s="186">
        <f t="shared" si="55"/>
        <v>0.16933510251023262</v>
      </c>
      <c r="O1002" s="160">
        <f t="shared" si="54"/>
        <v>0.19908580854301616</v>
      </c>
      <c r="P1002" s="63" t="s">
        <v>495</v>
      </c>
    </row>
    <row r="1003" spans="1:16" s="828" customFormat="1" hidden="1">
      <c r="A1003" s="626" t="s">
        <v>452</v>
      </c>
      <c r="B1003" s="59" t="s">
        <v>496</v>
      </c>
      <c r="C1003" s="40" t="s">
        <v>147</v>
      </c>
      <c r="D1003" s="34" t="s">
        <v>107</v>
      </c>
      <c r="E1003" s="260">
        <f>0.97*0.6</f>
        <v>0.58199999999999996</v>
      </c>
      <c r="F1003" s="34">
        <v>2</v>
      </c>
      <c r="G1003" s="40" t="s">
        <v>451</v>
      </c>
      <c r="H1003" s="29">
        <v>1</v>
      </c>
      <c r="I1003" s="9">
        <v>2</v>
      </c>
      <c r="J1003" s="9">
        <v>2</v>
      </c>
      <c r="K1003" s="9">
        <v>1</v>
      </c>
      <c r="L1003" s="9">
        <v>1</v>
      </c>
      <c r="M1003" s="9">
        <v>1</v>
      </c>
      <c r="N1003" s="186">
        <f t="shared" si="55"/>
        <v>0.16933510251023262</v>
      </c>
      <c r="O1003" s="160">
        <f t="shared" si="54"/>
        <v>0.19908580854301616</v>
      </c>
      <c r="P1003" s="63" t="s">
        <v>497</v>
      </c>
    </row>
    <row r="1004" spans="1:16" s="828" customFormat="1" hidden="1">
      <c r="A1004" s="626" t="s">
        <v>452</v>
      </c>
      <c r="B1004" s="59" t="s">
        <v>236</v>
      </c>
      <c r="C1004" s="40" t="s">
        <v>147</v>
      </c>
      <c r="D1004" s="34" t="s">
        <v>107</v>
      </c>
      <c r="E1004" s="260">
        <v>0.03</v>
      </c>
      <c r="F1004" s="34">
        <v>1</v>
      </c>
      <c r="G1004" s="40" t="s">
        <v>451</v>
      </c>
      <c r="H1004" s="29">
        <v>1</v>
      </c>
      <c r="I1004" s="9">
        <v>2</v>
      </c>
      <c r="J1004" s="9">
        <v>2</v>
      </c>
      <c r="K1004" s="9">
        <v>1</v>
      </c>
      <c r="L1004" s="9">
        <v>1</v>
      </c>
      <c r="M1004" s="9">
        <v>1</v>
      </c>
      <c r="N1004" s="186">
        <f t="shared" si="55"/>
        <v>0.16933510251023262</v>
      </c>
      <c r="O1004" s="160">
        <f t="shared" si="54"/>
        <v>0.19908580854301616</v>
      </c>
      <c r="P1004" s="63" t="s">
        <v>478</v>
      </c>
    </row>
    <row r="1005" spans="1:16" s="828" customFormat="1" hidden="1">
      <c r="A1005" s="626" t="s">
        <v>494</v>
      </c>
      <c r="B1005" s="59" t="s">
        <v>498</v>
      </c>
      <c r="C1005" s="40" t="s">
        <v>147</v>
      </c>
      <c r="D1005" s="34" t="s">
        <v>107</v>
      </c>
      <c r="E1005" s="260">
        <v>0.03</v>
      </c>
      <c r="F1005" s="34">
        <v>2</v>
      </c>
      <c r="G1005" s="40" t="s">
        <v>451</v>
      </c>
      <c r="H1005" s="29">
        <v>1</v>
      </c>
      <c r="I1005" s="9">
        <v>2</v>
      </c>
      <c r="J1005" s="9">
        <v>2</v>
      </c>
      <c r="K1005" s="9">
        <v>1</v>
      </c>
      <c r="L1005" s="9">
        <v>1</v>
      </c>
      <c r="M1005" s="9">
        <v>1</v>
      </c>
      <c r="N1005" s="186">
        <f t="shared" si="55"/>
        <v>0.16933510251023262</v>
      </c>
      <c r="O1005" s="160">
        <f t="shared" si="54"/>
        <v>0.19908580854301616</v>
      </c>
      <c r="P1005" s="63" t="s">
        <v>480</v>
      </c>
    </row>
    <row r="1006" spans="1:16" s="828" customFormat="1" hidden="1">
      <c r="A1006" s="626" t="s">
        <v>494</v>
      </c>
      <c r="B1006" s="59" t="s">
        <v>499</v>
      </c>
      <c r="C1006" s="40" t="s">
        <v>147</v>
      </c>
      <c r="D1006" s="34" t="s">
        <v>107</v>
      </c>
      <c r="E1006" s="260" t="s">
        <v>158</v>
      </c>
      <c r="F1006" s="34">
        <v>1</v>
      </c>
      <c r="G1006" s="40" t="s">
        <v>451</v>
      </c>
      <c r="H1006" s="29"/>
      <c r="I1006" s="9"/>
      <c r="J1006" s="9"/>
      <c r="K1006" s="9"/>
      <c r="L1006" s="9"/>
      <c r="M1006" s="9"/>
      <c r="N1006" s="186" t="str">
        <f t="shared" si="55"/>
        <v/>
      </c>
      <c r="O1006" s="160" t="str">
        <f t="shared" si="54"/>
        <v/>
      </c>
      <c r="P1006" s="63" t="s">
        <v>500</v>
      </c>
    </row>
    <row r="1007" spans="1:16" s="828" customFormat="1" hidden="1">
      <c r="A1007" s="626" t="s">
        <v>498</v>
      </c>
      <c r="B1007" s="59" t="s">
        <v>244</v>
      </c>
      <c r="C1007" s="40" t="s">
        <v>147</v>
      </c>
      <c r="D1007" s="34" t="s">
        <v>107</v>
      </c>
      <c r="E1007" s="260">
        <v>0.05</v>
      </c>
      <c r="F1007" s="34">
        <v>2</v>
      </c>
      <c r="G1007" s="40" t="s">
        <v>165</v>
      </c>
      <c r="H1007" s="29">
        <v>1</v>
      </c>
      <c r="I1007" s="9">
        <v>2</v>
      </c>
      <c r="J1007" s="9">
        <v>2</v>
      </c>
      <c r="K1007" s="9">
        <v>1</v>
      </c>
      <c r="L1007" s="9">
        <v>3</v>
      </c>
      <c r="M1007" s="9">
        <v>3</v>
      </c>
      <c r="N1007" s="186">
        <f t="shared" si="55"/>
        <v>1.0725046436742278</v>
      </c>
      <c r="O1007" s="160">
        <f t="shared" si="54"/>
        <v>1.0776024280428556</v>
      </c>
      <c r="P1007" s="63" t="s">
        <v>482</v>
      </c>
    </row>
    <row r="1008" spans="1:16" s="828" customFormat="1" hidden="1">
      <c r="A1008" s="626" t="s">
        <v>498</v>
      </c>
      <c r="B1008" s="59" t="s">
        <v>245</v>
      </c>
      <c r="C1008" s="40" t="s">
        <v>147</v>
      </c>
      <c r="D1008" s="34" t="s">
        <v>107</v>
      </c>
      <c r="E1008" s="260">
        <v>0.39400000000000002</v>
      </c>
      <c r="F1008" s="34">
        <v>2</v>
      </c>
      <c r="G1008" s="40" t="s">
        <v>451</v>
      </c>
      <c r="H1008" s="29">
        <v>1</v>
      </c>
      <c r="I1008" s="9">
        <v>2</v>
      </c>
      <c r="J1008" s="9">
        <v>2</v>
      </c>
      <c r="K1008" s="9">
        <v>1</v>
      </c>
      <c r="L1008" s="9">
        <v>1</v>
      </c>
      <c r="M1008" s="9">
        <v>1</v>
      </c>
      <c r="N1008" s="186">
        <f t="shared" si="55"/>
        <v>0.16933510251023262</v>
      </c>
      <c r="O1008" s="160">
        <f t="shared" si="54"/>
        <v>0.19908580854301616</v>
      </c>
      <c r="P1008" s="63" t="s">
        <v>483</v>
      </c>
    </row>
    <row r="1009" spans="1:16" s="828" customFormat="1" hidden="1">
      <c r="A1009" s="626" t="s">
        <v>498</v>
      </c>
      <c r="B1009" s="59" t="s">
        <v>264</v>
      </c>
      <c r="C1009" s="40" t="s">
        <v>147</v>
      </c>
      <c r="D1009" s="34" t="s">
        <v>107</v>
      </c>
      <c r="E1009" s="260">
        <v>0.52200000000000002</v>
      </c>
      <c r="F1009" s="34">
        <v>1</v>
      </c>
      <c r="G1009" s="40" t="s">
        <v>451</v>
      </c>
      <c r="H1009" s="29">
        <v>1</v>
      </c>
      <c r="I1009" s="9">
        <v>2</v>
      </c>
      <c r="J1009" s="9">
        <v>2</v>
      </c>
      <c r="K1009" s="9">
        <v>1</v>
      </c>
      <c r="L1009" s="9">
        <v>1</v>
      </c>
      <c r="M1009" s="9">
        <v>1</v>
      </c>
      <c r="N1009" s="186">
        <f t="shared" si="55"/>
        <v>0.16933510251023262</v>
      </c>
      <c r="O1009" s="160">
        <f t="shared" si="54"/>
        <v>0.19908580854301616</v>
      </c>
      <c r="P1009" s="63" t="s">
        <v>484</v>
      </c>
    </row>
    <row r="1010" spans="1:16" s="828" customFormat="1" hidden="1">
      <c r="A1010" s="626" t="s">
        <v>498</v>
      </c>
      <c r="B1010" s="59" t="s">
        <v>271</v>
      </c>
      <c r="C1010" s="40" t="s">
        <v>147</v>
      </c>
      <c r="D1010" s="34" t="s">
        <v>107</v>
      </c>
      <c r="E1010" s="260">
        <v>3.4000000000000002E-2</v>
      </c>
      <c r="F1010" s="34">
        <v>2</v>
      </c>
      <c r="G1010" s="40" t="s">
        <v>451</v>
      </c>
      <c r="H1010" s="29">
        <v>1</v>
      </c>
      <c r="I1010" s="9">
        <v>2</v>
      </c>
      <c r="J1010" s="9">
        <v>2</v>
      </c>
      <c r="K1010" s="9">
        <v>1</v>
      </c>
      <c r="L1010" s="9">
        <v>1</v>
      </c>
      <c r="M1010" s="9">
        <v>1</v>
      </c>
      <c r="N1010" s="186">
        <f t="shared" si="55"/>
        <v>0.16933510251023262</v>
      </c>
      <c r="O1010" s="160">
        <f t="shared" si="54"/>
        <v>0.19908580854301616</v>
      </c>
      <c r="P1010" s="63" t="s">
        <v>485</v>
      </c>
    </row>
    <row r="1011" spans="1:16" s="828" customFormat="1" hidden="1">
      <c r="A1011" s="626" t="s">
        <v>496</v>
      </c>
      <c r="B1011" s="59" t="s">
        <v>501</v>
      </c>
      <c r="C1011" s="40" t="s">
        <v>147</v>
      </c>
      <c r="D1011" s="34" t="s">
        <v>107</v>
      </c>
      <c r="E1011" s="260">
        <f>0.1*E1005</f>
        <v>3.0000000000000001E-3</v>
      </c>
      <c r="F1011" s="34">
        <v>2</v>
      </c>
      <c r="G1011" s="40" t="s">
        <v>451</v>
      </c>
      <c r="H1011" s="29">
        <v>1</v>
      </c>
      <c r="I1011" s="9">
        <v>2</v>
      </c>
      <c r="J1011" s="9">
        <v>2</v>
      </c>
      <c r="K1011" s="9">
        <v>1</v>
      </c>
      <c r="L1011" s="9">
        <v>1</v>
      </c>
      <c r="M1011" s="9">
        <v>1</v>
      </c>
      <c r="N1011" s="186">
        <f t="shared" si="55"/>
        <v>0.16933510251023262</v>
      </c>
      <c r="O1011" s="160">
        <f t="shared" ref="O1011:O1047" si="56">IF( OR( ISBLANK(I1011),ISBLANK(J1011), ISBLANK(K1011), ISBLANK(L1011), ISBLANK(M1011) ), "", 1.5*SQRT( EXP(2.21*(I1011-1)) + EXP(2.21*(J1011-1)) + EXP(2.21*(K1011-1)) + EXP(2.21*(L1011-1)) + EXP(2.21*M1011)   )/100*2.45 )</f>
        <v>0.19908580854301616</v>
      </c>
      <c r="P1011" s="63" t="s">
        <v>487</v>
      </c>
    </row>
    <row r="1012" spans="1:16" s="828" customFormat="1" hidden="1">
      <c r="A1012" s="626" t="s">
        <v>496</v>
      </c>
      <c r="B1012" s="59" t="s">
        <v>502</v>
      </c>
      <c r="C1012" s="40" t="s">
        <v>147</v>
      </c>
      <c r="D1012" s="34" t="s">
        <v>107</v>
      </c>
      <c r="E1012" s="260" t="s">
        <v>158</v>
      </c>
      <c r="F1012" s="34">
        <v>1</v>
      </c>
      <c r="G1012" s="40" t="s">
        <v>451</v>
      </c>
      <c r="H1012" s="29"/>
      <c r="I1012" s="9"/>
      <c r="J1012" s="9"/>
      <c r="K1012" s="9"/>
      <c r="L1012" s="9"/>
      <c r="M1012" s="9"/>
      <c r="N1012" s="186" t="str">
        <f t="shared" si="55"/>
        <v/>
      </c>
      <c r="O1012" s="160" t="str">
        <f t="shared" si="56"/>
        <v/>
      </c>
      <c r="P1012" s="63" t="s">
        <v>500</v>
      </c>
    </row>
    <row r="1013" spans="1:16" s="828" customFormat="1" hidden="1">
      <c r="A1013" s="626" t="s">
        <v>501</v>
      </c>
      <c r="B1013" s="59" t="s">
        <v>241</v>
      </c>
      <c r="C1013" s="40" t="s">
        <v>147</v>
      </c>
      <c r="D1013" s="34" t="s">
        <v>107</v>
      </c>
      <c r="E1013" s="260">
        <v>1</v>
      </c>
      <c r="F1013" s="34">
        <v>2</v>
      </c>
      <c r="G1013" s="40" t="s">
        <v>451</v>
      </c>
      <c r="H1013" s="29">
        <v>1</v>
      </c>
      <c r="I1013" s="9">
        <v>2</v>
      </c>
      <c r="J1013" s="9">
        <v>2</v>
      </c>
      <c r="K1013" s="9">
        <v>1</v>
      </c>
      <c r="L1013" s="9">
        <v>1</v>
      </c>
      <c r="M1013" s="9">
        <v>1</v>
      </c>
      <c r="N1013" s="186">
        <f t="shared" si="55"/>
        <v>0.16933510251023262</v>
      </c>
      <c r="O1013" s="160">
        <f t="shared" si="56"/>
        <v>0.19908580854301616</v>
      </c>
      <c r="P1013" s="63" t="s">
        <v>490</v>
      </c>
    </row>
    <row r="1014" spans="1:16" s="828" customFormat="1" hidden="1">
      <c r="A1014" s="626" t="s">
        <v>499</v>
      </c>
      <c r="B1014" s="59" t="s">
        <v>244</v>
      </c>
      <c r="C1014" s="40" t="s">
        <v>147</v>
      </c>
      <c r="D1014" s="34" t="s">
        <v>107</v>
      </c>
      <c r="E1014" s="260">
        <v>1.6000000000000001E-3</v>
      </c>
      <c r="F1014" s="34">
        <v>2</v>
      </c>
      <c r="G1014" s="40" t="s">
        <v>503</v>
      </c>
      <c r="H1014" s="29">
        <v>1</v>
      </c>
      <c r="I1014" s="9">
        <v>2</v>
      </c>
      <c r="J1014" s="9">
        <v>2</v>
      </c>
      <c r="K1014" s="9">
        <v>1</v>
      </c>
      <c r="L1014" s="9">
        <v>3</v>
      </c>
      <c r="M1014" s="9">
        <v>3</v>
      </c>
      <c r="N1014" s="186">
        <f t="shared" si="55"/>
        <v>1.0725046436742278</v>
      </c>
      <c r="O1014" s="160">
        <f t="shared" si="56"/>
        <v>1.0776024280428556</v>
      </c>
      <c r="P1014" s="63" t="s">
        <v>504</v>
      </c>
    </row>
    <row r="1015" spans="1:16" s="828" customFormat="1" hidden="1">
      <c r="A1015" s="626" t="s">
        <v>499</v>
      </c>
      <c r="B1015" s="59" t="s">
        <v>245</v>
      </c>
      <c r="C1015" s="40" t="s">
        <v>147</v>
      </c>
      <c r="D1015" s="34" t="s">
        <v>107</v>
      </c>
      <c r="E1015" s="260">
        <v>1.26E-2</v>
      </c>
      <c r="F1015" s="34">
        <v>2</v>
      </c>
      <c r="G1015" s="40" t="s">
        <v>451</v>
      </c>
      <c r="H1015" s="29">
        <v>1</v>
      </c>
      <c r="I1015" s="9">
        <v>2</v>
      </c>
      <c r="J1015" s="9">
        <v>2</v>
      </c>
      <c r="K1015" s="9">
        <v>1</v>
      </c>
      <c r="L1015" s="9">
        <v>1</v>
      </c>
      <c r="M1015" s="9">
        <v>1</v>
      </c>
      <c r="N1015" s="186">
        <f t="shared" si="55"/>
        <v>0.16933510251023262</v>
      </c>
      <c r="O1015" s="160">
        <f t="shared" si="56"/>
        <v>0.19908580854301616</v>
      </c>
      <c r="P1015" s="63" t="s">
        <v>505</v>
      </c>
    </row>
    <row r="1016" spans="1:16" s="828" customFormat="1" hidden="1">
      <c r="A1016" s="626" t="s">
        <v>499</v>
      </c>
      <c r="B1016" s="59" t="s">
        <v>264</v>
      </c>
      <c r="C1016" s="40" t="s">
        <v>147</v>
      </c>
      <c r="D1016" s="34" t="s">
        <v>107</v>
      </c>
      <c r="E1016" s="260">
        <v>1.67E-2</v>
      </c>
      <c r="F1016" s="34">
        <v>2</v>
      </c>
      <c r="G1016" s="40" t="s">
        <v>451</v>
      </c>
      <c r="H1016" s="29">
        <v>1</v>
      </c>
      <c r="I1016" s="9">
        <v>2</v>
      </c>
      <c r="J1016" s="9">
        <v>2</v>
      </c>
      <c r="K1016" s="9">
        <v>1</v>
      </c>
      <c r="L1016" s="9">
        <v>1</v>
      </c>
      <c r="M1016" s="9">
        <v>1</v>
      </c>
      <c r="N1016" s="186">
        <f t="shared" si="55"/>
        <v>0.16933510251023262</v>
      </c>
      <c r="O1016" s="160">
        <f t="shared" si="56"/>
        <v>0.19908580854301616</v>
      </c>
      <c r="P1016" s="63" t="s">
        <v>506</v>
      </c>
    </row>
    <row r="1017" spans="1:16" s="828" customFormat="1" hidden="1">
      <c r="A1017" s="626" t="s">
        <v>499</v>
      </c>
      <c r="B1017" s="59" t="s">
        <v>271</v>
      </c>
      <c r="C1017" s="40" t="s">
        <v>147</v>
      </c>
      <c r="D1017" s="34" t="s">
        <v>107</v>
      </c>
      <c r="E1017" s="260">
        <v>1.1000000000000001E-3</v>
      </c>
      <c r="F1017" s="34">
        <v>2</v>
      </c>
      <c r="G1017" s="40" t="s">
        <v>451</v>
      </c>
      <c r="H1017" s="29">
        <v>1</v>
      </c>
      <c r="I1017" s="9">
        <v>2</v>
      </c>
      <c r="J1017" s="9">
        <v>2</v>
      </c>
      <c r="K1017" s="9">
        <v>1</v>
      </c>
      <c r="L1017" s="9">
        <v>1</v>
      </c>
      <c r="M1017" s="9">
        <v>1</v>
      </c>
      <c r="N1017" s="186">
        <f t="shared" si="55"/>
        <v>0.16933510251023262</v>
      </c>
      <c r="O1017" s="160">
        <f t="shared" si="56"/>
        <v>0.19908580854301616</v>
      </c>
      <c r="P1017" s="63" t="s">
        <v>507</v>
      </c>
    </row>
    <row r="1018" spans="1:16" s="828" customFormat="1" hidden="1">
      <c r="A1018" s="626" t="s">
        <v>499</v>
      </c>
      <c r="B1018" s="59" t="s">
        <v>344</v>
      </c>
      <c r="C1018" s="40" t="s">
        <v>147</v>
      </c>
      <c r="D1018" s="34" t="s">
        <v>107</v>
      </c>
      <c r="E1018" s="260" t="s">
        <v>158</v>
      </c>
      <c r="F1018" s="34">
        <v>1</v>
      </c>
      <c r="G1018" s="40" t="s">
        <v>451</v>
      </c>
      <c r="H1018" s="29"/>
      <c r="I1018" s="9"/>
      <c r="J1018" s="9"/>
      <c r="K1018" s="9"/>
      <c r="L1018" s="9"/>
      <c r="M1018" s="9"/>
      <c r="N1018" s="186" t="str">
        <f t="shared" si="55"/>
        <v/>
      </c>
      <c r="O1018" s="160" t="str">
        <f t="shared" si="56"/>
        <v/>
      </c>
      <c r="P1018" s="63"/>
    </row>
    <row r="1019" spans="1:16" s="828" customFormat="1" hidden="1">
      <c r="A1019" s="626" t="s">
        <v>502</v>
      </c>
      <c r="B1019" s="59" t="s">
        <v>241</v>
      </c>
      <c r="C1019" s="40" t="s">
        <v>147</v>
      </c>
      <c r="D1019" s="34" t="s">
        <v>107</v>
      </c>
      <c r="E1019" s="260">
        <v>3.2000000000000001E-2</v>
      </c>
      <c r="F1019" s="34">
        <v>2</v>
      </c>
      <c r="G1019" s="40" t="s">
        <v>451</v>
      </c>
      <c r="H1019" s="29">
        <v>1</v>
      </c>
      <c r="I1019" s="9">
        <v>2</v>
      </c>
      <c r="J1019" s="9">
        <v>2</v>
      </c>
      <c r="K1019" s="9">
        <v>1</v>
      </c>
      <c r="L1019" s="9">
        <v>1</v>
      </c>
      <c r="M1019" s="9">
        <v>1</v>
      </c>
      <c r="N1019" s="186">
        <f t="shared" si="55"/>
        <v>0.16933510251023262</v>
      </c>
      <c r="O1019" s="160">
        <f t="shared" si="56"/>
        <v>0.19908580854301616</v>
      </c>
      <c r="P1019" s="63" t="s">
        <v>508</v>
      </c>
    </row>
    <row r="1020" spans="1:16" s="828" customFormat="1" hidden="1">
      <c r="A1020" s="626" t="s">
        <v>502</v>
      </c>
      <c r="B1020" s="59" t="s">
        <v>344</v>
      </c>
      <c r="C1020" s="40" t="s">
        <v>147</v>
      </c>
      <c r="D1020" s="34" t="s">
        <v>107</v>
      </c>
      <c r="E1020" s="260" t="s">
        <v>158</v>
      </c>
      <c r="F1020" s="34">
        <v>1</v>
      </c>
      <c r="G1020" s="40" t="s">
        <v>451</v>
      </c>
      <c r="H1020" s="29"/>
      <c r="I1020" s="9"/>
      <c r="J1020" s="9"/>
      <c r="K1020" s="9"/>
      <c r="L1020" s="9"/>
      <c r="M1020" s="9"/>
      <c r="N1020" s="186" t="str">
        <f t="shared" si="55"/>
        <v/>
      </c>
      <c r="O1020" s="160" t="str">
        <f t="shared" si="56"/>
        <v/>
      </c>
      <c r="P1020" s="63" t="s">
        <v>509</v>
      </c>
    </row>
    <row r="1021" spans="1:16" s="828" customFormat="1" hidden="1">
      <c r="A1021" s="626" t="s">
        <v>453</v>
      </c>
      <c r="B1021" s="59" t="s">
        <v>510</v>
      </c>
      <c r="C1021" s="40" t="s">
        <v>147</v>
      </c>
      <c r="D1021" s="34" t="s">
        <v>107</v>
      </c>
      <c r="E1021" s="260">
        <f>0.97*0.25</f>
        <v>0.24249999999999999</v>
      </c>
      <c r="F1021" s="34">
        <v>2</v>
      </c>
      <c r="G1021" s="40" t="s">
        <v>451</v>
      </c>
      <c r="H1021" s="29">
        <v>1</v>
      </c>
      <c r="I1021" s="9">
        <v>2</v>
      </c>
      <c r="J1021" s="9">
        <v>2</v>
      </c>
      <c r="K1021" s="9">
        <v>1</v>
      </c>
      <c r="L1021" s="9">
        <v>1</v>
      </c>
      <c r="M1021" s="9">
        <v>1</v>
      </c>
      <c r="N1021" s="186">
        <f t="shared" si="55"/>
        <v>0.16933510251023262</v>
      </c>
      <c r="O1021" s="160">
        <f t="shared" si="56"/>
        <v>0.19908580854301616</v>
      </c>
      <c r="P1021" s="63" t="s">
        <v>511</v>
      </c>
    </row>
    <row r="1022" spans="1:16" s="828" customFormat="1" hidden="1">
      <c r="A1022" s="626" t="s">
        <v>453</v>
      </c>
      <c r="B1022" s="59" t="s">
        <v>512</v>
      </c>
      <c r="C1022" s="40" t="s">
        <v>147</v>
      </c>
      <c r="D1022" s="34" t="s">
        <v>107</v>
      </c>
      <c r="E1022" s="260">
        <f>0.97*0.75</f>
        <v>0.72750000000000004</v>
      </c>
      <c r="F1022" s="34">
        <v>2</v>
      </c>
      <c r="G1022" s="40" t="s">
        <v>451</v>
      </c>
      <c r="H1022" s="29">
        <v>1</v>
      </c>
      <c r="I1022" s="9">
        <v>2</v>
      </c>
      <c r="J1022" s="9">
        <v>2</v>
      </c>
      <c r="K1022" s="9">
        <v>1</v>
      </c>
      <c r="L1022" s="9">
        <v>1</v>
      </c>
      <c r="M1022" s="9">
        <v>1</v>
      </c>
      <c r="N1022" s="186">
        <f t="shared" si="55"/>
        <v>0.16933510251023262</v>
      </c>
      <c r="O1022" s="160">
        <f t="shared" si="56"/>
        <v>0.19908580854301616</v>
      </c>
      <c r="P1022" s="63" t="s">
        <v>513</v>
      </c>
    </row>
    <row r="1023" spans="1:16" s="828" customFormat="1" hidden="1">
      <c r="A1023" s="626" t="s">
        <v>453</v>
      </c>
      <c r="B1023" s="59" t="s">
        <v>236</v>
      </c>
      <c r="C1023" s="40" t="s">
        <v>147</v>
      </c>
      <c r="D1023" s="34" t="s">
        <v>107</v>
      </c>
      <c r="E1023" s="260">
        <v>0.03</v>
      </c>
      <c r="F1023" s="34">
        <v>1</v>
      </c>
      <c r="G1023" s="40" t="s">
        <v>451</v>
      </c>
      <c r="H1023" s="29">
        <v>1</v>
      </c>
      <c r="I1023" s="9">
        <v>2</v>
      </c>
      <c r="J1023" s="9">
        <v>2</v>
      </c>
      <c r="K1023" s="9">
        <v>1</v>
      </c>
      <c r="L1023" s="9">
        <v>1</v>
      </c>
      <c r="M1023" s="9">
        <v>1</v>
      </c>
      <c r="N1023" s="186">
        <f t="shared" si="55"/>
        <v>0.16933510251023262</v>
      </c>
      <c r="O1023" s="160">
        <f t="shared" si="56"/>
        <v>0.19908580854301616</v>
      </c>
      <c r="P1023" s="63" t="s">
        <v>478</v>
      </c>
    </row>
    <row r="1024" spans="1:16" s="828" customFormat="1" hidden="1">
      <c r="A1024" s="626" t="s">
        <v>510</v>
      </c>
      <c r="B1024" s="59" t="s">
        <v>514</v>
      </c>
      <c r="C1024" s="40" t="s">
        <v>147</v>
      </c>
      <c r="D1024" s="34" t="s">
        <v>107</v>
      </c>
      <c r="E1024" s="260">
        <v>0.03</v>
      </c>
      <c r="F1024" s="34">
        <v>2</v>
      </c>
      <c r="G1024" s="40" t="s">
        <v>451</v>
      </c>
      <c r="H1024" s="29">
        <v>1</v>
      </c>
      <c r="I1024" s="9">
        <v>2</v>
      </c>
      <c r="J1024" s="9">
        <v>2</v>
      </c>
      <c r="K1024" s="9">
        <v>1</v>
      </c>
      <c r="L1024" s="9">
        <v>1</v>
      </c>
      <c r="M1024" s="9">
        <v>1</v>
      </c>
      <c r="N1024" s="186">
        <f t="shared" si="55"/>
        <v>0.16933510251023262</v>
      </c>
      <c r="O1024" s="160">
        <f t="shared" si="56"/>
        <v>0.19908580854301616</v>
      </c>
      <c r="P1024" s="63" t="s">
        <v>480</v>
      </c>
    </row>
    <row r="1025" spans="1:16" s="828" customFormat="1" hidden="1">
      <c r="A1025" s="626" t="s">
        <v>510</v>
      </c>
      <c r="B1025" s="59" t="s">
        <v>515</v>
      </c>
      <c r="C1025" s="40" t="s">
        <v>147</v>
      </c>
      <c r="D1025" s="34" t="s">
        <v>107</v>
      </c>
      <c r="E1025" s="260" t="s">
        <v>158</v>
      </c>
      <c r="F1025" s="34">
        <v>1</v>
      </c>
      <c r="G1025" s="40" t="s">
        <v>451</v>
      </c>
      <c r="H1025" s="29"/>
      <c r="I1025" s="9"/>
      <c r="J1025" s="9"/>
      <c r="K1025" s="9"/>
      <c r="L1025" s="9"/>
      <c r="M1025" s="9"/>
      <c r="N1025" s="186" t="str">
        <f t="shared" ref="N1025:N1047" si="57">IF( OR( ISBLANK(H1025),ISBLANK(J1025), ISBLANK(K1025), ISBLANK(L1025), ISBLANK(M1025) ), "", 1.5*SQRT(   EXP(2.21*(H1025-1)) + EXP(2.21*(J1025-1)) + EXP(2.21*(K1025-1)) + EXP(2.21*(L1025-1)) + EXP(2.21*M1025)   )/100*2.45 )</f>
        <v/>
      </c>
      <c r="O1025" s="160" t="str">
        <f t="shared" si="56"/>
        <v/>
      </c>
      <c r="P1025" s="63" t="s">
        <v>516</v>
      </c>
    </row>
    <row r="1026" spans="1:16" s="828" customFormat="1" hidden="1">
      <c r="A1026" s="626" t="s">
        <v>514</v>
      </c>
      <c r="B1026" s="59" t="s">
        <v>244</v>
      </c>
      <c r="C1026" s="40" t="s">
        <v>147</v>
      </c>
      <c r="D1026" s="34" t="s">
        <v>107</v>
      </c>
      <c r="E1026" s="260">
        <v>0.05</v>
      </c>
      <c r="F1026" s="34">
        <v>2</v>
      </c>
      <c r="G1026" s="40" t="s">
        <v>165</v>
      </c>
      <c r="H1026" s="29">
        <v>1</v>
      </c>
      <c r="I1026" s="9">
        <v>2</v>
      </c>
      <c r="J1026" s="9">
        <v>2</v>
      </c>
      <c r="K1026" s="9">
        <v>1</v>
      </c>
      <c r="L1026" s="9">
        <v>3</v>
      </c>
      <c r="M1026" s="9">
        <v>3</v>
      </c>
      <c r="N1026" s="186">
        <f t="shared" si="57"/>
        <v>1.0725046436742278</v>
      </c>
      <c r="O1026" s="160">
        <f t="shared" si="56"/>
        <v>1.0776024280428556</v>
      </c>
      <c r="P1026" s="63" t="s">
        <v>482</v>
      </c>
    </row>
    <row r="1027" spans="1:16" s="828" customFormat="1" hidden="1">
      <c r="A1027" s="626" t="s">
        <v>514</v>
      </c>
      <c r="B1027" s="59" t="s">
        <v>245</v>
      </c>
      <c r="C1027" s="40" t="s">
        <v>147</v>
      </c>
      <c r="D1027" s="34" t="s">
        <v>107</v>
      </c>
      <c r="E1027" s="260">
        <v>0.39400000000000002</v>
      </c>
      <c r="F1027" s="34">
        <v>2</v>
      </c>
      <c r="G1027" s="40" t="s">
        <v>451</v>
      </c>
      <c r="H1027" s="29">
        <v>1</v>
      </c>
      <c r="I1027" s="9">
        <v>2</v>
      </c>
      <c r="J1027" s="9">
        <v>2</v>
      </c>
      <c r="K1027" s="9">
        <v>1</v>
      </c>
      <c r="L1027" s="9">
        <v>1</v>
      </c>
      <c r="M1027" s="9">
        <v>1</v>
      </c>
      <c r="N1027" s="186">
        <f t="shared" si="57"/>
        <v>0.16933510251023262</v>
      </c>
      <c r="O1027" s="160">
        <f t="shared" si="56"/>
        <v>0.19908580854301616</v>
      </c>
      <c r="P1027" s="63" t="s">
        <v>483</v>
      </c>
    </row>
    <row r="1028" spans="1:16" s="828" customFormat="1" hidden="1">
      <c r="A1028" s="626" t="s">
        <v>514</v>
      </c>
      <c r="B1028" s="59" t="s">
        <v>264</v>
      </c>
      <c r="C1028" s="40" t="s">
        <v>147</v>
      </c>
      <c r="D1028" s="34" t="s">
        <v>107</v>
      </c>
      <c r="E1028" s="260">
        <v>0.52200000000000002</v>
      </c>
      <c r="F1028" s="34">
        <v>1</v>
      </c>
      <c r="G1028" s="40" t="s">
        <v>451</v>
      </c>
      <c r="H1028" s="29">
        <v>1</v>
      </c>
      <c r="I1028" s="9">
        <v>2</v>
      </c>
      <c r="J1028" s="9">
        <v>2</v>
      </c>
      <c r="K1028" s="9">
        <v>1</v>
      </c>
      <c r="L1028" s="9">
        <v>1</v>
      </c>
      <c r="M1028" s="9">
        <v>1</v>
      </c>
      <c r="N1028" s="186">
        <f t="shared" si="57"/>
        <v>0.16933510251023262</v>
      </c>
      <c r="O1028" s="160">
        <f t="shared" si="56"/>
        <v>0.19908580854301616</v>
      </c>
      <c r="P1028" s="63" t="s">
        <v>484</v>
      </c>
    </row>
    <row r="1029" spans="1:16" s="828" customFormat="1" hidden="1">
      <c r="A1029" s="626" t="s">
        <v>514</v>
      </c>
      <c r="B1029" s="59" t="s">
        <v>271</v>
      </c>
      <c r="C1029" s="40" t="s">
        <v>147</v>
      </c>
      <c r="D1029" s="34" t="s">
        <v>107</v>
      </c>
      <c r="E1029" s="260">
        <v>3.4000000000000002E-2</v>
      </c>
      <c r="F1029" s="34">
        <v>2</v>
      </c>
      <c r="G1029" s="40" t="s">
        <v>451</v>
      </c>
      <c r="H1029" s="29">
        <v>1</v>
      </c>
      <c r="I1029" s="9">
        <v>2</v>
      </c>
      <c r="J1029" s="9">
        <v>2</v>
      </c>
      <c r="K1029" s="9">
        <v>1</v>
      </c>
      <c r="L1029" s="9">
        <v>1</v>
      </c>
      <c r="M1029" s="9">
        <v>1</v>
      </c>
      <c r="N1029" s="186">
        <f t="shared" si="57"/>
        <v>0.16933510251023262</v>
      </c>
      <c r="O1029" s="160">
        <f t="shared" si="56"/>
        <v>0.19908580854301616</v>
      </c>
      <c r="P1029" s="63" t="s">
        <v>485</v>
      </c>
    </row>
    <row r="1030" spans="1:16" s="828" customFormat="1" hidden="1">
      <c r="A1030" s="626" t="s">
        <v>512</v>
      </c>
      <c r="B1030" s="59" t="s">
        <v>517</v>
      </c>
      <c r="C1030" s="40" t="s">
        <v>147</v>
      </c>
      <c r="D1030" s="34" t="s">
        <v>107</v>
      </c>
      <c r="E1030" s="260">
        <f>0.1*E1024</f>
        <v>3.0000000000000001E-3</v>
      </c>
      <c r="F1030" s="34">
        <v>2</v>
      </c>
      <c r="G1030" s="40" t="s">
        <v>451</v>
      </c>
      <c r="H1030" s="29">
        <v>1</v>
      </c>
      <c r="I1030" s="9">
        <v>2</v>
      </c>
      <c r="J1030" s="9">
        <v>2</v>
      </c>
      <c r="K1030" s="9">
        <v>1</v>
      </c>
      <c r="L1030" s="9">
        <v>1</v>
      </c>
      <c r="M1030" s="9">
        <v>1</v>
      </c>
      <c r="N1030" s="186">
        <f t="shared" si="57"/>
        <v>0.16933510251023262</v>
      </c>
      <c r="O1030" s="160">
        <f t="shared" si="56"/>
        <v>0.19908580854301616</v>
      </c>
      <c r="P1030" s="63" t="s">
        <v>487</v>
      </c>
    </row>
    <row r="1031" spans="1:16" s="828" customFormat="1" hidden="1">
      <c r="A1031" s="626" t="s">
        <v>512</v>
      </c>
      <c r="B1031" s="59" t="s">
        <v>518</v>
      </c>
      <c r="C1031" s="40" t="s">
        <v>147</v>
      </c>
      <c r="D1031" s="34" t="s">
        <v>107</v>
      </c>
      <c r="E1031" s="260" t="s">
        <v>158</v>
      </c>
      <c r="F1031" s="34">
        <v>1</v>
      </c>
      <c r="G1031" s="40" t="s">
        <v>451</v>
      </c>
      <c r="H1031" s="29"/>
      <c r="I1031" s="9"/>
      <c r="J1031" s="9"/>
      <c r="K1031" s="9"/>
      <c r="L1031" s="9"/>
      <c r="M1031" s="9"/>
      <c r="N1031" s="186" t="str">
        <f t="shared" si="57"/>
        <v/>
      </c>
      <c r="O1031" s="160" t="str">
        <f t="shared" si="56"/>
        <v/>
      </c>
      <c r="P1031" s="63" t="s">
        <v>516</v>
      </c>
    </row>
    <row r="1032" spans="1:16" s="828" customFormat="1" hidden="1">
      <c r="A1032" s="626" t="s">
        <v>517</v>
      </c>
      <c r="B1032" s="59" t="s">
        <v>241</v>
      </c>
      <c r="C1032" s="40" t="s">
        <v>147</v>
      </c>
      <c r="D1032" s="34" t="s">
        <v>107</v>
      </c>
      <c r="E1032" s="260">
        <v>1</v>
      </c>
      <c r="F1032" s="34">
        <v>2</v>
      </c>
      <c r="G1032" s="40" t="s">
        <v>451</v>
      </c>
      <c r="H1032" s="29">
        <v>1</v>
      </c>
      <c r="I1032" s="9">
        <v>2</v>
      </c>
      <c r="J1032" s="9">
        <v>2</v>
      </c>
      <c r="K1032" s="9">
        <v>1</v>
      </c>
      <c r="L1032" s="9">
        <v>1</v>
      </c>
      <c r="M1032" s="9">
        <v>1</v>
      </c>
      <c r="N1032" s="186">
        <f t="shared" si="57"/>
        <v>0.16933510251023262</v>
      </c>
      <c r="O1032" s="160">
        <f t="shared" si="56"/>
        <v>0.19908580854301616</v>
      </c>
      <c r="P1032" s="63" t="s">
        <v>490</v>
      </c>
    </row>
    <row r="1033" spans="1:16" s="828" customFormat="1" hidden="1">
      <c r="A1033" s="626" t="s">
        <v>515</v>
      </c>
      <c r="B1033" s="59" t="s">
        <v>244</v>
      </c>
      <c r="C1033" s="40" t="s">
        <v>147</v>
      </c>
      <c r="D1033" s="34" t="s">
        <v>107</v>
      </c>
      <c r="E1033" s="260">
        <v>1.6000000000000001E-3</v>
      </c>
      <c r="F1033" s="34">
        <v>2</v>
      </c>
      <c r="G1033" s="40" t="s">
        <v>503</v>
      </c>
      <c r="H1033" s="29">
        <v>1</v>
      </c>
      <c r="I1033" s="9">
        <v>2</v>
      </c>
      <c r="J1033" s="9">
        <v>2</v>
      </c>
      <c r="K1033" s="9">
        <v>1</v>
      </c>
      <c r="L1033" s="9">
        <v>3</v>
      </c>
      <c r="M1033" s="9">
        <v>3</v>
      </c>
      <c r="N1033" s="186">
        <f t="shared" si="57"/>
        <v>1.0725046436742278</v>
      </c>
      <c r="O1033" s="160">
        <f t="shared" si="56"/>
        <v>1.0776024280428556</v>
      </c>
      <c r="P1033" s="63" t="s">
        <v>519</v>
      </c>
    </row>
    <row r="1034" spans="1:16" s="828" customFormat="1" hidden="1">
      <c r="A1034" s="626" t="s">
        <v>515</v>
      </c>
      <c r="B1034" s="59" t="s">
        <v>245</v>
      </c>
      <c r="C1034" s="40" t="s">
        <v>147</v>
      </c>
      <c r="D1034" s="34" t="s">
        <v>107</v>
      </c>
      <c r="E1034" s="260">
        <v>1.26E-2</v>
      </c>
      <c r="F1034" s="34">
        <v>2</v>
      </c>
      <c r="G1034" s="40" t="s">
        <v>451</v>
      </c>
      <c r="H1034" s="29">
        <v>1</v>
      </c>
      <c r="I1034" s="9">
        <v>2</v>
      </c>
      <c r="J1034" s="9">
        <v>2</v>
      </c>
      <c r="K1034" s="9">
        <v>1</v>
      </c>
      <c r="L1034" s="9">
        <v>1</v>
      </c>
      <c r="M1034" s="9">
        <v>1</v>
      </c>
      <c r="N1034" s="186">
        <f t="shared" si="57"/>
        <v>0.16933510251023262</v>
      </c>
      <c r="O1034" s="160">
        <f t="shared" si="56"/>
        <v>0.19908580854301616</v>
      </c>
      <c r="P1034" s="63" t="s">
        <v>520</v>
      </c>
    </row>
    <row r="1035" spans="1:16" s="828" customFormat="1" hidden="1">
      <c r="A1035" s="626" t="s">
        <v>515</v>
      </c>
      <c r="B1035" s="59" t="s">
        <v>264</v>
      </c>
      <c r="C1035" s="40" t="s">
        <v>147</v>
      </c>
      <c r="D1035" s="34" t="s">
        <v>107</v>
      </c>
      <c r="E1035" s="260">
        <v>1.67E-2</v>
      </c>
      <c r="F1035" s="34">
        <v>2</v>
      </c>
      <c r="G1035" s="40" t="s">
        <v>451</v>
      </c>
      <c r="H1035" s="29">
        <v>1</v>
      </c>
      <c r="I1035" s="9">
        <v>2</v>
      </c>
      <c r="J1035" s="9">
        <v>2</v>
      </c>
      <c r="K1035" s="9">
        <v>1</v>
      </c>
      <c r="L1035" s="9">
        <v>1</v>
      </c>
      <c r="M1035" s="9">
        <v>1</v>
      </c>
      <c r="N1035" s="186">
        <f t="shared" si="57"/>
        <v>0.16933510251023262</v>
      </c>
      <c r="O1035" s="160">
        <f t="shared" si="56"/>
        <v>0.19908580854301616</v>
      </c>
      <c r="P1035" s="63" t="s">
        <v>521</v>
      </c>
    </row>
    <row r="1036" spans="1:16" s="828" customFormat="1" hidden="1">
      <c r="A1036" s="626" t="s">
        <v>515</v>
      </c>
      <c r="B1036" s="59" t="s">
        <v>271</v>
      </c>
      <c r="C1036" s="40" t="s">
        <v>147</v>
      </c>
      <c r="D1036" s="34" t="s">
        <v>107</v>
      </c>
      <c r="E1036" s="260">
        <v>1.1000000000000001E-3</v>
      </c>
      <c r="F1036" s="34">
        <v>2</v>
      </c>
      <c r="G1036" s="40" t="s">
        <v>451</v>
      </c>
      <c r="H1036" s="29">
        <v>1</v>
      </c>
      <c r="I1036" s="9">
        <v>2</v>
      </c>
      <c r="J1036" s="9">
        <v>2</v>
      </c>
      <c r="K1036" s="9">
        <v>1</v>
      </c>
      <c r="L1036" s="9">
        <v>1</v>
      </c>
      <c r="M1036" s="9">
        <v>1</v>
      </c>
      <c r="N1036" s="186">
        <f t="shared" si="57"/>
        <v>0.16933510251023262</v>
      </c>
      <c r="O1036" s="160">
        <f t="shared" si="56"/>
        <v>0.19908580854301616</v>
      </c>
      <c r="P1036" s="63" t="s">
        <v>522</v>
      </c>
    </row>
    <row r="1037" spans="1:16" s="828" customFormat="1" hidden="1">
      <c r="A1037" s="626" t="s">
        <v>515</v>
      </c>
      <c r="B1037" s="59" t="s">
        <v>344</v>
      </c>
      <c r="C1037" s="40" t="s">
        <v>147</v>
      </c>
      <c r="D1037" s="34" t="s">
        <v>107</v>
      </c>
      <c r="E1037" s="260" t="s">
        <v>158</v>
      </c>
      <c r="F1037" s="34">
        <v>1</v>
      </c>
      <c r="G1037" s="40" t="s">
        <v>451</v>
      </c>
      <c r="H1037" s="29"/>
      <c r="I1037" s="9"/>
      <c r="J1037" s="9"/>
      <c r="K1037" s="9"/>
      <c r="L1037" s="9"/>
      <c r="M1037" s="9"/>
      <c r="N1037" s="186" t="str">
        <f t="shared" si="57"/>
        <v/>
      </c>
      <c r="O1037" s="160" t="str">
        <f t="shared" si="56"/>
        <v/>
      </c>
      <c r="P1037" s="63"/>
    </row>
    <row r="1038" spans="1:16" s="828" customFormat="1" hidden="1">
      <c r="A1038" s="626" t="s">
        <v>518</v>
      </c>
      <c r="B1038" s="59" t="s">
        <v>241</v>
      </c>
      <c r="C1038" s="40" t="s">
        <v>147</v>
      </c>
      <c r="D1038" s="34" t="s">
        <v>107</v>
      </c>
      <c r="E1038" s="260">
        <v>3.2000000000000001E-2</v>
      </c>
      <c r="F1038" s="34">
        <v>2</v>
      </c>
      <c r="G1038" s="40" t="s">
        <v>451</v>
      </c>
      <c r="H1038" s="29">
        <v>1</v>
      </c>
      <c r="I1038" s="9">
        <v>2</v>
      </c>
      <c r="J1038" s="9">
        <v>2</v>
      </c>
      <c r="K1038" s="9">
        <v>1</v>
      </c>
      <c r="L1038" s="9">
        <v>1</v>
      </c>
      <c r="M1038" s="9">
        <v>1</v>
      </c>
      <c r="N1038" s="186">
        <f t="shared" si="57"/>
        <v>0.16933510251023262</v>
      </c>
      <c r="O1038" s="160">
        <f t="shared" si="56"/>
        <v>0.19908580854301616</v>
      </c>
      <c r="P1038" s="63" t="s">
        <v>508</v>
      </c>
    </row>
    <row r="1039" spans="1:16" s="828" customFormat="1" hidden="1">
      <c r="A1039" s="626" t="s">
        <v>518</v>
      </c>
      <c r="B1039" s="59" t="s">
        <v>344</v>
      </c>
      <c r="C1039" s="40" t="s">
        <v>147</v>
      </c>
      <c r="D1039" s="34" t="s">
        <v>107</v>
      </c>
      <c r="E1039" s="260" t="s">
        <v>158</v>
      </c>
      <c r="F1039" s="34">
        <v>1</v>
      </c>
      <c r="G1039" s="40" t="s">
        <v>451</v>
      </c>
      <c r="H1039" s="29"/>
      <c r="I1039" s="9"/>
      <c r="J1039" s="9"/>
      <c r="K1039" s="9"/>
      <c r="L1039" s="9"/>
      <c r="M1039" s="9"/>
      <c r="N1039" s="186" t="str">
        <f t="shared" si="57"/>
        <v/>
      </c>
      <c r="O1039" s="160" t="str">
        <f t="shared" si="56"/>
        <v/>
      </c>
      <c r="P1039" s="63" t="s">
        <v>523</v>
      </c>
    </row>
    <row r="1040" spans="1:16" s="828" customFormat="1" hidden="1">
      <c r="A1040" s="626" t="s">
        <v>454</v>
      </c>
      <c r="B1040" s="59" t="s">
        <v>524</v>
      </c>
      <c r="C1040" s="40" t="s">
        <v>147</v>
      </c>
      <c r="D1040" s="34" t="s">
        <v>107</v>
      </c>
      <c r="E1040" s="260">
        <f>0.97*0.07</f>
        <v>6.7900000000000002E-2</v>
      </c>
      <c r="F1040" s="34">
        <v>2</v>
      </c>
      <c r="G1040" s="40" t="s">
        <v>451</v>
      </c>
      <c r="H1040" s="29">
        <v>1</v>
      </c>
      <c r="I1040" s="9">
        <v>2</v>
      </c>
      <c r="J1040" s="9">
        <v>2</v>
      </c>
      <c r="K1040" s="9">
        <v>1</v>
      </c>
      <c r="L1040" s="9">
        <v>1</v>
      </c>
      <c r="M1040" s="9">
        <v>1</v>
      </c>
      <c r="N1040" s="186">
        <f t="shared" si="57"/>
        <v>0.16933510251023262</v>
      </c>
      <c r="O1040" s="160">
        <f t="shared" si="56"/>
        <v>0.19908580854301616</v>
      </c>
      <c r="P1040" s="63" t="s">
        <v>525</v>
      </c>
    </row>
    <row r="1041" spans="1:16" s="828" customFormat="1" hidden="1">
      <c r="A1041" s="626" t="s">
        <v>454</v>
      </c>
      <c r="B1041" s="59" t="s">
        <v>526</v>
      </c>
      <c r="C1041" s="40" t="s">
        <v>147</v>
      </c>
      <c r="D1041" s="34" t="s">
        <v>107</v>
      </c>
      <c r="E1041" s="260">
        <f>0.97*0.93</f>
        <v>0.90210000000000001</v>
      </c>
      <c r="F1041" s="34">
        <v>2</v>
      </c>
      <c r="G1041" s="40" t="s">
        <v>451</v>
      </c>
      <c r="H1041" s="29">
        <v>1</v>
      </c>
      <c r="I1041" s="9">
        <v>2</v>
      </c>
      <c r="J1041" s="9">
        <v>2</v>
      </c>
      <c r="K1041" s="9">
        <v>1</v>
      </c>
      <c r="L1041" s="9">
        <v>1</v>
      </c>
      <c r="M1041" s="9">
        <v>1</v>
      </c>
      <c r="N1041" s="186">
        <f t="shared" si="57"/>
        <v>0.16933510251023262</v>
      </c>
      <c r="O1041" s="160">
        <f t="shared" si="56"/>
        <v>0.19908580854301616</v>
      </c>
      <c r="P1041" s="63" t="s">
        <v>527</v>
      </c>
    </row>
    <row r="1042" spans="1:16" s="828" customFormat="1" hidden="1">
      <c r="A1042" s="626" t="s">
        <v>454</v>
      </c>
      <c r="B1042" s="59" t="s">
        <v>236</v>
      </c>
      <c r="C1042" s="40" t="s">
        <v>147</v>
      </c>
      <c r="D1042" s="34" t="s">
        <v>107</v>
      </c>
      <c r="E1042" s="260">
        <v>0.03</v>
      </c>
      <c r="F1042" s="34">
        <v>1</v>
      </c>
      <c r="G1042" s="40" t="s">
        <v>451</v>
      </c>
      <c r="H1042" s="29">
        <v>1</v>
      </c>
      <c r="I1042" s="9">
        <v>2</v>
      </c>
      <c r="J1042" s="9">
        <v>2</v>
      </c>
      <c r="K1042" s="9">
        <v>1</v>
      </c>
      <c r="L1042" s="9">
        <v>1</v>
      </c>
      <c r="M1042" s="9">
        <v>1</v>
      </c>
      <c r="N1042" s="186">
        <f t="shared" si="57"/>
        <v>0.16933510251023262</v>
      </c>
      <c r="O1042" s="160">
        <f t="shared" si="56"/>
        <v>0.19908580854301616</v>
      </c>
      <c r="P1042" s="63" t="s">
        <v>478</v>
      </c>
    </row>
    <row r="1043" spans="1:16" s="828" customFormat="1" hidden="1">
      <c r="A1043" s="626" t="s">
        <v>524</v>
      </c>
      <c r="B1043" s="59" t="s">
        <v>528</v>
      </c>
      <c r="C1043" s="40" t="s">
        <v>147</v>
      </c>
      <c r="D1043" s="34" t="s">
        <v>107</v>
      </c>
      <c r="E1043" s="260">
        <v>0.03</v>
      </c>
      <c r="F1043" s="34">
        <v>2</v>
      </c>
      <c r="G1043" s="40" t="s">
        <v>451</v>
      </c>
      <c r="H1043" s="29">
        <v>1</v>
      </c>
      <c r="I1043" s="9">
        <v>2</v>
      </c>
      <c r="J1043" s="9">
        <v>2</v>
      </c>
      <c r="K1043" s="9">
        <v>1</v>
      </c>
      <c r="L1043" s="9">
        <v>1</v>
      </c>
      <c r="M1043" s="9">
        <v>1</v>
      </c>
      <c r="N1043" s="186">
        <f t="shared" si="57"/>
        <v>0.16933510251023262</v>
      </c>
      <c r="O1043" s="160">
        <f t="shared" si="56"/>
        <v>0.19908580854301616</v>
      </c>
      <c r="P1043" s="63" t="s">
        <v>480</v>
      </c>
    </row>
    <row r="1044" spans="1:16" s="828" customFormat="1" hidden="1">
      <c r="A1044" s="626" t="s">
        <v>524</v>
      </c>
      <c r="B1044" s="59" t="s">
        <v>529</v>
      </c>
      <c r="C1044" s="40" t="s">
        <v>147</v>
      </c>
      <c r="D1044" s="34" t="s">
        <v>107</v>
      </c>
      <c r="E1044" s="260" t="s">
        <v>158</v>
      </c>
      <c r="F1044" s="34">
        <v>1</v>
      </c>
      <c r="G1044" s="40" t="s">
        <v>451</v>
      </c>
      <c r="H1044" s="29"/>
      <c r="I1044" s="9"/>
      <c r="J1044" s="9"/>
      <c r="K1044" s="9"/>
      <c r="L1044" s="9"/>
      <c r="M1044" s="9"/>
      <c r="N1044" s="186" t="str">
        <f t="shared" si="57"/>
        <v/>
      </c>
      <c r="O1044" s="160" t="str">
        <f t="shared" si="56"/>
        <v/>
      </c>
      <c r="P1044" s="63" t="s">
        <v>530</v>
      </c>
    </row>
    <row r="1045" spans="1:16" s="828" customFormat="1" hidden="1">
      <c r="A1045" s="626" t="s">
        <v>528</v>
      </c>
      <c r="B1045" s="59" t="s">
        <v>244</v>
      </c>
      <c r="C1045" s="40" t="s">
        <v>147</v>
      </c>
      <c r="D1045" s="34" t="s">
        <v>107</v>
      </c>
      <c r="E1045" s="260">
        <v>0.05</v>
      </c>
      <c r="F1045" s="34">
        <v>2</v>
      </c>
      <c r="G1045" s="40" t="s">
        <v>165</v>
      </c>
      <c r="H1045" s="29">
        <v>1</v>
      </c>
      <c r="I1045" s="9">
        <v>2</v>
      </c>
      <c r="J1045" s="9">
        <v>2</v>
      </c>
      <c r="K1045" s="9">
        <v>1</v>
      </c>
      <c r="L1045" s="9">
        <v>3</v>
      </c>
      <c r="M1045" s="9">
        <v>3</v>
      </c>
      <c r="N1045" s="186">
        <f t="shared" si="57"/>
        <v>1.0725046436742278</v>
      </c>
      <c r="O1045" s="160">
        <f t="shared" si="56"/>
        <v>1.0776024280428556</v>
      </c>
      <c r="P1045" s="63" t="s">
        <v>482</v>
      </c>
    </row>
    <row r="1046" spans="1:16" s="828" customFormat="1" hidden="1">
      <c r="A1046" s="626" t="s">
        <v>528</v>
      </c>
      <c r="B1046" s="59" t="s">
        <v>245</v>
      </c>
      <c r="C1046" s="40" t="s">
        <v>147</v>
      </c>
      <c r="D1046" s="34" t="s">
        <v>107</v>
      </c>
      <c r="E1046" s="260">
        <v>0.39400000000000002</v>
      </c>
      <c r="F1046" s="34">
        <v>2</v>
      </c>
      <c r="G1046" s="40" t="s">
        <v>451</v>
      </c>
      <c r="H1046" s="29">
        <v>1</v>
      </c>
      <c r="I1046" s="9">
        <v>2</v>
      </c>
      <c r="J1046" s="9">
        <v>2</v>
      </c>
      <c r="K1046" s="9">
        <v>1</v>
      </c>
      <c r="L1046" s="9">
        <v>1</v>
      </c>
      <c r="M1046" s="9">
        <v>1</v>
      </c>
      <c r="N1046" s="186">
        <f t="shared" si="57"/>
        <v>0.16933510251023262</v>
      </c>
      <c r="O1046" s="160">
        <f t="shared" si="56"/>
        <v>0.19908580854301616</v>
      </c>
      <c r="P1046" s="63" t="s">
        <v>483</v>
      </c>
    </row>
    <row r="1047" spans="1:16" s="828" customFormat="1" hidden="1">
      <c r="A1047" s="626" t="s">
        <v>528</v>
      </c>
      <c r="B1047" s="59" t="s">
        <v>264</v>
      </c>
      <c r="C1047" s="40" t="s">
        <v>147</v>
      </c>
      <c r="D1047" s="34" t="s">
        <v>107</v>
      </c>
      <c r="E1047" s="260">
        <v>0.52200000000000002</v>
      </c>
      <c r="F1047" s="34">
        <v>1</v>
      </c>
      <c r="G1047" s="40" t="s">
        <v>451</v>
      </c>
      <c r="H1047" s="29">
        <v>1</v>
      </c>
      <c r="I1047" s="9">
        <v>2</v>
      </c>
      <c r="J1047" s="9">
        <v>2</v>
      </c>
      <c r="K1047" s="9">
        <v>1</v>
      </c>
      <c r="L1047" s="9">
        <v>1</v>
      </c>
      <c r="M1047" s="9">
        <v>1</v>
      </c>
      <c r="N1047" s="186">
        <f t="shared" si="57"/>
        <v>0.16933510251023262</v>
      </c>
      <c r="O1047" s="160">
        <f t="shared" si="56"/>
        <v>0.19908580854301616</v>
      </c>
      <c r="P1047" s="63" t="s">
        <v>484</v>
      </c>
    </row>
    <row r="1048" spans="1:16" s="828" customFormat="1" hidden="1">
      <c r="A1048" s="626" t="s">
        <v>528</v>
      </c>
      <c r="B1048" s="59" t="s">
        <v>271</v>
      </c>
      <c r="C1048" s="40" t="s">
        <v>147</v>
      </c>
      <c r="D1048" s="34" t="s">
        <v>107</v>
      </c>
      <c r="E1048" s="260">
        <v>3.4000000000000002E-2</v>
      </c>
      <c r="F1048" s="34">
        <v>2</v>
      </c>
      <c r="G1048" s="40" t="s">
        <v>451</v>
      </c>
      <c r="H1048" s="29">
        <v>1</v>
      </c>
      <c r="I1048" s="9">
        <v>2</v>
      </c>
      <c r="J1048" s="9">
        <v>2</v>
      </c>
      <c r="K1048" s="9">
        <v>1</v>
      </c>
      <c r="L1048" s="9">
        <v>1</v>
      </c>
      <c r="M1048" s="9">
        <v>1</v>
      </c>
      <c r="N1048" s="186"/>
      <c r="O1048" s="160"/>
      <c r="P1048" s="63" t="s">
        <v>485</v>
      </c>
    </row>
    <row r="1049" spans="1:16" s="828" customFormat="1" hidden="1">
      <c r="A1049" s="626" t="s">
        <v>526</v>
      </c>
      <c r="B1049" s="59" t="s">
        <v>531</v>
      </c>
      <c r="C1049" s="40" t="s">
        <v>147</v>
      </c>
      <c r="D1049" s="34" t="s">
        <v>107</v>
      </c>
      <c r="E1049" s="260">
        <f>0.1*E1043</f>
        <v>3.0000000000000001E-3</v>
      </c>
      <c r="F1049" s="34">
        <v>2</v>
      </c>
      <c r="G1049" s="40" t="s">
        <v>451</v>
      </c>
      <c r="H1049" s="29">
        <v>1</v>
      </c>
      <c r="I1049" s="9">
        <v>2</v>
      </c>
      <c r="J1049" s="9">
        <v>2</v>
      </c>
      <c r="K1049" s="9">
        <v>1</v>
      </c>
      <c r="L1049" s="9">
        <v>1</v>
      </c>
      <c r="M1049" s="9">
        <v>1</v>
      </c>
      <c r="N1049" s="186">
        <f t="shared" ref="N1049:N1066" si="58">IF( OR( ISBLANK(H1049),ISBLANK(J1049), ISBLANK(K1049), ISBLANK(L1049), ISBLANK(M1049) ), "", 1.5*SQRT(   EXP(2.21*(H1049-1)) + EXP(2.21*(J1049-1)) + EXP(2.21*(K1049-1)) + EXP(2.21*(L1049-1)) + EXP(2.21*M1049)   )/100*2.45 )</f>
        <v>0.16933510251023262</v>
      </c>
      <c r="O1049" s="160">
        <f t="shared" ref="O1049:O1066" si="59">IF( OR( ISBLANK(I1049),ISBLANK(J1049), ISBLANK(K1049), ISBLANK(L1049), ISBLANK(M1049) ), "", 1.5*SQRT( EXP(2.21*(I1049-1)) + EXP(2.21*(J1049-1)) + EXP(2.21*(K1049-1)) + EXP(2.21*(L1049-1)) + EXP(2.21*M1049)   )/100*2.45 )</f>
        <v>0.19908580854301616</v>
      </c>
      <c r="P1049" s="63" t="s">
        <v>487</v>
      </c>
    </row>
    <row r="1050" spans="1:16" s="828" customFormat="1" hidden="1">
      <c r="A1050" s="626" t="s">
        <v>526</v>
      </c>
      <c r="B1050" s="59" t="s">
        <v>532</v>
      </c>
      <c r="C1050" s="40" t="s">
        <v>147</v>
      </c>
      <c r="D1050" s="34" t="s">
        <v>107</v>
      </c>
      <c r="E1050" s="260" t="s">
        <v>158</v>
      </c>
      <c r="F1050" s="34">
        <v>1</v>
      </c>
      <c r="G1050" s="40" t="s">
        <v>451</v>
      </c>
      <c r="H1050" s="29"/>
      <c r="I1050" s="9"/>
      <c r="J1050" s="9"/>
      <c r="K1050" s="9"/>
      <c r="L1050" s="9"/>
      <c r="M1050" s="9"/>
      <c r="N1050" s="186" t="str">
        <f t="shared" si="58"/>
        <v/>
      </c>
      <c r="O1050" s="160" t="str">
        <f t="shared" si="59"/>
        <v/>
      </c>
      <c r="P1050" s="63" t="s">
        <v>530</v>
      </c>
    </row>
    <row r="1051" spans="1:16" s="828" customFormat="1" hidden="1">
      <c r="A1051" s="626" t="s">
        <v>531</v>
      </c>
      <c r="B1051" s="59" t="s">
        <v>241</v>
      </c>
      <c r="C1051" s="40" t="s">
        <v>147</v>
      </c>
      <c r="D1051" s="34" t="s">
        <v>107</v>
      </c>
      <c r="E1051" s="260">
        <v>1</v>
      </c>
      <c r="F1051" s="34">
        <v>2</v>
      </c>
      <c r="G1051" s="40" t="s">
        <v>451</v>
      </c>
      <c r="H1051" s="29">
        <v>1</v>
      </c>
      <c r="I1051" s="9">
        <v>2</v>
      </c>
      <c r="J1051" s="9">
        <v>2</v>
      </c>
      <c r="K1051" s="9">
        <v>1</v>
      </c>
      <c r="L1051" s="9">
        <v>1</v>
      </c>
      <c r="M1051" s="9">
        <v>1</v>
      </c>
      <c r="N1051" s="186">
        <f t="shared" si="58"/>
        <v>0.16933510251023262</v>
      </c>
      <c r="O1051" s="160">
        <f t="shared" si="59"/>
        <v>0.19908580854301616</v>
      </c>
      <c r="P1051" s="63" t="s">
        <v>490</v>
      </c>
    </row>
    <row r="1052" spans="1:16" s="828" customFormat="1" hidden="1">
      <c r="A1052" s="626" t="s">
        <v>529</v>
      </c>
      <c r="B1052" s="59" t="s">
        <v>244</v>
      </c>
      <c r="C1052" s="40" t="s">
        <v>147</v>
      </c>
      <c r="D1052" s="34" t="s">
        <v>107</v>
      </c>
      <c r="E1052" s="260">
        <v>0</v>
      </c>
      <c r="F1052" s="34">
        <v>2</v>
      </c>
      <c r="G1052" s="40" t="s">
        <v>451</v>
      </c>
      <c r="H1052" s="29">
        <v>1</v>
      </c>
      <c r="I1052" s="9">
        <v>2</v>
      </c>
      <c r="J1052" s="9">
        <v>2</v>
      </c>
      <c r="K1052" s="9">
        <v>1</v>
      </c>
      <c r="L1052" s="9">
        <v>1</v>
      </c>
      <c r="M1052" s="9">
        <v>1</v>
      </c>
      <c r="N1052" s="186">
        <f t="shared" si="58"/>
        <v>0.16933510251023262</v>
      </c>
      <c r="O1052" s="160">
        <f t="shared" si="59"/>
        <v>0.19908580854301616</v>
      </c>
      <c r="P1052" s="63" t="s">
        <v>533</v>
      </c>
    </row>
    <row r="1053" spans="1:16" s="828" customFormat="1" hidden="1">
      <c r="A1053" s="626" t="s">
        <v>529</v>
      </c>
      <c r="B1053" s="59" t="s">
        <v>245</v>
      </c>
      <c r="C1053" s="40" t="s">
        <v>147</v>
      </c>
      <c r="D1053" s="34" t="s">
        <v>107</v>
      </c>
      <c r="E1053" s="260">
        <v>0</v>
      </c>
      <c r="F1053" s="34">
        <v>2</v>
      </c>
      <c r="G1053" s="40" t="s">
        <v>451</v>
      </c>
      <c r="H1053" s="29">
        <v>1</v>
      </c>
      <c r="I1053" s="9">
        <v>2</v>
      </c>
      <c r="J1053" s="9">
        <v>2</v>
      </c>
      <c r="K1053" s="9">
        <v>1</v>
      </c>
      <c r="L1053" s="9">
        <v>1</v>
      </c>
      <c r="M1053" s="9">
        <v>1</v>
      </c>
      <c r="N1053" s="186">
        <f t="shared" si="58"/>
        <v>0.16933510251023262</v>
      </c>
      <c r="O1053" s="160">
        <f t="shared" si="59"/>
        <v>0.19908580854301616</v>
      </c>
      <c r="P1053" s="63" t="s">
        <v>533</v>
      </c>
    </row>
    <row r="1054" spans="1:16" s="828" customFormat="1" hidden="1">
      <c r="A1054" s="626" t="s">
        <v>529</v>
      </c>
      <c r="B1054" s="59" t="s">
        <v>264</v>
      </c>
      <c r="C1054" s="40" t="s">
        <v>147</v>
      </c>
      <c r="D1054" s="34" t="s">
        <v>107</v>
      </c>
      <c r="E1054" s="260">
        <v>0</v>
      </c>
      <c r="F1054" s="34">
        <v>2</v>
      </c>
      <c r="G1054" s="40" t="s">
        <v>451</v>
      </c>
      <c r="H1054" s="29">
        <v>1</v>
      </c>
      <c r="I1054" s="9">
        <v>2</v>
      </c>
      <c r="J1054" s="9">
        <v>2</v>
      </c>
      <c r="K1054" s="9">
        <v>1</v>
      </c>
      <c r="L1054" s="9">
        <v>1</v>
      </c>
      <c r="M1054" s="9">
        <v>1</v>
      </c>
      <c r="N1054" s="186">
        <f t="shared" si="58"/>
        <v>0.16933510251023262</v>
      </c>
      <c r="O1054" s="160">
        <f t="shared" si="59"/>
        <v>0.19908580854301616</v>
      </c>
      <c r="P1054" s="63" t="s">
        <v>533</v>
      </c>
    </row>
    <row r="1055" spans="1:16" s="828" customFormat="1" hidden="1">
      <c r="A1055" s="626" t="s">
        <v>529</v>
      </c>
      <c r="B1055" s="59" t="s">
        <v>271</v>
      </c>
      <c r="C1055" s="40" t="s">
        <v>147</v>
      </c>
      <c r="D1055" s="34" t="s">
        <v>107</v>
      </c>
      <c r="E1055" s="260">
        <v>0</v>
      </c>
      <c r="F1055" s="34">
        <v>2</v>
      </c>
      <c r="G1055" s="40" t="s">
        <v>451</v>
      </c>
      <c r="H1055" s="29">
        <v>1</v>
      </c>
      <c r="I1055" s="9">
        <v>2</v>
      </c>
      <c r="J1055" s="9">
        <v>2</v>
      </c>
      <c r="K1055" s="9">
        <v>1</v>
      </c>
      <c r="L1055" s="9">
        <v>1</v>
      </c>
      <c r="M1055" s="9">
        <v>1</v>
      </c>
      <c r="N1055" s="186">
        <f t="shared" si="58"/>
        <v>0.16933510251023262</v>
      </c>
      <c r="O1055" s="160">
        <f t="shared" si="59"/>
        <v>0.19908580854301616</v>
      </c>
      <c r="P1055" s="63" t="s">
        <v>533</v>
      </c>
    </row>
    <row r="1056" spans="1:16" s="828" customFormat="1" hidden="1">
      <c r="A1056" s="626" t="s">
        <v>529</v>
      </c>
      <c r="B1056" s="59" t="s">
        <v>344</v>
      </c>
      <c r="C1056" s="40" t="s">
        <v>147</v>
      </c>
      <c r="D1056" s="34" t="s">
        <v>107</v>
      </c>
      <c r="E1056" s="260" t="s">
        <v>158</v>
      </c>
      <c r="F1056" s="34">
        <v>1</v>
      </c>
      <c r="G1056" s="40" t="s">
        <v>451</v>
      </c>
      <c r="H1056" s="29"/>
      <c r="I1056" s="9"/>
      <c r="J1056" s="9"/>
      <c r="K1056" s="9"/>
      <c r="L1056" s="9"/>
      <c r="M1056" s="9"/>
      <c r="N1056" s="186" t="str">
        <f t="shared" si="58"/>
        <v/>
      </c>
      <c r="O1056" s="160" t="str">
        <f t="shared" si="59"/>
        <v/>
      </c>
      <c r="P1056" s="63"/>
    </row>
    <row r="1057" spans="1:16" s="828" customFormat="1" hidden="1">
      <c r="A1057" s="626" t="s">
        <v>532</v>
      </c>
      <c r="B1057" s="59" t="s">
        <v>241</v>
      </c>
      <c r="C1057" s="40" t="s">
        <v>147</v>
      </c>
      <c r="D1057" s="34" t="s">
        <v>107</v>
      </c>
      <c r="E1057" s="260">
        <v>0</v>
      </c>
      <c r="F1057" s="34">
        <v>2</v>
      </c>
      <c r="G1057" s="40" t="s">
        <v>451</v>
      </c>
      <c r="H1057" s="29">
        <v>1</v>
      </c>
      <c r="I1057" s="9">
        <v>2</v>
      </c>
      <c r="J1057" s="9">
        <v>2</v>
      </c>
      <c r="K1057" s="9">
        <v>1</v>
      </c>
      <c r="L1057" s="9">
        <v>1</v>
      </c>
      <c r="M1057" s="9">
        <v>1</v>
      </c>
      <c r="N1057" s="186">
        <f t="shared" si="58"/>
        <v>0.16933510251023262</v>
      </c>
      <c r="O1057" s="160">
        <f t="shared" si="59"/>
        <v>0.19908580854301616</v>
      </c>
      <c r="P1057" s="63" t="s">
        <v>492</v>
      </c>
    </row>
    <row r="1058" spans="1:16" s="828" customFormat="1" hidden="1">
      <c r="A1058" s="626" t="s">
        <v>532</v>
      </c>
      <c r="B1058" s="59" t="s">
        <v>344</v>
      </c>
      <c r="C1058" s="40" t="s">
        <v>147</v>
      </c>
      <c r="D1058" s="34" t="s">
        <v>107</v>
      </c>
      <c r="E1058" s="260" t="s">
        <v>158</v>
      </c>
      <c r="F1058" s="34">
        <v>1</v>
      </c>
      <c r="G1058" s="40" t="s">
        <v>451</v>
      </c>
      <c r="H1058" s="29"/>
      <c r="I1058" s="9"/>
      <c r="J1058" s="9"/>
      <c r="K1058" s="9"/>
      <c r="L1058" s="9"/>
      <c r="M1058" s="9"/>
      <c r="N1058" s="186" t="str">
        <f t="shared" si="58"/>
        <v/>
      </c>
      <c r="O1058" s="160" t="str">
        <f t="shared" si="59"/>
        <v/>
      </c>
      <c r="P1058" s="63" t="s">
        <v>534</v>
      </c>
    </row>
    <row r="1059" spans="1:16" s="828" customFormat="1" hidden="1">
      <c r="A1059" s="626" t="s">
        <v>455</v>
      </c>
      <c r="B1059" s="59" t="s">
        <v>535</v>
      </c>
      <c r="C1059" s="40" t="s">
        <v>147</v>
      </c>
      <c r="D1059" s="34" t="s">
        <v>107</v>
      </c>
      <c r="E1059" s="260">
        <f>0.97*0.03</f>
        <v>2.9099999999999997E-2</v>
      </c>
      <c r="F1059" s="34">
        <v>2</v>
      </c>
      <c r="G1059" s="40" t="s">
        <v>451</v>
      </c>
      <c r="H1059" s="29">
        <v>1</v>
      </c>
      <c r="I1059" s="9">
        <v>2</v>
      </c>
      <c r="J1059" s="9">
        <v>2</v>
      </c>
      <c r="K1059" s="9">
        <v>1</v>
      </c>
      <c r="L1059" s="9">
        <v>1</v>
      </c>
      <c r="M1059" s="9">
        <v>1</v>
      </c>
      <c r="N1059" s="186">
        <f t="shared" si="58"/>
        <v>0.16933510251023262</v>
      </c>
      <c r="O1059" s="160">
        <f t="shared" si="59"/>
        <v>0.19908580854301616</v>
      </c>
      <c r="P1059" s="63" t="s">
        <v>536</v>
      </c>
    </row>
    <row r="1060" spans="1:16" s="828" customFormat="1" hidden="1">
      <c r="A1060" s="626" t="s">
        <v>455</v>
      </c>
      <c r="B1060" s="59" t="s">
        <v>537</v>
      </c>
      <c r="C1060" s="40" t="s">
        <v>147</v>
      </c>
      <c r="D1060" s="34" t="s">
        <v>107</v>
      </c>
      <c r="E1060" s="260">
        <f>0.97*0.97</f>
        <v>0.94089999999999996</v>
      </c>
      <c r="F1060" s="34">
        <v>2</v>
      </c>
      <c r="G1060" s="40" t="s">
        <v>451</v>
      </c>
      <c r="H1060" s="29">
        <v>1</v>
      </c>
      <c r="I1060" s="9">
        <v>2</v>
      </c>
      <c r="J1060" s="9">
        <v>2</v>
      </c>
      <c r="K1060" s="9">
        <v>1</v>
      </c>
      <c r="L1060" s="9">
        <v>1</v>
      </c>
      <c r="M1060" s="9">
        <v>1</v>
      </c>
      <c r="N1060" s="186">
        <f t="shared" si="58"/>
        <v>0.16933510251023262</v>
      </c>
      <c r="O1060" s="160">
        <f t="shared" si="59"/>
        <v>0.19908580854301616</v>
      </c>
      <c r="P1060" s="63" t="s">
        <v>538</v>
      </c>
    </row>
    <row r="1061" spans="1:16" s="828" customFormat="1" hidden="1">
      <c r="A1061" s="626" t="s">
        <v>455</v>
      </c>
      <c r="B1061" s="59" t="s">
        <v>236</v>
      </c>
      <c r="C1061" s="40" t="s">
        <v>147</v>
      </c>
      <c r="D1061" s="34" t="s">
        <v>107</v>
      </c>
      <c r="E1061" s="260">
        <v>0.03</v>
      </c>
      <c r="F1061" s="34">
        <v>1</v>
      </c>
      <c r="G1061" s="40" t="s">
        <v>451</v>
      </c>
      <c r="H1061" s="29">
        <v>1</v>
      </c>
      <c r="I1061" s="9">
        <v>2</v>
      </c>
      <c r="J1061" s="9">
        <v>2</v>
      </c>
      <c r="K1061" s="9">
        <v>1</v>
      </c>
      <c r="L1061" s="9">
        <v>1</v>
      </c>
      <c r="M1061" s="9">
        <v>1</v>
      </c>
      <c r="N1061" s="186">
        <f t="shared" si="58"/>
        <v>0.16933510251023262</v>
      </c>
      <c r="O1061" s="160">
        <f t="shared" si="59"/>
        <v>0.19908580854301616</v>
      </c>
      <c r="P1061" s="63" t="s">
        <v>478</v>
      </c>
    </row>
    <row r="1062" spans="1:16" s="828" customFormat="1" hidden="1">
      <c r="A1062" s="626" t="s">
        <v>535</v>
      </c>
      <c r="B1062" s="59" t="s">
        <v>539</v>
      </c>
      <c r="C1062" s="40" t="s">
        <v>147</v>
      </c>
      <c r="D1062" s="34" t="s">
        <v>107</v>
      </c>
      <c r="E1062" s="260">
        <v>0.03</v>
      </c>
      <c r="F1062" s="34">
        <v>2</v>
      </c>
      <c r="G1062" s="40" t="s">
        <v>451</v>
      </c>
      <c r="H1062" s="29">
        <v>1</v>
      </c>
      <c r="I1062" s="9">
        <v>2</v>
      </c>
      <c r="J1062" s="9">
        <v>2</v>
      </c>
      <c r="K1062" s="9">
        <v>1</v>
      </c>
      <c r="L1062" s="9">
        <v>1</v>
      </c>
      <c r="M1062" s="9">
        <v>1</v>
      </c>
      <c r="N1062" s="186">
        <f t="shared" si="58"/>
        <v>0.16933510251023262</v>
      </c>
      <c r="O1062" s="160">
        <f t="shared" si="59"/>
        <v>0.19908580854301616</v>
      </c>
      <c r="P1062" s="63" t="s">
        <v>480</v>
      </c>
    </row>
    <row r="1063" spans="1:16" s="828" customFormat="1" hidden="1">
      <c r="A1063" s="626" t="s">
        <v>535</v>
      </c>
      <c r="B1063" s="59" t="s">
        <v>540</v>
      </c>
      <c r="C1063" s="40" t="s">
        <v>147</v>
      </c>
      <c r="D1063" s="34" t="s">
        <v>107</v>
      </c>
      <c r="E1063" s="260" t="s">
        <v>158</v>
      </c>
      <c r="F1063" s="34">
        <v>1</v>
      </c>
      <c r="G1063" s="40" t="s">
        <v>451</v>
      </c>
      <c r="H1063" s="29"/>
      <c r="I1063" s="9"/>
      <c r="J1063" s="9"/>
      <c r="K1063" s="9"/>
      <c r="L1063" s="9"/>
      <c r="M1063" s="9"/>
      <c r="N1063" s="186" t="str">
        <f t="shared" si="58"/>
        <v/>
      </c>
      <c r="O1063" s="160" t="str">
        <f t="shared" si="59"/>
        <v/>
      </c>
      <c r="P1063" s="63" t="s">
        <v>541</v>
      </c>
    </row>
    <row r="1064" spans="1:16" s="828" customFormat="1" hidden="1">
      <c r="A1064" s="626" t="s">
        <v>539</v>
      </c>
      <c r="B1064" s="59" t="s">
        <v>244</v>
      </c>
      <c r="C1064" s="40" t="s">
        <v>147</v>
      </c>
      <c r="D1064" s="34" t="s">
        <v>107</v>
      </c>
      <c r="E1064" s="260">
        <v>0.05</v>
      </c>
      <c r="F1064" s="34">
        <v>2</v>
      </c>
      <c r="G1064" s="40" t="s">
        <v>165</v>
      </c>
      <c r="H1064" s="29">
        <v>1</v>
      </c>
      <c r="I1064" s="9">
        <v>2</v>
      </c>
      <c r="J1064" s="9">
        <v>2</v>
      </c>
      <c r="K1064" s="9">
        <v>1</v>
      </c>
      <c r="L1064" s="9">
        <v>3</v>
      </c>
      <c r="M1064" s="9">
        <v>3</v>
      </c>
      <c r="N1064" s="186">
        <f t="shared" si="58"/>
        <v>1.0725046436742278</v>
      </c>
      <c r="O1064" s="160">
        <f t="shared" si="59"/>
        <v>1.0776024280428556</v>
      </c>
      <c r="P1064" s="63" t="s">
        <v>482</v>
      </c>
    </row>
    <row r="1065" spans="1:16" s="828" customFormat="1" hidden="1">
      <c r="A1065" s="626" t="s">
        <v>539</v>
      </c>
      <c r="B1065" s="59" t="s">
        <v>245</v>
      </c>
      <c r="C1065" s="40" t="s">
        <v>147</v>
      </c>
      <c r="D1065" s="34" t="s">
        <v>107</v>
      </c>
      <c r="E1065" s="260">
        <v>0.39400000000000002</v>
      </c>
      <c r="F1065" s="34">
        <v>2</v>
      </c>
      <c r="G1065" s="40" t="s">
        <v>451</v>
      </c>
      <c r="H1065" s="29">
        <v>1</v>
      </c>
      <c r="I1065" s="9">
        <v>2</v>
      </c>
      <c r="J1065" s="9">
        <v>2</v>
      </c>
      <c r="K1065" s="9">
        <v>1</v>
      </c>
      <c r="L1065" s="9">
        <v>1</v>
      </c>
      <c r="M1065" s="9">
        <v>1</v>
      </c>
      <c r="N1065" s="186">
        <f t="shared" si="58"/>
        <v>0.16933510251023262</v>
      </c>
      <c r="O1065" s="160">
        <f t="shared" si="59"/>
        <v>0.19908580854301616</v>
      </c>
      <c r="P1065" s="63" t="s">
        <v>483</v>
      </c>
    </row>
    <row r="1066" spans="1:16" s="828" customFormat="1" hidden="1">
      <c r="A1066" s="626" t="s">
        <v>539</v>
      </c>
      <c r="B1066" s="59" t="s">
        <v>264</v>
      </c>
      <c r="C1066" s="40" t="s">
        <v>147</v>
      </c>
      <c r="D1066" s="34" t="s">
        <v>107</v>
      </c>
      <c r="E1066" s="260">
        <v>0.52200000000000002</v>
      </c>
      <c r="F1066" s="34">
        <v>1</v>
      </c>
      <c r="G1066" s="40" t="s">
        <v>451</v>
      </c>
      <c r="H1066" s="29">
        <v>1</v>
      </c>
      <c r="I1066" s="9">
        <v>2</v>
      </c>
      <c r="J1066" s="9">
        <v>2</v>
      </c>
      <c r="K1066" s="9">
        <v>1</v>
      </c>
      <c r="L1066" s="9">
        <v>1</v>
      </c>
      <c r="M1066" s="9">
        <v>1</v>
      </c>
      <c r="N1066" s="186">
        <f t="shared" si="58"/>
        <v>0.16933510251023262</v>
      </c>
      <c r="O1066" s="160">
        <f t="shared" si="59"/>
        <v>0.19908580854301616</v>
      </c>
      <c r="P1066" s="63" t="s">
        <v>484</v>
      </c>
    </row>
    <row r="1067" spans="1:16" s="828" customFormat="1" hidden="1">
      <c r="A1067" s="626" t="s">
        <v>539</v>
      </c>
      <c r="B1067" s="59" t="s">
        <v>271</v>
      </c>
      <c r="C1067" s="40" t="s">
        <v>147</v>
      </c>
      <c r="D1067" s="34" t="s">
        <v>107</v>
      </c>
      <c r="E1067" s="260">
        <v>3.4000000000000002E-2</v>
      </c>
      <c r="F1067" s="34">
        <v>2</v>
      </c>
      <c r="G1067" s="40" t="s">
        <v>451</v>
      </c>
      <c r="H1067" s="29">
        <v>1</v>
      </c>
      <c r="I1067" s="9">
        <v>2</v>
      </c>
      <c r="J1067" s="9">
        <v>2</v>
      </c>
      <c r="K1067" s="9">
        <v>1</v>
      </c>
      <c r="L1067" s="9">
        <v>1</v>
      </c>
      <c r="M1067" s="9">
        <v>1</v>
      </c>
      <c r="N1067" s="186"/>
      <c r="O1067" s="160"/>
      <c r="P1067" s="63" t="s">
        <v>485</v>
      </c>
    </row>
    <row r="1068" spans="1:16" s="828" customFormat="1" hidden="1">
      <c r="A1068" s="626" t="s">
        <v>537</v>
      </c>
      <c r="B1068" s="59" t="s">
        <v>542</v>
      </c>
      <c r="C1068" s="40" t="s">
        <v>147</v>
      </c>
      <c r="D1068" s="34" t="s">
        <v>107</v>
      </c>
      <c r="E1068" s="260">
        <f>0.1*E1062</f>
        <v>3.0000000000000001E-3</v>
      </c>
      <c r="F1068" s="34">
        <v>2</v>
      </c>
      <c r="G1068" s="40" t="s">
        <v>451</v>
      </c>
      <c r="H1068" s="29">
        <v>1</v>
      </c>
      <c r="I1068" s="9">
        <v>2</v>
      </c>
      <c r="J1068" s="9">
        <v>2</v>
      </c>
      <c r="K1068" s="9">
        <v>1</v>
      </c>
      <c r="L1068" s="9">
        <v>1</v>
      </c>
      <c r="M1068" s="9">
        <v>1</v>
      </c>
      <c r="N1068" s="186">
        <f t="shared" ref="N1068:N1085" si="60">IF( OR( ISBLANK(H1068),ISBLANK(J1068), ISBLANK(K1068), ISBLANK(L1068), ISBLANK(M1068) ), "", 1.5*SQRT(   EXP(2.21*(H1068-1)) + EXP(2.21*(J1068-1)) + EXP(2.21*(K1068-1)) + EXP(2.21*(L1068-1)) + EXP(2.21*M1068)   )/100*2.45 )</f>
        <v>0.16933510251023262</v>
      </c>
      <c r="O1068" s="160">
        <f t="shared" ref="O1068:O1085" si="61">IF( OR( ISBLANK(I1068),ISBLANK(J1068), ISBLANK(K1068), ISBLANK(L1068), ISBLANK(M1068) ), "", 1.5*SQRT( EXP(2.21*(I1068-1)) + EXP(2.21*(J1068-1)) + EXP(2.21*(K1068-1)) + EXP(2.21*(L1068-1)) + EXP(2.21*M1068)   )/100*2.45 )</f>
        <v>0.19908580854301616</v>
      </c>
      <c r="P1068" s="63" t="s">
        <v>487</v>
      </c>
    </row>
    <row r="1069" spans="1:16" s="828" customFormat="1" hidden="1">
      <c r="A1069" s="626" t="s">
        <v>537</v>
      </c>
      <c r="B1069" s="59" t="s">
        <v>543</v>
      </c>
      <c r="C1069" s="40" t="s">
        <v>147</v>
      </c>
      <c r="D1069" s="34" t="s">
        <v>107</v>
      </c>
      <c r="E1069" s="260" t="s">
        <v>158</v>
      </c>
      <c r="F1069" s="34">
        <v>1</v>
      </c>
      <c r="G1069" s="40" t="s">
        <v>451</v>
      </c>
      <c r="H1069" s="29"/>
      <c r="I1069" s="9"/>
      <c r="J1069" s="9"/>
      <c r="K1069" s="9"/>
      <c r="L1069" s="9"/>
      <c r="M1069" s="9"/>
      <c r="N1069" s="186" t="str">
        <f t="shared" si="60"/>
        <v/>
      </c>
      <c r="O1069" s="160" t="str">
        <f t="shared" si="61"/>
        <v/>
      </c>
      <c r="P1069" s="63" t="s">
        <v>541</v>
      </c>
    </row>
    <row r="1070" spans="1:16" s="828" customFormat="1" hidden="1">
      <c r="A1070" s="626" t="s">
        <v>542</v>
      </c>
      <c r="B1070" s="59" t="s">
        <v>241</v>
      </c>
      <c r="C1070" s="40" t="s">
        <v>147</v>
      </c>
      <c r="D1070" s="34" t="s">
        <v>107</v>
      </c>
      <c r="E1070" s="260">
        <v>1</v>
      </c>
      <c r="F1070" s="34">
        <v>2</v>
      </c>
      <c r="G1070" s="40" t="s">
        <v>451</v>
      </c>
      <c r="H1070" s="29">
        <v>1</v>
      </c>
      <c r="I1070" s="9">
        <v>2</v>
      </c>
      <c r="J1070" s="9">
        <v>2</v>
      </c>
      <c r="K1070" s="9">
        <v>1</v>
      </c>
      <c r="L1070" s="9">
        <v>1</v>
      </c>
      <c r="M1070" s="9">
        <v>1</v>
      </c>
      <c r="N1070" s="186">
        <f t="shared" si="60"/>
        <v>0.16933510251023262</v>
      </c>
      <c r="O1070" s="160">
        <f t="shared" si="61"/>
        <v>0.19908580854301616</v>
      </c>
      <c r="P1070" s="63" t="s">
        <v>490</v>
      </c>
    </row>
    <row r="1071" spans="1:16" s="828" customFormat="1" hidden="1">
      <c r="A1071" s="626" t="s">
        <v>540</v>
      </c>
      <c r="B1071" s="59" t="s">
        <v>244</v>
      </c>
      <c r="C1071" s="40" t="s">
        <v>147</v>
      </c>
      <c r="D1071" s="34" t="s">
        <v>107</v>
      </c>
      <c r="E1071" s="260">
        <v>0</v>
      </c>
      <c r="F1071" s="34">
        <v>2</v>
      </c>
      <c r="G1071" s="40" t="s">
        <v>451</v>
      </c>
      <c r="H1071" s="29">
        <v>1</v>
      </c>
      <c r="I1071" s="9">
        <v>2</v>
      </c>
      <c r="J1071" s="9">
        <v>2</v>
      </c>
      <c r="K1071" s="9">
        <v>1</v>
      </c>
      <c r="L1071" s="9">
        <v>1</v>
      </c>
      <c r="M1071" s="9">
        <v>1</v>
      </c>
      <c r="N1071" s="186">
        <f t="shared" si="60"/>
        <v>0.16933510251023262</v>
      </c>
      <c r="O1071" s="160">
        <f t="shared" si="61"/>
        <v>0.19908580854301616</v>
      </c>
      <c r="P1071" s="63" t="s">
        <v>544</v>
      </c>
    </row>
    <row r="1072" spans="1:16" s="828" customFormat="1" hidden="1">
      <c r="A1072" s="626" t="s">
        <v>540</v>
      </c>
      <c r="B1072" s="59" t="s">
        <v>245</v>
      </c>
      <c r="C1072" s="40" t="s">
        <v>147</v>
      </c>
      <c r="D1072" s="34" t="s">
        <v>107</v>
      </c>
      <c r="E1072" s="260">
        <v>0</v>
      </c>
      <c r="F1072" s="34">
        <v>2</v>
      </c>
      <c r="G1072" s="40" t="s">
        <v>451</v>
      </c>
      <c r="H1072" s="29">
        <v>1</v>
      </c>
      <c r="I1072" s="9">
        <v>2</v>
      </c>
      <c r="J1072" s="9">
        <v>2</v>
      </c>
      <c r="K1072" s="9">
        <v>1</v>
      </c>
      <c r="L1072" s="9">
        <v>1</v>
      </c>
      <c r="M1072" s="9">
        <v>1</v>
      </c>
      <c r="N1072" s="186">
        <f t="shared" si="60"/>
        <v>0.16933510251023262</v>
      </c>
      <c r="O1072" s="160">
        <f t="shared" si="61"/>
        <v>0.19908580854301616</v>
      </c>
      <c r="P1072" s="63" t="s">
        <v>544</v>
      </c>
    </row>
    <row r="1073" spans="1:16" s="828" customFormat="1" hidden="1">
      <c r="A1073" s="626" t="s">
        <v>540</v>
      </c>
      <c r="B1073" s="59" t="s">
        <v>264</v>
      </c>
      <c r="C1073" s="40" t="s">
        <v>147</v>
      </c>
      <c r="D1073" s="34" t="s">
        <v>107</v>
      </c>
      <c r="E1073" s="260">
        <v>0</v>
      </c>
      <c r="F1073" s="34">
        <v>2</v>
      </c>
      <c r="G1073" s="40" t="s">
        <v>451</v>
      </c>
      <c r="H1073" s="29">
        <v>1</v>
      </c>
      <c r="I1073" s="9">
        <v>2</v>
      </c>
      <c r="J1073" s="9">
        <v>2</v>
      </c>
      <c r="K1073" s="9">
        <v>1</v>
      </c>
      <c r="L1073" s="9">
        <v>1</v>
      </c>
      <c r="M1073" s="9">
        <v>1</v>
      </c>
      <c r="N1073" s="186">
        <f t="shared" si="60"/>
        <v>0.16933510251023262</v>
      </c>
      <c r="O1073" s="160">
        <f t="shared" si="61"/>
        <v>0.19908580854301616</v>
      </c>
      <c r="P1073" s="63" t="s">
        <v>544</v>
      </c>
    </row>
    <row r="1074" spans="1:16" s="828" customFormat="1" hidden="1">
      <c r="A1074" s="626" t="s">
        <v>540</v>
      </c>
      <c r="B1074" s="59" t="s">
        <v>271</v>
      </c>
      <c r="C1074" s="40" t="s">
        <v>147</v>
      </c>
      <c r="D1074" s="34" t="s">
        <v>107</v>
      </c>
      <c r="E1074" s="260">
        <v>0</v>
      </c>
      <c r="F1074" s="34">
        <v>2</v>
      </c>
      <c r="G1074" s="40" t="s">
        <v>451</v>
      </c>
      <c r="H1074" s="29">
        <v>1</v>
      </c>
      <c r="I1074" s="9">
        <v>2</v>
      </c>
      <c r="J1074" s="9">
        <v>2</v>
      </c>
      <c r="K1074" s="9">
        <v>1</v>
      </c>
      <c r="L1074" s="9">
        <v>1</v>
      </c>
      <c r="M1074" s="9">
        <v>1</v>
      </c>
      <c r="N1074" s="186">
        <f t="shared" si="60"/>
        <v>0.16933510251023262</v>
      </c>
      <c r="O1074" s="160">
        <f t="shared" si="61"/>
        <v>0.19908580854301616</v>
      </c>
      <c r="P1074" s="63" t="s">
        <v>544</v>
      </c>
    </row>
    <row r="1075" spans="1:16" s="828" customFormat="1" hidden="1">
      <c r="A1075" s="626" t="s">
        <v>540</v>
      </c>
      <c r="B1075" s="59" t="s">
        <v>344</v>
      </c>
      <c r="C1075" s="40" t="s">
        <v>147</v>
      </c>
      <c r="D1075" s="34" t="s">
        <v>107</v>
      </c>
      <c r="E1075" s="260" t="s">
        <v>158</v>
      </c>
      <c r="F1075" s="34">
        <v>1</v>
      </c>
      <c r="G1075" s="40" t="s">
        <v>451</v>
      </c>
      <c r="H1075" s="29"/>
      <c r="I1075" s="9"/>
      <c r="J1075" s="9"/>
      <c r="K1075" s="9"/>
      <c r="L1075" s="9"/>
      <c r="M1075" s="9"/>
      <c r="N1075" s="186" t="str">
        <f t="shared" si="60"/>
        <v/>
      </c>
      <c r="O1075" s="160" t="str">
        <f t="shared" si="61"/>
        <v/>
      </c>
      <c r="P1075" s="63"/>
    </row>
    <row r="1076" spans="1:16" s="828" customFormat="1" hidden="1">
      <c r="A1076" s="626" t="s">
        <v>543</v>
      </c>
      <c r="B1076" s="59" t="s">
        <v>241</v>
      </c>
      <c r="C1076" s="40" t="s">
        <v>147</v>
      </c>
      <c r="D1076" s="34" t="s">
        <v>107</v>
      </c>
      <c r="E1076" s="260">
        <v>0</v>
      </c>
      <c r="F1076" s="34">
        <v>2</v>
      </c>
      <c r="G1076" s="40" t="s">
        <v>451</v>
      </c>
      <c r="H1076" s="29">
        <v>1</v>
      </c>
      <c r="I1076" s="9">
        <v>2</v>
      </c>
      <c r="J1076" s="9">
        <v>2</v>
      </c>
      <c r="K1076" s="9">
        <v>1</v>
      </c>
      <c r="L1076" s="9">
        <v>1</v>
      </c>
      <c r="M1076" s="9">
        <v>1</v>
      </c>
      <c r="N1076" s="186">
        <f t="shared" si="60"/>
        <v>0.16933510251023262</v>
      </c>
      <c r="O1076" s="160">
        <f t="shared" si="61"/>
        <v>0.19908580854301616</v>
      </c>
      <c r="P1076" s="63" t="s">
        <v>492</v>
      </c>
    </row>
    <row r="1077" spans="1:16" s="828" customFormat="1" hidden="1">
      <c r="A1077" s="626" t="s">
        <v>543</v>
      </c>
      <c r="B1077" s="59" t="s">
        <v>344</v>
      </c>
      <c r="C1077" s="40" t="s">
        <v>147</v>
      </c>
      <c r="D1077" s="34" t="s">
        <v>107</v>
      </c>
      <c r="E1077" s="260" t="s">
        <v>158</v>
      </c>
      <c r="F1077" s="34">
        <v>1</v>
      </c>
      <c r="G1077" s="40" t="s">
        <v>451</v>
      </c>
      <c r="H1077" s="29"/>
      <c r="I1077" s="9"/>
      <c r="J1077" s="9"/>
      <c r="K1077" s="9"/>
      <c r="L1077" s="9"/>
      <c r="M1077" s="9"/>
      <c r="N1077" s="186" t="str">
        <f t="shared" si="60"/>
        <v/>
      </c>
      <c r="O1077" s="160" t="str">
        <f t="shared" si="61"/>
        <v/>
      </c>
      <c r="P1077" s="63" t="s">
        <v>545</v>
      </c>
    </row>
    <row r="1078" spans="1:16" s="828" customFormat="1" hidden="1">
      <c r="A1078" s="626" t="s">
        <v>456</v>
      </c>
      <c r="B1078" s="59" t="s">
        <v>546</v>
      </c>
      <c r="C1078" s="40" t="s">
        <v>147</v>
      </c>
      <c r="D1078" s="34" t="s">
        <v>107</v>
      </c>
      <c r="E1078" s="260">
        <f>0.97*0.1</f>
        <v>9.7000000000000003E-2</v>
      </c>
      <c r="F1078" s="34">
        <v>2</v>
      </c>
      <c r="G1078" s="40" t="s">
        <v>451</v>
      </c>
      <c r="H1078" s="29">
        <v>1</v>
      </c>
      <c r="I1078" s="9">
        <v>2</v>
      </c>
      <c r="J1078" s="9">
        <v>2</v>
      </c>
      <c r="K1078" s="9">
        <v>1</v>
      </c>
      <c r="L1078" s="9">
        <v>1</v>
      </c>
      <c r="M1078" s="9">
        <v>1</v>
      </c>
      <c r="N1078" s="186">
        <f t="shared" si="60"/>
        <v>0.16933510251023262</v>
      </c>
      <c r="O1078" s="160">
        <f t="shared" si="61"/>
        <v>0.19908580854301616</v>
      </c>
      <c r="P1078" s="63" t="s">
        <v>547</v>
      </c>
    </row>
    <row r="1079" spans="1:16" s="828" customFormat="1" hidden="1">
      <c r="A1079" s="626" t="s">
        <v>456</v>
      </c>
      <c r="B1079" s="59" t="s">
        <v>548</v>
      </c>
      <c r="C1079" s="40" t="s">
        <v>147</v>
      </c>
      <c r="D1079" s="34" t="s">
        <v>107</v>
      </c>
      <c r="E1079" s="260">
        <f>0.97*0.9</f>
        <v>0.873</v>
      </c>
      <c r="F1079" s="34">
        <v>2</v>
      </c>
      <c r="G1079" s="40" t="s">
        <v>451</v>
      </c>
      <c r="H1079" s="29">
        <v>1</v>
      </c>
      <c r="I1079" s="9">
        <v>2</v>
      </c>
      <c r="J1079" s="9">
        <v>2</v>
      </c>
      <c r="K1079" s="9">
        <v>1</v>
      </c>
      <c r="L1079" s="9">
        <v>1</v>
      </c>
      <c r="M1079" s="9">
        <v>1</v>
      </c>
      <c r="N1079" s="186">
        <f t="shared" si="60"/>
        <v>0.16933510251023262</v>
      </c>
      <c r="O1079" s="160">
        <f t="shared" si="61"/>
        <v>0.19908580854301616</v>
      </c>
      <c r="P1079" s="63" t="s">
        <v>549</v>
      </c>
    </row>
    <row r="1080" spans="1:16" s="828" customFormat="1" hidden="1">
      <c r="A1080" s="626" t="s">
        <v>456</v>
      </c>
      <c r="B1080" s="59" t="s">
        <v>236</v>
      </c>
      <c r="C1080" s="40" t="s">
        <v>147</v>
      </c>
      <c r="D1080" s="34" t="s">
        <v>107</v>
      </c>
      <c r="E1080" s="260">
        <v>0.03</v>
      </c>
      <c r="F1080" s="34">
        <v>1</v>
      </c>
      <c r="G1080" s="40" t="s">
        <v>451</v>
      </c>
      <c r="H1080" s="29">
        <v>1</v>
      </c>
      <c r="I1080" s="9">
        <v>2</v>
      </c>
      <c r="J1080" s="9">
        <v>2</v>
      </c>
      <c r="K1080" s="9">
        <v>1</v>
      </c>
      <c r="L1080" s="9">
        <v>1</v>
      </c>
      <c r="M1080" s="9">
        <v>1</v>
      </c>
      <c r="N1080" s="186">
        <f t="shared" si="60"/>
        <v>0.16933510251023262</v>
      </c>
      <c r="O1080" s="160">
        <f t="shared" si="61"/>
        <v>0.19908580854301616</v>
      </c>
      <c r="P1080" s="63" t="s">
        <v>478</v>
      </c>
    </row>
    <row r="1081" spans="1:16" s="828" customFormat="1" hidden="1">
      <c r="A1081" s="626" t="s">
        <v>546</v>
      </c>
      <c r="B1081" s="59" t="s">
        <v>550</v>
      </c>
      <c r="C1081" s="40" t="s">
        <v>147</v>
      </c>
      <c r="D1081" s="34" t="s">
        <v>107</v>
      </c>
      <c r="E1081" s="260">
        <v>0.03</v>
      </c>
      <c r="F1081" s="34">
        <v>2</v>
      </c>
      <c r="G1081" s="40" t="s">
        <v>451</v>
      </c>
      <c r="H1081" s="29">
        <v>1</v>
      </c>
      <c r="I1081" s="9">
        <v>2</v>
      </c>
      <c r="J1081" s="9">
        <v>2</v>
      </c>
      <c r="K1081" s="9">
        <v>1</v>
      </c>
      <c r="L1081" s="9">
        <v>1</v>
      </c>
      <c r="M1081" s="9">
        <v>1</v>
      </c>
      <c r="N1081" s="186">
        <f t="shared" si="60"/>
        <v>0.16933510251023262</v>
      </c>
      <c r="O1081" s="160">
        <f t="shared" si="61"/>
        <v>0.19908580854301616</v>
      </c>
      <c r="P1081" s="63" t="s">
        <v>480</v>
      </c>
    </row>
    <row r="1082" spans="1:16" s="828" customFormat="1" hidden="1">
      <c r="A1082" s="626" t="s">
        <v>546</v>
      </c>
      <c r="B1082" s="59" t="s">
        <v>551</v>
      </c>
      <c r="C1082" s="40" t="s">
        <v>147</v>
      </c>
      <c r="D1082" s="34" t="s">
        <v>107</v>
      </c>
      <c r="E1082" s="260" t="s">
        <v>158</v>
      </c>
      <c r="F1082" s="34">
        <v>1</v>
      </c>
      <c r="G1082" s="40" t="s">
        <v>451</v>
      </c>
      <c r="H1082" s="29"/>
      <c r="I1082" s="9"/>
      <c r="J1082" s="9"/>
      <c r="K1082" s="9"/>
      <c r="L1082" s="9"/>
      <c r="M1082" s="9"/>
      <c r="N1082" s="186" t="str">
        <f t="shared" si="60"/>
        <v/>
      </c>
      <c r="O1082" s="160" t="str">
        <f t="shared" si="61"/>
        <v/>
      </c>
      <c r="P1082" s="63" t="s">
        <v>552</v>
      </c>
    </row>
    <row r="1083" spans="1:16" s="828" customFormat="1" hidden="1">
      <c r="A1083" s="626" t="s">
        <v>550</v>
      </c>
      <c r="B1083" s="59" t="s">
        <v>244</v>
      </c>
      <c r="C1083" s="40" t="s">
        <v>147</v>
      </c>
      <c r="D1083" s="34" t="s">
        <v>107</v>
      </c>
      <c r="E1083" s="260">
        <v>0.05</v>
      </c>
      <c r="F1083" s="34">
        <v>2</v>
      </c>
      <c r="G1083" s="40" t="s">
        <v>165</v>
      </c>
      <c r="H1083" s="29">
        <v>1</v>
      </c>
      <c r="I1083" s="9">
        <v>2</v>
      </c>
      <c r="J1083" s="9">
        <v>2</v>
      </c>
      <c r="K1083" s="9">
        <v>1</v>
      </c>
      <c r="L1083" s="9">
        <v>3</v>
      </c>
      <c r="M1083" s="9">
        <v>3</v>
      </c>
      <c r="N1083" s="186">
        <f t="shared" si="60"/>
        <v>1.0725046436742278</v>
      </c>
      <c r="O1083" s="160">
        <f t="shared" si="61"/>
        <v>1.0776024280428556</v>
      </c>
      <c r="P1083" s="63" t="s">
        <v>482</v>
      </c>
    </row>
    <row r="1084" spans="1:16" s="828" customFormat="1" hidden="1">
      <c r="A1084" s="626" t="s">
        <v>550</v>
      </c>
      <c r="B1084" s="59" t="s">
        <v>245</v>
      </c>
      <c r="C1084" s="40" t="s">
        <v>147</v>
      </c>
      <c r="D1084" s="34" t="s">
        <v>107</v>
      </c>
      <c r="E1084" s="260">
        <v>0.39400000000000002</v>
      </c>
      <c r="F1084" s="34">
        <v>2</v>
      </c>
      <c r="G1084" s="40" t="s">
        <v>451</v>
      </c>
      <c r="H1084" s="29">
        <v>1</v>
      </c>
      <c r="I1084" s="9">
        <v>2</v>
      </c>
      <c r="J1084" s="9">
        <v>2</v>
      </c>
      <c r="K1084" s="9">
        <v>1</v>
      </c>
      <c r="L1084" s="9">
        <v>1</v>
      </c>
      <c r="M1084" s="9">
        <v>1</v>
      </c>
      <c r="N1084" s="186">
        <f t="shared" si="60"/>
        <v>0.16933510251023262</v>
      </c>
      <c r="O1084" s="160">
        <f t="shared" si="61"/>
        <v>0.19908580854301616</v>
      </c>
      <c r="P1084" s="63" t="s">
        <v>483</v>
      </c>
    </row>
    <row r="1085" spans="1:16" s="828" customFormat="1" hidden="1">
      <c r="A1085" s="626" t="s">
        <v>550</v>
      </c>
      <c r="B1085" s="59" t="s">
        <v>264</v>
      </c>
      <c r="C1085" s="40" t="s">
        <v>147</v>
      </c>
      <c r="D1085" s="34" t="s">
        <v>107</v>
      </c>
      <c r="E1085" s="260">
        <v>0.52200000000000002</v>
      </c>
      <c r="F1085" s="34">
        <v>1</v>
      </c>
      <c r="G1085" s="40" t="s">
        <v>451</v>
      </c>
      <c r="H1085" s="29">
        <v>1</v>
      </c>
      <c r="I1085" s="9">
        <v>2</v>
      </c>
      <c r="J1085" s="9">
        <v>2</v>
      </c>
      <c r="K1085" s="9">
        <v>1</v>
      </c>
      <c r="L1085" s="9">
        <v>1</v>
      </c>
      <c r="M1085" s="9">
        <v>1</v>
      </c>
      <c r="N1085" s="186">
        <f t="shared" si="60"/>
        <v>0.16933510251023262</v>
      </c>
      <c r="O1085" s="160">
        <f t="shared" si="61"/>
        <v>0.19908580854301616</v>
      </c>
      <c r="P1085" s="63" t="s">
        <v>484</v>
      </c>
    </row>
    <row r="1086" spans="1:16" s="828" customFormat="1" hidden="1">
      <c r="A1086" s="626" t="s">
        <v>550</v>
      </c>
      <c r="B1086" s="59" t="s">
        <v>271</v>
      </c>
      <c r="C1086" s="40" t="s">
        <v>147</v>
      </c>
      <c r="D1086" s="34" t="s">
        <v>107</v>
      </c>
      <c r="E1086" s="260">
        <v>3.4000000000000002E-2</v>
      </c>
      <c r="F1086" s="34">
        <v>2</v>
      </c>
      <c r="G1086" s="40" t="s">
        <v>451</v>
      </c>
      <c r="H1086" s="29">
        <v>1</v>
      </c>
      <c r="I1086" s="9">
        <v>2</v>
      </c>
      <c r="J1086" s="9">
        <v>2</v>
      </c>
      <c r="K1086" s="9">
        <v>1</v>
      </c>
      <c r="L1086" s="9">
        <v>1</v>
      </c>
      <c r="M1086" s="9">
        <v>1</v>
      </c>
      <c r="N1086" s="186"/>
      <c r="O1086" s="160"/>
      <c r="P1086" s="63" t="s">
        <v>485</v>
      </c>
    </row>
    <row r="1087" spans="1:16" s="828" customFormat="1" hidden="1">
      <c r="A1087" s="626" t="s">
        <v>548</v>
      </c>
      <c r="B1087" s="59" t="s">
        <v>553</v>
      </c>
      <c r="C1087" s="40" t="s">
        <v>147</v>
      </c>
      <c r="D1087" s="34" t="s">
        <v>107</v>
      </c>
      <c r="E1087" s="260">
        <f>0.1*E1081</f>
        <v>3.0000000000000001E-3</v>
      </c>
      <c r="F1087" s="34">
        <v>2</v>
      </c>
      <c r="G1087" s="40" t="s">
        <v>451</v>
      </c>
      <c r="H1087" s="29">
        <v>1</v>
      </c>
      <c r="I1087" s="9">
        <v>2</v>
      </c>
      <c r="J1087" s="9">
        <v>2</v>
      </c>
      <c r="K1087" s="9">
        <v>1</v>
      </c>
      <c r="L1087" s="9">
        <v>1</v>
      </c>
      <c r="M1087" s="9">
        <v>1</v>
      </c>
      <c r="N1087" s="186">
        <f t="shared" ref="N1087:N1104" si="62">IF( OR( ISBLANK(H1087),ISBLANK(J1087), ISBLANK(K1087), ISBLANK(L1087), ISBLANK(M1087) ), "", 1.5*SQRT(   EXP(2.21*(H1087-1)) + EXP(2.21*(J1087-1)) + EXP(2.21*(K1087-1)) + EXP(2.21*(L1087-1)) + EXP(2.21*M1087)   )/100*2.45 )</f>
        <v>0.16933510251023262</v>
      </c>
      <c r="O1087" s="160">
        <f t="shared" ref="O1087:O1104" si="63">IF( OR( ISBLANK(I1087),ISBLANK(J1087), ISBLANK(K1087), ISBLANK(L1087), ISBLANK(M1087) ), "", 1.5*SQRT( EXP(2.21*(I1087-1)) + EXP(2.21*(J1087-1)) + EXP(2.21*(K1087-1)) + EXP(2.21*(L1087-1)) + EXP(2.21*M1087)   )/100*2.45 )</f>
        <v>0.19908580854301616</v>
      </c>
      <c r="P1087" s="63" t="s">
        <v>487</v>
      </c>
    </row>
    <row r="1088" spans="1:16" s="828" customFormat="1" hidden="1">
      <c r="A1088" s="626" t="s">
        <v>548</v>
      </c>
      <c r="B1088" s="59" t="s">
        <v>554</v>
      </c>
      <c r="C1088" s="40" t="s">
        <v>147</v>
      </c>
      <c r="D1088" s="34" t="s">
        <v>107</v>
      </c>
      <c r="E1088" s="260" t="s">
        <v>158</v>
      </c>
      <c r="F1088" s="34">
        <v>1</v>
      </c>
      <c r="G1088" s="40" t="s">
        <v>451</v>
      </c>
      <c r="H1088" s="29"/>
      <c r="I1088" s="9"/>
      <c r="J1088" s="9"/>
      <c r="K1088" s="9"/>
      <c r="L1088" s="9"/>
      <c r="M1088" s="9"/>
      <c r="N1088" s="186" t="str">
        <f t="shared" si="62"/>
        <v/>
      </c>
      <c r="O1088" s="160" t="str">
        <f t="shared" si="63"/>
        <v/>
      </c>
      <c r="P1088" s="63" t="s">
        <v>552</v>
      </c>
    </row>
    <row r="1089" spans="1:16" s="828" customFormat="1" hidden="1">
      <c r="A1089" s="626" t="s">
        <v>553</v>
      </c>
      <c r="B1089" s="59" t="s">
        <v>241</v>
      </c>
      <c r="C1089" s="40" t="s">
        <v>147</v>
      </c>
      <c r="D1089" s="34" t="s">
        <v>107</v>
      </c>
      <c r="E1089" s="260">
        <v>1</v>
      </c>
      <c r="F1089" s="34">
        <v>2</v>
      </c>
      <c r="G1089" s="40" t="s">
        <v>451</v>
      </c>
      <c r="H1089" s="29">
        <v>1</v>
      </c>
      <c r="I1089" s="9">
        <v>2</v>
      </c>
      <c r="J1089" s="9">
        <v>2</v>
      </c>
      <c r="K1089" s="9">
        <v>1</v>
      </c>
      <c r="L1089" s="9">
        <v>1</v>
      </c>
      <c r="M1089" s="9">
        <v>1</v>
      </c>
      <c r="N1089" s="186">
        <f t="shared" si="62"/>
        <v>0.16933510251023262</v>
      </c>
      <c r="O1089" s="160">
        <f t="shared" si="63"/>
        <v>0.19908580854301616</v>
      </c>
      <c r="P1089" s="63" t="s">
        <v>490</v>
      </c>
    </row>
    <row r="1090" spans="1:16" s="828" customFormat="1" hidden="1">
      <c r="A1090" s="626" t="s">
        <v>551</v>
      </c>
      <c r="B1090" s="59" t="s">
        <v>244</v>
      </c>
      <c r="C1090" s="40" t="s">
        <v>147</v>
      </c>
      <c r="D1090" s="34" t="s">
        <v>107</v>
      </c>
      <c r="E1090" s="260">
        <v>0</v>
      </c>
      <c r="F1090" s="34">
        <v>2</v>
      </c>
      <c r="G1090" s="40" t="s">
        <v>451</v>
      </c>
      <c r="H1090" s="29">
        <v>1</v>
      </c>
      <c r="I1090" s="9">
        <v>2</v>
      </c>
      <c r="J1090" s="9">
        <v>2</v>
      </c>
      <c r="K1090" s="9">
        <v>1</v>
      </c>
      <c r="L1090" s="9">
        <v>1</v>
      </c>
      <c r="M1090" s="9">
        <v>1</v>
      </c>
      <c r="N1090" s="186">
        <f t="shared" si="62"/>
        <v>0.16933510251023262</v>
      </c>
      <c r="O1090" s="160">
        <f t="shared" si="63"/>
        <v>0.19908580854301616</v>
      </c>
      <c r="P1090" s="63" t="s">
        <v>555</v>
      </c>
    </row>
    <row r="1091" spans="1:16" s="828" customFormat="1" hidden="1">
      <c r="A1091" s="626" t="s">
        <v>551</v>
      </c>
      <c r="B1091" s="59" t="s">
        <v>245</v>
      </c>
      <c r="C1091" s="40" t="s">
        <v>147</v>
      </c>
      <c r="D1091" s="34" t="s">
        <v>107</v>
      </c>
      <c r="E1091" s="260">
        <v>0</v>
      </c>
      <c r="F1091" s="34">
        <v>2</v>
      </c>
      <c r="G1091" s="40" t="s">
        <v>451</v>
      </c>
      <c r="H1091" s="29">
        <v>1</v>
      </c>
      <c r="I1091" s="9">
        <v>2</v>
      </c>
      <c r="J1091" s="9">
        <v>2</v>
      </c>
      <c r="K1091" s="9">
        <v>1</v>
      </c>
      <c r="L1091" s="9">
        <v>1</v>
      </c>
      <c r="M1091" s="9">
        <v>1</v>
      </c>
      <c r="N1091" s="186">
        <f t="shared" si="62"/>
        <v>0.16933510251023262</v>
      </c>
      <c r="O1091" s="160">
        <f t="shared" si="63"/>
        <v>0.19908580854301616</v>
      </c>
      <c r="P1091" s="63" t="s">
        <v>555</v>
      </c>
    </row>
    <row r="1092" spans="1:16" s="828" customFormat="1" hidden="1">
      <c r="A1092" s="626" t="s">
        <v>551</v>
      </c>
      <c r="B1092" s="59" t="s">
        <v>264</v>
      </c>
      <c r="C1092" s="40" t="s">
        <v>147</v>
      </c>
      <c r="D1092" s="34" t="s">
        <v>107</v>
      </c>
      <c r="E1092" s="260">
        <v>0</v>
      </c>
      <c r="F1092" s="34">
        <v>2</v>
      </c>
      <c r="G1092" s="40" t="s">
        <v>451</v>
      </c>
      <c r="H1092" s="29">
        <v>1</v>
      </c>
      <c r="I1092" s="9">
        <v>2</v>
      </c>
      <c r="J1092" s="9">
        <v>2</v>
      </c>
      <c r="K1092" s="9">
        <v>1</v>
      </c>
      <c r="L1092" s="9">
        <v>1</v>
      </c>
      <c r="M1092" s="9">
        <v>1</v>
      </c>
      <c r="N1092" s="186">
        <f t="shared" si="62"/>
        <v>0.16933510251023262</v>
      </c>
      <c r="O1092" s="160">
        <f t="shared" si="63"/>
        <v>0.19908580854301616</v>
      </c>
      <c r="P1092" s="63" t="s">
        <v>555</v>
      </c>
    </row>
    <row r="1093" spans="1:16" s="828" customFormat="1" hidden="1">
      <c r="A1093" s="626" t="s">
        <v>551</v>
      </c>
      <c r="B1093" s="59" t="s">
        <v>271</v>
      </c>
      <c r="C1093" s="40" t="s">
        <v>147</v>
      </c>
      <c r="D1093" s="34" t="s">
        <v>107</v>
      </c>
      <c r="E1093" s="260">
        <v>0</v>
      </c>
      <c r="F1093" s="34">
        <v>2</v>
      </c>
      <c r="G1093" s="40" t="s">
        <v>451</v>
      </c>
      <c r="H1093" s="29">
        <v>1</v>
      </c>
      <c r="I1093" s="9">
        <v>2</v>
      </c>
      <c r="J1093" s="9">
        <v>2</v>
      </c>
      <c r="K1093" s="9">
        <v>1</v>
      </c>
      <c r="L1093" s="9">
        <v>1</v>
      </c>
      <c r="M1093" s="9">
        <v>1</v>
      </c>
      <c r="N1093" s="186">
        <f t="shared" si="62"/>
        <v>0.16933510251023262</v>
      </c>
      <c r="O1093" s="160">
        <f t="shared" si="63"/>
        <v>0.19908580854301616</v>
      </c>
      <c r="P1093" s="63" t="s">
        <v>555</v>
      </c>
    </row>
    <row r="1094" spans="1:16" s="828" customFormat="1" hidden="1">
      <c r="A1094" s="626" t="s">
        <v>551</v>
      </c>
      <c r="B1094" s="59" t="s">
        <v>344</v>
      </c>
      <c r="C1094" s="40" t="s">
        <v>147</v>
      </c>
      <c r="D1094" s="34" t="s">
        <v>107</v>
      </c>
      <c r="E1094" s="260" t="s">
        <v>158</v>
      </c>
      <c r="F1094" s="34">
        <v>1</v>
      </c>
      <c r="G1094" s="40" t="s">
        <v>451</v>
      </c>
      <c r="H1094" s="29"/>
      <c r="I1094" s="9"/>
      <c r="J1094" s="9"/>
      <c r="K1094" s="9"/>
      <c r="L1094" s="9"/>
      <c r="M1094" s="9"/>
      <c r="N1094" s="186" t="str">
        <f t="shared" si="62"/>
        <v/>
      </c>
      <c r="O1094" s="160" t="str">
        <f t="shared" si="63"/>
        <v/>
      </c>
      <c r="P1094" s="63"/>
    </row>
    <row r="1095" spans="1:16" s="828" customFormat="1" hidden="1">
      <c r="A1095" s="626" t="s">
        <v>554</v>
      </c>
      <c r="B1095" s="59" t="s">
        <v>241</v>
      </c>
      <c r="C1095" s="40" t="s">
        <v>147</v>
      </c>
      <c r="D1095" s="34" t="s">
        <v>107</v>
      </c>
      <c r="E1095" s="260">
        <v>0</v>
      </c>
      <c r="F1095" s="34">
        <v>2</v>
      </c>
      <c r="G1095" s="40" t="s">
        <v>451</v>
      </c>
      <c r="H1095" s="29">
        <v>1</v>
      </c>
      <c r="I1095" s="9">
        <v>2</v>
      </c>
      <c r="J1095" s="9">
        <v>2</v>
      </c>
      <c r="K1095" s="9">
        <v>1</v>
      </c>
      <c r="L1095" s="9">
        <v>1</v>
      </c>
      <c r="M1095" s="9">
        <v>1</v>
      </c>
      <c r="N1095" s="186">
        <f t="shared" si="62"/>
        <v>0.16933510251023262</v>
      </c>
      <c r="O1095" s="160">
        <f t="shared" si="63"/>
        <v>0.19908580854301616</v>
      </c>
      <c r="P1095" s="63" t="s">
        <v>492</v>
      </c>
    </row>
    <row r="1096" spans="1:16" s="828" customFormat="1" hidden="1">
      <c r="A1096" s="626" t="s">
        <v>554</v>
      </c>
      <c r="B1096" s="59" t="s">
        <v>344</v>
      </c>
      <c r="C1096" s="40" t="s">
        <v>147</v>
      </c>
      <c r="D1096" s="34" t="s">
        <v>107</v>
      </c>
      <c r="E1096" s="260" t="s">
        <v>158</v>
      </c>
      <c r="F1096" s="34">
        <v>1</v>
      </c>
      <c r="G1096" s="40" t="s">
        <v>451</v>
      </c>
      <c r="H1096" s="29"/>
      <c r="I1096" s="9"/>
      <c r="J1096" s="9"/>
      <c r="K1096" s="9"/>
      <c r="L1096" s="9"/>
      <c r="M1096" s="9"/>
      <c r="N1096" s="186" t="str">
        <f t="shared" si="62"/>
        <v/>
      </c>
      <c r="O1096" s="160" t="str">
        <f t="shared" si="63"/>
        <v/>
      </c>
      <c r="P1096" s="63" t="s">
        <v>556</v>
      </c>
    </row>
    <row r="1097" spans="1:16" s="828" customFormat="1" hidden="1">
      <c r="A1097" s="626" t="s">
        <v>457</v>
      </c>
      <c r="B1097" s="59" t="s">
        <v>557</v>
      </c>
      <c r="C1097" s="40" t="s">
        <v>147</v>
      </c>
      <c r="D1097" s="34" t="s">
        <v>107</v>
      </c>
      <c r="E1097" s="260">
        <f>0.97*0.25</f>
        <v>0.24249999999999999</v>
      </c>
      <c r="F1097" s="34">
        <v>2</v>
      </c>
      <c r="G1097" s="40" t="s">
        <v>451</v>
      </c>
      <c r="H1097" s="29">
        <v>1</v>
      </c>
      <c r="I1097" s="9">
        <v>2</v>
      </c>
      <c r="J1097" s="9">
        <v>2</v>
      </c>
      <c r="K1097" s="9">
        <v>1</v>
      </c>
      <c r="L1097" s="9">
        <v>1</v>
      </c>
      <c r="M1097" s="9">
        <v>1</v>
      </c>
      <c r="N1097" s="186">
        <f t="shared" si="62"/>
        <v>0.16933510251023262</v>
      </c>
      <c r="O1097" s="160">
        <f t="shared" si="63"/>
        <v>0.19908580854301616</v>
      </c>
      <c r="P1097" s="63" t="s">
        <v>511</v>
      </c>
    </row>
    <row r="1098" spans="1:16" s="828" customFormat="1" hidden="1">
      <c r="A1098" s="626" t="s">
        <v>457</v>
      </c>
      <c r="B1098" s="59" t="s">
        <v>558</v>
      </c>
      <c r="C1098" s="40" t="s">
        <v>147</v>
      </c>
      <c r="D1098" s="34" t="s">
        <v>107</v>
      </c>
      <c r="E1098" s="260">
        <f>0.97*0.75</f>
        <v>0.72750000000000004</v>
      </c>
      <c r="F1098" s="34">
        <v>2</v>
      </c>
      <c r="G1098" s="40" t="s">
        <v>451</v>
      </c>
      <c r="H1098" s="29">
        <v>1</v>
      </c>
      <c r="I1098" s="9">
        <v>2</v>
      </c>
      <c r="J1098" s="9">
        <v>2</v>
      </c>
      <c r="K1098" s="9">
        <v>1</v>
      </c>
      <c r="L1098" s="9">
        <v>1</v>
      </c>
      <c r="M1098" s="9">
        <v>1</v>
      </c>
      <c r="N1098" s="186">
        <f t="shared" si="62"/>
        <v>0.16933510251023262</v>
      </c>
      <c r="O1098" s="160">
        <f t="shared" si="63"/>
        <v>0.19908580854301616</v>
      </c>
      <c r="P1098" s="63" t="s">
        <v>549</v>
      </c>
    </row>
    <row r="1099" spans="1:16" s="828" customFormat="1" hidden="1">
      <c r="A1099" s="626" t="s">
        <v>457</v>
      </c>
      <c r="B1099" s="59" t="s">
        <v>236</v>
      </c>
      <c r="C1099" s="40" t="s">
        <v>147</v>
      </c>
      <c r="D1099" s="34" t="s">
        <v>107</v>
      </c>
      <c r="E1099" s="260">
        <v>0.03</v>
      </c>
      <c r="F1099" s="34">
        <v>1</v>
      </c>
      <c r="G1099" s="40" t="s">
        <v>451</v>
      </c>
      <c r="H1099" s="29">
        <v>1</v>
      </c>
      <c r="I1099" s="9">
        <v>2</v>
      </c>
      <c r="J1099" s="9">
        <v>2</v>
      </c>
      <c r="K1099" s="9">
        <v>1</v>
      </c>
      <c r="L1099" s="9">
        <v>1</v>
      </c>
      <c r="M1099" s="9">
        <v>1</v>
      </c>
      <c r="N1099" s="186">
        <f t="shared" si="62"/>
        <v>0.16933510251023262</v>
      </c>
      <c r="O1099" s="160">
        <f t="shared" si="63"/>
        <v>0.19908580854301616</v>
      </c>
      <c r="P1099" s="63" t="s">
        <v>478</v>
      </c>
    </row>
    <row r="1100" spans="1:16" s="828" customFormat="1" hidden="1">
      <c r="A1100" s="626" t="s">
        <v>557</v>
      </c>
      <c r="B1100" s="59" t="s">
        <v>559</v>
      </c>
      <c r="C1100" s="40" t="s">
        <v>147</v>
      </c>
      <c r="D1100" s="34" t="s">
        <v>107</v>
      </c>
      <c r="E1100" s="260">
        <v>0.03</v>
      </c>
      <c r="F1100" s="34">
        <v>2</v>
      </c>
      <c r="G1100" s="40" t="s">
        <v>451</v>
      </c>
      <c r="H1100" s="29">
        <v>1</v>
      </c>
      <c r="I1100" s="9">
        <v>2</v>
      </c>
      <c r="J1100" s="9">
        <v>2</v>
      </c>
      <c r="K1100" s="9">
        <v>1</v>
      </c>
      <c r="L1100" s="9">
        <v>1</v>
      </c>
      <c r="M1100" s="9">
        <v>1</v>
      </c>
      <c r="N1100" s="186">
        <f t="shared" si="62"/>
        <v>0.16933510251023262</v>
      </c>
      <c r="O1100" s="160">
        <f t="shared" si="63"/>
        <v>0.19908580854301616</v>
      </c>
      <c r="P1100" s="63" t="s">
        <v>480</v>
      </c>
    </row>
    <row r="1101" spans="1:16" s="828" customFormat="1" hidden="1">
      <c r="A1101" s="626" t="s">
        <v>557</v>
      </c>
      <c r="B1101" s="59" t="s">
        <v>560</v>
      </c>
      <c r="C1101" s="40" t="s">
        <v>147</v>
      </c>
      <c r="D1101" s="34" t="s">
        <v>107</v>
      </c>
      <c r="E1101" s="260" t="s">
        <v>158</v>
      </c>
      <c r="F1101" s="34">
        <v>1</v>
      </c>
      <c r="G1101" s="40" t="s">
        <v>451</v>
      </c>
      <c r="H1101" s="29"/>
      <c r="I1101" s="9"/>
      <c r="J1101" s="9"/>
      <c r="K1101" s="9"/>
      <c r="L1101" s="9"/>
      <c r="M1101" s="9"/>
      <c r="N1101" s="186" t="str">
        <f t="shared" si="62"/>
        <v/>
      </c>
      <c r="O1101" s="160" t="str">
        <f t="shared" si="63"/>
        <v/>
      </c>
      <c r="P1101" s="63" t="s">
        <v>561</v>
      </c>
    </row>
    <row r="1102" spans="1:16" s="828" customFormat="1" hidden="1">
      <c r="A1102" s="626" t="s">
        <v>559</v>
      </c>
      <c r="B1102" s="59" t="s">
        <v>244</v>
      </c>
      <c r="C1102" s="40" t="s">
        <v>147</v>
      </c>
      <c r="D1102" s="34" t="s">
        <v>107</v>
      </c>
      <c r="E1102" s="260">
        <v>0.05</v>
      </c>
      <c r="F1102" s="34">
        <v>2</v>
      </c>
      <c r="G1102" s="40" t="s">
        <v>165</v>
      </c>
      <c r="H1102" s="29">
        <v>1</v>
      </c>
      <c r="I1102" s="9">
        <v>2</v>
      </c>
      <c r="J1102" s="9">
        <v>2</v>
      </c>
      <c r="K1102" s="9">
        <v>1</v>
      </c>
      <c r="L1102" s="9">
        <v>3</v>
      </c>
      <c r="M1102" s="9">
        <v>3</v>
      </c>
      <c r="N1102" s="186">
        <f t="shared" si="62"/>
        <v>1.0725046436742278</v>
      </c>
      <c r="O1102" s="160">
        <f t="shared" si="63"/>
        <v>1.0776024280428556</v>
      </c>
      <c r="P1102" s="63" t="s">
        <v>482</v>
      </c>
    </row>
    <row r="1103" spans="1:16" s="828" customFormat="1" hidden="1">
      <c r="A1103" s="626" t="s">
        <v>559</v>
      </c>
      <c r="B1103" s="59" t="s">
        <v>245</v>
      </c>
      <c r="C1103" s="40" t="s">
        <v>147</v>
      </c>
      <c r="D1103" s="34" t="s">
        <v>107</v>
      </c>
      <c r="E1103" s="260">
        <v>0.39400000000000002</v>
      </c>
      <c r="F1103" s="34">
        <v>2</v>
      </c>
      <c r="G1103" s="40" t="s">
        <v>451</v>
      </c>
      <c r="H1103" s="29">
        <v>1</v>
      </c>
      <c r="I1103" s="9">
        <v>2</v>
      </c>
      <c r="J1103" s="9">
        <v>2</v>
      </c>
      <c r="K1103" s="9">
        <v>1</v>
      </c>
      <c r="L1103" s="9">
        <v>1</v>
      </c>
      <c r="M1103" s="9">
        <v>1</v>
      </c>
      <c r="N1103" s="186">
        <f t="shared" si="62"/>
        <v>0.16933510251023262</v>
      </c>
      <c r="O1103" s="160">
        <f t="shared" si="63"/>
        <v>0.19908580854301616</v>
      </c>
      <c r="P1103" s="63" t="s">
        <v>483</v>
      </c>
    </row>
    <row r="1104" spans="1:16" s="828" customFormat="1" hidden="1">
      <c r="A1104" s="626" t="s">
        <v>559</v>
      </c>
      <c r="B1104" s="59" t="s">
        <v>264</v>
      </c>
      <c r="C1104" s="40" t="s">
        <v>147</v>
      </c>
      <c r="D1104" s="34" t="s">
        <v>107</v>
      </c>
      <c r="E1104" s="260">
        <v>0.52200000000000002</v>
      </c>
      <c r="F1104" s="34">
        <v>1</v>
      </c>
      <c r="G1104" s="40" t="s">
        <v>451</v>
      </c>
      <c r="H1104" s="29">
        <v>1</v>
      </c>
      <c r="I1104" s="9">
        <v>2</v>
      </c>
      <c r="J1104" s="9">
        <v>2</v>
      </c>
      <c r="K1104" s="9">
        <v>1</v>
      </c>
      <c r="L1104" s="9">
        <v>1</v>
      </c>
      <c r="M1104" s="9">
        <v>1</v>
      </c>
      <c r="N1104" s="186">
        <f t="shared" si="62"/>
        <v>0.16933510251023262</v>
      </c>
      <c r="O1104" s="160">
        <f t="shared" si="63"/>
        <v>0.19908580854301616</v>
      </c>
      <c r="P1104" s="63" t="s">
        <v>484</v>
      </c>
    </row>
    <row r="1105" spans="1:16" s="828" customFormat="1" hidden="1">
      <c r="A1105" s="626" t="s">
        <v>559</v>
      </c>
      <c r="B1105" s="59" t="s">
        <v>271</v>
      </c>
      <c r="C1105" s="40" t="s">
        <v>147</v>
      </c>
      <c r="D1105" s="34" t="s">
        <v>107</v>
      </c>
      <c r="E1105" s="260">
        <v>3.4000000000000002E-2</v>
      </c>
      <c r="F1105" s="34">
        <v>2</v>
      </c>
      <c r="G1105" s="40" t="s">
        <v>451</v>
      </c>
      <c r="H1105" s="29">
        <v>1</v>
      </c>
      <c r="I1105" s="9">
        <v>2</v>
      </c>
      <c r="J1105" s="9">
        <v>2</v>
      </c>
      <c r="K1105" s="9">
        <v>1</v>
      </c>
      <c r="L1105" s="9">
        <v>1</v>
      </c>
      <c r="M1105" s="9">
        <v>1</v>
      </c>
      <c r="N1105" s="186"/>
      <c r="O1105" s="160"/>
      <c r="P1105" s="63" t="s">
        <v>485</v>
      </c>
    </row>
    <row r="1106" spans="1:16" s="828" customFormat="1" hidden="1">
      <c r="A1106" s="626" t="s">
        <v>558</v>
      </c>
      <c r="B1106" s="59" t="s">
        <v>562</v>
      </c>
      <c r="C1106" s="40" t="s">
        <v>147</v>
      </c>
      <c r="D1106" s="34" t="s">
        <v>107</v>
      </c>
      <c r="E1106" s="260">
        <f>0.1*E1100</f>
        <v>3.0000000000000001E-3</v>
      </c>
      <c r="F1106" s="34">
        <v>2</v>
      </c>
      <c r="G1106" s="40" t="s">
        <v>451</v>
      </c>
      <c r="H1106" s="29">
        <v>1</v>
      </c>
      <c r="I1106" s="9">
        <v>2</v>
      </c>
      <c r="J1106" s="9">
        <v>2</v>
      </c>
      <c r="K1106" s="9">
        <v>1</v>
      </c>
      <c r="L1106" s="9">
        <v>1</v>
      </c>
      <c r="M1106" s="9">
        <v>1</v>
      </c>
      <c r="N1106" s="186">
        <f t="shared" ref="N1106:N1123" si="64">IF( OR( ISBLANK(H1106),ISBLANK(J1106), ISBLANK(K1106), ISBLANK(L1106), ISBLANK(M1106) ), "", 1.5*SQRT(   EXP(2.21*(H1106-1)) + EXP(2.21*(J1106-1)) + EXP(2.21*(K1106-1)) + EXP(2.21*(L1106-1)) + EXP(2.21*M1106)   )/100*2.45 )</f>
        <v>0.16933510251023262</v>
      </c>
      <c r="O1106" s="160">
        <f t="shared" ref="O1106:O1123" si="65">IF( OR( ISBLANK(I1106),ISBLANK(J1106), ISBLANK(K1106), ISBLANK(L1106), ISBLANK(M1106) ), "", 1.5*SQRT( EXP(2.21*(I1106-1)) + EXP(2.21*(J1106-1)) + EXP(2.21*(K1106-1)) + EXP(2.21*(L1106-1)) + EXP(2.21*M1106)   )/100*2.45 )</f>
        <v>0.19908580854301616</v>
      </c>
      <c r="P1106" s="63" t="s">
        <v>487</v>
      </c>
    </row>
    <row r="1107" spans="1:16" s="828" customFormat="1" hidden="1">
      <c r="A1107" s="626" t="s">
        <v>558</v>
      </c>
      <c r="B1107" s="59" t="s">
        <v>563</v>
      </c>
      <c r="C1107" s="40" t="s">
        <v>147</v>
      </c>
      <c r="D1107" s="34" t="s">
        <v>107</v>
      </c>
      <c r="E1107" s="260" t="s">
        <v>158</v>
      </c>
      <c r="F1107" s="34">
        <v>1</v>
      </c>
      <c r="G1107" s="40" t="s">
        <v>451</v>
      </c>
      <c r="H1107" s="29">
        <v>1</v>
      </c>
      <c r="I1107" s="9">
        <v>2</v>
      </c>
      <c r="J1107" s="9">
        <v>2</v>
      </c>
      <c r="K1107" s="9">
        <v>1</v>
      </c>
      <c r="L1107" s="9">
        <v>1</v>
      </c>
      <c r="M1107" s="9">
        <v>1</v>
      </c>
      <c r="N1107" s="186">
        <f t="shared" si="64"/>
        <v>0.16933510251023262</v>
      </c>
      <c r="O1107" s="160">
        <f t="shared" si="65"/>
        <v>0.19908580854301616</v>
      </c>
      <c r="P1107" s="63" t="s">
        <v>561</v>
      </c>
    </row>
    <row r="1108" spans="1:16" s="828" customFormat="1" hidden="1">
      <c r="A1108" s="626" t="s">
        <v>562</v>
      </c>
      <c r="B1108" s="59" t="s">
        <v>241</v>
      </c>
      <c r="C1108" s="40" t="s">
        <v>147</v>
      </c>
      <c r="D1108" s="34" t="s">
        <v>107</v>
      </c>
      <c r="E1108" s="260">
        <v>1</v>
      </c>
      <c r="F1108" s="34">
        <v>2</v>
      </c>
      <c r="G1108" s="40" t="s">
        <v>451</v>
      </c>
      <c r="H1108" s="29"/>
      <c r="I1108" s="9"/>
      <c r="J1108" s="9"/>
      <c r="K1108" s="9"/>
      <c r="L1108" s="9"/>
      <c r="M1108" s="9"/>
      <c r="N1108" s="186" t="str">
        <f t="shared" si="64"/>
        <v/>
      </c>
      <c r="O1108" s="160" t="str">
        <f t="shared" si="65"/>
        <v/>
      </c>
      <c r="P1108" s="63" t="s">
        <v>490</v>
      </c>
    </row>
    <row r="1109" spans="1:16" s="828" customFormat="1" hidden="1">
      <c r="A1109" s="626" t="s">
        <v>560</v>
      </c>
      <c r="B1109" s="59" t="s">
        <v>244</v>
      </c>
      <c r="C1109" s="40" t="s">
        <v>147</v>
      </c>
      <c r="D1109" s="34" t="s">
        <v>107</v>
      </c>
      <c r="E1109" s="260">
        <v>1.6000000000000001E-3</v>
      </c>
      <c r="F1109" s="34">
        <v>2</v>
      </c>
      <c r="G1109" s="40" t="s">
        <v>503</v>
      </c>
      <c r="H1109" s="29">
        <v>1</v>
      </c>
      <c r="I1109" s="9">
        <v>2</v>
      </c>
      <c r="J1109" s="9">
        <v>2</v>
      </c>
      <c r="K1109" s="9">
        <v>1</v>
      </c>
      <c r="L1109" s="9">
        <v>3</v>
      </c>
      <c r="M1109" s="9">
        <v>3</v>
      </c>
      <c r="N1109" s="186">
        <f t="shared" si="64"/>
        <v>1.0725046436742278</v>
      </c>
      <c r="O1109" s="160">
        <f t="shared" si="65"/>
        <v>1.0776024280428556</v>
      </c>
      <c r="P1109" s="63" t="s">
        <v>564</v>
      </c>
    </row>
    <row r="1110" spans="1:16" s="828" customFormat="1" hidden="1">
      <c r="A1110" s="626" t="s">
        <v>560</v>
      </c>
      <c r="B1110" s="59" t="s">
        <v>245</v>
      </c>
      <c r="C1110" s="40" t="s">
        <v>147</v>
      </c>
      <c r="D1110" s="34" t="s">
        <v>107</v>
      </c>
      <c r="E1110" s="260">
        <v>1.26E-2</v>
      </c>
      <c r="F1110" s="34">
        <v>2</v>
      </c>
      <c r="G1110" s="40" t="s">
        <v>451</v>
      </c>
      <c r="H1110" s="29">
        <v>1</v>
      </c>
      <c r="I1110" s="9">
        <v>2</v>
      </c>
      <c r="J1110" s="9">
        <v>2</v>
      </c>
      <c r="K1110" s="9">
        <v>1</v>
      </c>
      <c r="L1110" s="9">
        <v>1</v>
      </c>
      <c r="M1110" s="9">
        <v>1</v>
      </c>
      <c r="N1110" s="186">
        <f t="shared" si="64"/>
        <v>0.16933510251023262</v>
      </c>
      <c r="O1110" s="160">
        <f t="shared" si="65"/>
        <v>0.19908580854301616</v>
      </c>
      <c r="P1110" s="63" t="s">
        <v>565</v>
      </c>
    </row>
    <row r="1111" spans="1:16" s="828" customFormat="1" hidden="1">
      <c r="A1111" s="626" t="s">
        <v>560</v>
      </c>
      <c r="B1111" s="59" t="s">
        <v>264</v>
      </c>
      <c r="C1111" s="40" t="s">
        <v>147</v>
      </c>
      <c r="D1111" s="34" t="s">
        <v>107</v>
      </c>
      <c r="E1111" s="260">
        <v>1.67E-2</v>
      </c>
      <c r="F1111" s="34">
        <v>2</v>
      </c>
      <c r="G1111" s="40" t="s">
        <v>451</v>
      </c>
      <c r="H1111" s="29">
        <v>1</v>
      </c>
      <c r="I1111" s="9">
        <v>2</v>
      </c>
      <c r="J1111" s="9">
        <v>2</v>
      </c>
      <c r="K1111" s="9">
        <v>1</v>
      </c>
      <c r="L1111" s="9">
        <v>1</v>
      </c>
      <c r="M1111" s="9">
        <v>1</v>
      </c>
      <c r="N1111" s="186">
        <f t="shared" si="64"/>
        <v>0.16933510251023262</v>
      </c>
      <c r="O1111" s="160">
        <f t="shared" si="65"/>
        <v>0.19908580854301616</v>
      </c>
      <c r="P1111" s="63" t="s">
        <v>566</v>
      </c>
    </row>
    <row r="1112" spans="1:16" s="828" customFormat="1" hidden="1">
      <c r="A1112" s="626" t="s">
        <v>560</v>
      </c>
      <c r="B1112" s="59" t="s">
        <v>271</v>
      </c>
      <c r="C1112" s="40" t="s">
        <v>147</v>
      </c>
      <c r="D1112" s="34" t="s">
        <v>107</v>
      </c>
      <c r="E1112" s="260">
        <v>1.1000000000000001E-3</v>
      </c>
      <c r="F1112" s="34">
        <v>2</v>
      </c>
      <c r="G1112" s="40" t="s">
        <v>451</v>
      </c>
      <c r="H1112" s="29">
        <v>1</v>
      </c>
      <c r="I1112" s="9">
        <v>2</v>
      </c>
      <c r="J1112" s="9">
        <v>2</v>
      </c>
      <c r="K1112" s="9">
        <v>1</v>
      </c>
      <c r="L1112" s="9">
        <v>1</v>
      </c>
      <c r="M1112" s="9">
        <v>1</v>
      </c>
      <c r="N1112" s="186">
        <f t="shared" si="64"/>
        <v>0.16933510251023262</v>
      </c>
      <c r="O1112" s="160">
        <f t="shared" si="65"/>
        <v>0.19908580854301616</v>
      </c>
      <c r="P1112" s="63" t="s">
        <v>567</v>
      </c>
    </row>
    <row r="1113" spans="1:16" s="828" customFormat="1" hidden="1">
      <c r="A1113" s="626" t="s">
        <v>560</v>
      </c>
      <c r="B1113" s="59" t="s">
        <v>344</v>
      </c>
      <c r="C1113" s="40" t="s">
        <v>147</v>
      </c>
      <c r="D1113" s="34" t="s">
        <v>107</v>
      </c>
      <c r="E1113" s="260" t="s">
        <v>158</v>
      </c>
      <c r="F1113" s="34">
        <v>1</v>
      </c>
      <c r="G1113" s="40" t="s">
        <v>451</v>
      </c>
      <c r="H1113" s="29"/>
      <c r="I1113" s="9"/>
      <c r="J1113" s="9"/>
      <c r="K1113" s="9"/>
      <c r="L1113" s="9"/>
      <c r="M1113" s="9"/>
      <c r="N1113" s="186" t="str">
        <f t="shared" si="64"/>
        <v/>
      </c>
      <c r="O1113" s="160" t="str">
        <f t="shared" si="65"/>
        <v/>
      </c>
      <c r="P1113" s="63"/>
    </row>
    <row r="1114" spans="1:16" s="828" customFormat="1" hidden="1">
      <c r="A1114" s="626" t="s">
        <v>563</v>
      </c>
      <c r="B1114" s="59" t="s">
        <v>241</v>
      </c>
      <c r="C1114" s="40" t="s">
        <v>147</v>
      </c>
      <c r="D1114" s="34" t="s">
        <v>107</v>
      </c>
      <c r="E1114" s="260">
        <v>3.2000000000000001E-2</v>
      </c>
      <c r="F1114" s="34">
        <v>2</v>
      </c>
      <c r="G1114" s="40" t="s">
        <v>451</v>
      </c>
      <c r="H1114" s="29">
        <v>1</v>
      </c>
      <c r="I1114" s="9">
        <v>2</v>
      </c>
      <c r="J1114" s="9">
        <v>2</v>
      </c>
      <c r="K1114" s="9">
        <v>1</v>
      </c>
      <c r="L1114" s="9">
        <v>1</v>
      </c>
      <c r="M1114" s="9">
        <v>1</v>
      </c>
      <c r="N1114" s="186">
        <f t="shared" si="64"/>
        <v>0.16933510251023262</v>
      </c>
      <c r="O1114" s="160">
        <f t="shared" si="65"/>
        <v>0.19908580854301616</v>
      </c>
      <c r="P1114" s="63" t="s">
        <v>508</v>
      </c>
    </row>
    <row r="1115" spans="1:16" s="828" customFormat="1" hidden="1">
      <c r="A1115" s="626" t="s">
        <v>563</v>
      </c>
      <c r="B1115" s="59" t="s">
        <v>344</v>
      </c>
      <c r="C1115" s="40" t="s">
        <v>147</v>
      </c>
      <c r="D1115" s="34" t="s">
        <v>107</v>
      </c>
      <c r="E1115" s="260" t="s">
        <v>158</v>
      </c>
      <c r="F1115" s="34">
        <v>1</v>
      </c>
      <c r="G1115" s="40" t="s">
        <v>451</v>
      </c>
      <c r="H1115" s="29"/>
      <c r="I1115" s="9"/>
      <c r="J1115" s="9"/>
      <c r="K1115" s="9"/>
      <c r="L1115" s="9"/>
      <c r="M1115" s="9"/>
      <c r="N1115" s="186" t="str">
        <f t="shared" si="64"/>
        <v/>
      </c>
      <c r="O1115" s="160" t="str">
        <f t="shared" si="65"/>
        <v/>
      </c>
      <c r="P1115" s="63" t="s">
        <v>568</v>
      </c>
    </row>
    <row r="1116" spans="1:16" s="828" customFormat="1" hidden="1">
      <c r="A1116" s="626" t="s">
        <v>458</v>
      </c>
      <c r="B1116" s="59" t="s">
        <v>569</v>
      </c>
      <c r="C1116" s="40" t="s">
        <v>147</v>
      </c>
      <c r="D1116" s="34" t="s">
        <v>107</v>
      </c>
      <c r="E1116" s="260">
        <f>0.85*0.4</f>
        <v>0.34</v>
      </c>
      <c r="F1116" s="34">
        <v>2</v>
      </c>
      <c r="G1116" s="40" t="s">
        <v>451</v>
      </c>
      <c r="H1116" s="29">
        <v>1</v>
      </c>
      <c r="I1116" s="9">
        <v>2</v>
      </c>
      <c r="J1116" s="9">
        <v>2</v>
      </c>
      <c r="K1116" s="9">
        <v>1</v>
      </c>
      <c r="L1116" s="9">
        <v>1</v>
      </c>
      <c r="M1116" s="9">
        <v>1</v>
      </c>
      <c r="N1116" s="186">
        <f t="shared" si="64"/>
        <v>0.16933510251023262</v>
      </c>
      <c r="O1116" s="160">
        <f t="shared" si="65"/>
        <v>0.19908580854301616</v>
      </c>
      <c r="P1116" s="63" t="s">
        <v>570</v>
      </c>
    </row>
    <row r="1117" spans="1:16" s="828" customFormat="1" hidden="1">
      <c r="A1117" s="626" t="s">
        <v>458</v>
      </c>
      <c r="B1117" s="59" t="s">
        <v>571</v>
      </c>
      <c r="C1117" s="40" t="s">
        <v>147</v>
      </c>
      <c r="D1117" s="34" t="s">
        <v>107</v>
      </c>
      <c r="E1117" s="260">
        <f>0.85*0.6</f>
        <v>0.51</v>
      </c>
      <c r="F1117" s="34">
        <v>2</v>
      </c>
      <c r="G1117" s="40" t="s">
        <v>451</v>
      </c>
      <c r="H1117" s="29">
        <v>1</v>
      </c>
      <c r="I1117" s="9">
        <v>2</v>
      </c>
      <c r="J1117" s="9">
        <v>2</v>
      </c>
      <c r="K1117" s="9">
        <v>1</v>
      </c>
      <c r="L1117" s="9">
        <v>1</v>
      </c>
      <c r="M1117" s="9">
        <v>1</v>
      </c>
      <c r="N1117" s="186">
        <f t="shared" si="64"/>
        <v>0.16933510251023262</v>
      </c>
      <c r="O1117" s="160">
        <f t="shared" si="65"/>
        <v>0.19908580854301616</v>
      </c>
      <c r="P1117" s="63" t="s">
        <v>572</v>
      </c>
    </row>
    <row r="1118" spans="1:16" s="828" customFormat="1" hidden="1">
      <c r="A1118" s="626" t="s">
        <v>458</v>
      </c>
      <c r="B1118" s="59" t="s">
        <v>236</v>
      </c>
      <c r="C1118" s="40" t="s">
        <v>147</v>
      </c>
      <c r="D1118" s="34" t="s">
        <v>107</v>
      </c>
      <c r="E1118" s="260">
        <v>0.15</v>
      </c>
      <c r="F1118" s="34">
        <v>1</v>
      </c>
      <c r="G1118" s="40" t="s">
        <v>451</v>
      </c>
      <c r="H1118" s="29">
        <v>1</v>
      </c>
      <c r="I1118" s="9">
        <v>2</v>
      </c>
      <c r="J1118" s="9">
        <v>2</v>
      </c>
      <c r="K1118" s="9">
        <v>1</v>
      </c>
      <c r="L1118" s="9">
        <v>1</v>
      </c>
      <c r="M1118" s="9">
        <v>1</v>
      </c>
      <c r="N1118" s="186">
        <f t="shared" si="64"/>
        <v>0.16933510251023262</v>
      </c>
      <c r="O1118" s="160">
        <f t="shared" si="65"/>
        <v>0.19908580854301616</v>
      </c>
      <c r="P1118" s="63" t="s">
        <v>573</v>
      </c>
    </row>
    <row r="1119" spans="1:16" s="828" customFormat="1" hidden="1">
      <c r="A1119" s="626" t="s">
        <v>569</v>
      </c>
      <c r="B1119" s="59" t="s">
        <v>574</v>
      </c>
      <c r="C1119" s="40" t="s">
        <v>147</v>
      </c>
      <c r="D1119" s="34" t="s">
        <v>107</v>
      </c>
      <c r="E1119" s="260">
        <v>0.03</v>
      </c>
      <c r="F1119" s="34">
        <v>2</v>
      </c>
      <c r="G1119" s="40" t="s">
        <v>451</v>
      </c>
      <c r="H1119" s="29">
        <v>1</v>
      </c>
      <c r="I1119" s="9">
        <v>2</v>
      </c>
      <c r="J1119" s="9">
        <v>2</v>
      </c>
      <c r="K1119" s="9">
        <v>1</v>
      </c>
      <c r="L1119" s="9">
        <v>1</v>
      </c>
      <c r="M1119" s="9">
        <v>1</v>
      </c>
      <c r="N1119" s="186">
        <f t="shared" si="64"/>
        <v>0.16933510251023262</v>
      </c>
      <c r="O1119" s="160">
        <f t="shared" si="65"/>
        <v>0.19908580854301616</v>
      </c>
      <c r="P1119" s="63" t="s">
        <v>480</v>
      </c>
    </row>
    <row r="1120" spans="1:16" s="828" customFormat="1" hidden="1">
      <c r="A1120" s="626" t="s">
        <v>569</v>
      </c>
      <c r="B1120" s="59" t="s">
        <v>575</v>
      </c>
      <c r="C1120" s="40" t="s">
        <v>147</v>
      </c>
      <c r="D1120" s="34" t="s">
        <v>107</v>
      </c>
      <c r="E1120" s="260" t="s">
        <v>158</v>
      </c>
      <c r="F1120" s="34">
        <v>1</v>
      </c>
      <c r="G1120" s="40" t="s">
        <v>451</v>
      </c>
      <c r="H1120" s="29"/>
      <c r="I1120" s="9"/>
      <c r="J1120" s="9"/>
      <c r="K1120" s="9"/>
      <c r="L1120" s="9"/>
      <c r="M1120" s="9"/>
      <c r="N1120" s="186" t="str">
        <f t="shared" si="64"/>
        <v/>
      </c>
      <c r="O1120" s="160" t="str">
        <f t="shared" si="65"/>
        <v/>
      </c>
      <c r="P1120" s="63" t="s">
        <v>576</v>
      </c>
    </row>
    <row r="1121" spans="1:20" s="828" customFormat="1" hidden="1">
      <c r="A1121" s="626" t="s">
        <v>574</v>
      </c>
      <c r="B1121" s="59" t="s">
        <v>244</v>
      </c>
      <c r="C1121" s="40" t="s">
        <v>147</v>
      </c>
      <c r="D1121" s="34" t="s">
        <v>107</v>
      </c>
      <c r="E1121" s="260">
        <v>0.05</v>
      </c>
      <c r="F1121" s="34">
        <v>2</v>
      </c>
      <c r="G1121" s="40" t="s">
        <v>165</v>
      </c>
      <c r="H1121" s="29">
        <v>1</v>
      </c>
      <c r="I1121" s="9">
        <v>2</v>
      </c>
      <c r="J1121" s="9">
        <v>2</v>
      </c>
      <c r="K1121" s="9">
        <v>1</v>
      </c>
      <c r="L1121" s="9">
        <v>3</v>
      </c>
      <c r="M1121" s="9">
        <v>3</v>
      </c>
      <c r="N1121" s="186">
        <f t="shared" si="64"/>
        <v>1.0725046436742278</v>
      </c>
      <c r="O1121" s="160">
        <f t="shared" si="65"/>
        <v>1.0776024280428556</v>
      </c>
      <c r="P1121" s="63" t="s">
        <v>482</v>
      </c>
    </row>
    <row r="1122" spans="1:20" s="828" customFormat="1" hidden="1">
      <c r="A1122" s="626" t="s">
        <v>574</v>
      </c>
      <c r="B1122" s="59" t="s">
        <v>245</v>
      </c>
      <c r="C1122" s="40" t="s">
        <v>147</v>
      </c>
      <c r="D1122" s="34" t="s">
        <v>107</v>
      </c>
      <c r="E1122" s="260">
        <v>0.39400000000000002</v>
      </c>
      <c r="F1122" s="34">
        <v>2</v>
      </c>
      <c r="G1122" s="40" t="s">
        <v>451</v>
      </c>
      <c r="H1122" s="29">
        <v>1</v>
      </c>
      <c r="I1122" s="9">
        <v>2</v>
      </c>
      <c r="J1122" s="9">
        <v>2</v>
      </c>
      <c r="K1122" s="9">
        <v>1</v>
      </c>
      <c r="L1122" s="9">
        <v>1</v>
      </c>
      <c r="M1122" s="9">
        <v>1</v>
      </c>
      <c r="N1122" s="186">
        <f t="shared" si="64"/>
        <v>0.16933510251023262</v>
      </c>
      <c r="O1122" s="160">
        <f t="shared" si="65"/>
        <v>0.19908580854301616</v>
      </c>
      <c r="P1122" s="63" t="s">
        <v>483</v>
      </c>
    </row>
    <row r="1123" spans="1:20" s="828" customFormat="1" hidden="1">
      <c r="A1123" s="626" t="s">
        <v>574</v>
      </c>
      <c r="B1123" s="59" t="s">
        <v>264</v>
      </c>
      <c r="C1123" s="40" t="s">
        <v>147</v>
      </c>
      <c r="D1123" s="34" t="s">
        <v>107</v>
      </c>
      <c r="E1123" s="260">
        <v>0.52200000000000002</v>
      </c>
      <c r="F1123" s="34">
        <v>1</v>
      </c>
      <c r="G1123" s="40" t="s">
        <v>451</v>
      </c>
      <c r="H1123" s="29">
        <v>1</v>
      </c>
      <c r="I1123" s="9">
        <v>2</v>
      </c>
      <c r="J1123" s="9">
        <v>2</v>
      </c>
      <c r="K1123" s="9">
        <v>1</v>
      </c>
      <c r="L1123" s="9">
        <v>1</v>
      </c>
      <c r="M1123" s="9">
        <v>1</v>
      </c>
      <c r="N1123" s="186">
        <f t="shared" si="64"/>
        <v>0.16933510251023262</v>
      </c>
      <c r="O1123" s="160">
        <f t="shared" si="65"/>
        <v>0.19908580854301616</v>
      </c>
      <c r="P1123" s="63" t="s">
        <v>484</v>
      </c>
    </row>
    <row r="1124" spans="1:20" s="828" customFormat="1" hidden="1">
      <c r="A1124" s="626" t="s">
        <v>574</v>
      </c>
      <c r="B1124" s="59" t="s">
        <v>271</v>
      </c>
      <c r="C1124" s="40" t="s">
        <v>147</v>
      </c>
      <c r="D1124" s="34" t="s">
        <v>107</v>
      </c>
      <c r="E1124" s="260">
        <v>3.4000000000000002E-2</v>
      </c>
      <c r="F1124" s="34">
        <v>2</v>
      </c>
      <c r="G1124" s="40" t="s">
        <v>451</v>
      </c>
      <c r="H1124" s="29">
        <v>1</v>
      </c>
      <c r="I1124" s="9">
        <v>2</v>
      </c>
      <c r="J1124" s="9">
        <v>2</v>
      </c>
      <c r="K1124" s="9">
        <v>1</v>
      </c>
      <c r="L1124" s="9">
        <v>1</v>
      </c>
      <c r="M1124" s="9">
        <v>1</v>
      </c>
      <c r="N1124" s="186"/>
      <c r="O1124" s="160"/>
      <c r="P1124" s="63" t="s">
        <v>485</v>
      </c>
    </row>
    <row r="1125" spans="1:20" s="828" customFormat="1" hidden="1">
      <c r="A1125" s="626" t="s">
        <v>571</v>
      </c>
      <c r="B1125" s="59" t="s">
        <v>577</v>
      </c>
      <c r="C1125" s="40" t="s">
        <v>147</v>
      </c>
      <c r="D1125" s="34" t="s">
        <v>107</v>
      </c>
      <c r="E1125" s="260">
        <f>0.1*E1119</f>
        <v>3.0000000000000001E-3</v>
      </c>
      <c r="F1125" s="34">
        <v>2</v>
      </c>
      <c r="G1125" s="40" t="s">
        <v>451</v>
      </c>
      <c r="H1125" s="29">
        <v>1</v>
      </c>
      <c r="I1125" s="9">
        <v>2</v>
      </c>
      <c r="J1125" s="9">
        <v>2</v>
      </c>
      <c r="K1125" s="9">
        <v>1</v>
      </c>
      <c r="L1125" s="9">
        <v>1</v>
      </c>
      <c r="M1125" s="9">
        <v>1</v>
      </c>
      <c r="N1125" s="186">
        <f t="shared" ref="N1125:N1142" si="66">IF( OR( ISBLANK(H1125),ISBLANK(J1125), ISBLANK(K1125), ISBLANK(L1125), ISBLANK(M1125) ), "", 1.5*SQRT(   EXP(2.21*(H1125-1)) + EXP(2.21*(J1125-1)) + EXP(2.21*(K1125-1)) + EXP(2.21*(L1125-1)) + EXP(2.21*M1125)   )/100*2.45 )</f>
        <v>0.16933510251023262</v>
      </c>
      <c r="O1125" s="160">
        <f t="shared" ref="O1125:O1142" si="67">IF( OR( ISBLANK(I1125),ISBLANK(J1125), ISBLANK(K1125), ISBLANK(L1125), ISBLANK(M1125) ), "", 1.5*SQRT( EXP(2.21*(I1125-1)) + EXP(2.21*(J1125-1)) + EXP(2.21*(K1125-1)) + EXP(2.21*(L1125-1)) + EXP(2.21*M1125)   )/100*2.45 )</f>
        <v>0.19908580854301616</v>
      </c>
      <c r="P1125" s="63" t="s">
        <v>487</v>
      </c>
    </row>
    <row r="1126" spans="1:20" s="828" customFormat="1" hidden="1">
      <c r="A1126" s="626" t="s">
        <v>571</v>
      </c>
      <c r="B1126" s="59" t="s">
        <v>578</v>
      </c>
      <c r="C1126" s="40" t="s">
        <v>147</v>
      </c>
      <c r="D1126" s="34" t="s">
        <v>107</v>
      </c>
      <c r="E1126" s="260" t="s">
        <v>158</v>
      </c>
      <c r="F1126" s="34">
        <v>1</v>
      </c>
      <c r="G1126" s="40" t="s">
        <v>451</v>
      </c>
      <c r="H1126" s="29"/>
      <c r="I1126" s="9"/>
      <c r="J1126" s="9"/>
      <c r="K1126" s="9"/>
      <c r="L1126" s="9"/>
      <c r="M1126" s="9"/>
      <c r="N1126" s="186" t="str">
        <f t="shared" si="66"/>
        <v/>
      </c>
      <c r="O1126" s="160" t="str">
        <f t="shared" si="67"/>
        <v/>
      </c>
      <c r="P1126" s="63" t="s">
        <v>576</v>
      </c>
    </row>
    <row r="1127" spans="1:20" s="828" customFormat="1" hidden="1">
      <c r="A1127" s="626" t="s">
        <v>577</v>
      </c>
      <c r="B1127" s="59" t="s">
        <v>241</v>
      </c>
      <c r="C1127" s="40" t="s">
        <v>147</v>
      </c>
      <c r="D1127" s="34" t="s">
        <v>107</v>
      </c>
      <c r="E1127" s="260">
        <v>1</v>
      </c>
      <c r="F1127" s="34">
        <v>2</v>
      </c>
      <c r="G1127" s="40" t="s">
        <v>451</v>
      </c>
      <c r="H1127" s="29">
        <v>1</v>
      </c>
      <c r="I1127" s="9">
        <v>2</v>
      </c>
      <c r="J1127" s="9">
        <v>2</v>
      </c>
      <c r="K1127" s="9">
        <v>1</v>
      </c>
      <c r="L1127" s="9">
        <v>1</v>
      </c>
      <c r="M1127" s="9">
        <v>1</v>
      </c>
      <c r="N1127" s="186">
        <f t="shared" si="66"/>
        <v>0.16933510251023262</v>
      </c>
      <c r="O1127" s="160">
        <f t="shared" si="67"/>
        <v>0.19908580854301616</v>
      </c>
      <c r="P1127" s="63" t="s">
        <v>490</v>
      </c>
    </row>
    <row r="1128" spans="1:20" s="828" customFormat="1" hidden="1">
      <c r="A1128" s="626" t="s">
        <v>575</v>
      </c>
      <c r="B1128" s="59" t="s">
        <v>244</v>
      </c>
      <c r="C1128" s="40" t="s">
        <v>147</v>
      </c>
      <c r="D1128" s="34" t="s">
        <v>107</v>
      </c>
      <c r="E1128" s="260">
        <v>3.2000000000000002E-3</v>
      </c>
      <c r="F1128" s="34">
        <v>2</v>
      </c>
      <c r="G1128" s="40" t="s">
        <v>503</v>
      </c>
      <c r="H1128" s="29">
        <v>1</v>
      </c>
      <c r="I1128" s="9">
        <v>2</v>
      </c>
      <c r="J1128" s="9">
        <v>2</v>
      </c>
      <c r="K1128" s="9">
        <v>1</v>
      </c>
      <c r="L1128" s="9">
        <v>3</v>
      </c>
      <c r="M1128" s="9">
        <v>3</v>
      </c>
      <c r="N1128" s="186">
        <f t="shared" si="66"/>
        <v>1.0725046436742278</v>
      </c>
      <c r="O1128" s="160">
        <f t="shared" si="67"/>
        <v>1.0776024280428556</v>
      </c>
      <c r="P1128" s="63" t="s">
        <v>579</v>
      </c>
      <c r="T1128" s="7"/>
    </row>
    <row r="1129" spans="1:20" s="828" customFormat="1" hidden="1">
      <c r="A1129" s="626" t="s">
        <v>575</v>
      </c>
      <c r="B1129" s="59" t="s">
        <v>245</v>
      </c>
      <c r="C1129" s="40" t="s">
        <v>147</v>
      </c>
      <c r="D1129" s="34" t="s">
        <v>107</v>
      </c>
      <c r="E1129" s="260">
        <v>2.5215999999999999E-2</v>
      </c>
      <c r="F1129" s="34">
        <v>2</v>
      </c>
      <c r="G1129" s="40" t="s">
        <v>451</v>
      </c>
      <c r="H1129" s="29">
        <v>1</v>
      </c>
      <c r="I1129" s="9">
        <v>2</v>
      </c>
      <c r="J1129" s="9">
        <v>2</v>
      </c>
      <c r="K1129" s="9">
        <v>1</v>
      </c>
      <c r="L1129" s="9">
        <v>1</v>
      </c>
      <c r="M1129" s="9">
        <v>1</v>
      </c>
      <c r="N1129" s="186">
        <f t="shared" si="66"/>
        <v>0.16933510251023262</v>
      </c>
      <c r="O1129" s="160">
        <f t="shared" si="67"/>
        <v>0.19908580854301616</v>
      </c>
      <c r="P1129" s="63" t="s">
        <v>580</v>
      </c>
      <c r="R1129" s="857"/>
      <c r="T1129" s="7"/>
    </row>
    <row r="1130" spans="1:20" s="828" customFormat="1" hidden="1">
      <c r="A1130" s="626" t="s">
        <v>575</v>
      </c>
      <c r="B1130" s="59" t="s">
        <v>264</v>
      </c>
      <c r="C1130" s="40" t="s">
        <v>147</v>
      </c>
      <c r="D1130" s="34" t="s">
        <v>107</v>
      </c>
      <c r="E1130" s="260">
        <v>3.3408E-2</v>
      </c>
      <c r="F1130" s="34">
        <v>2</v>
      </c>
      <c r="G1130" s="40" t="s">
        <v>451</v>
      </c>
      <c r="H1130" s="29">
        <v>1</v>
      </c>
      <c r="I1130" s="9">
        <v>2</v>
      </c>
      <c r="J1130" s="9">
        <v>2</v>
      </c>
      <c r="K1130" s="9">
        <v>1</v>
      </c>
      <c r="L1130" s="9">
        <v>1</v>
      </c>
      <c r="M1130" s="9">
        <v>1</v>
      </c>
      <c r="N1130" s="186">
        <f t="shared" si="66"/>
        <v>0.16933510251023262</v>
      </c>
      <c r="O1130" s="160">
        <f t="shared" si="67"/>
        <v>0.19908580854301616</v>
      </c>
      <c r="P1130" s="63" t="s">
        <v>581</v>
      </c>
      <c r="T1130" s="7"/>
    </row>
    <row r="1131" spans="1:20" s="828" customFormat="1" hidden="1">
      <c r="A1131" s="626" t="s">
        <v>575</v>
      </c>
      <c r="B1131" s="59" t="s">
        <v>271</v>
      </c>
      <c r="C1131" s="40" t="s">
        <v>147</v>
      </c>
      <c r="D1131" s="34" t="s">
        <v>107</v>
      </c>
      <c r="E1131" s="260">
        <v>2.176E-3</v>
      </c>
      <c r="F1131" s="34">
        <v>2</v>
      </c>
      <c r="G1131" s="40" t="s">
        <v>451</v>
      </c>
      <c r="H1131" s="29">
        <v>1</v>
      </c>
      <c r="I1131" s="9">
        <v>2</v>
      </c>
      <c r="J1131" s="9">
        <v>2</v>
      </c>
      <c r="K1131" s="9">
        <v>1</v>
      </c>
      <c r="L1131" s="9">
        <v>1</v>
      </c>
      <c r="M1131" s="9">
        <v>1</v>
      </c>
      <c r="N1131" s="186">
        <f t="shared" si="66"/>
        <v>0.16933510251023262</v>
      </c>
      <c r="O1131" s="160">
        <f t="shared" si="67"/>
        <v>0.19908580854301616</v>
      </c>
      <c r="P1131" s="63" t="s">
        <v>582</v>
      </c>
      <c r="T1131" s="7"/>
    </row>
    <row r="1132" spans="1:20" s="828" customFormat="1" hidden="1">
      <c r="A1132" s="626" t="s">
        <v>575</v>
      </c>
      <c r="B1132" s="59" t="s">
        <v>344</v>
      </c>
      <c r="C1132" s="40" t="s">
        <v>147</v>
      </c>
      <c r="D1132" s="34" t="s">
        <v>107</v>
      </c>
      <c r="E1132" s="260" t="s">
        <v>158</v>
      </c>
      <c r="F1132" s="34">
        <v>1</v>
      </c>
      <c r="G1132" s="40" t="s">
        <v>451</v>
      </c>
      <c r="H1132" s="29"/>
      <c r="I1132" s="9"/>
      <c r="J1132" s="9"/>
      <c r="K1132" s="9"/>
      <c r="L1132" s="9"/>
      <c r="M1132" s="9"/>
      <c r="N1132" s="186" t="str">
        <f t="shared" si="66"/>
        <v/>
      </c>
      <c r="O1132" s="160" t="str">
        <f t="shared" si="67"/>
        <v/>
      </c>
      <c r="P1132" s="63"/>
      <c r="T1132" s="7"/>
    </row>
    <row r="1133" spans="1:20" s="828" customFormat="1" hidden="1">
      <c r="A1133" s="626" t="s">
        <v>578</v>
      </c>
      <c r="B1133" s="59" t="s">
        <v>241</v>
      </c>
      <c r="C1133" s="40" t="s">
        <v>147</v>
      </c>
      <c r="D1133" s="34" t="s">
        <v>107</v>
      </c>
      <c r="E1133" s="260">
        <v>6.4000000000000001E-2</v>
      </c>
      <c r="F1133" s="34">
        <v>2</v>
      </c>
      <c r="G1133" s="40" t="s">
        <v>451</v>
      </c>
      <c r="H1133" s="29">
        <v>1</v>
      </c>
      <c r="I1133" s="9">
        <v>2</v>
      </c>
      <c r="J1133" s="9">
        <v>2</v>
      </c>
      <c r="K1133" s="9">
        <v>1</v>
      </c>
      <c r="L1133" s="9">
        <v>1</v>
      </c>
      <c r="M1133" s="9">
        <v>1</v>
      </c>
      <c r="N1133" s="186">
        <f t="shared" si="66"/>
        <v>0.16933510251023262</v>
      </c>
      <c r="O1133" s="160">
        <f t="shared" si="67"/>
        <v>0.19908580854301616</v>
      </c>
      <c r="P1133" s="63" t="s">
        <v>583</v>
      </c>
    </row>
    <row r="1134" spans="1:20" s="828" customFormat="1" hidden="1">
      <c r="A1134" s="626" t="s">
        <v>578</v>
      </c>
      <c r="B1134" s="59" t="s">
        <v>344</v>
      </c>
      <c r="C1134" s="40" t="s">
        <v>147</v>
      </c>
      <c r="D1134" s="34" t="s">
        <v>107</v>
      </c>
      <c r="E1134" s="260" t="s">
        <v>158</v>
      </c>
      <c r="F1134" s="34">
        <v>1</v>
      </c>
      <c r="G1134" s="40" t="s">
        <v>451</v>
      </c>
      <c r="H1134" s="29"/>
      <c r="I1134" s="9"/>
      <c r="J1134" s="9"/>
      <c r="K1134" s="9"/>
      <c r="L1134" s="9"/>
      <c r="M1134" s="9"/>
      <c r="N1134" s="186" t="str">
        <f t="shared" si="66"/>
        <v/>
      </c>
      <c r="O1134" s="160" t="str">
        <f t="shared" si="67"/>
        <v/>
      </c>
      <c r="P1134" s="63" t="s">
        <v>584</v>
      </c>
    </row>
    <row r="1135" spans="1:20" s="828" customFormat="1" hidden="1">
      <c r="A1135" s="626" t="s">
        <v>459</v>
      </c>
      <c r="B1135" s="59" t="s">
        <v>585</v>
      </c>
      <c r="C1135" s="40" t="s">
        <v>147</v>
      </c>
      <c r="D1135" s="34" t="s">
        <v>107</v>
      </c>
      <c r="E1135" s="260">
        <f>0.85*0.6</f>
        <v>0.51</v>
      </c>
      <c r="F1135" s="34">
        <v>2</v>
      </c>
      <c r="G1135" s="40" t="s">
        <v>451</v>
      </c>
      <c r="H1135" s="29">
        <v>1</v>
      </c>
      <c r="I1135" s="9">
        <v>2</v>
      </c>
      <c r="J1135" s="9">
        <v>2</v>
      </c>
      <c r="K1135" s="9">
        <v>1</v>
      </c>
      <c r="L1135" s="9">
        <v>1</v>
      </c>
      <c r="M1135" s="9">
        <v>1</v>
      </c>
      <c r="N1135" s="186">
        <f t="shared" si="66"/>
        <v>0.16933510251023262</v>
      </c>
      <c r="O1135" s="160">
        <f t="shared" si="67"/>
        <v>0.19908580854301616</v>
      </c>
      <c r="P1135" s="63" t="s">
        <v>586</v>
      </c>
    </row>
    <row r="1136" spans="1:20" s="828" customFormat="1" hidden="1">
      <c r="A1136" s="626" t="s">
        <v>459</v>
      </c>
      <c r="B1136" s="59" t="s">
        <v>587</v>
      </c>
      <c r="C1136" s="40" t="s">
        <v>147</v>
      </c>
      <c r="D1136" s="34" t="s">
        <v>107</v>
      </c>
      <c r="E1136" s="260">
        <f>0.85*0.4</f>
        <v>0.34</v>
      </c>
      <c r="F1136" s="34">
        <v>2</v>
      </c>
      <c r="G1136" s="40" t="s">
        <v>451</v>
      </c>
      <c r="H1136" s="29">
        <v>1</v>
      </c>
      <c r="I1136" s="9">
        <v>2</v>
      </c>
      <c r="J1136" s="9">
        <v>2</v>
      </c>
      <c r="K1136" s="9">
        <v>1</v>
      </c>
      <c r="L1136" s="9">
        <v>1</v>
      </c>
      <c r="M1136" s="9">
        <v>1</v>
      </c>
      <c r="N1136" s="186">
        <f t="shared" si="66"/>
        <v>0.16933510251023262</v>
      </c>
      <c r="O1136" s="160">
        <f t="shared" si="67"/>
        <v>0.19908580854301616</v>
      </c>
      <c r="P1136" s="63" t="s">
        <v>588</v>
      </c>
    </row>
    <row r="1137" spans="1:16" s="828" customFormat="1" hidden="1">
      <c r="A1137" s="626" t="s">
        <v>459</v>
      </c>
      <c r="B1137" s="59" t="s">
        <v>236</v>
      </c>
      <c r="C1137" s="40" t="s">
        <v>147</v>
      </c>
      <c r="D1137" s="34" t="s">
        <v>107</v>
      </c>
      <c r="E1137" s="260">
        <v>0.15</v>
      </c>
      <c r="F1137" s="34">
        <v>1</v>
      </c>
      <c r="G1137" s="40" t="s">
        <v>451</v>
      </c>
      <c r="H1137" s="29">
        <v>1</v>
      </c>
      <c r="I1137" s="9">
        <v>2</v>
      </c>
      <c r="J1137" s="9">
        <v>2</v>
      </c>
      <c r="K1137" s="9">
        <v>1</v>
      </c>
      <c r="L1137" s="9">
        <v>1</v>
      </c>
      <c r="M1137" s="9">
        <v>1</v>
      </c>
      <c r="N1137" s="186">
        <f t="shared" si="66"/>
        <v>0.16933510251023262</v>
      </c>
      <c r="O1137" s="160">
        <f t="shared" si="67"/>
        <v>0.19908580854301616</v>
      </c>
      <c r="P1137" s="63" t="s">
        <v>573</v>
      </c>
    </row>
    <row r="1138" spans="1:16" s="828" customFormat="1" hidden="1">
      <c r="A1138" s="626" t="s">
        <v>585</v>
      </c>
      <c r="B1138" s="59" t="s">
        <v>589</v>
      </c>
      <c r="C1138" s="40" t="s">
        <v>147</v>
      </c>
      <c r="D1138" s="34" t="s">
        <v>107</v>
      </c>
      <c r="E1138" s="260">
        <v>0.15</v>
      </c>
      <c r="F1138" s="34">
        <v>2</v>
      </c>
      <c r="G1138" s="40" t="s">
        <v>451</v>
      </c>
      <c r="H1138" s="29">
        <v>1</v>
      </c>
      <c r="I1138" s="9">
        <v>2</v>
      </c>
      <c r="J1138" s="9">
        <v>2</v>
      </c>
      <c r="K1138" s="9">
        <v>1</v>
      </c>
      <c r="L1138" s="9">
        <v>1</v>
      </c>
      <c r="M1138" s="9">
        <v>1</v>
      </c>
      <c r="N1138" s="186">
        <f t="shared" si="66"/>
        <v>0.16933510251023262</v>
      </c>
      <c r="O1138" s="160">
        <f t="shared" si="67"/>
        <v>0.19908580854301616</v>
      </c>
      <c r="P1138" s="63" t="s">
        <v>590</v>
      </c>
    </row>
    <row r="1139" spans="1:16" s="828" customFormat="1" hidden="1">
      <c r="A1139" s="626" t="s">
        <v>585</v>
      </c>
      <c r="B1139" s="59" t="s">
        <v>591</v>
      </c>
      <c r="C1139" s="40" t="s">
        <v>147</v>
      </c>
      <c r="D1139" s="34" t="s">
        <v>107</v>
      </c>
      <c r="E1139" s="260" t="s">
        <v>158</v>
      </c>
      <c r="F1139" s="34">
        <v>1</v>
      </c>
      <c r="G1139" s="40" t="s">
        <v>451</v>
      </c>
      <c r="H1139" s="29"/>
      <c r="I1139" s="9"/>
      <c r="J1139" s="9"/>
      <c r="K1139" s="9"/>
      <c r="L1139" s="9"/>
      <c r="M1139" s="9"/>
      <c r="N1139" s="186" t="str">
        <f t="shared" si="66"/>
        <v/>
      </c>
      <c r="O1139" s="160" t="str">
        <f t="shared" si="67"/>
        <v/>
      </c>
      <c r="P1139" s="63" t="s">
        <v>592</v>
      </c>
    </row>
    <row r="1140" spans="1:16" s="828" customFormat="1" hidden="1">
      <c r="A1140" s="626" t="s">
        <v>589</v>
      </c>
      <c r="B1140" s="59" t="s">
        <v>244</v>
      </c>
      <c r="C1140" s="40" t="s">
        <v>147</v>
      </c>
      <c r="D1140" s="34" t="s">
        <v>107</v>
      </c>
      <c r="E1140" s="260">
        <v>0.05</v>
      </c>
      <c r="F1140" s="34">
        <v>2</v>
      </c>
      <c r="G1140" s="40" t="s">
        <v>165</v>
      </c>
      <c r="H1140" s="29">
        <v>1</v>
      </c>
      <c r="I1140" s="9">
        <v>2</v>
      </c>
      <c r="J1140" s="9">
        <v>2</v>
      </c>
      <c r="K1140" s="9">
        <v>1</v>
      </c>
      <c r="L1140" s="9">
        <v>3</v>
      </c>
      <c r="M1140" s="9">
        <v>3</v>
      </c>
      <c r="N1140" s="186">
        <f t="shared" si="66"/>
        <v>1.0725046436742278</v>
      </c>
      <c r="O1140" s="160">
        <f t="shared" si="67"/>
        <v>1.0776024280428556</v>
      </c>
      <c r="P1140" s="63" t="s">
        <v>482</v>
      </c>
    </row>
    <row r="1141" spans="1:16" s="828" customFormat="1" hidden="1">
      <c r="A1141" s="626" t="s">
        <v>589</v>
      </c>
      <c r="B1141" s="59" t="s">
        <v>245</v>
      </c>
      <c r="C1141" s="40" t="s">
        <v>147</v>
      </c>
      <c r="D1141" s="34" t="s">
        <v>107</v>
      </c>
      <c r="E1141" s="260">
        <v>0.39400000000000002</v>
      </c>
      <c r="F1141" s="34">
        <v>2</v>
      </c>
      <c r="G1141" s="40" t="s">
        <v>451</v>
      </c>
      <c r="H1141" s="29">
        <v>1</v>
      </c>
      <c r="I1141" s="9">
        <v>2</v>
      </c>
      <c r="J1141" s="9">
        <v>2</v>
      </c>
      <c r="K1141" s="9">
        <v>1</v>
      </c>
      <c r="L1141" s="9">
        <v>1</v>
      </c>
      <c r="M1141" s="9">
        <v>1</v>
      </c>
      <c r="N1141" s="186">
        <f t="shared" si="66"/>
        <v>0.16933510251023262</v>
      </c>
      <c r="O1141" s="160">
        <f t="shared" si="67"/>
        <v>0.19908580854301616</v>
      </c>
      <c r="P1141" s="63" t="s">
        <v>483</v>
      </c>
    </row>
    <row r="1142" spans="1:16" s="828" customFormat="1" hidden="1">
      <c r="A1142" s="626" t="s">
        <v>589</v>
      </c>
      <c r="B1142" s="59" t="s">
        <v>264</v>
      </c>
      <c r="C1142" s="40" t="s">
        <v>147</v>
      </c>
      <c r="D1142" s="34" t="s">
        <v>107</v>
      </c>
      <c r="E1142" s="260">
        <v>0.52200000000000002</v>
      </c>
      <c r="F1142" s="34">
        <v>1</v>
      </c>
      <c r="G1142" s="40" t="s">
        <v>451</v>
      </c>
      <c r="H1142" s="29">
        <v>1</v>
      </c>
      <c r="I1142" s="9">
        <v>2</v>
      </c>
      <c r="J1142" s="9">
        <v>2</v>
      </c>
      <c r="K1142" s="9">
        <v>1</v>
      </c>
      <c r="L1142" s="9">
        <v>1</v>
      </c>
      <c r="M1142" s="9">
        <v>1</v>
      </c>
      <c r="N1142" s="186">
        <f t="shared" si="66"/>
        <v>0.16933510251023262</v>
      </c>
      <c r="O1142" s="160">
        <f t="shared" si="67"/>
        <v>0.19908580854301616</v>
      </c>
      <c r="P1142" s="63" t="s">
        <v>484</v>
      </c>
    </row>
    <row r="1143" spans="1:16" s="828" customFormat="1" hidden="1">
      <c r="A1143" s="626" t="s">
        <v>589</v>
      </c>
      <c r="B1143" s="59" t="s">
        <v>271</v>
      </c>
      <c r="C1143" s="40" t="s">
        <v>147</v>
      </c>
      <c r="D1143" s="34" t="s">
        <v>107</v>
      </c>
      <c r="E1143" s="260">
        <v>3.4000000000000002E-2</v>
      </c>
      <c r="F1143" s="34">
        <v>2</v>
      </c>
      <c r="G1143" s="40" t="s">
        <v>451</v>
      </c>
      <c r="H1143" s="29">
        <v>1</v>
      </c>
      <c r="I1143" s="9">
        <v>2</v>
      </c>
      <c r="J1143" s="9">
        <v>2</v>
      </c>
      <c r="K1143" s="9">
        <v>1</v>
      </c>
      <c r="L1143" s="9">
        <v>1</v>
      </c>
      <c r="M1143" s="9">
        <v>1</v>
      </c>
      <c r="N1143" s="186"/>
      <c r="O1143" s="160"/>
      <c r="P1143" s="63" t="s">
        <v>485</v>
      </c>
    </row>
    <row r="1144" spans="1:16" s="828" customFormat="1" hidden="1">
      <c r="A1144" s="626" t="s">
        <v>587</v>
      </c>
      <c r="B1144" s="59" t="s">
        <v>593</v>
      </c>
      <c r="C1144" s="40" t="s">
        <v>147</v>
      </c>
      <c r="D1144" s="34" t="s">
        <v>107</v>
      </c>
      <c r="E1144" s="260">
        <f>0.1*E1138</f>
        <v>1.4999999999999999E-2</v>
      </c>
      <c r="F1144" s="34">
        <v>2</v>
      </c>
      <c r="G1144" s="40" t="s">
        <v>451</v>
      </c>
      <c r="H1144" s="29">
        <v>1</v>
      </c>
      <c r="I1144" s="9">
        <v>2</v>
      </c>
      <c r="J1144" s="9">
        <v>2</v>
      </c>
      <c r="K1144" s="9">
        <v>1</v>
      </c>
      <c r="L1144" s="9">
        <v>1</v>
      </c>
      <c r="M1144" s="9">
        <v>1</v>
      </c>
      <c r="N1144" s="186">
        <f t="shared" ref="N1144:N1161" si="68">IF( OR( ISBLANK(H1144),ISBLANK(J1144), ISBLANK(K1144), ISBLANK(L1144), ISBLANK(M1144) ), "", 1.5*SQRT(   EXP(2.21*(H1144-1)) + EXP(2.21*(J1144-1)) + EXP(2.21*(K1144-1)) + EXP(2.21*(L1144-1)) + EXP(2.21*M1144)   )/100*2.45 )</f>
        <v>0.16933510251023262</v>
      </c>
      <c r="O1144" s="160">
        <f t="shared" ref="O1144:O1161" si="69">IF( OR( ISBLANK(I1144),ISBLANK(J1144), ISBLANK(K1144), ISBLANK(L1144), ISBLANK(M1144) ), "", 1.5*SQRT( EXP(2.21*(I1144-1)) + EXP(2.21*(J1144-1)) + EXP(2.21*(K1144-1)) + EXP(2.21*(L1144-1)) + EXP(2.21*M1144)   )/100*2.45 )</f>
        <v>0.19908580854301616</v>
      </c>
      <c r="P1144" s="63" t="s">
        <v>487</v>
      </c>
    </row>
    <row r="1145" spans="1:16" s="828" customFormat="1" hidden="1">
      <c r="A1145" s="626" t="s">
        <v>587</v>
      </c>
      <c r="B1145" s="59" t="s">
        <v>594</v>
      </c>
      <c r="C1145" s="40" t="s">
        <v>147</v>
      </c>
      <c r="D1145" s="34" t="s">
        <v>107</v>
      </c>
      <c r="E1145" s="260" t="s">
        <v>158</v>
      </c>
      <c r="F1145" s="34">
        <v>1</v>
      </c>
      <c r="G1145" s="40" t="s">
        <v>451</v>
      </c>
      <c r="H1145" s="29"/>
      <c r="I1145" s="9"/>
      <c r="J1145" s="9"/>
      <c r="K1145" s="9"/>
      <c r="L1145" s="9"/>
      <c r="M1145" s="9"/>
      <c r="N1145" s="186" t="str">
        <f t="shared" si="68"/>
        <v/>
      </c>
      <c r="O1145" s="160" t="str">
        <f t="shared" si="69"/>
        <v/>
      </c>
      <c r="P1145" s="63" t="s">
        <v>592</v>
      </c>
    </row>
    <row r="1146" spans="1:16" s="828" customFormat="1" hidden="1">
      <c r="A1146" s="626" t="s">
        <v>593</v>
      </c>
      <c r="B1146" s="59" t="s">
        <v>241</v>
      </c>
      <c r="C1146" s="40" t="s">
        <v>147</v>
      </c>
      <c r="D1146" s="34" t="s">
        <v>107</v>
      </c>
      <c r="E1146" s="260">
        <v>1</v>
      </c>
      <c r="F1146" s="34">
        <v>2</v>
      </c>
      <c r="G1146" s="40" t="s">
        <v>451</v>
      </c>
      <c r="H1146" s="29">
        <v>1</v>
      </c>
      <c r="I1146" s="9">
        <v>2</v>
      </c>
      <c r="J1146" s="9">
        <v>2</v>
      </c>
      <c r="K1146" s="9">
        <v>1</v>
      </c>
      <c r="L1146" s="9">
        <v>1</v>
      </c>
      <c r="M1146" s="9">
        <v>1</v>
      </c>
      <c r="N1146" s="186">
        <f t="shared" si="68"/>
        <v>0.16933510251023262</v>
      </c>
      <c r="O1146" s="160">
        <f t="shared" si="69"/>
        <v>0.19908580854301616</v>
      </c>
      <c r="P1146" s="63" t="s">
        <v>490</v>
      </c>
    </row>
    <row r="1147" spans="1:16" s="828" customFormat="1" hidden="1">
      <c r="A1147" s="626" t="s">
        <v>591</v>
      </c>
      <c r="B1147" s="59" t="s">
        <v>244</v>
      </c>
      <c r="C1147" s="40" t="s">
        <v>147</v>
      </c>
      <c r="D1147" s="34" t="s">
        <v>107</v>
      </c>
      <c r="E1147" s="260">
        <v>0</v>
      </c>
      <c r="F1147" s="34">
        <v>2</v>
      </c>
      <c r="G1147" s="40" t="s">
        <v>451</v>
      </c>
      <c r="H1147" s="29">
        <v>1</v>
      </c>
      <c r="I1147" s="9">
        <v>2</v>
      </c>
      <c r="J1147" s="9">
        <v>2</v>
      </c>
      <c r="K1147" s="9">
        <v>1</v>
      </c>
      <c r="L1147" s="9">
        <v>1</v>
      </c>
      <c r="M1147" s="9">
        <v>1</v>
      </c>
      <c r="N1147" s="186">
        <f t="shared" si="68"/>
        <v>0.16933510251023262</v>
      </c>
      <c r="O1147" s="160">
        <f t="shared" si="69"/>
        <v>0.19908580854301616</v>
      </c>
      <c r="P1147" s="63" t="s">
        <v>595</v>
      </c>
    </row>
    <row r="1148" spans="1:16" s="828" customFormat="1" hidden="1">
      <c r="A1148" s="626" t="s">
        <v>591</v>
      </c>
      <c r="B1148" s="59" t="s">
        <v>245</v>
      </c>
      <c r="C1148" s="40" t="s">
        <v>147</v>
      </c>
      <c r="D1148" s="34" t="s">
        <v>107</v>
      </c>
      <c r="E1148" s="260">
        <v>0</v>
      </c>
      <c r="F1148" s="34">
        <v>2</v>
      </c>
      <c r="G1148" s="40" t="s">
        <v>451</v>
      </c>
      <c r="H1148" s="29">
        <v>1</v>
      </c>
      <c r="I1148" s="9">
        <v>2</v>
      </c>
      <c r="J1148" s="9">
        <v>2</v>
      </c>
      <c r="K1148" s="9">
        <v>1</v>
      </c>
      <c r="L1148" s="9">
        <v>1</v>
      </c>
      <c r="M1148" s="9">
        <v>1</v>
      </c>
      <c r="N1148" s="186">
        <f t="shared" si="68"/>
        <v>0.16933510251023262</v>
      </c>
      <c r="O1148" s="160">
        <f t="shared" si="69"/>
        <v>0.19908580854301616</v>
      </c>
      <c r="P1148" s="63" t="s">
        <v>595</v>
      </c>
    </row>
    <row r="1149" spans="1:16" s="828" customFormat="1" hidden="1">
      <c r="A1149" s="626" t="s">
        <v>591</v>
      </c>
      <c r="B1149" s="59" t="s">
        <v>264</v>
      </c>
      <c r="C1149" s="40" t="s">
        <v>147</v>
      </c>
      <c r="D1149" s="34" t="s">
        <v>107</v>
      </c>
      <c r="E1149" s="260">
        <v>0</v>
      </c>
      <c r="F1149" s="34">
        <v>2</v>
      </c>
      <c r="G1149" s="40" t="s">
        <v>451</v>
      </c>
      <c r="H1149" s="29">
        <v>1</v>
      </c>
      <c r="I1149" s="9">
        <v>2</v>
      </c>
      <c r="J1149" s="9">
        <v>2</v>
      </c>
      <c r="K1149" s="9">
        <v>1</v>
      </c>
      <c r="L1149" s="9">
        <v>1</v>
      </c>
      <c r="M1149" s="9">
        <v>1</v>
      </c>
      <c r="N1149" s="186">
        <f t="shared" si="68"/>
        <v>0.16933510251023262</v>
      </c>
      <c r="O1149" s="160">
        <f t="shared" si="69"/>
        <v>0.19908580854301616</v>
      </c>
      <c r="P1149" s="63" t="s">
        <v>595</v>
      </c>
    </row>
    <row r="1150" spans="1:16" s="828" customFormat="1" hidden="1">
      <c r="A1150" s="626" t="s">
        <v>591</v>
      </c>
      <c r="B1150" s="59" t="s">
        <v>271</v>
      </c>
      <c r="C1150" s="40" t="s">
        <v>147</v>
      </c>
      <c r="D1150" s="34" t="s">
        <v>107</v>
      </c>
      <c r="E1150" s="260">
        <v>0</v>
      </c>
      <c r="F1150" s="34">
        <v>2</v>
      </c>
      <c r="G1150" s="40" t="s">
        <v>451</v>
      </c>
      <c r="H1150" s="29">
        <v>1</v>
      </c>
      <c r="I1150" s="9">
        <v>2</v>
      </c>
      <c r="J1150" s="9">
        <v>2</v>
      </c>
      <c r="K1150" s="9">
        <v>1</v>
      </c>
      <c r="L1150" s="9">
        <v>1</v>
      </c>
      <c r="M1150" s="9">
        <v>1</v>
      </c>
      <c r="N1150" s="186">
        <f t="shared" si="68"/>
        <v>0.16933510251023262</v>
      </c>
      <c r="O1150" s="160">
        <f t="shared" si="69"/>
        <v>0.19908580854301616</v>
      </c>
      <c r="P1150" s="63" t="s">
        <v>595</v>
      </c>
    </row>
    <row r="1151" spans="1:16" s="828" customFormat="1" hidden="1">
      <c r="A1151" s="626" t="s">
        <v>591</v>
      </c>
      <c r="B1151" s="59" t="s">
        <v>344</v>
      </c>
      <c r="C1151" s="40" t="s">
        <v>147</v>
      </c>
      <c r="D1151" s="34" t="s">
        <v>107</v>
      </c>
      <c r="E1151" s="260" t="s">
        <v>158</v>
      </c>
      <c r="F1151" s="34">
        <v>1</v>
      </c>
      <c r="G1151" s="40" t="s">
        <v>451</v>
      </c>
      <c r="H1151" s="29"/>
      <c r="I1151" s="9"/>
      <c r="J1151" s="9"/>
      <c r="K1151" s="9"/>
      <c r="L1151" s="9"/>
      <c r="M1151" s="9"/>
      <c r="N1151" s="186" t="str">
        <f t="shared" si="68"/>
        <v/>
      </c>
      <c r="O1151" s="160" t="str">
        <f t="shared" si="69"/>
        <v/>
      </c>
      <c r="P1151" s="63"/>
    </row>
    <row r="1152" spans="1:16" s="828" customFormat="1" hidden="1">
      <c r="A1152" s="626" t="s">
        <v>594</v>
      </c>
      <c r="B1152" s="59" t="s">
        <v>241</v>
      </c>
      <c r="C1152" s="40" t="s">
        <v>147</v>
      </c>
      <c r="D1152" s="34" t="s">
        <v>107</v>
      </c>
      <c r="E1152" s="260">
        <v>0</v>
      </c>
      <c r="F1152" s="34">
        <v>2</v>
      </c>
      <c r="G1152" s="40" t="s">
        <v>451</v>
      </c>
      <c r="H1152" s="29">
        <v>1</v>
      </c>
      <c r="I1152" s="9">
        <v>2</v>
      </c>
      <c r="J1152" s="9">
        <v>2</v>
      </c>
      <c r="K1152" s="9">
        <v>1</v>
      </c>
      <c r="L1152" s="9">
        <v>1</v>
      </c>
      <c r="M1152" s="9">
        <v>1</v>
      </c>
      <c r="N1152" s="186">
        <f t="shared" si="68"/>
        <v>0.16933510251023262</v>
      </c>
      <c r="O1152" s="160">
        <f t="shared" si="69"/>
        <v>0.19908580854301616</v>
      </c>
      <c r="P1152" s="63" t="s">
        <v>492</v>
      </c>
    </row>
    <row r="1153" spans="1:16" s="828" customFormat="1" hidden="1">
      <c r="A1153" s="626" t="s">
        <v>594</v>
      </c>
      <c r="B1153" s="59" t="s">
        <v>344</v>
      </c>
      <c r="C1153" s="40" t="s">
        <v>147</v>
      </c>
      <c r="D1153" s="34" t="s">
        <v>107</v>
      </c>
      <c r="E1153" s="260" t="s">
        <v>158</v>
      </c>
      <c r="F1153" s="34">
        <v>1</v>
      </c>
      <c r="G1153" s="40" t="s">
        <v>451</v>
      </c>
      <c r="H1153" s="29">
        <v>1</v>
      </c>
      <c r="I1153" s="9">
        <v>2</v>
      </c>
      <c r="J1153" s="9">
        <v>2</v>
      </c>
      <c r="K1153" s="9">
        <v>1</v>
      </c>
      <c r="L1153" s="9">
        <v>1</v>
      </c>
      <c r="M1153" s="9">
        <v>1</v>
      </c>
      <c r="N1153" s="186">
        <f t="shared" si="68"/>
        <v>0.16933510251023262</v>
      </c>
      <c r="O1153" s="160">
        <f t="shared" si="69"/>
        <v>0.19908580854301616</v>
      </c>
      <c r="P1153" s="63" t="s">
        <v>596</v>
      </c>
    </row>
    <row r="1154" spans="1:16" s="828" customFormat="1" hidden="1">
      <c r="A1154" s="626" t="s">
        <v>460</v>
      </c>
      <c r="B1154" s="59" t="s">
        <v>597</v>
      </c>
      <c r="C1154" s="40" t="s">
        <v>147</v>
      </c>
      <c r="D1154" s="34" t="s">
        <v>107</v>
      </c>
      <c r="E1154" s="260">
        <v>0</v>
      </c>
      <c r="F1154" s="34">
        <v>2</v>
      </c>
      <c r="G1154" s="40" t="s">
        <v>451</v>
      </c>
      <c r="H1154" s="29">
        <v>1</v>
      </c>
      <c r="I1154" s="9">
        <v>2</v>
      </c>
      <c r="J1154" s="9">
        <v>2</v>
      </c>
      <c r="K1154" s="9">
        <v>1</v>
      </c>
      <c r="L1154" s="9">
        <v>1</v>
      </c>
      <c r="M1154" s="9">
        <v>1</v>
      </c>
      <c r="N1154" s="186">
        <f t="shared" si="68"/>
        <v>0.16933510251023262</v>
      </c>
      <c r="O1154" s="160">
        <f t="shared" si="69"/>
        <v>0.19908580854301616</v>
      </c>
      <c r="P1154" s="63" t="s">
        <v>598</v>
      </c>
    </row>
    <row r="1155" spans="1:16" s="828" customFormat="1" hidden="1">
      <c r="A1155" s="626" t="s">
        <v>460</v>
      </c>
      <c r="B1155" s="59" t="s">
        <v>599</v>
      </c>
      <c r="C1155" s="40" t="s">
        <v>147</v>
      </c>
      <c r="D1155" s="34" t="s">
        <v>107</v>
      </c>
      <c r="E1155" s="260">
        <v>0.85</v>
      </c>
      <c r="F1155" s="34">
        <v>2</v>
      </c>
      <c r="G1155" s="40" t="s">
        <v>451</v>
      </c>
      <c r="H1155" s="29">
        <v>1</v>
      </c>
      <c r="I1155" s="9">
        <v>2</v>
      </c>
      <c r="J1155" s="9">
        <v>2</v>
      </c>
      <c r="K1155" s="9">
        <v>1</v>
      </c>
      <c r="L1155" s="9">
        <v>1</v>
      </c>
      <c r="M1155" s="9">
        <v>1</v>
      </c>
      <c r="N1155" s="186">
        <f t="shared" si="68"/>
        <v>0.16933510251023262</v>
      </c>
      <c r="O1155" s="160">
        <f t="shared" si="69"/>
        <v>0.19908580854301616</v>
      </c>
      <c r="P1155" s="63" t="s">
        <v>600</v>
      </c>
    </row>
    <row r="1156" spans="1:16" s="828" customFormat="1" hidden="1">
      <c r="A1156" s="626" t="s">
        <v>460</v>
      </c>
      <c r="B1156" s="59" t="s">
        <v>236</v>
      </c>
      <c r="C1156" s="40" t="s">
        <v>147</v>
      </c>
      <c r="D1156" s="34" t="s">
        <v>107</v>
      </c>
      <c r="E1156" s="260">
        <v>0.15</v>
      </c>
      <c r="F1156" s="34">
        <v>1</v>
      </c>
      <c r="G1156" s="40" t="s">
        <v>451</v>
      </c>
      <c r="H1156" s="29">
        <v>1</v>
      </c>
      <c r="I1156" s="9">
        <v>2</v>
      </c>
      <c r="J1156" s="9">
        <v>2</v>
      </c>
      <c r="K1156" s="9">
        <v>1</v>
      </c>
      <c r="L1156" s="9">
        <v>1</v>
      </c>
      <c r="M1156" s="9">
        <v>1</v>
      </c>
      <c r="N1156" s="186">
        <f t="shared" si="68"/>
        <v>0.16933510251023262</v>
      </c>
      <c r="O1156" s="160">
        <f t="shared" si="69"/>
        <v>0.19908580854301616</v>
      </c>
      <c r="P1156" s="63" t="s">
        <v>573</v>
      </c>
    </row>
    <row r="1157" spans="1:16" s="828" customFormat="1" hidden="1">
      <c r="A1157" s="626" t="s">
        <v>597</v>
      </c>
      <c r="B1157" s="59" t="s">
        <v>601</v>
      </c>
      <c r="C1157" s="40" t="s">
        <v>147</v>
      </c>
      <c r="D1157" s="34" t="s">
        <v>107</v>
      </c>
      <c r="E1157" s="260">
        <v>0.03</v>
      </c>
      <c r="F1157" s="34">
        <v>2</v>
      </c>
      <c r="G1157" s="40" t="s">
        <v>451</v>
      </c>
      <c r="H1157" s="29">
        <v>1</v>
      </c>
      <c r="I1157" s="9">
        <v>2</v>
      </c>
      <c r="J1157" s="9">
        <v>2</v>
      </c>
      <c r="K1157" s="9">
        <v>1</v>
      </c>
      <c r="L1157" s="9">
        <v>1</v>
      </c>
      <c r="M1157" s="9">
        <v>1</v>
      </c>
      <c r="N1157" s="186">
        <f t="shared" si="68"/>
        <v>0.16933510251023262</v>
      </c>
      <c r="O1157" s="160">
        <f t="shared" si="69"/>
        <v>0.19908580854301616</v>
      </c>
      <c r="P1157" s="63" t="s">
        <v>480</v>
      </c>
    </row>
    <row r="1158" spans="1:16" s="828" customFormat="1" hidden="1">
      <c r="A1158" s="626" t="s">
        <v>597</v>
      </c>
      <c r="B1158" s="59" t="s">
        <v>602</v>
      </c>
      <c r="C1158" s="40" t="s">
        <v>147</v>
      </c>
      <c r="D1158" s="34" t="s">
        <v>107</v>
      </c>
      <c r="E1158" s="260" t="s">
        <v>158</v>
      </c>
      <c r="F1158" s="34">
        <v>1</v>
      </c>
      <c r="G1158" s="40" t="s">
        <v>451</v>
      </c>
      <c r="H1158" s="29"/>
      <c r="I1158" s="9"/>
      <c r="J1158" s="9"/>
      <c r="K1158" s="9"/>
      <c r="L1158" s="9"/>
      <c r="M1158" s="9"/>
      <c r="N1158" s="186" t="str">
        <f t="shared" si="68"/>
        <v/>
      </c>
      <c r="O1158" s="160" t="str">
        <f t="shared" si="69"/>
        <v/>
      </c>
      <c r="P1158" s="63" t="s">
        <v>603</v>
      </c>
    </row>
    <row r="1159" spans="1:16" s="828" customFormat="1" hidden="1">
      <c r="A1159" s="626" t="s">
        <v>601</v>
      </c>
      <c r="B1159" s="59" t="s">
        <v>244</v>
      </c>
      <c r="C1159" s="40" t="s">
        <v>147</v>
      </c>
      <c r="D1159" s="34" t="s">
        <v>107</v>
      </c>
      <c r="E1159" s="260">
        <v>0.05</v>
      </c>
      <c r="F1159" s="34">
        <v>2</v>
      </c>
      <c r="G1159" s="40" t="s">
        <v>165</v>
      </c>
      <c r="H1159" s="29">
        <v>1</v>
      </c>
      <c r="I1159" s="9">
        <v>2</v>
      </c>
      <c r="J1159" s="9">
        <v>2</v>
      </c>
      <c r="K1159" s="9">
        <v>1</v>
      </c>
      <c r="L1159" s="9">
        <v>3</v>
      </c>
      <c r="M1159" s="9">
        <v>3</v>
      </c>
      <c r="N1159" s="186">
        <f t="shared" si="68"/>
        <v>1.0725046436742278</v>
      </c>
      <c r="O1159" s="160">
        <f t="shared" si="69"/>
        <v>1.0776024280428556</v>
      </c>
      <c r="P1159" s="63" t="s">
        <v>482</v>
      </c>
    </row>
    <row r="1160" spans="1:16" s="828" customFormat="1" hidden="1">
      <c r="A1160" s="626" t="s">
        <v>601</v>
      </c>
      <c r="B1160" s="59" t="s">
        <v>245</v>
      </c>
      <c r="C1160" s="40" t="s">
        <v>147</v>
      </c>
      <c r="D1160" s="34" t="s">
        <v>107</v>
      </c>
      <c r="E1160" s="260">
        <v>0.39400000000000002</v>
      </c>
      <c r="F1160" s="34">
        <v>2</v>
      </c>
      <c r="G1160" s="40" t="s">
        <v>451</v>
      </c>
      <c r="H1160" s="29">
        <v>1</v>
      </c>
      <c r="I1160" s="9">
        <v>2</v>
      </c>
      <c r="J1160" s="9">
        <v>2</v>
      </c>
      <c r="K1160" s="9">
        <v>1</v>
      </c>
      <c r="L1160" s="9">
        <v>1</v>
      </c>
      <c r="M1160" s="9">
        <v>1</v>
      </c>
      <c r="N1160" s="186">
        <f t="shared" si="68"/>
        <v>0.16933510251023262</v>
      </c>
      <c r="O1160" s="160">
        <f t="shared" si="69"/>
        <v>0.19908580854301616</v>
      </c>
      <c r="P1160" s="63" t="s">
        <v>483</v>
      </c>
    </row>
    <row r="1161" spans="1:16" s="828" customFormat="1" hidden="1">
      <c r="A1161" s="626" t="s">
        <v>601</v>
      </c>
      <c r="B1161" s="59" t="s">
        <v>264</v>
      </c>
      <c r="C1161" s="40" t="s">
        <v>147</v>
      </c>
      <c r="D1161" s="34" t="s">
        <v>107</v>
      </c>
      <c r="E1161" s="260">
        <v>0.52200000000000002</v>
      </c>
      <c r="F1161" s="34">
        <v>1</v>
      </c>
      <c r="G1161" s="40" t="s">
        <v>451</v>
      </c>
      <c r="H1161" s="29">
        <v>1</v>
      </c>
      <c r="I1161" s="9">
        <v>2</v>
      </c>
      <c r="J1161" s="9">
        <v>2</v>
      </c>
      <c r="K1161" s="9">
        <v>1</v>
      </c>
      <c r="L1161" s="9">
        <v>1</v>
      </c>
      <c r="M1161" s="9">
        <v>1</v>
      </c>
      <c r="N1161" s="186">
        <f t="shared" si="68"/>
        <v>0.16933510251023262</v>
      </c>
      <c r="O1161" s="160">
        <f t="shared" si="69"/>
        <v>0.19908580854301616</v>
      </c>
      <c r="P1161" s="63" t="s">
        <v>484</v>
      </c>
    </row>
    <row r="1162" spans="1:16" s="828" customFormat="1" hidden="1">
      <c r="A1162" s="626" t="s">
        <v>601</v>
      </c>
      <c r="B1162" s="59" t="s">
        <v>271</v>
      </c>
      <c r="C1162" s="40" t="s">
        <v>147</v>
      </c>
      <c r="D1162" s="34" t="s">
        <v>107</v>
      </c>
      <c r="E1162" s="260">
        <v>3.4000000000000002E-2</v>
      </c>
      <c r="F1162" s="34">
        <v>2</v>
      </c>
      <c r="G1162" s="40" t="s">
        <v>451</v>
      </c>
      <c r="H1162" s="29">
        <v>1</v>
      </c>
      <c r="I1162" s="9">
        <v>2</v>
      </c>
      <c r="J1162" s="9">
        <v>2</v>
      </c>
      <c r="K1162" s="9">
        <v>1</v>
      </c>
      <c r="L1162" s="9">
        <v>1</v>
      </c>
      <c r="M1162" s="9">
        <v>1</v>
      </c>
      <c r="N1162" s="186"/>
      <c r="O1162" s="160"/>
      <c r="P1162" s="63" t="s">
        <v>485</v>
      </c>
    </row>
    <row r="1163" spans="1:16" s="828" customFormat="1" hidden="1">
      <c r="A1163" s="626" t="s">
        <v>599</v>
      </c>
      <c r="B1163" s="59" t="s">
        <v>604</v>
      </c>
      <c r="C1163" s="40" t="s">
        <v>147</v>
      </c>
      <c r="D1163" s="34" t="s">
        <v>107</v>
      </c>
      <c r="E1163" s="260" t="s">
        <v>158</v>
      </c>
      <c r="F1163" s="34">
        <v>1</v>
      </c>
      <c r="G1163" s="40" t="s">
        <v>451</v>
      </c>
      <c r="H1163" s="29">
        <v>1</v>
      </c>
      <c r="I1163" s="9">
        <v>2</v>
      </c>
      <c r="J1163" s="9">
        <v>2</v>
      </c>
      <c r="K1163" s="9">
        <v>1</v>
      </c>
      <c r="L1163" s="9">
        <v>1</v>
      </c>
      <c r="M1163" s="9">
        <v>1</v>
      </c>
      <c r="N1163" s="186">
        <f t="shared" ref="N1163:N1183" si="70">IF( OR( ISBLANK(H1163),ISBLANK(J1163), ISBLANK(K1163), ISBLANK(L1163), ISBLANK(M1163) ), "", 1.5*SQRT(   EXP(2.21*(H1163-1)) + EXP(2.21*(J1163-1)) + EXP(2.21*(K1163-1)) + EXP(2.21*(L1163-1)) + EXP(2.21*M1163)   )/100*2.45 )</f>
        <v>0.16933510251023262</v>
      </c>
      <c r="O1163" s="160">
        <f t="shared" ref="O1163:O1183" si="71">IF( OR( ISBLANK(I1163),ISBLANK(J1163), ISBLANK(K1163), ISBLANK(L1163), ISBLANK(M1163) ), "", 1.5*SQRT( EXP(2.21*(I1163-1)) + EXP(2.21*(J1163-1)) + EXP(2.21*(K1163-1)) + EXP(2.21*(L1163-1)) + EXP(2.21*M1163)   )/100*2.45 )</f>
        <v>0.19908580854301616</v>
      </c>
      <c r="P1163" s="63" t="s">
        <v>605</v>
      </c>
    </row>
    <row r="1164" spans="1:16" s="828" customFormat="1" hidden="1">
      <c r="A1164" s="626" t="s">
        <v>599</v>
      </c>
      <c r="B1164" s="59" t="s">
        <v>606</v>
      </c>
      <c r="C1164" s="40" t="s">
        <v>147</v>
      </c>
      <c r="D1164" s="34" t="s">
        <v>107</v>
      </c>
      <c r="E1164" s="260">
        <f>0.016*0.091</f>
        <v>1.456E-3</v>
      </c>
      <c r="F1164" s="34">
        <v>2</v>
      </c>
      <c r="G1164" s="40" t="s">
        <v>451</v>
      </c>
      <c r="H1164" s="29">
        <v>1</v>
      </c>
      <c r="I1164" s="9">
        <v>2</v>
      </c>
      <c r="J1164" s="9">
        <v>2</v>
      </c>
      <c r="K1164" s="9">
        <v>1</v>
      </c>
      <c r="L1164" s="9">
        <v>1</v>
      </c>
      <c r="M1164" s="9">
        <v>1</v>
      </c>
      <c r="N1164" s="186">
        <f t="shared" si="70"/>
        <v>0.16933510251023262</v>
      </c>
      <c r="O1164" s="160">
        <f t="shared" si="71"/>
        <v>0.19908580854301616</v>
      </c>
      <c r="P1164" s="63" t="s">
        <v>607</v>
      </c>
    </row>
    <row r="1165" spans="1:16" s="828" customFormat="1" hidden="1">
      <c r="A1165" s="626" t="s">
        <v>604</v>
      </c>
      <c r="B1165" s="59" t="s">
        <v>608</v>
      </c>
      <c r="C1165" s="40" t="s">
        <v>147</v>
      </c>
      <c r="D1165" s="34" t="s">
        <v>107</v>
      </c>
      <c r="E1165" s="260">
        <f>0.1*E1157</f>
        <v>3.0000000000000001E-3</v>
      </c>
      <c r="F1165" s="34">
        <v>2</v>
      </c>
      <c r="G1165" s="40" t="s">
        <v>451</v>
      </c>
      <c r="H1165" s="29">
        <v>1</v>
      </c>
      <c r="I1165" s="9">
        <v>2</v>
      </c>
      <c r="J1165" s="9">
        <v>2</v>
      </c>
      <c r="K1165" s="9">
        <v>1</v>
      </c>
      <c r="L1165" s="9">
        <v>1</v>
      </c>
      <c r="M1165" s="9">
        <v>1</v>
      </c>
      <c r="N1165" s="186">
        <f t="shared" si="70"/>
        <v>0.16933510251023262</v>
      </c>
      <c r="O1165" s="160">
        <f t="shared" si="71"/>
        <v>0.19908580854301616</v>
      </c>
      <c r="P1165" s="63" t="s">
        <v>487</v>
      </c>
    </row>
    <row r="1166" spans="1:16" s="828" customFormat="1" hidden="1">
      <c r="A1166" s="626" t="s">
        <v>604</v>
      </c>
      <c r="B1166" s="59" t="s">
        <v>609</v>
      </c>
      <c r="C1166" s="40" t="s">
        <v>147</v>
      </c>
      <c r="D1166" s="34" t="s">
        <v>107</v>
      </c>
      <c r="E1166" s="260" t="s">
        <v>158</v>
      </c>
      <c r="F1166" s="34">
        <v>1</v>
      </c>
      <c r="G1166" s="40" t="s">
        <v>451</v>
      </c>
      <c r="H1166" s="29"/>
      <c r="I1166" s="9"/>
      <c r="J1166" s="9"/>
      <c r="K1166" s="9"/>
      <c r="L1166" s="9"/>
      <c r="M1166" s="9"/>
      <c r="N1166" s="186" t="str">
        <f t="shared" si="70"/>
        <v/>
      </c>
      <c r="O1166" s="160" t="str">
        <f t="shared" si="71"/>
        <v/>
      </c>
      <c r="P1166" s="63" t="s">
        <v>610</v>
      </c>
    </row>
    <row r="1167" spans="1:16" s="828" customFormat="1" hidden="1">
      <c r="A1167" s="626" t="s">
        <v>608</v>
      </c>
      <c r="B1167" s="59" t="s">
        <v>241</v>
      </c>
      <c r="C1167" s="40" t="s">
        <v>147</v>
      </c>
      <c r="D1167" s="34" t="s">
        <v>107</v>
      </c>
      <c r="E1167" s="260">
        <v>1</v>
      </c>
      <c r="F1167" s="34">
        <v>2</v>
      </c>
      <c r="G1167" s="40" t="s">
        <v>451</v>
      </c>
      <c r="H1167" s="29">
        <v>1</v>
      </c>
      <c r="I1167" s="9">
        <v>2</v>
      </c>
      <c r="J1167" s="9">
        <v>2</v>
      </c>
      <c r="K1167" s="9">
        <v>1</v>
      </c>
      <c r="L1167" s="9">
        <v>1</v>
      </c>
      <c r="M1167" s="9">
        <v>1</v>
      </c>
      <c r="N1167" s="186">
        <f t="shared" si="70"/>
        <v>0.16933510251023262</v>
      </c>
      <c r="O1167" s="160">
        <f t="shared" si="71"/>
        <v>0.19908580854301616</v>
      </c>
      <c r="P1167" s="63" t="s">
        <v>490</v>
      </c>
    </row>
    <row r="1168" spans="1:16" s="828" customFormat="1" hidden="1">
      <c r="A1168" s="626" t="s">
        <v>606</v>
      </c>
      <c r="B1168" s="59" t="s">
        <v>245</v>
      </c>
      <c r="C1168" s="40" t="s">
        <v>147</v>
      </c>
      <c r="D1168" s="34" t="s">
        <v>107</v>
      </c>
      <c r="E1168" s="260">
        <v>1</v>
      </c>
      <c r="F1168" s="34">
        <v>1</v>
      </c>
      <c r="G1168" s="40" t="s">
        <v>451</v>
      </c>
      <c r="H1168" s="29">
        <v>1</v>
      </c>
      <c r="I1168" s="9">
        <v>2</v>
      </c>
      <c r="J1168" s="9">
        <v>2</v>
      </c>
      <c r="K1168" s="9">
        <v>1</v>
      </c>
      <c r="L1168" s="9">
        <v>1</v>
      </c>
      <c r="M1168" s="9">
        <v>1</v>
      </c>
      <c r="N1168" s="186">
        <f t="shared" si="70"/>
        <v>0.16933510251023262</v>
      </c>
      <c r="O1168" s="160">
        <f t="shared" si="71"/>
        <v>0.19908580854301616</v>
      </c>
      <c r="P1168" s="63" t="s">
        <v>490</v>
      </c>
    </row>
    <row r="1169" spans="1:16" s="828" customFormat="1" hidden="1">
      <c r="A1169" s="626" t="s">
        <v>602</v>
      </c>
      <c r="B1169" s="59" t="s">
        <v>244</v>
      </c>
      <c r="C1169" s="40" t="s">
        <v>147</v>
      </c>
      <c r="D1169" s="34" t="s">
        <v>107</v>
      </c>
      <c r="E1169" s="260">
        <v>0</v>
      </c>
      <c r="F1169" s="34">
        <v>2</v>
      </c>
      <c r="G1169" s="40" t="s">
        <v>451</v>
      </c>
      <c r="H1169" s="29">
        <v>1</v>
      </c>
      <c r="I1169" s="9">
        <v>2</v>
      </c>
      <c r="J1169" s="9">
        <v>2</v>
      </c>
      <c r="K1169" s="9">
        <v>1</v>
      </c>
      <c r="L1169" s="9">
        <v>1</v>
      </c>
      <c r="M1169" s="9">
        <v>1</v>
      </c>
      <c r="N1169" s="186">
        <f t="shared" si="70"/>
        <v>0.16933510251023262</v>
      </c>
      <c r="O1169" s="160">
        <f t="shared" si="71"/>
        <v>0.19908580854301616</v>
      </c>
      <c r="P1169" s="63" t="s">
        <v>611</v>
      </c>
    </row>
    <row r="1170" spans="1:16" s="828" customFormat="1" hidden="1">
      <c r="A1170" s="626" t="s">
        <v>602</v>
      </c>
      <c r="B1170" s="59" t="s">
        <v>245</v>
      </c>
      <c r="C1170" s="40" t="s">
        <v>147</v>
      </c>
      <c r="D1170" s="34" t="s">
        <v>107</v>
      </c>
      <c r="E1170" s="260">
        <v>0</v>
      </c>
      <c r="F1170" s="34">
        <v>2</v>
      </c>
      <c r="G1170" s="40" t="s">
        <v>451</v>
      </c>
      <c r="H1170" s="29">
        <v>1</v>
      </c>
      <c r="I1170" s="9">
        <v>2</v>
      </c>
      <c r="J1170" s="9">
        <v>2</v>
      </c>
      <c r="K1170" s="9">
        <v>1</v>
      </c>
      <c r="L1170" s="9">
        <v>1</v>
      </c>
      <c r="M1170" s="9">
        <v>1</v>
      </c>
      <c r="N1170" s="186">
        <f t="shared" si="70"/>
        <v>0.16933510251023262</v>
      </c>
      <c r="O1170" s="160">
        <f t="shared" si="71"/>
        <v>0.19908580854301616</v>
      </c>
      <c r="P1170" s="63" t="s">
        <v>611</v>
      </c>
    </row>
    <row r="1171" spans="1:16" s="828" customFormat="1" hidden="1">
      <c r="A1171" s="626" t="s">
        <v>602</v>
      </c>
      <c r="B1171" s="59" t="s">
        <v>264</v>
      </c>
      <c r="C1171" s="40" t="s">
        <v>147</v>
      </c>
      <c r="D1171" s="34" t="s">
        <v>107</v>
      </c>
      <c r="E1171" s="260">
        <v>0</v>
      </c>
      <c r="F1171" s="34">
        <v>2</v>
      </c>
      <c r="G1171" s="40" t="s">
        <v>451</v>
      </c>
      <c r="H1171" s="29">
        <v>1</v>
      </c>
      <c r="I1171" s="9">
        <v>2</v>
      </c>
      <c r="J1171" s="9">
        <v>2</v>
      </c>
      <c r="K1171" s="9">
        <v>1</v>
      </c>
      <c r="L1171" s="9">
        <v>1</v>
      </c>
      <c r="M1171" s="9">
        <v>1</v>
      </c>
      <c r="N1171" s="186">
        <f t="shared" si="70"/>
        <v>0.16933510251023262</v>
      </c>
      <c r="O1171" s="160">
        <f t="shared" si="71"/>
        <v>0.19908580854301616</v>
      </c>
      <c r="P1171" s="63" t="s">
        <v>611</v>
      </c>
    </row>
    <row r="1172" spans="1:16" s="828" customFormat="1" hidden="1">
      <c r="A1172" s="626" t="s">
        <v>602</v>
      </c>
      <c r="B1172" s="59" t="s">
        <v>271</v>
      </c>
      <c r="C1172" s="40" t="s">
        <v>147</v>
      </c>
      <c r="D1172" s="34" t="s">
        <v>107</v>
      </c>
      <c r="E1172" s="260">
        <v>0</v>
      </c>
      <c r="F1172" s="34">
        <v>2</v>
      </c>
      <c r="G1172" s="40" t="s">
        <v>451</v>
      </c>
      <c r="H1172" s="29">
        <v>1</v>
      </c>
      <c r="I1172" s="9">
        <v>2</v>
      </c>
      <c r="J1172" s="9">
        <v>2</v>
      </c>
      <c r="K1172" s="9">
        <v>1</v>
      </c>
      <c r="L1172" s="9">
        <v>1</v>
      </c>
      <c r="M1172" s="9">
        <v>1</v>
      </c>
      <c r="N1172" s="186">
        <f t="shared" si="70"/>
        <v>0.16933510251023262</v>
      </c>
      <c r="O1172" s="160">
        <f t="shared" si="71"/>
        <v>0.19908580854301616</v>
      </c>
      <c r="P1172" s="63" t="s">
        <v>611</v>
      </c>
    </row>
    <row r="1173" spans="1:16" s="828" customFormat="1" hidden="1">
      <c r="A1173" s="626" t="s">
        <v>602</v>
      </c>
      <c r="B1173" s="59" t="s">
        <v>344</v>
      </c>
      <c r="C1173" s="40" t="s">
        <v>147</v>
      </c>
      <c r="D1173" s="34" t="s">
        <v>107</v>
      </c>
      <c r="E1173" s="260" t="s">
        <v>158</v>
      </c>
      <c r="F1173" s="34">
        <v>1</v>
      </c>
      <c r="G1173" s="40" t="s">
        <v>451</v>
      </c>
      <c r="H1173" s="29"/>
      <c r="I1173" s="9"/>
      <c r="J1173" s="9"/>
      <c r="K1173" s="9"/>
      <c r="L1173" s="9"/>
      <c r="M1173" s="9"/>
      <c r="N1173" s="186" t="str">
        <f t="shared" si="70"/>
        <v/>
      </c>
      <c r="O1173" s="160" t="str">
        <f t="shared" si="71"/>
        <v/>
      </c>
      <c r="P1173" s="63"/>
    </row>
    <row r="1174" spans="1:16" s="828" customFormat="1" hidden="1">
      <c r="A1174" s="626" t="s">
        <v>609</v>
      </c>
      <c r="B1174" s="59" t="s">
        <v>241</v>
      </c>
      <c r="C1174" s="40" t="s">
        <v>147</v>
      </c>
      <c r="D1174" s="34" t="s">
        <v>107</v>
      </c>
      <c r="E1174" s="260">
        <v>0</v>
      </c>
      <c r="F1174" s="34">
        <v>2</v>
      </c>
      <c r="G1174" s="40" t="s">
        <v>451</v>
      </c>
      <c r="H1174" s="29">
        <v>1</v>
      </c>
      <c r="I1174" s="9">
        <v>2</v>
      </c>
      <c r="J1174" s="9">
        <v>2</v>
      </c>
      <c r="K1174" s="9">
        <v>1</v>
      </c>
      <c r="L1174" s="9">
        <v>1</v>
      </c>
      <c r="M1174" s="9">
        <v>1</v>
      </c>
      <c r="N1174" s="186">
        <f t="shared" si="70"/>
        <v>0.16933510251023262</v>
      </c>
      <c r="O1174" s="160">
        <f t="shared" si="71"/>
        <v>0.19908580854301616</v>
      </c>
      <c r="P1174" s="63" t="s">
        <v>492</v>
      </c>
    </row>
    <row r="1175" spans="1:16" s="828" customFormat="1" hidden="1">
      <c r="A1175" s="626" t="s">
        <v>609</v>
      </c>
      <c r="B1175" s="59" t="s">
        <v>344</v>
      </c>
      <c r="C1175" s="40" t="s">
        <v>147</v>
      </c>
      <c r="D1175" s="34" t="s">
        <v>107</v>
      </c>
      <c r="E1175" s="260" t="s">
        <v>158</v>
      </c>
      <c r="F1175" s="34">
        <v>1</v>
      </c>
      <c r="G1175" s="40" t="s">
        <v>451</v>
      </c>
      <c r="H1175" s="29"/>
      <c r="I1175" s="9"/>
      <c r="J1175" s="9"/>
      <c r="K1175" s="9"/>
      <c r="L1175" s="9"/>
      <c r="M1175" s="9"/>
      <c r="N1175" s="186" t="str">
        <f t="shared" si="70"/>
        <v/>
      </c>
      <c r="O1175" s="160" t="str">
        <f t="shared" si="71"/>
        <v/>
      </c>
      <c r="P1175" s="63" t="s">
        <v>612</v>
      </c>
    </row>
    <row r="1176" spans="1:16" s="828" customFormat="1" hidden="1">
      <c r="A1176" s="626" t="s">
        <v>461</v>
      </c>
      <c r="B1176" s="59" t="s">
        <v>613</v>
      </c>
      <c r="C1176" s="40" t="s">
        <v>147</v>
      </c>
      <c r="D1176" s="34" t="s">
        <v>107</v>
      </c>
      <c r="E1176" s="260">
        <v>0</v>
      </c>
      <c r="F1176" s="34">
        <v>2</v>
      </c>
      <c r="G1176" s="40" t="s">
        <v>451</v>
      </c>
      <c r="H1176" s="29">
        <v>1</v>
      </c>
      <c r="I1176" s="9">
        <v>2</v>
      </c>
      <c r="J1176" s="9">
        <v>2</v>
      </c>
      <c r="K1176" s="9">
        <v>1</v>
      </c>
      <c r="L1176" s="9">
        <v>1</v>
      </c>
      <c r="M1176" s="9">
        <v>1</v>
      </c>
      <c r="N1176" s="186">
        <f t="shared" si="70"/>
        <v>0.16933510251023262</v>
      </c>
      <c r="O1176" s="160">
        <f t="shared" si="71"/>
        <v>0.19908580854301616</v>
      </c>
      <c r="P1176" s="63" t="s">
        <v>598</v>
      </c>
    </row>
    <row r="1177" spans="1:16" s="828" customFormat="1" hidden="1">
      <c r="A1177" s="626" t="s">
        <v>461</v>
      </c>
      <c r="B1177" s="59" t="s">
        <v>614</v>
      </c>
      <c r="C1177" s="40" t="s">
        <v>147</v>
      </c>
      <c r="D1177" s="34" t="s">
        <v>107</v>
      </c>
      <c r="E1177" s="260">
        <v>0.85</v>
      </c>
      <c r="F1177" s="34">
        <v>2</v>
      </c>
      <c r="G1177" s="40" t="s">
        <v>451</v>
      </c>
      <c r="H1177" s="29">
        <v>1</v>
      </c>
      <c r="I1177" s="9">
        <v>2</v>
      </c>
      <c r="J1177" s="9">
        <v>2</v>
      </c>
      <c r="K1177" s="9">
        <v>1</v>
      </c>
      <c r="L1177" s="9">
        <v>1</v>
      </c>
      <c r="M1177" s="9">
        <v>1</v>
      </c>
      <c r="N1177" s="186">
        <f t="shared" si="70"/>
        <v>0.16933510251023262</v>
      </c>
      <c r="O1177" s="160">
        <f t="shared" si="71"/>
        <v>0.19908580854301616</v>
      </c>
      <c r="P1177" s="63" t="s">
        <v>600</v>
      </c>
    </row>
    <row r="1178" spans="1:16" s="828" customFormat="1" hidden="1">
      <c r="A1178" s="626" t="s">
        <v>461</v>
      </c>
      <c r="B1178" s="59" t="s">
        <v>236</v>
      </c>
      <c r="C1178" s="40" t="s">
        <v>147</v>
      </c>
      <c r="D1178" s="34" t="s">
        <v>107</v>
      </c>
      <c r="E1178" s="260">
        <v>0.15</v>
      </c>
      <c r="F1178" s="34">
        <v>1</v>
      </c>
      <c r="G1178" s="40" t="s">
        <v>451</v>
      </c>
      <c r="H1178" s="29">
        <v>1</v>
      </c>
      <c r="I1178" s="9">
        <v>2</v>
      </c>
      <c r="J1178" s="9">
        <v>2</v>
      </c>
      <c r="K1178" s="9">
        <v>1</v>
      </c>
      <c r="L1178" s="9">
        <v>1</v>
      </c>
      <c r="M1178" s="9">
        <v>1</v>
      </c>
      <c r="N1178" s="186">
        <f t="shared" si="70"/>
        <v>0.16933510251023262</v>
      </c>
      <c r="O1178" s="160">
        <f t="shared" si="71"/>
        <v>0.19908580854301616</v>
      </c>
      <c r="P1178" s="63" t="s">
        <v>573</v>
      </c>
    </row>
    <row r="1179" spans="1:16" s="828" customFormat="1" hidden="1">
      <c r="A1179" s="626" t="s">
        <v>613</v>
      </c>
      <c r="B1179" s="59" t="s">
        <v>615</v>
      </c>
      <c r="C1179" s="40" t="s">
        <v>147</v>
      </c>
      <c r="D1179" s="34" t="s">
        <v>107</v>
      </c>
      <c r="E1179" s="260">
        <v>0.03</v>
      </c>
      <c r="F1179" s="34">
        <v>2</v>
      </c>
      <c r="G1179" s="40" t="s">
        <v>451</v>
      </c>
      <c r="H1179" s="29">
        <v>1</v>
      </c>
      <c r="I1179" s="9">
        <v>2</v>
      </c>
      <c r="J1179" s="9">
        <v>2</v>
      </c>
      <c r="K1179" s="9">
        <v>1</v>
      </c>
      <c r="L1179" s="9">
        <v>1</v>
      </c>
      <c r="M1179" s="9">
        <v>1</v>
      </c>
      <c r="N1179" s="186">
        <f t="shared" si="70"/>
        <v>0.16933510251023262</v>
      </c>
      <c r="O1179" s="160">
        <f t="shared" si="71"/>
        <v>0.19908580854301616</v>
      </c>
      <c r="P1179" s="63" t="s">
        <v>480</v>
      </c>
    </row>
    <row r="1180" spans="1:16" s="828" customFormat="1" hidden="1">
      <c r="A1180" s="626" t="s">
        <v>613</v>
      </c>
      <c r="B1180" s="59" t="s">
        <v>616</v>
      </c>
      <c r="C1180" s="40" t="s">
        <v>147</v>
      </c>
      <c r="D1180" s="34" t="s">
        <v>107</v>
      </c>
      <c r="E1180" s="260" t="s">
        <v>158</v>
      </c>
      <c r="F1180" s="34">
        <v>1</v>
      </c>
      <c r="G1180" s="40" t="s">
        <v>451</v>
      </c>
      <c r="H1180" s="29"/>
      <c r="I1180" s="9"/>
      <c r="J1180" s="9"/>
      <c r="K1180" s="9"/>
      <c r="L1180" s="9"/>
      <c r="M1180" s="9"/>
      <c r="N1180" s="186" t="str">
        <f t="shared" si="70"/>
        <v/>
      </c>
      <c r="O1180" s="160" t="str">
        <f t="shared" si="71"/>
        <v/>
      </c>
      <c r="P1180" s="63" t="s">
        <v>576</v>
      </c>
    </row>
    <row r="1181" spans="1:16" s="828" customFormat="1" hidden="1">
      <c r="A1181" s="626" t="s">
        <v>615</v>
      </c>
      <c r="B1181" s="59" t="s">
        <v>244</v>
      </c>
      <c r="C1181" s="40" t="s">
        <v>147</v>
      </c>
      <c r="D1181" s="34" t="s">
        <v>107</v>
      </c>
      <c r="E1181" s="260">
        <v>0.05</v>
      </c>
      <c r="F1181" s="34">
        <v>2</v>
      </c>
      <c r="G1181" s="40" t="s">
        <v>165</v>
      </c>
      <c r="H1181" s="29">
        <v>1</v>
      </c>
      <c r="I1181" s="9">
        <v>2</v>
      </c>
      <c r="J1181" s="9">
        <v>2</v>
      </c>
      <c r="K1181" s="9">
        <v>1</v>
      </c>
      <c r="L1181" s="9">
        <v>3</v>
      </c>
      <c r="M1181" s="9">
        <v>3</v>
      </c>
      <c r="N1181" s="186">
        <f t="shared" si="70"/>
        <v>1.0725046436742278</v>
      </c>
      <c r="O1181" s="160">
        <f t="shared" si="71"/>
        <v>1.0776024280428556</v>
      </c>
      <c r="P1181" s="63" t="s">
        <v>482</v>
      </c>
    </row>
    <row r="1182" spans="1:16" s="828" customFormat="1" hidden="1">
      <c r="A1182" s="626" t="s">
        <v>615</v>
      </c>
      <c r="B1182" s="59" t="s">
        <v>245</v>
      </c>
      <c r="C1182" s="40" t="s">
        <v>147</v>
      </c>
      <c r="D1182" s="34" t="s">
        <v>107</v>
      </c>
      <c r="E1182" s="260">
        <v>0.39400000000000002</v>
      </c>
      <c r="F1182" s="34">
        <v>2</v>
      </c>
      <c r="G1182" s="40" t="s">
        <v>451</v>
      </c>
      <c r="H1182" s="29">
        <v>1</v>
      </c>
      <c r="I1182" s="9">
        <v>2</v>
      </c>
      <c r="J1182" s="9">
        <v>2</v>
      </c>
      <c r="K1182" s="9">
        <v>1</v>
      </c>
      <c r="L1182" s="9">
        <v>1</v>
      </c>
      <c r="M1182" s="9">
        <v>1</v>
      </c>
      <c r="N1182" s="186">
        <f t="shared" si="70"/>
        <v>0.16933510251023262</v>
      </c>
      <c r="O1182" s="160">
        <f t="shared" si="71"/>
        <v>0.19908580854301616</v>
      </c>
      <c r="P1182" s="63" t="s">
        <v>483</v>
      </c>
    </row>
    <row r="1183" spans="1:16" s="828" customFormat="1" hidden="1">
      <c r="A1183" s="626" t="s">
        <v>615</v>
      </c>
      <c r="B1183" s="59" t="s">
        <v>264</v>
      </c>
      <c r="C1183" s="40" t="s">
        <v>147</v>
      </c>
      <c r="D1183" s="34" t="s">
        <v>107</v>
      </c>
      <c r="E1183" s="260">
        <v>0.52200000000000002</v>
      </c>
      <c r="F1183" s="34">
        <v>1</v>
      </c>
      <c r="G1183" s="40" t="s">
        <v>451</v>
      </c>
      <c r="H1183" s="29">
        <v>1</v>
      </c>
      <c r="I1183" s="9">
        <v>2</v>
      </c>
      <c r="J1183" s="9">
        <v>2</v>
      </c>
      <c r="K1183" s="9">
        <v>1</v>
      </c>
      <c r="L1183" s="9">
        <v>1</v>
      </c>
      <c r="M1183" s="9">
        <v>1</v>
      </c>
      <c r="N1183" s="186">
        <f t="shared" si="70"/>
        <v>0.16933510251023262</v>
      </c>
      <c r="O1183" s="160">
        <f t="shared" si="71"/>
        <v>0.19908580854301616</v>
      </c>
      <c r="P1183" s="63" t="s">
        <v>484</v>
      </c>
    </row>
    <row r="1184" spans="1:16" s="828" customFormat="1" hidden="1">
      <c r="A1184" s="626" t="s">
        <v>615</v>
      </c>
      <c r="B1184" s="59" t="s">
        <v>271</v>
      </c>
      <c r="C1184" s="40" t="s">
        <v>147</v>
      </c>
      <c r="D1184" s="34" t="s">
        <v>107</v>
      </c>
      <c r="E1184" s="260">
        <v>3.4000000000000002E-2</v>
      </c>
      <c r="F1184" s="34">
        <v>2</v>
      </c>
      <c r="G1184" s="40" t="s">
        <v>451</v>
      </c>
      <c r="H1184" s="29">
        <v>1</v>
      </c>
      <c r="I1184" s="9">
        <v>2</v>
      </c>
      <c r="J1184" s="9">
        <v>2</v>
      </c>
      <c r="K1184" s="9">
        <v>1</v>
      </c>
      <c r="L1184" s="9">
        <v>1</v>
      </c>
      <c r="M1184" s="9">
        <v>1</v>
      </c>
      <c r="N1184" s="186"/>
      <c r="O1184" s="160"/>
      <c r="P1184" s="63" t="s">
        <v>485</v>
      </c>
    </row>
    <row r="1185" spans="1:16" s="828" customFormat="1" hidden="1">
      <c r="A1185" s="626" t="s">
        <v>614</v>
      </c>
      <c r="B1185" s="59" t="s">
        <v>617</v>
      </c>
      <c r="C1185" s="40" t="s">
        <v>147</v>
      </c>
      <c r="D1185" s="34" t="s">
        <v>107</v>
      </c>
      <c r="E1185" s="260">
        <f>0.1*E1179</f>
        <v>3.0000000000000001E-3</v>
      </c>
      <c r="F1185" s="34">
        <v>2</v>
      </c>
      <c r="G1185" s="40" t="s">
        <v>451</v>
      </c>
      <c r="H1185" s="29">
        <v>1</v>
      </c>
      <c r="I1185" s="9">
        <v>2</v>
      </c>
      <c r="J1185" s="9">
        <v>2</v>
      </c>
      <c r="K1185" s="9">
        <v>1</v>
      </c>
      <c r="L1185" s="9">
        <v>1</v>
      </c>
      <c r="M1185" s="9">
        <v>1</v>
      </c>
      <c r="N1185" s="186">
        <f t="shared" ref="N1185:N1202" si="72">IF( OR( ISBLANK(H1185),ISBLANK(J1185), ISBLANK(K1185), ISBLANK(L1185), ISBLANK(M1185) ), "", 1.5*SQRT(   EXP(2.21*(H1185-1)) + EXP(2.21*(J1185-1)) + EXP(2.21*(K1185-1)) + EXP(2.21*(L1185-1)) + EXP(2.21*M1185)   )/100*2.45 )</f>
        <v>0.16933510251023262</v>
      </c>
      <c r="O1185" s="160">
        <f t="shared" ref="O1185:O1202" si="73">IF( OR( ISBLANK(I1185),ISBLANK(J1185), ISBLANK(K1185), ISBLANK(L1185), ISBLANK(M1185) ), "", 1.5*SQRT( EXP(2.21*(I1185-1)) + EXP(2.21*(J1185-1)) + EXP(2.21*(K1185-1)) + EXP(2.21*(L1185-1)) + EXP(2.21*M1185)   )/100*2.45 )</f>
        <v>0.19908580854301616</v>
      </c>
      <c r="P1185" s="63" t="s">
        <v>487</v>
      </c>
    </row>
    <row r="1186" spans="1:16" s="828" customFormat="1" hidden="1">
      <c r="A1186" s="626" t="s">
        <v>614</v>
      </c>
      <c r="B1186" s="59" t="s">
        <v>618</v>
      </c>
      <c r="C1186" s="40" t="s">
        <v>147</v>
      </c>
      <c r="D1186" s="34" t="s">
        <v>107</v>
      </c>
      <c r="E1186" s="260" t="s">
        <v>158</v>
      </c>
      <c r="F1186" s="34">
        <v>1</v>
      </c>
      <c r="G1186" s="40" t="s">
        <v>451</v>
      </c>
      <c r="H1186" s="29"/>
      <c r="I1186" s="9"/>
      <c r="J1186" s="9"/>
      <c r="K1186" s="9"/>
      <c r="L1186" s="9"/>
      <c r="M1186" s="9"/>
      <c r="N1186" s="186" t="str">
        <f t="shared" si="72"/>
        <v/>
      </c>
      <c r="O1186" s="160" t="str">
        <f t="shared" si="73"/>
        <v/>
      </c>
      <c r="P1186" s="63" t="s">
        <v>576</v>
      </c>
    </row>
    <row r="1187" spans="1:16" s="828" customFormat="1" hidden="1">
      <c r="A1187" s="626" t="s">
        <v>617</v>
      </c>
      <c r="B1187" s="59" t="s">
        <v>241</v>
      </c>
      <c r="C1187" s="40" t="s">
        <v>147</v>
      </c>
      <c r="D1187" s="34" t="s">
        <v>107</v>
      </c>
      <c r="E1187" s="260">
        <v>1</v>
      </c>
      <c r="F1187" s="34">
        <v>2</v>
      </c>
      <c r="G1187" s="40" t="s">
        <v>451</v>
      </c>
      <c r="H1187" s="29">
        <v>1</v>
      </c>
      <c r="I1187" s="9">
        <v>2</v>
      </c>
      <c r="J1187" s="9">
        <v>2</v>
      </c>
      <c r="K1187" s="9">
        <v>1</v>
      </c>
      <c r="L1187" s="9">
        <v>1</v>
      </c>
      <c r="M1187" s="9">
        <v>1</v>
      </c>
      <c r="N1187" s="186">
        <f t="shared" si="72"/>
        <v>0.16933510251023262</v>
      </c>
      <c r="O1187" s="160">
        <f t="shared" si="73"/>
        <v>0.19908580854301616</v>
      </c>
      <c r="P1187" s="63" t="s">
        <v>490</v>
      </c>
    </row>
    <row r="1188" spans="1:16" s="828" customFormat="1" hidden="1">
      <c r="A1188" s="626" t="s">
        <v>616</v>
      </c>
      <c r="B1188" s="59" t="s">
        <v>244</v>
      </c>
      <c r="C1188" s="40" t="s">
        <v>147</v>
      </c>
      <c r="D1188" s="34" t="s">
        <v>107</v>
      </c>
      <c r="E1188" s="260">
        <v>0</v>
      </c>
      <c r="F1188" s="34">
        <v>2</v>
      </c>
      <c r="G1188" s="40" t="s">
        <v>451</v>
      </c>
      <c r="H1188" s="29">
        <v>1</v>
      </c>
      <c r="I1188" s="9">
        <v>2</v>
      </c>
      <c r="J1188" s="9">
        <v>2</v>
      </c>
      <c r="K1188" s="9">
        <v>1</v>
      </c>
      <c r="L1188" s="9">
        <v>1</v>
      </c>
      <c r="M1188" s="9">
        <v>1</v>
      </c>
      <c r="N1188" s="186">
        <f t="shared" si="72"/>
        <v>0.16933510251023262</v>
      </c>
      <c r="O1188" s="160">
        <f t="shared" si="73"/>
        <v>0.19908580854301616</v>
      </c>
      <c r="P1188" s="63" t="s">
        <v>619</v>
      </c>
    </row>
    <row r="1189" spans="1:16" s="828" customFormat="1" hidden="1">
      <c r="A1189" s="626" t="s">
        <v>616</v>
      </c>
      <c r="B1189" s="59" t="s">
        <v>245</v>
      </c>
      <c r="C1189" s="40" t="s">
        <v>147</v>
      </c>
      <c r="D1189" s="34" t="s">
        <v>107</v>
      </c>
      <c r="E1189" s="260">
        <v>0</v>
      </c>
      <c r="F1189" s="34">
        <v>2</v>
      </c>
      <c r="G1189" s="40" t="s">
        <v>451</v>
      </c>
      <c r="H1189" s="29">
        <v>1</v>
      </c>
      <c r="I1189" s="9">
        <v>2</v>
      </c>
      <c r="J1189" s="9">
        <v>2</v>
      </c>
      <c r="K1189" s="9">
        <v>1</v>
      </c>
      <c r="L1189" s="9">
        <v>1</v>
      </c>
      <c r="M1189" s="9">
        <v>1</v>
      </c>
      <c r="N1189" s="186">
        <f t="shared" si="72"/>
        <v>0.16933510251023262</v>
      </c>
      <c r="O1189" s="160">
        <f t="shared" si="73"/>
        <v>0.19908580854301616</v>
      </c>
      <c r="P1189" s="63" t="s">
        <v>619</v>
      </c>
    </row>
    <row r="1190" spans="1:16" s="828" customFormat="1" hidden="1">
      <c r="A1190" s="626" t="s">
        <v>616</v>
      </c>
      <c r="B1190" s="59" t="s">
        <v>264</v>
      </c>
      <c r="C1190" s="40" t="s">
        <v>147</v>
      </c>
      <c r="D1190" s="34" t="s">
        <v>107</v>
      </c>
      <c r="E1190" s="260">
        <v>0</v>
      </c>
      <c r="F1190" s="34">
        <v>2</v>
      </c>
      <c r="G1190" s="40" t="s">
        <v>451</v>
      </c>
      <c r="H1190" s="29">
        <v>1</v>
      </c>
      <c r="I1190" s="9">
        <v>2</v>
      </c>
      <c r="J1190" s="9">
        <v>2</v>
      </c>
      <c r="K1190" s="9">
        <v>1</v>
      </c>
      <c r="L1190" s="9">
        <v>1</v>
      </c>
      <c r="M1190" s="9">
        <v>1</v>
      </c>
      <c r="N1190" s="186">
        <f t="shared" si="72"/>
        <v>0.16933510251023262</v>
      </c>
      <c r="O1190" s="160">
        <f t="shared" si="73"/>
        <v>0.19908580854301616</v>
      </c>
      <c r="P1190" s="63" t="s">
        <v>619</v>
      </c>
    </row>
    <row r="1191" spans="1:16" s="828" customFormat="1" hidden="1">
      <c r="A1191" s="626" t="s">
        <v>616</v>
      </c>
      <c r="B1191" s="59" t="s">
        <v>271</v>
      </c>
      <c r="C1191" s="40" t="s">
        <v>147</v>
      </c>
      <c r="D1191" s="34" t="s">
        <v>107</v>
      </c>
      <c r="E1191" s="260">
        <v>0</v>
      </c>
      <c r="F1191" s="34">
        <v>2</v>
      </c>
      <c r="G1191" s="40" t="s">
        <v>451</v>
      </c>
      <c r="H1191" s="29">
        <v>1</v>
      </c>
      <c r="I1191" s="9">
        <v>2</v>
      </c>
      <c r="J1191" s="9">
        <v>2</v>
      </c>
      <c r="K1191" s="9">
        <v>1</v>
      </c>
      <c r="L1191" s="9">
        <v>1</v>
      </c>
      <c r="M1191" s="9">
        <v>1</v>
      </c>
      <c r="N1191" s="186">
        <f t="shared" si="72"/>
        <v>0.16933510251023262</v>
      </c>
      <c r="O1191" s="160">
        <f t="shared" si="73"/>
        <v>0.19908580854301616</v>
      </c>
      <c r="P1191" s="63" t="s">
        <v>619</v>
      </c>
    </row>
    <row r="1192" spans="1:16" s="828" customFormat="1" hidden="1">
      <c r="A1192" s="626" t="s">
        <v>616</v>
      </c>
      <c r="B1192" s="59" t="s">
        <v>344</v>
      </c>
      <c r="C1192" s="40" t="s">
        <v>147</v>
      </c>
      <c r="D1192" s="34" t="s">
        <v>107</v>
      </c>
      <c r="E1192" s="260" t="s">
        <v>158</v>
      </c>
      <c r="F1192" s="34">
        <v>1</v>
      </c>
      <c r="G1192" s="40" t="s">
        <v>451</v>
      </c>
      <c r="H1192" s="29"/>
      <c r="I1192" s="9"/>
      <c r="J1192" s="9"/>
      <c r="K1192" s="9"/>
      <c r="L1192" s="9"/>
      <c r="M1192" s="9"/>
      <c r="N1192" s="186" t="str">
        <f t="shared" si="72"/>
        <v/>
      </c>
      <c r="O1192" s="160" t="str">
        <f t="shared" si="73"/>
        <v/>
      </c>
      <c r="P1192" s="63"/>
    </row>
    <row r="1193" spans="1:16" s="828" customFormat="1" hidden="1">
      <c r="A1193" s="626" t="s">
        <v>618</v>
      </c>
      <c r="B1193" s="59" t="s">
        <v>241</v>
      </c>
      <c r="C1193" s="40" t="s">
        <v>147</v>
      </c>
      <c r="D1193" s="34" t="s">
        <v>107</v>
      </c>
      <c r="E1193" s="260">
        <v>0</v>
      </c>
      <c r="F1193" s="34">
        <v>2</v>
      </c>
      <c r="G1193" s="40" t="s">
        <v>451</v>
      </c>
      <c r="H1193" s="29">
        <v>1</v>
      </c>
      <c r="I1193" s="9">
        <v>2</v>
      </c>
      <c r="J1193" s="9">
        <v>2</v>
      </c>
      <c r="K1193" s="9">
        <v>1</v>
      </c>
      <c r="L1193" s="9">
        <v>1</v>
      </c>
      <c r="M1193" s="9">
        <v>1</v>
      </c>
      <c r="N1193" s="186">
        <f t="shared" si="72"/>
        <v>0.16933510251023262</v>
      </c>
      <c r="O1193" s="160">
        <f t="shared" si="73"/>
        <v>0.19908580854301616</v>
      </c>
      <c r="P1193" s="63" t="s">
        <v>492</v>
      </c>
    </row>
    <row r="1194" spans="1:16" s="828" customFormat="1" hidden="1">
      <c r="A1194" s="626" t="s">
        <v>618</v>
      </c>
      <c r="B1194" s="59" t="s">
        <v>344</v>
      </c>
      <c r="C1194" s="40" t="s">
        <v>147</v>
      </c>
      <c r="D1194" s="34" t="s">
        <v>107</v>
      </c>
      <c r="E1194" s="260" t="s">
        <v>158</v>
      </c>
      <c r="F1194" s="34">
        <v>1</v>
      </c>
      <c r="G1194" s="40" t="s">
        <v>451</v>
      </c>
      <c r="H1194" s="29"/>
      <c r="I1194" s="9"/>
      <c r="J1194" s="9"/>
      <c r="K1194" s="9"/>
      <c r="L1194" s="9"/>
      <c r="M1194" s="9"/>
      <c r="N1194" s="186" t="str">
        <f t="shared" si="72"/>
        <v/>
      </c>
      <c r="O1194" s="160" t="str">
        <f t="shared" si="73"/>
        <v/>
      </c>
      <c r="P1194" s="63" t="s">
        <v>620</v>
      </c>
    </row>
    <row r="1195" spans="1:16" s="828" customFormat="1" hidden="1">
      <c r="A1195" s="626" t="s">
        <v>462</v>
      </c>
      <c r="B1195" s="59" t="s">
        <v>621</v>
      </c>
      <c r="C1195" s="40" t="s">
        <v>147</v>
      </c>
      <c r="D1195" s="34" t="s">
        <v>107</v>
      </c>
      <c r="E1195" s="260">
        <v>0</v>
      </c>
      <c r="F1195" s="34">
        <v>2</v>
      </c>
      <c r="G1195" s="40" t="s">
        <v>451</v>
      </c>
      <c r="H1195" s="29">
        <v>1</v>
      </c>
      <c r="I1195" s="9">
        <v>2</v>
      </c>
      <c r="J1195" s="9">
        <v>2</v>
      </c>
      <c r="K1195" s="9">
        <v>1</v>
      </c>
      <c r="L1195" s="9">
        <v>1</v>
      </c>
      <c r="M1195" s="9">
        <v>1</v>
      </c>
      <c r="N1195" s="186">
        <f t="shared" si="72"/>
        <v>0.16933510251023262</v>
      </c>
      <c r="O1195" s="160">
        <f t="shared" si="73"/>
        <v>0.19908580854301616</v>
      </c>
      <c r="P1195" s="63" t="s">
        <v>598</v>
      </c>
    </row>
    <row r="1196" spans="1:16" s="828" customFormat="1" hidden="1">
      <c r="A1196" s="626" t="s">
        <v>462</v>
      </c>
      <c r="B1196" s="59" t="s">
        <v>622</v>
      </c>
      <c r="C1196" s="40" t="s">
        <v>147</v>
      </c>
      <c r="D1196" s="34" t="s">
        <v>107</v>
      </c>
      <c r="E1196" s="260">
        <v>0.85</v>
      </c>
      <c r="F1196" s="34">
        <v>2</v>
      </c>
      <c r="G1196" s="40" t="s">
        <v>451</v>
      </c>
      <c r="H1196" s="29">
        <v>1</v>
      </c>
      <c r="I1196" s="9">
        <v>2</v>
      </c>
      <c r="J1196" s="9">
        <v>2</v>
      </c>
      <c r="K1196" s="9">
        <v>1</v>
      </c>
      <c r="L1196" s="9">
        <v>1</v>
      </c>
      <c r="M1196" s="9">
        <v>1</v>
      </c>
      <c r="N1196" s="186">
        <f t="shared" si="72"/>
        <v>0.16933510251023262</v>
      </c>
      <c r="O1196" s="160">
        <f t="shared" si="73"/>
        <v>0.19908580854301616</v>
      </c>
      <c r="P1196" s="63" t="s">
        <v>600</v>
      </c>
    </row>
    <row r="1197" spans="1:16" s="828" customFormat="1" hidden="1">
      <c r="A1197" s="626" t="s">
        <v>462</v>
      </c>
      <c r="B1197" s="59" t="s">
        <v>236</v>
      </c>
      <c r="C1197" s="40" t="s">
        <v>147</v>
      </c>
      <c r="D1197" s="34" t="s">
        <v>107</v>
      </c>
      <c r="E1197" s="260">
        <v>0.15</v>
      </c>
      <c r="F1197" s="34">
        <v>1</v>
      </c>
      <c r="G1197" s="40" t="s">
        <v>451</v>
      </c>
      <c r="H1197" s="29">
        <v>1</v>
      </c>
      <c r="I1197" s="9">
        <v>2</v>
      </c>
      <c r="J1197" s="9">
        <v>2</v>
      </c>
      <c r="K1197" s="9">
        <v>1</v>
      </c>
      <c r="L1197" s="9">
        <v>1</v>
      </c>
      <c r="M1197" s="9">
        <v>1</v>
      </c>
      <c r="N1197" s="186">
        <f t="shared" si="72"/>
        <v>0.16933510251023262</v>
      </c>
      <c r="O1197" s="160">
        <f t="shared" si="73"/>
        <v>0.19908580854301616</v>
      </c>
      <c r="P1197" s="63" t="s">
        <v>573</v>
      </c>
    </row>
    <row r="1198" spans="1:16" s="828" customFormat="1" hidden="1">
      <c r="A1198" s="626" t="s">
        <v>621</v>
      </c>
      <c r="B1198" s="59" t="s">
        <v>623</v>
      </c>
      <c r="C1198" s="40" t="s">
        <v>147</v>
      </c>
      <c r="D1198" s="34" t="s">
        <v>107</v>
      </c>
      <c r="E1198" s="260">
        <v>0.03</v>
      </c>
      <c r="F1198" s="34">
        <v>2</v>
      </c>
      <c r="G1198" s="40" t="s">
        <v>451</v>
      </c>
      <c r="H1198" s="29">
        <v>1</v>
      </c>
      <c r="I1198" s="9">
        <v>2</v>
      </c>
      <c r="J1198" s="9">
        <v>2</v>
      </c>
      <c r="K1198" s="9">
        <v>1</v>
      </c>
      <c r="L1198" s="9">
        <v>1</v>
      </c>
      <c r="M1198" s="9">
        <v>1</v>
      </c>
      <c r="N1198" s="186">
        <f t="shared" si="72"/>
        <v>0.16933510251023262</v>
      </c>
      <c r="O1198" s="160">
        <f t="shared" si="73"/>
        <v>0.19908580854301616</v>
      </c>
      <c r="P1198" s="63" t="s">
        <v>480</v>
      </c>
    </row>
    <row r="1199" spans="1:16" s="828" customFormat="1" hidden="1">
      <c r="A1199" s="626" t="s">
        <v>621</v>
      </c>
      <c r="B1199" s="59" t="s">
        <v>624</v>
      </c>
      <c r="C1199" s="40" t="s">
        <v>147</v>
      </c>
      <c r="D1199" s="34" t="s">
        <v>107</v>
      </c>
      <c r="E1199" s="260" t="s">
        <v>158</v>
      </c>
      <c r="F1199" s="34">
        <v>1</v>
      </c>
      <c r="G1199" s="40" t="s">
        <v>451</v>
      </c>
      <c r="H1199" s="29"/>
      <c r="I1199" s="9"/>
      <c r="J1199" s="9"/>
      <c r="K1199" s="9"/>
      <c r="L1199" s="9"/>
      <c r="M1199" s="9"/>
      <c r="N1199" s="186" t="str">
        <f t="shared" si="72"/>
        <v/>
      </c>
      <c r="O1199" s="160" t="str">
        <f t="shared" si="73"/>
        <v/>
      </c>
      <c r="P1199" s="63" t="s">
        <v>625</v>
      </c>
    </row>
    <row r="1200" spans="1:16" s="828" customFormat="1" hidden="1">
      <c r="A1200" s="626" t="s">
        <v>623</v>
      </c>
      <c r="B1200" s="59" t="s">
        <v>244</v>
      </c>
      <c r="C1200" s="40" t="s">
        <v>147</v>
      </c>
      <c r="D1200" s="34" t="s">
        <v>107</v>
      </c>
      <c r="E1200" s="260">
        <v>0.05</v>
      </c>
      <c r="F1200" s="34">
        <v>2</v>
      </c>
      <c r="G1200" s="40" t="s">
        <v>165</v>
      </c>
      <c r="H1200" s="29">
        <v>1</v>
      </c>
      <c r="I1200" s="9">
        <v>2</v>
      </c>
      <c r="J1200" s="9">
        <v>2</v>
      </c>
      <c r="K1200" s="9">
        <v>1</v>
      </c>
      <c r="L1200" s="9">
        <v>3</v>
      </c>
      <c r="M1200" s="9">
        <v>3</v>
      </c>
      <c r="N1200" s="186">
        <f t="shared" si="72"/>
        <v>1.0725046436742278</v>
      </c>
      <c r="O1200" s="160">
        <f t="shared" si="73"/>
        <v>1.0776024280428556</v>
      </c>
      <c r="P1200" s="63" t="s">
        <v>482</v>
      </c>
    </row>
    <row r="1201" spans="1:16" s="828" customFormat="1" hidden="1">
      <c r="A1201" s="626" t="s">
        <v>623</v>
      </c>
      <c r="B1201" s="59" t="s">
        <v>245</v>
      </c>
      <c r="C1201" s="40" t="s">
        <v>147</v>
      </c>
      <c r="D1201" s="34" t="s">
        <v>107</v>
      </c>
      <c r="E1201" s="260">
        <v>0.39400000000000002</v>
      </c>
      <c r="F1201" s="34">
        <v>2</v>
      </c>
      <c r="G1201" s="40" t="s">
        <v>451</v>
      </c>
      <c r="H1201" s="29">
        <v>1</v>
      </c>
      <c r="I1201" s="9">
        <v>2</v>
      </c>
      <c r="J1201" s="9">
        <v>2</v>
      </c>
      <c r="K1201" s="9">
        <v>1</v>
      </c>
      <c r="L1201" s="9">
        <v>1</v>
      </c>
      <c r="M1201" s="9">
        <v>1</v>
      </c>
      <c r="N1201" s="186">
        <f t="shared" si="72"/>
        <v>0.16933510251023262</v>
      </c>
      <c r="O1201" s="160">
        <f t="shared" si="73"/>
        <v>0.19908580854301616</v>
      </c>
      <c r="P1201" s="63" t="s">
        <v>483</v>
      </c>
    </row>
    <row r="1202" spans="1:16" s="828" customFormat="1" hidden="1">
      <c r="A1202" s="626" t="s">
        <v>623</v>
      </c>
      <c r="B1202" s="59" t="s">
        <v>264</v>
      </c>
      <c r="C1202" s="40" t="s">
        <v>147</v>
      </c>
      <c r="D1202" s="34" t="s">
        <v>107</v>
      </c>
      <c r="E1202" s="260">
        <v>0.52200000000000002</v>
      </c>
      <c r="F1202" s="34">
        <v>1</v>
      </c>
      <c r="G1202" s="40" t="s">
        <v>451</v>
      </c>
      <c r="H1202" s="29">
        <v>1</v>
      </c>
      <c r="I1202" s="9">
        <v>2</v>
      </c>
      <c r="J1202" s="9">
        <v>2</v>
      </c>
      <c r="K1202" s="9">
        <v>1</v>
      </c>
      <c r="L1202" s="9">
        <v>1</v>
      </c>
      <c r="M1202" s="9">
        <v>1</v>
      </c>
      <c r="N1202" s="186">
        <f t="shared" si="72"/>
        <v>0.16933510251023262</v>
      </c>
      <c r="O1202" s="160">
        <f t="shared" si="73"/>
        <v>0.19908580854301616</v>
      </c>
      <c r="P1202" s="63" t="s">
        <v>484</v>
      </c>
    </row>
    <row r="1203" spans="1:16" s="828" customFormat="1" hidden="1">
      <c r="A1203" s="626" t="s">
        <v>623</v>
      </c>
      <c r="B1203" s="59" t="s">
        <v>271</v>
      </c>
      <c r="C1203" s="40" t="s">
        <v>147</v>
      </c>
      <c r="D1203" s="34" t="s">
        <v>107</v>
      </c>
      <c r="E1203" s="260">
        <v>3.4000000000000002E-2</v>
      </c>
      <c r="F1203" s="34">
        <v>2</v>
      </c>
      <c r="G1203" s="40" t="s">
        <v>451</v>
      </c>
      <c r="H1203" s="29">
        <v>1</v>
      </c>
      <c r="I1203" s="9">
        <v>2</v>
      </c>
      <c r="J1203" s="9">
        <v>2</v>
      </c>
      <c r="K1203" s="9">
        <v>1</v>
      </c>
      <c r="L1203" s="9">
        <v>1</v>
      </c>
      <c r="M1203" s="9">
        <v>1</v>
      </c>
      <c r="N1203" s="186"/>
      <c r="O1203" s="160"/>
      <c r="P1203" s="63" t="s">
        <v>485</v>
      </c>
    </row>
    <row r="1204" spans="1:16" s="828" customFormat="1" hidden="1">
      <c r="A1204" s="626" t="s">
        <v>622</v>
      </c>
      <c r="B1204" s="59" t="s">
        <v>626</v>
      </c>
      <c r="C1204" s="40" t="s">
        <v>147</v>
      </c>
      <c r="D1204" s="34" t="s">
        <v>107</v>
      </c>
      <c r="E1204" s="260">
        <f>0.1*E1198</f>
        <v>3.0000000000000001E-3</v>
      </c>
      <c r="F1204" s="34">
        <v>2</v>
      </c>
      <c r="G1204" s="40" t="s">
        <v>451</v>
      </c>
      <c r="H1204" s="29">
        <v>1</v>
      </c>
      <c r="I1204" s="9">
        <v>2</v>
      </c>
      <c r="J1204" s="9">
        <v>2</v>
      </c>
      <c r="K1204" s="9">
        <v>1</v>
      </c>
      <c r="L1204" s="9">
        <v>1</v>
      </c>
      <c r="M1204" s="9">
        <v>1</v>
      </c>
      <c r="N1204" s="186">
        <f t="shared" ref="N1204:N1213" si="74">IF( OR( ISBLANK(H1204),ISBLANK(J1204), ISBLANK(K1204), ISBLANK(L1204), ISBLANK(M1204) ), "", 1.5*SQRT(   EXP(2.21*(H1204-1)) + EXP(2.21*(J1204-1)) + EXP(2.21*(K1204-1)) + EXP(2.21*(L1204-1)) + EXP(2.21*M1204)   )/100*2.45 )</f>
        <v>0.16933510251023262</v>
      </c>
      <c r="O1204" s="160">
        <f t="shared" ref="O1204:O1213" si="75">IF( OR( ISBLANK(I1204),ISBLANK(J1204), ISBLANK(K1204), ISBLANK(L1204), ISBLANK(M1204) ), "", 1.5*SQRT( EXP(2.21*(I1204-1)) + EXP(2.21*(J1204-1)) + EXP(2.21*(K1204-1)) + EXP(2.21*(L1204-1)) + EXP(2.21*M1204)   )/100*2.45 )</f>
        <v>0.19908580854301616</v>
      </c>
      <c r="P1204" s="63" t="s">
        <v>487</v>
      </c>
    </row>
    <row r="1205" spans="1:16" s="828" customFormat="1" hidden="1">
      <c r="A1205" s="626" t="s">
        <v>622</v>
      </c>
      <c r="B1205" s="59" t="s">
        <v>627</v>
      </c>
      <c r="C1205" s="40" t="s">
        <v>147</v>
      </c>
      <c r="D1205" s="34" t="s">
        <v>107</v>
      </c>
      <c r="E1205" s="260" t="s">
        <v>158</v>
      </c>
      <c r="F1205" s="34">
        <v>1</v>
      </c>
      <c r="G1205" s="40" t="s">
        <v>451</v>
      </c>
      <c r="H1205" s="29"/>
      <c r="I1205" s="9"/>
      <c r="J1205" s="9"/>
      <c r="K1205" s="9"/>
      <c r="L1205" s="9"/>
      <c r="M1205" s="9"/>
      <c r="N1205" s="186" t="str">
        <f t="shared" si="74"/>
        <v/>
      </c>
      <c r="O1205" s="160" t="str">
        <f t="shared" si="75"/>
        <v/>
      </c>
      <c r="P1205" s="63" t="s">
        <v>625</v>
      </c>
    </row>
    <row r="1206" spans="1:16" s="828" customFormat="1" hidden="1">
      <c r="A1206" s="626" t="s">
        <v>626</v>
      </c>
      <c r="B1206" s="59" t="s">
        <v>241</v>
      </c>
      <c r="C1206" s="40" t="s">
        <v>147</v>
      </c>
      <c r="D1206" s="34" t="s">
        <v>107</v>
      </c>
      <c r="E1206" s="260">
        <v>1</v>
      </c>
      <c r="F1206" s="34">
        <v>2</v>
      </c>
      <c r="G1206" s="40" t="s">
        <v>451</v>
      </c>
      <c r="H1206" s="29">
        <v>1</v>
      </c>
      <c r="I1206" s="9">
        <v>2</v>
      </c>
      <c r="J1206" s="9">
        <v>2</v>
      </c>
      <c r="K1206" s="9">
        <v>1</v>
      </c>
      <c r="L1206" s="9">
        <v>1</v>
      </c>
      <c r="M1206" s="9">
        <v>1</v>
      </c>
      <c r="N1206" s="186">
        <f t="shared" si="74"/>
        <v>0.16933510251023262</v>
      </c>
      <c r="O1206" s="160">
        <f t="shared" si="75"/>
        <v>0.19908580854301616</v>
      </c>
      <c r="P1206" s="63" t="s">
        <v>490</v>
      </c>
    </row>
    <row r="1207" spans="1:16" s="828" customFormat="1" hidden="1">
      <c r="A1207" s="626" t="s">
        <v>624</v>
      </c>
      <c r="B1207" s="59" t="s">
        <v>244</v>
      </c>
      <c r="C1207" s="40" t="s">
        <v>147</v>
      </c>
      <c r="D1207" s="34" t="s">
        <v>107</v>
      </c>
      <c r="E1207" s="260">
        <v>3.2000000000000002E-3</v>
      </c>
      <c r="F1207" s="34">
        <v>2</v>
      </c>
      <c r="G1207" s="40" t="s">
        <v>503</v>
      </c>
      <c r="H1207" s="29">
        <v>1</v>
      </c>
      <c r="I1207" s="9">
        <v>2</v>
      </c>
      <c r="J1207" s="9">
        <v>2</v>
      </c>
      <c r="K1207" s="9">
        <v>1</v>
      </c>
      <c r="L1207" s="9">
        <v>3</v>
      </c>
      <c r="M1207" s="9">
        <v>3</v>
      </c>
      <c r="N1207" s="186">
        <f t="shared" si="74"/>
        <v>1.0725046436742278</v>
      </c>
      <c r="O1207" s="160">
        <f t="shared" si="75"/>
        <v>1.0776024280428556</v>
      </c>
      <c r="P1207" s="63" t="s">
        <v>628</v>
      </c>
    </row>
    <row r="1208" spans="1:16" s="828" customFormat="1" hidden="1">
      <c r="A1208" s="626" t="s">
        <v>624</v>
      </c>
      <c r="B1208" s="59" t="s">
        <v>245</v>
      </c>
      <c r="C1208" s="40" t="s">
        <v>147</v>
      </c>
      <c r="D1208" s="34" t="s">
        <v>107</v>
      </c>
      <c r="E1208" s="260">
        <v>2.5215999999999999E-2</v>
      </c>
      <c r="F1208" s="34">
        <v>2</v>
      </c>
      <c r="G1208" s="40" t="s">
        <v>451</v>
      </c>
      <c r="H1208" s="29">
        <v>1</v>
      </c>
      <c r="I1208" s="9">
        <v>2</v>
      </c>
      <c r="J1208" s="9">
        <v>2</v>
      </c>
      <c r="K1208" s="9">
        <v>1</v>
      </c>
      <c r="L1208" s="9">
        <v>1</v>
      </c>
      <c r="M1208" s="9">
        <v>1</v>
      </c>
      <c r="N1208" s="186">
        <f t="shared" si="74"/>
        <v>0.16933510251023262</v>
      </c>
      <c r="O1208" s="160">
        <f t="shared" si="75"/>
        <v>0.19908580854301616</v>
      </c>
      <c r="P1208" s="63" t="s">
        <v>629</v>
      </c>
    </row>
    <row r="1209" spans="1:16" s="828" customFormat="1" hidden="1">
      <c r="A1209" s="626" t="s">
        <v>624</v>
      </c>
      <c r="B1209" s="59" t="s">
        <v>264</v>
      </c>
      <c r="C1209" s="40" t="s">
        <v>147</v>
      </c>
      <c r="D1209" s="34" t="s">
        <v>107</v>
      </c>
      <c r="E1209" s="260">
        <v>3.3408E-2</v>
      </c>
      <c r="F1209" s="34">
        <v>2</v>
      </c>
      <c r="G1209" s="40" t="s">
        <v>451</v>
      </c>
      <c r="H1209" s="29">
        <v>1</v>
      </c>
      <c r="I1209" s="9">
        <v>2</v>
      </c>
      <c r="J1209" s="9">
        <v>2</v>
      </c>
      <c r="K1209" s="9">
        <v>1</v>
      </c>
      <c r="L1209" s="9">
        <v>1</v>
      </c>
      <c r="M1209" s="9">
        <v>1</v>
      </c>
      <c r="N1209" s="186">
        <f t="shared" si="74"/>
        <v>0.16933510251023262</v>
      </c>
      <c r="O1209" s="160">
        <f t="shared" si="75"/>
        <v>0.19908580854301616</v>
      </c>
      <c r="P1209" s="63" t="s">
        <v>630</v>
      </c>
    </row>
    <row r="1210" spans="1:16" s="828" customFormat="1" hidden="1">
      <c r="A1210" s="626" t="s">
        <v>624</v>
      </c>
      <c r="B1210" s="59" t="s">
        <v>271</v>
      </c>
      <c r="C1210" s="40" t="s">
        <v>147</v>
      </c>
      <c r="D1210" s="34" t="s">
        <v>107</v>
      </c>
      <c r="E1210" s="260">
        <v>2.176E-3</v>
      </c>
      <c r="F1210" s="34">
        <v>2</v>
      </c>
      <c r="G1210" s="40" t="s">
        <v>451</v>
      </c>
      <c r="H1210" s="29">
        <v>1</v>
      </c>
      <c r="I1210" s="9">
        <v>2</v>
      </c>
      <c r="J1210" s="9">
        <v>2</v>
      </c>
      <c r="K1210" s="9">
        <v>1</v>
      </c>
      <c r="L1210" s="9">
        <v>1</v>
      </c>
      <c r="M1210" s="9">
        <v>1</v>
      </c>
      <c r="N1210" s="186">
        <f t="shared" si="74"/>
        <v>0.16933510251023262</v>
      </c>
      <c r="O1210" s="160">
        <f t="shared" si="75"/>
        <v>0.19908580854301616</v>
      </c>
      <c r="P1210" s="63" t="s">
        <v>631</v>
      </c>
    </row>
    <row r="1211" spans="1:16" s="828" customFormat="1" hidden="1">
      <c r="A1211" s="626" t="s">
        <v>624</v>
      </c>
      <c r="B1211" s="59" t="s">
        <v>344</v>
      </c>
      <c r="C1211" s="40" t="s">
        <v>147</v>
      </c>
      <c r="D1211" s="34" t="s">
        <v>107</v>
      </c>
      <c r="E1211" s="260" t="s">
        <v>158</v>
      </c>
      <c r="F1211" s="34">
        <v>1</v>
      </c>
      <c r="G1211" s="40" t="s">
        <v>451</v>
      </c>
      <c r="H1211" s="29"/>
      <c r="I1211" s="9"/>
      <c r="J1211" s="9"/>
      <c r="K1211" s="9"/>
      <c r="L1211" s="9"/>
      <c r="M1211" s="9"/>
      <c r="N1211" s="186" t="str">
        <f t="shared" si="74"/>
        <v/>
      </c>
      <c r="O1211" s="160" t="str">
        <f t="shared" si="75"/>
        <v/>
      </c>
      <c r="P1211" s="63"/>
    </row>
    <row r="1212" spans="1:16" s="828" customFormat="1" hidden="1">
      <c r="A1212" s="626" t="s">
        <v>627</v>
      </c>
      <c r="B1212" s="59" t="s">
        <v>241</v>
      </c>
      <c r="C1212" s="40" t="s">
        <v>147</v>
      </c>
      <c r="D1212" s="34" t="s">
        <v>107</v>
      </c>
      <c r="E1212" s="260">
        <v>6.4000000000000001E-2</v>
      </c>
      <c r="F1212" s="34">
        <v>2</v>
      </c>
      <c r="G1212" s="40" t="s">
        <v>451</v>
      </c>
      <c r="H1212" s="29">
        <v>1</v>
      </c>
      <c r="I1212" s="9">
        <v>2</v>
      </c>
      <c r="J1212" s="9">
        <v>2</v>
      </c>
      <c r="K1212" s="9">
        <v>1</v>
      </c>
      <c r="L1212" s="9">
        <v>1</v>
      </c>
      <c r="M1212" s="9">
        <v>1</v>
      </c>
      <c r="N1212" s="186">
        <f t="shared" si="74"/>
        <v>0.16933510251023262</v>
      </c>
      <c r="O1212" s="160">
        <f t="shared" si="75"/>
        <v>0.19908580854301616</v>
      </c>
      <c r="P1212" s="63" t="s">
        <v>583</v>
      </c>
    </row>
    <row r="1213" spans="1:16" s="828" customFormat="1" ht="15.75" hidden="1" thickBot="1">
      <c r="A1213" s="827" t="s">
        <v>627</v>
      </c>
      <c r="B1213" s="881" t="s">
        <v>344</v>
      </c>
      <c r="C1213" s="154" t="s">
        <v>147</v>
      </c>
      <c r="D1213" s="150" t="s">
        <v>107</v>
      </c>
      <c r="E1213" s="262" t="s">
        <v>158</v>
      </c>
      <c r="F1213" s="150">
        <v>1</v>
      </c>
      <c r="G1213" s="154" t="s">
        <v>451</v>
      </c>
      <c r="H1213" s="155"/>
      <c r="I1213" s="119"/>
      <c r="J1213" s="119"/>
      <c r="K1213" s="119"/>
      <c r="L1213" s="119"/>
      <c r="M1213" s="119"/>
      <c r="N1213" s="917" t="str">
        <f t="shared" si="74"/>
        <v/>
      </c>
      <c r="O1213" s="833" t="str">
        <f t="shared" si="75"/>
        <v/>
      </c>
      <c r="P1213" s="513" t="s">
        <v>632</v>
      </c>
    </row>
    <row r="1214" spans="1:16" hidden="1">
      <c r="A1214" s="152" t="s">
        <v>296</v>
      </c>
      <c r="B1214" s="152" t="s">
        <v>187</v>
      </c>
      <c r="C1214" s="9" t="s">
        <v>190</v>
      </c>
      <c r="D1214" s="9" t="s">
        <v>147</v>
      </c>
      <c r="E1214" s="789">
        <v>0.41880824100000003</v>
      </c>
      <c r="F1214" s="9">
        <v>2</v>
      </c>
      <c r="G1214" s="9" t="s">
        <v>633</v>
      </c>
      <c r="H1214" s="9"/>
      <c r="I1214" s="9">
        <v>1</v>
      </c>
      <c r="J1214" s="9">
        <v>1</v>
      </c>
      <c r="K1214" s="9">
        <v>3</v>
      </c>
      <c r="L1214" s="9">
        <v>1</v>
      </c>
      <c r="M1214" s="9">
        <v>2</v>
      </c>
      <c r="N1214" s="9"/>
      <c r="O1214" s="9"/>
      <c r="P1214" s="656"/>
    </row>
    <row r="1215" spans="1:16" hidden="1">
      <c r="A1215" s="152" t="s">
        <v>296</v>
      </c>
      <c r="B1215" s="152" t="s">
        <v>163</v>
      </c>
      <c r="C1215" s="9" t="s">
        <v>190</v>
      </c>
      <c r="D1215" s="9" t="s">
        <v>147</v>
      </c>
      <c r="E1215" s="789">
        <v>0.26110973500000001</v>
      </c>
      <c r="F1215" s="9">
        <v>2</v>
      </c>
      <c r="G1215" s="9" t="s">
        <v>633</v>
      </c>
      <c r="H1215" s="9"/>
      <c r="I1215" s="9">
        <v>1</v>
      </c>
      <c r="J1215" s="9">
        <v>1</v>
      </c>
      <c r="K1215" s="9">
        <v>3</v>
      </c>
      <c r="L1215" s="9">
        <v>1</v>
      </c>
      <c r="M1215" s="9">
        <v>2</v>
      </c>
      <c r="N1215" s="9"/>
      <c r="O1215" s="9"/>
      <c r="P1215" s="656"/>
    </row>
    <row r="1216" spans="1:16" hidden="1">
      <c r="A1216" s="152" t="s">
        <v>296</v>
      </c>
      <c r="B1216" s="152" t="s">
        <v>162</v>
      </c>
      <c r="C1216" s="9" t="s">
        <v>190</v>
      </c>
      <c r="D1216" s="9" t="s">
        <v>147</v>
      </c>
      <c r="E1216" s="789">
        <v>0.16236634799999999</v>
      </c>
      <c r="F1216" s="9">
        <v>2</v>
      </c>
      <c r="G1216" s="9" t="s">
        <v>633</v>
      </c>
      <c r="H1216" s="9"/>
      <c r="I1216" s="9">
        <v>1</v>
      </c>
      <c r="J1216" s="9">
        <v>1</v>
      </c>
      <c r="K1216" s="9">
        <v>3</v>
      </c>
      <c r="L1216" s="9">
        <v>1</v>
      </c>
      <c r="M1216" s="9">
        <v>2</v>
      </c>
      <c r="N1216" s="9"/>
      <c r="O1216" s="9"/>
      <c r="P1216" s="656"/>
    </row>
    <row r="1217" spans="1:16" hidden="1">
      <c r="A1217" s="152" t="s">
        <v>296</v>
      </c>
      <c r="B1217" s="152" t="s">
        <v>192</v>
      </c>
      <c r="C1217" s="9" t="s">
        <v>190</v>
      </c>
      <c r="D1217" s="9" t="s">
        <v>147</v>
      </c>
      <c r="E1217" s="789">
        <v>5.6761449999999998E-2</v>
      </c>
      <c r="F1217" s="9">
        <v>2</v>
      </c>
      <c r="G1217" s="9" t="s">
        <v>633</v>
      </c>
      <c r="H1217" s="9"/>
      <c r="I1217" s="9">
        <v>1</v>
      </c>
      <c r="J1217" s="9">
        <v>1</v>
      </c>
      <c r="K1217" s="9">
        <v>3</v>
      </c>
      <c r="L1217" s="9">
        <v>1</v>
      </c>
      <c r="M1217" s="9">
        <v>2</v>
      </c>
      <c r="N1217" s="9"/>
      <c r="O1217" s="9"/>
      <c r="P1217" s="656"/>
    </row>
    <row r="1218" spans="1:16" hidden="1">
      <c r="A1218" s="152" t="s">
        <v>296</v>
      </c>
      <c r="B1218" s="152" t="s">
        <v>261</v>
      </c>
      <c r="C1218" s="9" t="s">
        <v>190</v>
      </c>
      <c r="D1218" s="9" t="s">
        <v>147</v>
      </c>
      <c r="E1218" s="789">
        <v>0.122732613</v>
      </c>
      <c r="F1218" s="9">
        <v>2</v>
      </c>
      <c r="G1218" s="9" t="s">
        <v>633</v>
      </c>
      <c r="H1218" s="9"/>
      <c r="I1218" s="9">
        <v>1</v>
      </c>
      <c r="J1218" s="9">
        <v>1</v>
      </c>
      <c r="K1218" s="9">
        <v>3</v>
      </c>
      <c r="L1218" s="9">
        <v>1</v>
      </c>
      <c r="M1218" s="9">
        <v>2</v>
      </c>
      <c r="N1218" s="9"/>
      <c r="O1218" s="9"/>
      <c r="P1218" s="656" t="s">
        <v>634</v>
      </c>
    </row>
    <row r="1219" spans="1:16" hidden="1">
      <c r="A1219"/>
      <c r="B1219"/>
      <c r="N1219" s="7"/>
      <c r="O1219" s="7"/>
    </row>
    <row r="1220" spans="1:16" hidden="1">
      <c r="A1220"/>
      <c r="B1220"/>
      <c r="N1220" s="7"/>
      <c r="O1220" s="7"/>
    </row>
    <row r="1221" spans="1:16" hidden="1">
      <c r="A1221" s="152" t="s">
        <v>294</v>
      </c>
      <c r="B1221" s="152" t="s">
        <v>187</v>
      </c>
      <c r="C1221" s="9" t="s">
        <v>190</v>
      </c>
      <c r="D1221" s="9" t="s">
        <v>147</v>
      </c>
      <c r="E1221" s="789">
        <v>0.41880824100000003</v>
      </c>
      <c r="F1221" s="9">
        <v>2</v>
      </c>
      <c r="G1221" s="9" t="s">
        <v>633</v>
      </c>
      <c r="H1221" s="9"/>
      <c r="I1221" s="9">
        <v>1</v>
      </c>
      <c r="J1221" s="9">
        <v>1</v>
      </c>
      <c r="K1221" s="9">
        <v>3</v>
      </c>
      <c r="L1221" s="9">
        <v>1</v>
      </c>
      <c r="M1221" s="9">
        <v>2</v>
      </c>
      <c r="N1221" s="9"/>
      <c r="O1221" s="9"/>
      <c r="P1221" s="656"/>
    </row>
    <row r="1222" spans="1:16" hidden="1">
      <c r="A1222" s="152" t="s">
        <v>294</v>
      </c>
      <c r="B1222" s="152" t="s">
        <v>154</v>
      </c>
      <c r="C1222" s="9" t="s">
        <v>190</v>
      </c>
      <c r="D1222" s="9" t="s">
        <v>147</v>
      </c>
      <c r="E1222" s="789">
        <v>0.26110973500000001</v>
      </c>
      <c r="F1222" s="9">
        <v>2</v>
      </c>
      <c r="G1222" s="9" t="s">
        <v>633</v>
      </c>
      <c r="H1222" s="9"/>
      <c r="I1222" s="9">
        <v>1</v>
      </c>
      <c r="J1222" s="9">
        <v>1</v>
      </c>
      <c r="K1222" s="9">
        <v>3</v>
      </c>
      <c r="L1222" s="9">
        <v>1</v>
      </c>
      <c r="M1222" s="9">
        <v>2</v>
      </c>
      <c r="N1222" s="9"/>
      <c r="O1222" s="9"/>
      <c r="P1222" s="656"/>
    </row>
    <row r="1223" spans="1:16" hidden="1">
      <c r="A1223" s="152" t="s">
        <v>294</v>
      </c>
      <c r="B1223" s="152" t="s">
        <v>157</v>
      </c>
      <c r="C1223" s="9" t="s">
        <v>190</v>
      </c>
      <c r="D1223" s="9" t="s">
        <v>147</v>
      </c>
      <c r="E1223" s="789">
        <v>0.16236634799999999</v>
      </c>
      <c r="F1223" s="9">
        <v>2</v>
      </c>
      <c r="G1223" s="9" t="s">
        <v>633</v>
      </c>
      <c r="H1223" s="9"/>
      <c r="I1223" s="9">
        <v>1</v>
      </c>
      <c r="J1223" s="9">
        <v>1</v>
      </c>
      <c r="K1223" s="9">
        <v>3</v>
      </c>
      <c r="L1223" s="9">
        <v>1</v>
      </c>
      <c r="M1223" s="9">
        <v>2</v>
      </c>
      <c r="N1223" s="9"/>
      <c r="O1223" s="9"/>
      <c r="P1223" s="656"/>
    </row>
    <row r="1224" spans="1:16" hidden="1">
      <c r="A1224" s="152" t="s">
        <v>294</v>
      </c>
      <c r="B1224" s="152" t="s">
        <v>192</v>
      </c>
      <c r="C1224" s="9" t="s">
        <v>190</v>
      </c>
      <c r="D1224" s="9" t="s">
        <v>147</v>
      </c>
      <c r="E1224" s="789">
        <v>5.6761449999999998E-2</v>
      </c>
      <c r="F1224" s="9">
        <v>2</v>
      </c>
      <c r="G1224" s="9" t="s">
        <v>633</v>
      </c>
      <c r="H1224" s="9"/>
      <c r="I1224" s="9">
        <v>1</v>
      </c>
      <c r="J1224" s="9">
        <v>1</v>
      </c>
      <c r="K1224" s="9">
        <v>3</v>
      </c>
      <c r="L1224" s="9">
        <v>1</v>
      </c>
      <c r="M1224" s="9">
        <v>2</v>
      </c>
      <c r="N1224" s="9"/>
      <c r="O1224" s="9"/>
      <c r="P1224" s="656"/>
    </row>
    <row r="1225" spans="1:16" hidden="1">
      <c r="A1225" s="152" t="s">
        <v>294</v>
      </c>
      <c r="B1225" s="152" t="s">
        <v>261</v>
      </c>
      <c r="C1225" s="9" t="s">
        <v>190</v>
      </c>
      <c r="D1225" s="9" t="s">
        <v>147</v>
      </c>
      <c r="E1225" s="789">
        <v>0.122732613</v>
      </c>
      <c r="F1225" s="9">
        <v>2</v>
      </c>
      <c r="G1225" s="9" t="s">
        <v>633</v>
      </c>
      <c r="H1225" s="9"/>
      <c r="I1225" s="9">
        <v>1</v>
      </c>
      <c r="J1225" s="9">
        <v>1</v>
      </c>
      <c r="K1225" s="9">
        <v>3</v>
      </c>
      <c r="L1225" s="9">
        <v>1</v>
      </c>
      <c r="M1225" s="9">
        <v>2</v>
      </c>
      <c r="N1225" s="9"/>
      <c r="O1225" s="9"/>
      <c r="P1225" s="656" t="s">
        <v>634</v>
      </c>
    </row>
    <row r="1226" spans="1:16">
      <c r="N1226" s="7"/>
      <c r="O1226" s="7"/>
    </row>
    <row r="1229" spans="1:16">
      <c r="N1229" s="7"/>
      <c r="O1229" s="7"/>
    </row>
    <row r="1230" spans="1:16">
      <c r="N1230" s="7"/>
      <c r="O1230" s="7"/>
    </row>
    <row r="1231" spans="1:16">
      <c r="N1231" s="7"/>
      <c r="O1231" s="7"/>
    </row>
    <row r="1232" spans="1:16">
      <c r="N1232" s="7"/>
      <c r="O1232" s="7"/>
    </row>
    <row r="1233" spans="14:15">
      <c r="N1233" s="7"/>
      <c r="O1233" s="7"/>
    </row>
    <row r="1234" spans="14:15">
      <c r="N1234" s="7"/>
      <c r="O1234" s="7"/>
    </row>
    <row r="1235" spans="14:15">
      <c r="N1235" s="7"/>
      <c r="O1235" s="7"/>
    </row>
    <row r="1236" spans="14:15">
      <c r="N1236" s="7"/>
      <c r="O1236" s="7"/>
    </row>
    <row r="1237" spans="14:15">
      <c r="N1237" s="7"/>
      <c r="O1237" s="7"/>
    </row>
    <row r="1238" spans="14:15">
      <c r="N1238" s="7"/>
      <c r="O1238" s="7"/>
    </row>
    <row r="1239" spans="14:15">
      <c r="N1239" s="7"/>
      <c r="O1239" s="7"/>
    </row>
    <row r="1240" spans="14:15">
      <c r="N1240" s="7"/>
      <c r="O1240" s="7"/>
    </row>
    <row r="1241" spans="14:15">
      <c r="N1241" s="7"/>
      <c r="O1241" s="7"/>
    </row>
    <row r="1242" spans="14:15">
      <c r="N1242" s="7"/>
      <c r="O1242" s="7"/>
    </row>
    <row r="1243" spans="14:15">
      <c r="N1243" s="7"/>
      <c r="O1243" s="7"/>
    </row>
    <row r="1244" spans="14:15">
      <c r="N1244" s="7"/>
      <c r="O1244" s="7"/>
    </row>
    <row r="1245" spans="14:15">
      <c r="N1245" s="7"/>
      <c r="O1245" s="7"/>
    </row>
    <row r="1246" spans="14:15">
      <c r="N1246" s="7"/>
      <c r="O1246" s="7"/>
    </row>
    <row r="1247" spans="14:15">
      <c r="N1247" s="7"/>
      <c r="O1247" s="7"/>
    </row>
    <row r="1248" spans="14:15">
      <c r="N1248" s="7"/>
      <c r="O1248" s="7"/>
    </row>
    <row r="1249" spans="14:15">
      <c r="N1249" s="7"/>
      <c r="O1249" s="7"/>
    </row>
    <row r="1250" spans="14:15">
      <c r="N1250" s="7"/>
      <c r="O1250" s="7"/>
    </row>
    <row r="1251" spans="14:15">
      <c r="N1251" s="7"/>
      <c r="O1251" s="7"/>
    </row>
    <row r="1252" spans="14:15">
      <c r="N1252" s="7"/>
      <c r="O1252" s="7"/>
    </row>
    <row r="1253" spans="14:15">
      <c r="N1253" s="7"/>
      <c r="O1253" s="7"/>
    </row>
    <row r="1254" spans="14:15">
      <c r="N1254" s="7"/>
      <c r="O1254" s="7"/>
    </row>
    <row r="1255" spans="14:15">
      <c r="N1255" s="7"/>
      <c r="O1255" s="7"/>
    </row>
    <row r="1256" spans="14:15">
      <c r="N1256" s="7"/>
      <c r="O1256" s="7"/>
    </row>
    <row r="1257" spans="14:15">
      <c r="N1257" s="7"/>
      <c r="O1257" s="7"/>
    </row>
    <row r="1258" spans="14:15">
      <c r="N1258" s="7"/>
      <c r="O1258" s="7"/>
    </row>
    <row r="1259" spans="14:15">
      <c r="N1259" s="7"/>
      <c r="O1259" s="7"/>
    </row>
    <row r="1260" spans="14:15">
      <c r="N1260" s="7"/>
      <c r="O1260" s="7"/>
    </row>
    <row r="1261" spans="14:15">
      <c r="N1261" s="7"/>
      <c r="O1261" s="7"/>
    </row>
    <row r="1262" spans="14:15">
      <c r="N1262" s="7"/>
      <c r="O1262" s="7"/>
    </row>
    <row r="1263" spans="14:15">
      <c r="N1263" s="7"/>
      <c r="O1263" s="7"/>
    </row>
    <row r="1264" spans="14:15">
      <c r="N1264" s="7"/>
      <c r="O1264" s="7"/>
    </row>
    <row r="1265" spans="14:15">
      <c r="N1265" s="7"/>
      <c r="O1265" s="7"/>
    </row>
    <row r="1266" spans="14:15">
      <c r="N1266" s="7"/>
      <c r="O1266" s="7"/>
    </row>
    <row r="1267" spans="14:15">
      <c r="N1267" s="7"/>
      <c r="O1267" s="7"/>
    </row>
    <row r="1268" spans="14:15">
      <c r="N1268" s="7"/>
      <c r="O1268" s="7"/>
    </row>
    <row r="1269" spans="14:15">
      <c r="N1269" s="7"/>
      <c r="O1269" s="7"/>
    </row>
    <row r="1270" spans="14:15">
      <c r="N1270" s="7"/>
      <c r="O1270" s="7"/>
    </row>
    <row r="1271" spans="14:15">
      <c r="N1271" s="7"/>
      <c r="O1271" s="7"/>
    </row>
    <row r="1272" spans="14:15">
      <c r="N1272" s="7"/>
      <c r="O1272" s="7"/>
    </row>
    <row r="1273" spans="14:15">
      <c r="N1273" s="7"/>
      <c r="O1273" s="7"/>
    </row>
    <row r="1274" spans="14:15">
      <c r="N1274" s="7"/>
      <c r="O1274" s="7"/>
    </row>
    <row r="1275" spans="14:15">
      <c r="N1275" s="7"/>
      <c r="O1275" s="7"/>
    </row>
    <row r="1276" spans="14:15">
      <c r="N1276" s="7"/>
      <c r="O1276" s="7"/>
    </row>
    <row r="1277" spans="14:15">
      <c r="N1277" s="7"/>
      <c r="O1277" s="7"/>
    </row>
    <row r="1278" spans="14:15">
      <c r="N1278" s="7"/>
      <c r="O1278" s="7"/>
    </row>
    <row r="1279" spans="14:15">
      <c r="N1279" s="7"/>
      <c r="O1279" s="7"/>
    </row>
    <row r="1280" spans="14:15">
      <c r="N1280" s="7"/>
      <c r="O1280" s="7"/>
    </row>
    <row r="1281" spans="14:15">
      <c r="N1281" s="7"/>
      <c r="O1281" s="7"/>
    </row>
    <row r="1282" spans="14:15">
      <c r="N1282" s="7"/>
      <c r="O1282" s="7"/>
    </row>
    <row r="1283" spans="14:15">
      <c r="N1283" s="7"/>
      <c r="O1283" s="7"/>
    </row>
    <row r="1284" spans="14:15">
      <c r="N1284" s="7"/>
      <c r="O1284" s="7"/>
    </row>
    <row r="1285" spans="14:15">
      <c r="N1285" s="7"/>
      <c r="O1285" s="7"/>
    </row>
    <row r="1286" spans="14:15">
      <c r="N1286" s="7"/>
      <c r="O1286" s="7"/>
    </row>
    <row r="1287" spans="14:15">
      <c r="N1287" s="7"/>
      <c r="O1287" s="7"/>
    </row>
    <row r="1288" spans="14:15">
      <c r="N1288" s="7"/>
      <c r="O1288" s="7"/>
    </row>
    <row r="1289" spans="14:15">
      <c r="N1289" s="7"/>
      <c r="O1289" s="7"/>
    </row>
    <row r="1290" spans="14:15">
      <c r="N1290" s="7"/>
      <c r="O1290" s="7"/>
    </row>
    <row r="1291" spans="14:15">
      <c r="N1291" s="7"/>
      <c r="O1291" s="7"/>
    </row>
    <row r="1292" spans="14:15">
      <c r="N1292" s="7"/>
      <c r="O1292" s="7"/>
    </row>
    <row r="1293" spans="14:15">
      <c r="N1293" s="7"/>
      <c r="O1293" s="7"/>
    </row>
    <row r="1294" spans="14:15">
      <c r="N1294" s="7"/>
      <c r="O1294" s="7"/>
    </row>
    <row r="1295" spans="14:15">
      <c r="N1295" s="7"/>
      <c r="O1295" s="7"/>
    </row>
    <row r="1296" spans="14:15">
      <c r="N1296" s="7"/>
      <c r="O1296" s="7"/>
    </row>
    <row r="1297" spans="14:15">
      <c r="N1297" s="7"/>
      <c r="O1297" s="7"/>
    </row>
    <row r="1298" spans="14:15">
      <c r="N1298" s="7"/>
      <c r="O1298" s="7"/>
    </row>
    <row r="1299" spans="14:15">
      <c r="N1299" s="7"/>
      <c r="O1299" s="7"/>
    </row>
    <row r="1300" spans="14:15">
      <c r="N1300" s="7"/>
      <c r="O1300" s="7"/>
    </row>
    <row r="1301" spans="14:15">
      <c r="N1301" s="7"/>
      <c r="O1301" s="7"/>
    </row>
    <row r="1302" spans="14:15">
      <c r="N1302" s="7"/>
      <c r="O1302" s="7"/>
    </row>
    <row r="1303" spans="14:15">
      <c r="N1303" s="7"/>
      <c r="O1303" s="7"/>
    </row>
    <row r="1304" spans="14:15">
      <c r="N1304" s="7"/>
      <c r="O1304" s="7"/>
    </row>
    <row r="1305" spans="14:15">
      <c r="N1305" s="7"/>
      <c r="O1305" s="7"/>
    </row>
    <row r="1306" spans="14:15">
      <c r="N1306" s="7"/>
      <c r="O1306" s="7"/>
    </row>
    <row r="1307" spans="14:15">
      <c r="N1307" s="7"/>
      <c r="O1307" s="7"/>
    </row>
    <row r="1308" spans="14:15">
      <c r="N1308" s="7"/>
      <c r="O1308" s="7"/>
    </row>
    <row r="1309" spans="14:15">
      <c r="N1309" s="7"/>
      <c r="O1309" s="7"/>
    </row>
    <row r="1310" spans="14:15">
      <c r="N1310" s="7"/>
      <c r="O1310" s="7"/>
    </row>
    <row r="1311" spans="14:15">
      <c r="N1311" s="7"/>
      <c r="O1311" s="7"/>
    </row>
    <row r="1312" spans="14:15">
      <c r="N1312" s="7"/>
      <c r="O1312" s="7"/>
    </row>
    <row r="1313" spans="14:15">
      <c r="N1313" s="7"/>
      <c r="O1313" s="7"/>
    </row>
    <row r="1314" spans="14:15">
      <c r="N1314" s="7"/>
      <c r="O1314" s="7"/>
    </row>
    <row r="1315" spans="14:15">
      <c r="N1315" s="7"/>
      <c r="O1315" s="7"/>
    </row>
    <row r="1316" spans="14:15">
      <c r="N1316" s="7"/>
      <c r="O1316" s="7"/>
    </row>
    <row r="1317" spans="14:15">
      <c r="N1317" s="7"/>
      <c r="O1317" s="7"/>
    </row>
    <row r="1318" spans="14:15">
      <c r="N1318" s="7"/>
      <c r="O1318" s="7"/>
    </row>
    <row r="1319" spans="14:15">
      <c r="N1319" s="7"/>
      <c r="O1319" s="7"/>
    </row>
    <row r="1320" spans="14:15">
      <c r="N1320" s="7"/>
      <c r="O1320" s="7"/>
    </row>
    <row r="1321" spans="14:15">
      <c r="N1321" s="7"/>
      <c r="O1321" s="7"/>
    </row>
    <row r="1322" spans="14:15">
      <c r="N1322" s="7"/>
      <c r="O1322" s="7"/>
    </row>
    <row r="1323" spans="14:15">
      <c r="N1323" s="7"/>
      <c r="O1323" s="7"/>
    </row>
    <row r="1324" spans="14:15">
      <c r="N1324" s="7"/>
      <c r="O1324" s="7"/>
    </row>
    <row r="1325" spans="14:15">
      <c r="N1325" s="7"/>
      <c r="O1325" s="7"/>
    </row>
    <row r="1326" spans="14:15">
      <c r="N1326" s="7"/>
      <c r="O1326" s="7"/>
    </row>
    <row r="1327" spans="14:15">
      <c r="N1327" s="7"/>
      <c r="O1327" s="7"/>
    </row>
    <row r="1328" spans="14:15">
      <c r="N1328" s="7"/>
      <c r="O1328" s="7"/>
    </row>
    <row r="1329" spans="14:15">
      <c r="N1329" s="7"/>
      <c r="O1329" s="7"/>
    </row>
    <row r="1330" spans="14:15">
      <c r="N1330" s="7"/>
      <c r="O1330" s="7"/>
    </row>
    <row r="1331" spans="14:15">
      <c r="N1331" s="7"/>
      <c r="O1331" s="7"/>
    </row>
    <row r="1332" spans="14:15">
      <c r="N1332" s="7"/>
      <c r="O1332" s="7"/>
    </row>
    <row r="1333" spans="14:15">
      <c r="N1333" s="7"/>
      <c r="O1333" s="7"/>
    </row>
    <row r="1334" spans="14:15">
      <c r="N1334" s="7"/>
      <c r="O1334" s="7"/>
    </row>
    <row r="1335" spans="14:15">
      <c r="N1335" s="7"/>
      <c r="O1335" s="7"/>
    </row>
    <row r="1336" spans="14:15">
      <c r="N1336" s="7"/>
      <c r="O1336" s="7"/>
    </row>
    <row r="1337" spans="14:15">
      <c r="N1337" s="7"/>
      <c r="O1337" s="7"/>
    </row>
    <row r="1338" spans="14:15">
      <c r="N1338" s="7"/>
      <c r="O1338" s="7"/>
    </row>
    <row r="1339" spans="14:15">
      <c r="N1339" s="7"/>
      <c r="O1339" s="7"/>
    </row>
    <row r="1340" spans="14:15">
      <c r="N1340" s="7"/>
      <c r="O1340" s="7"/>
    </row>
    <row r="1341" spans="14:15">
      <c r="N1341" s="7"/>
      <c r="O1341" s="7"/>
    </row>
    <row r="1342" spans="14:15">
      <c r="N1342" s="7"/>
      <c r="O1342" s="7"/>
    </row>
    <row r="1343" spans="14:15">
      <c r="N1343" s="7"/>
      <c r="O1343" s="7"/>
    </row>
    <row r="1344" spans="14:15">
      <c r="N1344" s="7"/>
      <c r="O1344" s="7"/>
    </row>
    <row r="1345" spans="14:15">
      <c r="N1345" s="7"/>
      <c r="O1345" s="7"/>
    </row>
    <row r="1346" spans="14:15">
      <c r="N1346" s="7"/>
      <c r="O1346" s="7"/>
    </row>
    <row r="1347" spans="14:15">
      <c r="N1347" s="7"/>
      <c r="O1347" s="7"/>
    </row>
    <row r="1348" spans="14:15">
      <c r="N1348" s="7"/>
      <c r="O1348" s="7"/>
    </row>
    <row r="1349" spans="14:15">
      <c r="N1349" s="7"/>
      <c r="O1349" s="7"/>
    </row>
    <row r="1350" spans="14:15">
      <c r="N1350" s="7"/>
      <c r="O1350" s="7"/>
    </row>
    <row r="1351" spans="14:15">
      <c r="N1351" s="7"/>
      <c r="O1351" s="7"/>
    </row>
    <row r="1352" spans="14:15">
      <c r="N1352" s="7"/>
      <c r="O1352" s="7"/>
    </row>
    <row r="1353" spans="14:15">
      <c r="N1353" s="7"/>
      <c r="O1353" s="7"/>
    </row>
    <row r="1354" spans="14:15">
      <c r="N1354" s="7"/>
      <c r="O1354" s="7"/>
    </row>
    <row r="1355" spans="14:15">
      <c r="N1355" s="7"/>
      <c r="O1355" s="7"/>
    </row>
    <row r="1356" spans="14:15">
      <c r="N1356" s="7"/>
      <c r="O1356" s="7"/>
    </row>
    <row r="1357" spans="14:15">
      <c r="N1357" s="7"/>
      <c r="O1357" s="7"/>
    </row>
    <row r="1358" spans="14:15">
      <c r="N1358" s="7"/>
      <c r="O1358" s="7"/>
    </row>
    <row r="1359" spans="14:15">
      <c r="N1359" s="7"/>
      <c r="O1359" s="7"/>
    </row>
    <row r="1360" spans="14:15">
      <c r="N1360" s="7"/>
      <c r="O1360" s="7"/>
    </row>
    <row r="1361" spans="14:15">
      <c r="N1361" s="7"/>
      <c r="O1361" s="7"/>
    </row>
    <row r="1362" spans="14:15">
      <c r="N1362" s="7"/>
      <c r="O1362" s="7"/>
    </row>
    <row r="1363" spans="14:15">
      <c r="N1363" s="7"/>
      <c r="O1363" s="7"/>
    </row>
    <row r="1364" spans="14:15">
      <c r="N1364" s="7"/>
      <c r="O1364" s="7"/>
    </row>
    <row r="1365" spans="14:15">
      <c r="N1365" s="7"/>
      <c r="O1365" s="7"/>
    </row>
    <row r="1366" spans="14:15">
      <c r="N1366" s="7"/>
      <c r="O1366" s="7"/>
    </row>
    <row r="1367" spans="14:15">
      <c r="N1367" s="7"/>
      <c r="O1367" s="7"/>
    </row>
    <row r="1368" spans="14:15">
      <c r="N1368" s="7"/>
      <c r="O1368" s="7"/>
    </row>
    <row r="1369" spans="14:15">
      <c r="N1369" s="7"/>
      <c r="O1369" s="7"/>
    </row>
    <row r="1370" spans="14:15">
      <c r="N1370" s="7"/>
      <c r="O1370" s="7"/>
    </row>
    <row r="1371" spans="14:15">
      <c r="N1371" s="7"/>
      <c r="O1371" s="7"/>
    </row>
    <row r="1372" spans="14:15">
      <c r="N1372" s="7"/>
      <c r="O1372" s="7"/>
    </row>
    <row r="1373" spans="14:15">
      <c r="N1373" s="7"/>
      <c r="O1373" s="7"/>
    </row>
    <row r="1374" spans="14:15">
      <c r="N1374" s="7"/>
      <c r="O1374" s="7"/>
    </row>
    <row r="1375" spans="14:15">
      <c r="N1375" s="7"/>
      <c r="O1375" s="7"/>
    </row>
    <row r="1376" spans="14:15">
      <c r="N1376" s="7"/>
      <c r="O1376" s="7"/>
    </row>
    <row r="1377" spans="14:15">
      <c r="N1377" s="7"/>
      <c r="O1377" s="7"/>
    </row>
    <row r="1378" spans="14:15">
      <c r="N1378" s="7"/>
      <c r="O1378" s="7"/>
    </row>
    <row r="1379" spans="14:15">
      <c r="N1379" s="7"/>
      <c r="O1379" s="7"/>
    </row>
    <row r="1380" spans="14:15">
      <c r="N1380" s="7"/>
      <c r="O1380" s="7"/>
    </row>
    <row r="1381" spans="14:15">
      <c r="N1381" s="7"/>
      <c r="O1381" s="7"/>
    </row>
    <row r="1382" spans="14:15">
      <c r="N1382" s="7"/>
      <c r="O1382" s="7"/>
    </row>
    <row r="1383" spans="14:15">
      <c r="N1383" s="7"/>
      <c r="O1383" s="7"/>
    </row>
    <row r="1384" spans="14:15">
      <c r="N1384" s="7"/>
      <c r="O1384" s="7"/>
    </row>
    <row r="1385" spans="14:15">
      <c r="N1385" s="7"/>
      <c r="O1385" s="7"/>
    </row>
    <row r="1386" spans="14:15">
      <c r="N1386" s="7"/>
      <c r="O1386" s="7"/>
    </row>
    <row r="1387" spans="14:15">
      <c r="N1387" s="7"/>
      <c r="O1387" s="7"/>
    </row>
    <row r="1388" spans="14:15">
      <c r="N1388" s="7"/>
      <c r="O1388" s="7"/>
    </row>
    <row r="1389" spans="14:15">
      <c r="N1389" s="7"/>
      <c r="O1389" s="7"/>
    </row>
    <row r="1390" spans="14:15">
      <c r="N1390" s="7"/>
      <c r="O1390" s="7"/>
    </row>
    <row r="1391" spans="14:15">
      <c r="N1391" s="7"/>
      <c r="O1391" s="7"/>
    </row>
    <row r="1392" spans="14:15">
      <c r="N1392" s="7"/>
      <c r="O1392" s="7"/>
    </row>
    <row r="1393" spans="14:15">
      <c r="N1393" s="7"/>
      <c r="O1393" s="7"/>
    </row>
    <row r="1394" spans="14:15">
      <c r="N1394" s="7"/>
      <c r="O1394" s="7"/>
    </row>
    <row r="1395" spans="14:15">
      <c r="N1395" s="7"/>
      <c r="O1395" s="7"/>
    </row>
    <row r="1396" spans="14:15">
      <c r="N1396" s="7"/>
      <c r="O1396" s="7"/>
    </row>
    <row r="1397" spans="14:15">
      <c r="N1397" s="7"/>
      <c r="O1397" s="7"/>
    </row>
    <row r="1398" spans="14:15">
      <c r="N1398" s="7"/>
      <c r="O1398" s="7"/>
    </row>
    <row r="1399" spans="14:15">
      <c r="N1399" s="7"/>
      <c r="O1399" s="7"/>
    </row>
    <row r="1400" spans="14:15">
      <c r="N1400" s="7"/>
      <c r="O1400" s="7"/>
    </row>
    <row r="1401" spans="14:15">
      <c r="N1401" s="7"/>
      <c r="O1401" s="7"/>
    </row>
    <row r="1402" spans="14:15">
      <c r="N1402" s="7"/>
      <c r="O1402" s="7"/>
    </row>
    <row r="1403" spans="14:15">
      <c r="N1403" s="7"/>
      <c r="O1403" s="7"/>
    </row>
    <row r="1404" spans="14:15">
      <c r="N1404" s="7"/>
      <c r="O1404" s="7"/>
    </row>
    <row r="1405" spans="14:15">
      <c r="N1405" s="7"/>
      <c r="O1405" s="7"/>
    </row>
    <row r="1406" spans="14:15">
      <c r="N1406" s="7"/>
      <c r="O1406" s="7"/>
    </row>
    <row r="1407" spans="14:15">
      <c r="N1407" s="7"/>
      <c r="O1407" s="7"/>
    </row>
    <row r="1408" spans="14:15">
      <c r="N1408" s="7"/>
      <c r="O1408" s="7"/>
    </row>
    <row r="1409" spans="14:15">
      <c r="N1409" s="7"/>
      <c r="O1409" s="7"/>
    </row>
    <row r="1410" spans="14:15">
      <c r="N1410" s="7"/>
      <c r="O1410" s="7"/>
    </row>
    <row r="1411" spans="14:15">
      <c r="N1411" s="7"/>
      <c r="O1411" s="7"/>
    </row>
    <row r="1412" spans="14:15">
      <c r="N1412" s="7"/>
      <c r="O1412" s="7"/>
    </row>
    <row r="1413" spans="14:15">
      <c r="N1413" s="7"/>
      <c r="O1413" s="7"/>
    </row>
    <row r="1414" spans="14:15">
      <c r="N1414" s="7"/>
      <c r="O1414" s="7"/>
    </row>
    <row r="1415" spans="14:15">
      <c r="N1415" s="7"/>
      <c r="O1415" s="7"/>
    </row>
    <row r="1416" spans="14:15">
      <c r="N1416" s="7"/>
      <c r="O1416" s="7"/>
    </row>
    <row r="1417" spans="14:15">
      <c r="N1417" s="7"/>
      <c r="O1417" s="7"/>
    </row>
    <row r="1418" spans="14:15">
      <c r="N1418" s="7"/>
      <c r="O1418" s="7"/>
    </row>
    <row r="1419" spans="14:15">
      <c r="N1419" s="7"/>
      <c r="O1419" s="7"/>
    </row>
    <row r="1420" spans="14:15">
      <c r="N1420" s="7"/>
      <c r="O1420" s="7"/>
    </row>
    <row r="1421" spans="14:15">
      <c r="N1421" s="7"/>
      <c r="O1421" s="7"/>
    </row>
    <row r="1422" spans="14:15">
      <c r="N1422" s="7"/>
      <c r="O1422" s="7"/>
    </row>
    <row r="1423" spans="14:15">
      <c r="N1423" s="7"/>
      <c r="O1423" s="7"/>
    </row>
    <row r="1424" spans="14:15">
      <c r="N1424" s="7"/>
      <c r="O1424" s="7"/>
    </row>
    <row r="1425" spans="14:15">
      <c r="N1425" s="7"/>
      <c r="O1425" s="7"/>
    </row>
    <row r="1426" spans="14:15">
      <c r="N1426" s="7"/>
      <c r="O1426" s="7"/>
    </row>
    <row r="1427" spans="14:15">
      <c r="N1427" s="7"/>
      <c r="O1427" s="7"/>
    </row>
    <row r="1428" spans="14:15">
      <c r="N1428" s="7"/>
      <c r="O1428" s="7"/>
    </row>
    <row r="1429" spans="14:15">
      <c r="N1429" s="7"/>
      <c r="O1429" s="7"/>
    </row>
    <row r="1430" spans="14:15">
      <c r="N1430" s="7"/>
      <c r="O1430" s="7"/>
    </row>
    <row r="1431" spans="14:15">
      <c r="N1431" s="7"/>
      <c r="O1431" s="7"/>
    </row>
    <row r="1432" spans="14:15">
      <c r="N1432" s="7"/>
      <c r="O1432" s="7"/>
    </row>
    <row r="1433" spans="14:15">
      <c r="N1433" s="7"/>
      <c r="O1433" s="7"/>
    </row>
    <row r="1434" spans="14:15">
      <c r="N1434" s="7"/>
      <c r="O1434" s="7"/>
    </row>
    <row r="1435" spans="14:15">
      <c r="N1435" s="7"/>
      <c r="O1435" s="7"/>
    </row>
    <row r="1436" spans="14:15">
      <c r="N1436" s="7"/>
      <c r="O1436" s="7"/>
    </row>
    <row r="1437" spans="14:15">
      <c r="N1437" s="7"/>
      <c r="O1437" s="7"/>
    </row>
    <row r="1438" spans="14:15">
      <c r="N1438" s="7"/>
      <c r="O1438" s="7"/>
    </row>
    <row r="1439" spans="14:15">
      <c r="N1439" s="7"/>
      <c r="O1439" s="7"/>
    </row>
    <row r="1440" spans="14:15">
      <c r="N1440" s="7"/>
      <c r="O1440" s="7"/>
    </row>
    <row r="1441" spans="14:15">
      <c r="N1441" s="7"/>
      <c r="O1441" s="7"/>
    </row>
    <row r="1442" spans="14:15">
      <c r="N1442" s="7"/>
      <c r="O1442" s="7"/>
    </row>
    <row r="1443" spans="14:15">
      <c r="N1443" s="7"/>
      <c r="O1443" s="7"/>
    </row>
    <row r="1444" spans="14:15">
      <c r="N1444" s="7"/>
      <c r="O1444" s="7"/>
    </row>
    <row r="1445" spans="14:15">
      <c r="N1445" s="7"/>
      <c r="O1445" s="7"/>
    </row>
    <row r="1446" spans="14:15">
      <c r="N1446" s="7"/>
      <c r="O1446" s="7"/>
    </row>
    <row r="1447" spans="14:15">
      <c r="N1447" s="7"/>
      <c r="O1447" s="7"/>
    </row>
    <row r="1448" spans="14:15">
      <c r="N1448" s="7"/>
      <c r="O1448" s="7"/>
    </row>
    <row r="1449" spans="14:15">
      <c r="N1449" s="7"/>
      <c r="O1449" s="7"/>
    </row>
    <row r="1450" spans="14:15">
      <c r="N1450" s="7"/>
      <c r="O1450" s="7"/>
    </row>
    <row r="1451" spans="14:15">
      <c r="N1451" s="7"/>
      <c r="O1451" s="7"/>
    </row>
    <row r="1452" spans="14:15">
      <c r="N1452" s="7"/>
      <c r="O1452" s="7"/>
    </row>
    <row r="1453" spans="14:15">
      <c r="N1453" s="7"/>
      <c r="O1453" s="7"/>
    </row>
    <row r="1454" spans="14:15">
      <c r="N1454" s="7"/>
      <c r="O1454" s="7"/>
    </row>
    <row r="1455" spans="14:15">
      <c r="N1455" s="7"/>
      <c r="O1455" s="7"/>
    </row>
    <row r="1456" spans="14:15">
      <c r="N1456" s="7"/>
      <c r="O1456" s="7"/>
    </row>
    <row r="1457" spans="14:15">
      <c r="N1457" s="7"/>
      <c r="O1457" s="7"/>
    </row>
    <row r="1458" spans="14:15">
      <c r="N1458" s="7"/>
      <c r="O1458" s="7"/>
    </row>
    <row r="1459" spans="14:15">
      <c r="N1459" s="7"/>
      <c r="O1459" s="7"/>
    </row>
    <row r="1460" spans="14:15">
      <c r="N1460" s="7"/>
      <c r="O1460" s="7"/>
    </row>
    <row r="1461" spans="14:15">
      <c r="N1461" s="7"/>
      <c r="O1461" s="7"/>
    </row>
    <row r="1462" spans="14:15">
      <c r="N1462" s="7"/>
      <c r="O1462" s="7"/>
    </row>
    <row r="1463" spans="14:15">
      <c r="N1463" s="7"/>
      <c r="O1463" s="7"/>
    </row>
    <row r="1464" spans="14:15">
      <c r="N1464" s="7"/>
      <c r="O1464" s="7"/>
    </row>
    <row r="1465" spans="14:15">
      <c r="N1465" s="7"/>
      <c r="O1465" s="7"/>
    </row>
    <row r="1466" spans="14:15">
      <c r="N1466" s="7"/>
      <c r="O1466" s="7"/>
    </row>
    <row r="1467" spans="14:15">
      <c r="N1467" s="7"/>
      <c r="O1467" s="7"/>
    </row>
    <row r="1468" spans="14:15">
      <c r="N1468" s="7"/>
      <c r="O1468" s="7"/>
    </row>
    <row r="1469" spans="14:15">
      <c r="N1469" s="7"/>
      <c r="O1469" s="7"/>
    </row>
    <row r="1470" spans="14:15">
      <c r="N1470" s="7"/>
      <c r="O1470" s="7"/>
    </row>
    <row r="1471" spans="14:15">
      <c r="N1471" s="7"/>
      <c r="O1471" s="7"/>
    </row>
    <row r="1472" spans="14:15">
      <c r="N1472" s="7"/>
      <c r="O1472" s="7"/>
    </row>
    <row r="1473" spans="14:15">
      <c r="N1473" s="7"/>
      <c r="O1473" s="7"/>
    </row>
    <row r="1474" spans="14:15">
      <c r="N1474" s="7"/>
      <c r="O1474" s="7"/>
    </row>
    <row r="1475" spans="14:15">
      <c r="N1475" s="7"/>
      <c r="O1475" s="7"/>
    </row>
    <row r="1476" spans="14:15">
      <c r="N1476" s="7"/>
      <c r="O1476" s="7"/>
    </row>
    <row r="1477" spans="14:15">
      <c r="N1477" s="7"/>
      <c r="O1477" s="7"/>
    </row>
    <row r="1478" spans="14:15">
      <c r="N1478" s="7"/>
      <c r="O1478" s="7"/>
    </row>
    <row r="1479" spans="14:15">
      <c r="N1479" s="7"/>
      <c r="O1479" s="7"/>
    </row>
    <row r="1480" spans="14:15">
      <c r="N1480" s="7"/>
      <c r="O1480" s="7"/>
    </row>
    <row r="1481" spans="14:15">
      <c r="N1481" s="7"/>
      <c r="O1481" s="7"/>
    </row>
    <row r="1482" spans="14:15">
      <c r="N1482" s="7"/>
      <c r="O1482" s="7"/>
    </row>
    <row r="1483" spans="14:15">
      <c r="N1483" s="7"/>
      <c r="O1483" s="7"/>
    </row>
    <row r="1484" spans="14:15">
      <c r="N1484" s="7"/>
      <c r="O1484" s="7"/>
    </row>
    <row r="1485" spans="14:15">
      <c r="N1485" s="7"/>
      <c r="O1485" s="7"/>
    </row>
    <row r="1486" spans="14:15">
      <c r="N1486" s="7"/>
      <c r="O1486" s="7"/>
    </row>
    <row r="1487" spans="14:15">
      <c r="N1487" s="7"/>
      <c r="O1487" s="7"/>
    </row>
    <row r="1488" spans="14:15">
      <c r="N1488" s="7"/>
      <c r="O1488" s="7"/>
    </row>
    <row r="1489" spans="14:15">
      <c r="N1489" s="7"/>
      <c r="O1489" s="7"/>
    </row>
    <row r="1490" spans="14:15">
      <c r="N1490" s="7"/>
      <c r="O1490" s="7"/>
    </row>
    <row r="1491" spans="14:15">
      <c r="N1491" s="7"/>
      <c r="O1491" s="7"/>
    </row>
    <row r="1492" spans="14:15">
      <c r="N1492" s="7"/>
      <c r="O1492" s="7"/>
    </row>
    <row r="1493" spans="14:15">
      <c r="N1493" s="7"/>
      <c r="O1493" s="7"/>
    </row>
    <row r="1494" spans="14:15">
      <c r="N1494" s="7"/>
      <c r="O1494" s="7"/>
    </row>
    <row r="1495" spans="14:15">
      <c r="N1495" s="7"/>
      <c r="O1495" s="7"/>
    </row>
    <row r="1496" spans="14:15">
      <c r="N1496" s="7"/>
      <c r="O1496" s="7"/>
    </row>
    <row r="1497" spans="14:15">
      <c r="N1497" s="7"/>
      <c r="O1497" s="7"/>
    </row>
    <row r="1498" spans="14:15">
      <c r="N1498" s="7"/>
      <c r="O1498" s="7"/>
    </row>
    <row r="1499" spans="14:15">
      <c r="N1499" s="7"/>
      <c r="O1499" s="7"/>
    </row>
    <row r="1500" spans="14:15">
      <c r="N1500" s="7"/>
      <c r="O1500" s="7"/>
    </row>
    <row r="1501" spans="14:15">
      <c r="N1501" s="7"/>
      <c r="O1501" s="7"/>
    </row>
    <row r="1502" spans="14:15">
      <c r="N1502" s="7"/>
      <c r="O1502" s="7"/>
    </row>
    <row r="1503" spans="14:15">
      <c r="N1503" s="7"/>
      <c r="O1503" s="7"/>
    </row>
    <row r="1504" spans="14:15">
      <c r="N1504" s="7"/>
      <c r="O1504" s="7"/>
    </row>
    <row r="1505" spans="14:15">
      <c r="N1505" s="7"/>
      <c r="O1505" s="7"/>
    </row>
    <row r="1506" spans="14:15">
      <c r="N1506" s="7"/>
      <c r="O1506" s="7"/>
    </row>
    <row r="1507" spans="14:15">
      <c r="N1507" s="7"/>
      <c r="O1507" s="7"/>
    </row>
    <row r="1508" spans="14:15">
      <c r="N1508" s="7"/>
      <c r="O1508" s="7"/>
    </row>
    <row r="1509" spans="14:15">
      <c r="N1509" s="7"/>
      <c r="O1509" s="7"/>
    </row>
    <row r="1510" spans="14:15">
      <c r="N1510" s="7"/>
      <c r="O1510" s="7"/>
    </row>
    <row r="1511" spans="14:15">
      <c r="N1511" s="7"/>
      <c r="O1511" s="7"/>
    </row>
    <row r="1512" spans="14:15">
      <c r="N1512" s="7"/>
      <c r="O1512" s="7"/>
    </row>
    <row r="1513" spans="14:15">
      <c r="N1513" s="7"/>
      <c r="O1513" s="7"/>
    </row>
    <row r="1514" spans="14:15">
      <c r="N1514" s="7"/>
      <c r="O1514" s="7"/>
    </row>
    <row r="1515" spans="14:15">
      <c r="N1515" s="7"/>
      <c r="O1515" s="7"/>
    </row>
    <row r="1516" spans="14:15">
      <c r="N1516" s="7"/>
      <c r="O1516" s="7"/>
    </row>
    <row r="1517" spans="14:15">
      <c r="N1517" s="7"/>
      <c r="O1517" s="7"/>
    </row>
    <row r="1518" spans="14:15">
      <c r="N1518" s="7"/>
      <c r="O1518" s="7"/>
    </row>
    <row r="1519" spans="14:15">
      <c r="N1519" s="7"/>
      <c r="O1519" s="7"/>
    </row>
    <row r="1520" spans="14:15">
      <c r="N1520" s="7"/>
      <c r="O1520" s="7"/>
    </row>
    <row r="1521" spans="14:15">
      <c r="N1521" s="7"/>
      <c r="O1521" s="7"/>
    </row>
    <row r="1522" spans="14:15">
      <c r="N1522" s="7"/>
      <c r="O1522" s="7"/>
    </row>
    <row r="1523" spans="14:15">
      <c r="N1523" s="7"/>
      <c r="O1523" s="7"/>
    </row>
    <row r="1524" spans="14:15">
      <c r="N1524" s="7"/>
      <c r="O1524" s="7"/>
    </row>
    <row r="1525" spans="14:15">
      <c r="N1525" s="7"/>
      <c r="O1525" s="7"/>
    </row>
    <row r="1526" spans="14:15">
      <c r="N1526" s="7"/>
      <c r="O1526" s="7"/>
    </row>
    <row r="1527" spans="14:15">
      <c r="N1527" s="7"/>
      <c r="O1527" s="7"/>
    </row>
    <row r="1528" spans="14:15">
      <c r="N1528" s="7"/>
      <c r="O1528" s="7"/>
    </row>
    <row r="1529" spans="14:15">
      <c r="N1529" s="7"/>
      <c r="O1529" s="7"/>
    </row>
    <row r="1530" spans="14:15">
      <c r="N1530" s="7"/>
      <c r="O1530" s="7"/>
    </row>
    <row r="1531" spans="14:15">
      <c r="N1531" s="7"/>
      <c r="O1531" s="7"/>
    </row>
    <row r="1532" spans="14:15">
      <c r="N1532" s="7"/>
      <c r="O1532" s="7"/>
    </row>
    <row r="1533" spans="14:15">
      <c r="N1533" s="7"/>
      <c r="O1533" s="7"/>
    </row>
    <row r="1534" spans="14:15">
      <c r="N1534" s="7"/>
      <c r="O1534" s="7"/>
    </row>
    <row r="1535" spans="14:15">
      <c r="N1535" s="7"/>
      <c r="O1535" s="7"/>
    </row>
    <row r="1536" spans="14:15">
      <c r="N1536" s="7"/>
      <c r="O1536" s="7"/>
    </row>
    <row r="1537" spans="14:15">
      <c r="N1537" s="7"/>
      <c r="O1537" s="7"/>
    </row>
    <row r="1538" spans="14:15">
      <c r="N1538" s="7"/>
      <c r="O1538" s="7"/>
    </row>
    <row r="1539" spans="14:15">
      <c r="N1539" s="7"/>
      <c r="O1539" s="7"/>
    </row>
    <row r="1540" spans="14:15">
      <c r="N1540" s="7"/>
      <c r="O1540" s="7"/>
    </row>
    <row r="1541" spans="14:15">
      <c r="N1541" s="7"/>
      <c r="O1541" s="7"/>
    </row>
    <row r="1542" spans="14:15">
      <c r="N1542" s="7"/>
      <c r="O1542" s="7"/>
    </row>
    <row r="1543" spans="14:15">
      <c r="N1543" s="7"/>
      <c r="O1543" s="7"/>
    </row>
    <row r="1544" spans="14:15">
      <c r="N1544" s="7"/>
      <c r="O1544" s="7"/>
    </row>
    <row r="1545" spans="14:15">
      <c r="N1545" s="7"/>
      <c r="O1545" s="7"/>
    </row>
    <row r="1546" spans="14:15">
      <c r="N1546" s="7"/>
      <c r="O1546" s="7"/>
    </row>
    <row r="1547" spans="14:15">
      <c r="N1547" s="7"/>
      <c r="O1547" s="7"/>
    </row>
    <row r="1548" spans="14:15">
      <c r="N1548" s="7"/>
      <c r="O1548" s="7"/>
    </row>
    <row r="1549" spans="14:15">
      <c r="N1549" s="7"/>
      <c r="O1549" s="7"/>
    </row>
    <row r="1550" spans="14:15">
      <c r="N1550" s="7"/>
      <c r="O1550" s="7"/>
    </row>
    <row r="1551" spans="14:15">
      <c r="N1551" s="7"/>
      <c r="O1551" s="7"/>
    </row>
    <row r="1552" spans="14:15">
      <c r="N1552" s="7"/>
      <c r="O1552" s="7"/>
    </row>
    <row r="1553" spans="14:15">
      <c r="N1553" s="7"/>
      <c r="O1553" s="7"/>
    </row>
    <row r="1554" spans="14:15">
      <c r="N1554" s="7"/>
      <c r="O1554" s="7"/>
    </row>
    <row r="1555" spans="14:15">
      <c r="N1555" s="7"/>
      <c r="O1555" s="7"/>
    </row>
    <row r="1556" spans="14:15">
      <c r="N1556" s="7"/>
      <c r="O1556" s="7"/>
    </row>
    <row r="1557" spans="14:15">
      <c r="N1557" s="7"/>
      <c r="O1557" s="7"/>
    </row>
    <row r="1558" spans="14:15">
      <c r="N1558" s="7"/>
      <c r="O1558" s="7"/>
    </row>
    <row r="1559" spans="14:15">
      <c r="N1559" s="7"/>
      <c r="O1559" s="7"/>
    </row>
    <row r="1560" spans="14:15">
      <c r="N1560" s="7"/>
      <c r="O1560" s="7"/>
    </row>
    <row r="1561" spans="14:15">
      <c r="N1561" s="7"/>
      <c r="O1561" s="7"/>
    </row>
    <row r="1562" spans="14:15">
      <c r="N1562" s="7"/>
      <c r="O1562" s="7"/>
    </row>
    <row r="1563" spans="14:15">
      <c r="N1563" s="7"/>
      <c r="O1563" s="7"/>
    </row>
    <row r="1564" spans="14:15">
      <c r="N1564" s="7"/>
      <c r="O1564" s="7"/>
    </row>
    <row r="1565" spans="14:15">
      <c r="N1565" s="7"/>
      <c r="O1565" s="7"/>
    </row>
    <row r="1566" spans="14:15">
      <c r="N1566" s="7"/>
      <c r="O1566" s="7"/>
    </row>
    <row r="1567" spans="14:15">
      <c r="N1567" s="7"/>
      <c r="O1567" s="7"/>
    </row>
    <row r="1568" spans="14:15">
      <c r="N1568" s="7"/>
      <c r="O1568" s="7"/>
    </row>
    <row r="1569" spans="14:15">
      <c r="N1569" s="7"/>
      <c r="O1569" s="7"/>
    </row>
    <row r="1570" spans="14:15">
      <c r="N1570" s="7"/>
      <c r="O1570" s="7"/>
    </row>
    <row r="1571" spans="14:15">
      <c r="N1571" s="7"/>
      <c r="O1571" s="7"/>
    </row>
    <row r="1572" spans="14:15">
      <c r="N1572" s="7"/>
      <c r="O1572" s="7"/>
    </row>
    <row r="1573" spans="14:15">
      <c r="N1573" s="7"/>
      <c r="O1573" s="7"/>
    </row>
    <row r="1574" spans="14:15">
      <c r="N1574" s="7"/>
      <c r="O1574" s="7"/>
    </row>
    <row r="1575" spans="14:15">
      <c r="N1575" s="7"/>
      <c r="O1575" s="7"/>
    </row>
    <row r="1576" spans="14:15">
      <c r="N1576" s="7"/>
      <c r="O1576" s="7"/>
    </row>
    <row r="1577" spans="14:15">
      <c r="N1577" s="7"/>
      <c r="O1577" s="7"/>
    </row>
    <row r="1578" spans="14:15">
      <c r="N1578" s="7"/>
      <c r="O1578" s="7"/>
    </row>
    <row r="1579" spans="14:15">
      <c r="N1579" s="7"/>
      <c r="O1579" s="7"/>
    </row>
    <row r="1580" spans="14:15">
      <c r="N1580" s="7"/>
      <c r="O1580" s="7"/>
    </row>
    <row r="1581" spans="14:15">
      <c r="N1581" s="7"/>
      <c r="O1581" s="7"/>
    </row>
    <row r="1582" spans="14:15">
      <c r="N1582" s="7"/>
      <c r="O1582" s="7"/>
    </row>
    <row r="1583" spans="14:15">
      <c r="N1583" s="7"/>
      <c r="O1583" s="7"/>
    </row>
    <row r="1584" spans="14:15">
      <c r="N1584" s="7"/>
      <c r="O1584" s="7"/>
    </row>
    <row r="1585" spans="14:15">
      <c r="N1585" s="7"/>
      <c r="O1585" s="7"/>
    </row>
    <row r="1586" spans="14:15">
      <c r="N1586" s="7"/>
      <c r="O1586" s="7"/>
    </row>
    <row r="1587" spans="14:15">
      <c r="N1587" s="7"/>
      <c r="O1587" s="7"/>
    </row>
    <row r="1588" spans="14:15">
      <c r="N1588" s="7"/>
      <c r="O1588" s="7"/>
    </row>
    <row r="1589" spans="14:15">
      <c r="N1589" s="7"/>
      <c r="O1589" s="7"/>
    </row>
    <row r="1590" spans="14:15">
      <c r="N1590" s="7"/>
      <c r="O1590" s="7"/>
    </row>
    <row r="1591" spans="14:15">
      <c r="N1591" s="7"/>
      <c r="O1591" s="7"/>
    </row>
    <row r="1592" spans="14:15">
      <c r="N1592" s="7"/>
      <c r="O1592" s="7"/>
    </row>
    <row r="1593" spans="14:15">
      <c r="N1593" s="7"/>
      <c r="O1593" s="7"/>
    </row>
    <row r="1594" spans="14:15">
      <c r="N1594" s="7"/>
      <c r="O1594" s="7"/>
    </row>
    <row r="1595" spans="14:15">
      <c r="N1595" s="7"/>
      <c r="O1595" s="7"/>
    </row>
    <row r="1596" spans="14:15">
      <c r="N1596" s="7"/>
      <c r="O1596" s="7"/>
    </row>
    <row r="1597" spans="14:15">
      <c r="N1597" s="7"/>
      <c r="O1597" s="7"/>
    </row>
    <row r="1598" spans="14:15">
      <c r="N1598" s="7"/>
      <c r="O1598" s="7"/>
    </row>
    <row r="1599" spans="14:15">
      <c r="N1599" s="7"/>
      <c r="O1599" s="7"/>
    </row>
    <row r="1600" spans="14:15">
      <c r="N1600" s="7"/>
      <c r="O1600" s="7"/>
    </row>
    <row r="1601" spans="14:15">
      <c r="N1601" s="7"/>
      <c r="O1601" s="7"/>
    </row>
    <row r="1602" spans="14:15">
      <c r="N1602" s="7"/>
      <c r="O1602" s="7"/>
    </row>
    <row r="1603" spans="14:15">
      <c r="N1603" s="7"/>
      <c r="O1603" s="7"/>
    </row>
    <row r="1604" spans="14:15">
      <c r="N1604" s="7"/>
      <c r="O1604" s="7"/>
    </row>
    <row r="1605" spans="14:15">
      <c r="N1605" s="7"/>
      <c r="O1605" s="7"/>
    </row>
    <row r="1606" spans="14:15">
      <c r="N1606" s="7"/>
      <c r="O1606" s="7"/>
    </row>
    <row r="1607" spans="14:15">
      <c r="N1607" s="7"/>
      <c r="O1607" s="7"/>
    </row>
    <row r="1608" spans="14:15">
      <c r="N1608" s="7"/>
      <c r="O1608" s="7"/>
    </row>
    <row r="1609" spans="14:15">
      <c r="N1609" s="7"/>
      <c r="O1609" s="7"/>
    </row>
    <row r="1610" spans="14:15">
      <c r="N1610" s="7"/>
      <c r="O1610" s="7"/>
    </row>
    <row r="1611" spans="14:15">
      <c r="N1611" s="7"/>
      <c r="O1611" s="7"/>
    </row>
    <row r="1612" spans="14:15">
      <c r="N1612" s="7"/>
      <c r="O1612" s="7"/>
    </row>
    <row r="1613" spans="14:15">
      <c r="N1613" s="7"/>
      <c r="O1613" s="7"/>
    </row>
    <row r="1614" spans="14:15">
      <c r="N1614" s="7"/>
      <c r="O1614" s="7"/>
    </row>
    <row r="1615" spans="14:15">
      <c r="N1615" s="7"/>
      <c r="O1615" s="7"/>
    </row>
    <row r="1616" spans="14:15">
      <c r="N1616" s="7"/>
      <c r="O1616" s="7"/>
    </row>
    <row r="1617" spans="14:15">
      <c r="N1617" s="7"/>
      <c r="O1617" s="7"/>
    </row>
    <row r="1618" spans="14:15">
      <c r="N1618" s="7"/>
      <c r="O1618" s="7"/>
    </row>
    <row r="1619" spans="14:15">
      <c r="N1619" s="7"/>
      <c r="O1619" s="7"/>
    </row>
    <row r="1620" spans="14:15">
      <c r="N1620" s="7"/>
      <c r="O1620" s="7"/>
    </row>
    <row r="1621" spans="14:15">
      <c r="N1621" s="7"/>
      <c r="O1621" s="7"/>
    </row>
    <row r="1622" spans="14:15">
      <c r="N1622" s="7"/>
      <c r="O1622" s="7"/>
    </row>
    <row r="1623" spans="14:15">
      <c r="N1623" s="7"/>
      <c r="O1623" s="7"/>
    </row>
    <row r="1624" spans="14:15">
      <c r="N1624" s="7"/>
      <c r="O1624" s="7"/>
    </row>
    <row r="1625" spans="14:15">
      <c r="N1625" s="7"/>
      <c r="O1625" s="7"/>
    </row>
    <row r="1626" spans="14:15">
      <c r="N1626" s="7"/>
      <c r="O1626" s="7"/>
    </row>
    <row r="1627" spans="14:15">
      <c r="N1627" s="7"/>
      <c r="O1627" s="7"/>
    </row>
    <row r="1628" spans="14:15">
      <c r="N1628" s="7"/>
      <c r="O1628" s="7"/>
    </row>
    <row r="1629" spans="14:15">
      <c r="N1629" s="7"/>
      <c r="O1629" s="7"/>
    </row>
    <row r="1630" spans="14:15">
      <c r="N1630" s="7"/>
      <c r="O1630" s="7"/>
    </row>
    <row r="1631" spans="14:15">
      <c r="N1631" s="7"/>
      <c r="O1631" s="7"/>
    </row>
    <row r="1632" spans="14:15">
      <c r="N1632" s="7"/>
      <c r="O1632" s="7"/>
    </row>
    <row r="1633" spans="14:15">
      <c r="N1633" s="7"/>
      <c r="O1633" s="7"/>
    </row>
    <row r="1634" spans="14:15">
      <c r="N1634" s="7"/>
      <c r="O1634" s="7"/>
    </row>
    <row r="1635" spans="14:15">
      <c r="N1635" s="7"/>
      <c r="O1635" s="7"/>
    </row>
    <row r="1636" spans="14:15">
      <c r="N1636" s="7"/>
      <c r="O1636" s="7"/>
    </row>
    <row r="1637" spans="14:15">
      <c r="N1637" s="7"/>
      <c r="O1637" s="7"/>
    </row>
    <row r="1638" spans="14:15">
      <c r="N1638" s="7"/>
      <c r="O1638" s="7"/>
    </row>
    <row r="1639" spans="14:15">
      <c r="N1639" s="7"/>
      <c r="O1639" s="7"/>
    </row>
    <row r="1640" spans="14:15">
      <c r="N1640" s="7"/>
      <c r="O1640" s="7"/>
    </row>
    <row r="1641" spans="14:15">
      <c r="N1641" s="7"/>
      <c r="O1641" s="7"/>
    </row>
    <row r="1642" spans="14:15">
      <c r="N1642" s="7"/>
      <c r="O1642" s="7"/>
    </row>
    <row r="1643" spans="14:15">
      <c r="N1643" s="7"/>
      <c r="O1643" s="7"/>
    </row>
    <row r="1644" spans="14:15">
      <c r="N1644" s="7"/>
      <c r="O1644" s="7"/>
    </row>
    <row r="1645" spans="14:15">
      <c r="N1645" s="7"/>
      <c r="O1645" s="7"/>
    </row>
    <row r="1646" spans="14:15">
      <c r="N1646" s="7"/>
      <c r="O1646" s="7"/>
    </row>
    <row r="1647" spans="14:15">
      <c r="N1647" s="7"/>
      <c r="O1647" s="7"/>
    </row>
    <row r="1648" spans="14:15">
      <c r="N1648" s="7"/>
      <c r="O1648" s="7"/>
    </row>
    <row r="1649" spans="14:15">
      <c r="N1649" s="7"/>
      <c r="O1649" s="7"/>
    </row>
    <row r="1650" spans="14:15">
      <c r="N1650" s="7"/>
      <c r="O1650" s="7"/>
    </row>
    <row r="1651" spans="14:15">
      <c r="N1651" s="7"/>
      <c r="O1651" s="7"/>
    </row>
    <row r="1652" spans="14:15">
      <c r="N1652" s="7"/>
      <c r="O1652" s="7"/>
    </row>
    <row r="1653" spans="14:15">
      <c r="N1653" s="7"/>
      <c r="O1653" s="7"/>
    </row>
    <row r="1654" spans="14:15">
      <c r="N1654" s="7"/>
      <c r="O1654" s="7"/>
    </row>
    <row r="1655" spans="14:15">
      <c r="N1655" s="7"/>
      <c r="O1655" s="7"/>
    </row>
    <row r="1656" spans="14:15">
      <c r="N1656" s="7"/>
      <c r="O1656" s="7"/>
    </row>
    <row r="1657" spans="14:15">
      <c r="N1657" s="7"/>
      <c r="O1657" s="7"/>
    </row>
    <row r="1658" spans="14:15">
      <c r="N1658" s="7"/>
      <c r="O1658" s="7"/>
    </row>
    <row r="1659" spans="14:15">
      <c r="N1659" s="7"/>
      <c r="O1659" s="7"/>
    </row>
    <row r="1660" spans="14:15">
      <c r="N1660" s="7"/>
      <c r="O1660" s="7"/>
    </row>
    <row r="1661" spans="14:15">
      <c r="N1661" s="7"/>
      <c r="O1661" s="7"/>
    </row>
    <row r="1662" spans="14:15">
      <c r="N1662" s="7"/>
      <c r="O1662" s="7"/>
    </row>
    <row r="1663" spans="14:15">
      <c r="N1663" s="7"/>
      <c r="O1663" s="7"/>
    </row>
    <row r="1664" spans="14:15">
      <c r="N1664" s="7"/>
      <c r="O1664" s="7"/>
    </row>
    <row r="1665" spans="14:15">
      <c r="N1665" s="7"/>
      <c r="O1665" s="7"/>
    </row>
    <row r="1666" spans="14:15">
      <c r="N1666" s="7"/>
      <c r="O1666" s="7"/>
    </row>
    <row r="1667" spans="14:15">
      <c r="N1667" s="7"/>
      <c r="O1667" s="7"/>
    </row>
    <row r="1668" spans="14:15">
      <c r="N1668" s="7"/>
      <c r="O1668" s="7"/>
    </row>
    <row r="1669" spans="14:15">
      <c r="N1669" s="7"/>
      <c r="O1669" s="7"/>
    </row>
    <row r="1670" spans="14:15">
      <c r="N1670" s="7"/>
      <c r="O1670" s="7"/>
    </row>
    <row r="1671" spans="14:15">
      <c r="N1671" s="7"/>
      <c r="O1671" s="7"/>
    </row>
    <row r="1672" spans="14:15">
      <c r="N1672" s="7"/>
      <c r="O1672" s="7"/>
    </row>
    <row r="1673" spans="14:15">
      <c r="N1673" s="7"/>
      <c r="O1673" s="7"/>
    </row>
    <row r="1674" spans="14:15">
      <c r="N1674" s="7"/>
      <c r="O1674" s="7"/>
    </row>
    <row r="1675" spans="14:15">
      <c r="N1675" s="7"/>
      <c r="O1675" s="7"/>
    </row>
    <row r="1676" spans="14:15">
      <c r="N1676" s="7"/>
      <c r="O1676" s="7"/>
    </row>
    <row r="1677" spans="14:15">
      <c r="N1677" s="7"/>
      <c r="O1677" s="7"/>
    </row>
    <row r="1678" spans="14:15">
      <c r="N1678" s="7"/>
      <c r="O1678" s="7"/>
    </row>
    <row r="1679" spans="14:15">
      <c r="N1679" s="7"/>
      <c r="O1679" s="7"/>
    </row>
    <row r="1680" spans="14:15">
      <c r="N1680" s="7"/>
      <c r="O1680" s="7"/>
    </row>
    <row r="1681" spans="14:15">
      <c r="N1681" s="7"/>
      <c r="O1681" s="7"/>
    </row>
    <row r="1682" spans="14:15">
      <c r="N1682" s="7"/>
      <c r="O1682" s="7"/>
    </row>
    <row r="1683" spans="14:15">
      <c r="N1683" s="7"/>
      <c r="O1683" s="7"/>
    </row>
    <row r="1684" spans="14:15">
      <c r="N1684" s="7"/>
      <c r="O1684" s="7"/>
    </row>
    <row r="1685" spans="14:15">
      <c r="N1685" s="7"/>
      <c r="O1685" s="7"/>
    </row>
    <row r="1686" spans="14:15">
      <c r="N1686" s="7"/>
      <c r="O1686" s="7"/>
    </row>
    <row r="1687" spans="14:15">
      <c r="N1687" s="7"/>
      <c r="O1687" s="7"/>
    </row>
    <row r="1688" spans="14:15">
      <c r="N1688" s="7"/>
      <c r="O1688" s="7"/>
    </row>
    <row r="1689" spans="14:15">
      <c r="N1689" s="7"/>
      <c r="O1689" s="7"/>
    </row>
    <row r="1690" spans="14:15">
      <c r="N1690" s="7"/>
      <c r="O1690" s="7"/>
    </row>
    <row r="1691" spans="14:15">
      <c r="N1691" s="7"/>
      <c r="O1691" s="7"/>
    </row>
    <row r="1692" spans="14:15">
      <c r="N1692" s="7"/>
      <c r="O1692" s="7"/>
    </row>
    <row r="1693" spans="14:15">
      <c r="N1693" s="7"/>
      <c r="O1693" s="7"/>
    </row>
    <row r="1694" spans="14:15">
      <c r="N1694" s="7"/>
      <c r="O1694" s="7"/>
    </row>
    <row r="1695" spans="14:15">
      <c r="N1695" s="7"/>
      <c r="O1695" s="7"/>
    </row>
    <row r="1696" spans="14:15">
      <c r="N1696" s="7"/>
      <c r="O1696" s="7"/>
    </row>
    <row r="1697" spans="14:15">
      <c r="N1697" s="7"/>
      <c r="O1697" s="7"/>
    </row>
    <row r="1698" spans="14:15">
      <c r="N1698" s="7"/>
      <c r="O1698" s="7"/>
    </row>
    <row r="1699" spans="14:15">
      <c r="N1699" s="7"/>
      <c r="O1699" s="7"/>
    </row>
    <row r="1700" spans="14:15">
      <c r="N1700" s="7"/>
      <c r="O1700" s="7"/>
    </row>
    <row r="1701" spans="14:15">
      <c r="N1701" s="7"/>
      <c r="O1701" s="7"/>
    </row>
    <row r="1702" spans="14:15">
      <c r="N1702" s="7"/>
      <c r="O1702" s="7"/>
    </row>
    <row r="1703" spans="14:15">
      <c r="N1703" s="7"/>
      <c r="O1703" s="7"/>
    </row>
    <row r="1704" spans="14:15">
      <c r="N1704" s="7"/>
      <c r="O1704" s="7"/>
    </row>
    <row r="1705" spans="14:15">
      <c r="N1705" s="7"/>
      <c r="O1705" s="7"/>
    </row>
    <row r="1706" spans="14:15">
      <c r="N1706" s="7"/>
      <c r="O1706" s="7"/>
    </row>
    <row r="1707" spans="14:15">
      <c r="N1707" s="7"/>
      <c r="O1707" s="7"/>
    </row>
    <row r="1708" spans="14:15">
      <c r="N1708" s="7"/>
      <c r="O1708" s="7"/>
    </row>
    <row r="1709" spans="14:15">
      <c r="N1709" s="7"/>
      <c r="O1709" s="7"/>
    </row>
    <row r="1710" spans="14:15">
      <c r="N1710" s="7"/>
      <c r="O1710" s="7"/>
    </row>
    <row r="1711" spans="14:15">
      <c r="N1711" s="7"/>
      <c r="O1711" s="7"/>
    </row>
    <row r="1712" spans="14:15">
      <c r="N1712" s="7"/>
      <c r="O1712" s="7"/>
    </row>
    <row r="1713" spans="14:15">
      <c r="N1713" s="7"/>
      <c r="O1713" s="7"/>
    </row>
    <row r="1714" spans="14:15">
      <c r="N1714" s="7"/>
      <c r="O1714" s="7"/>
    </row>
    <row r="1715" spans="14:15">
      <c r="N1715" s="7"/>
      <c r="O1715" s="7"/>
    </row>
    <row r="1716" spans="14:15">
      <c r="N1716" s="7"/>
      <c r="O1716" s="7"/>
    </row>
    <row r="1717" spans="14:15">
      <c r="N1717" s="7"/>
      <c r="O1717" s="7"/>
    </row>
    <row r="1718" spans="14:15">
      <c r="N1718" s="7"/>
      <c r="O1718" s="7"/>
    </row>
    <row r="1719" spans="14:15">
      <c r="N1719" s="7"/>
      <c r="O1719" s="7"/>
    </row>
    <row r="1720" spans="14:15">
      <c r="N1720" s="7"/>
      <c r="O1720" s="7"/>
    </row>
    <row r="1721" spans="14:15">
      <c r="N1721" s="7"/>
      <c r="O1721" s="7"/>
    </row>
    <row r="1722" spans="14:15">
      <c r="N1722" s="7"/>
      <c r="O1722" s="7"/>
    </row>
    <row r="1723" spans="14:15">
      <c r="N1723" s="7"/>
      <c r="O1723" s="7"/>
    </row>
    <row r="1724" spans="14:15">
      <c r="N1724" s="7"/>
      <c r="O1724" s="7"/>
    </row>
    <row r="1725" spans="14:15">
      <c r="N1725" s="7"/>
      <c r="O1725" s="7"/>
    </row>
    <row r="1726" spans="14:15">
      <c r="N1726" s="7"/>
      <c r="O1726" s="7"/>
    </row>
    <row r="1727" spans="14:15">
      <c r="N1727" s="7"/>
      <c r="O1727" s="7"/>
    </row>
    <row r="1728" spans="14:15">
      <c r="N1728" s="7"/>
      <c r="O1728" s="7"/>
    </row>
    <row r="1729" spans="14:15">
      <c r="N1729" s="7"/>
      <c r="O1729" s="7"/>
    </row>
    <row r="1730" spans="14:15">
      <c r="N1730" s="7"/>
      <c r="O1730" s="7"/>
    </row>
    <row r="1731" spans="14:15">
      <c r="N1731" s="7"/>
      <c r="O1731" s="7"/>
    </row>
    <row r="1732" spans="14:15">
      <c r="N1732" s="7"/>
      <c r="O1732" s="7"/>
    </row>
    <row r="1733" spans="14:15">
      <c r="N1733" s="7"/>
      <c r="O1733" s="7"/>
    </row>
    <row r="1734" spans="14:15">
      <c r="N1734" s="7"/>
      <c r="O1734" s="7"/>
    </row>
    <row r="1735" spans="14:15">
      <c r="N1735" s="7"/>
      <c r="O1735" s="7"/>
    </row>
    <row r="1736" spans="14:15">
      <c r="N1736" s="7"/>
      <c r="O1736" s="7"/>
    </row>
    <row r="1737" spans="14:15">
      <c r="N1737" s="7"/>
      <c r="O1737" s="7"/>
    </row>
    <row r="1738" spans="14:15">
      <c r="N1738" s="7"/>
      <c r="O1738" s="7"/>
    </row>
    <row r="1739" spans="14:15">
      <c r="N1739" s="7"/>
      <c r="O1739" s="7"/>
    </row>
    <row r="1740" spans="14:15">
      <c r="N1740" s="7"/>
      <c r="O1740" s="7"/>
    </row>
    <row r="1741" spans="14:15">
      <c r="N1741" s="7"/>
      <c r="O1741" s="7"/>
    </row>
    <row r="1742" spans="14:15">
      <c r="N1742" s="7"/>
      <c r="O1742" s="7"/>
    </row>
    <row r="1743" spans="14:15">
      <c r="N1743" s="7"/>
      <c r="O1743" s="7"/>
    </row>
    <row r="1744" spans="14:15">
      <c r="N1744" s="7"/>
      <c r="O1744" s="7"/>
    </row>
    <row r="1745" spans="14:15">
      <c r="N1745" s="7"/>
      <c r="O1745" s="7"/>
    </row>
    <row r="1746" spans="14:15">
      <c r="N1746" s="7"/>
      <c r="O1746" s="7"/>
    </row>
    <row r="1747" spans="14:15">
      <c r="N1747" s="7"/>
      <c r="O1747" s="7"/>
    </row>
    <row r="1748" spans="14:15">
      <c r="N1748" s="7"/>
      <c r="O1748" s="7"/>
    </row>
    <row r="1749" spans="14:15">
      <c r="N1749" s="7"/>
      <c r="O1749" s="7"/>
    </row>
    <row r="1750" spans="14:15">
      <c r="N1750" s="7"/>
      <c r="O1750" s="7"/>
    </row>
    <row r="1751" spans="14:15">
      <c r="N1751" s="7"/>
      <c r="O1751" s="7"/>
    </row>
    <row r="1752" spans="14:15">
      <c r="N1752" s="7"/>
      <c r="O1752" s="7"/>
    </row>
    <row r="1753" spans="14:15">
      <c r="N1753" s="7"/>
      <c r="O1753" s="7"/>
    </row>
    <row r="1754" spans="14:15">
      <c r="N1754" s="7"/>
      <c r="O1754" s="7"/>
    </row>
    <row r="1755" spans="14:15">
      <c r="N1755" s="7"/>
      <c r="O1755" s="7"/>
    </row>
    <row r="1756" spans="14:15">
      <c r="N1756" s="7"/>
      <c r="O1756" s="7"/>
    </row>
    <row r="1757" spans="14:15">
      <c r="N1757" s="7"/>
      <c r="O1757" s="7"/>
    </row>
    <row r="1758" spans="14:15">
      <c r="N1758" s="7"/>
      <c r="O1758" s="7"/>
    </row>
    <row r="1759" spans="14:15">
      <c r="N1759" s="7"/>
      <c r="O1759" s="7"/>
    </row>
    <row r="1760" spans="14:15">
      <c r="N1760" s="7"/>
      <c r="O1760" s="7"/>
    </row>
    <row r="1761" spans="14:15">
      <c r="N1761" s="7"/>
      <c r="O1761" s="7"/>
    </row>
    <row r="1762" spans="14:15">
      <c r="N1762" s="7"/>
      <c r="O1762" s="7"/>
    </row>
    <row r="1763" spans="14:15">
      <c r="N1763" s="7"/>
      <c r="O1763" s="7"/>
    </row>
    <row r="1764" spans="14:15">
      <c r="N1764" s="7"/>
      <c r="O1764" s="7"/>
    </row>
    <row r="1765" spans="14:15">
      <c r="N1765" s="7"/>
      <c r="O1765" s="7"/>
    </row>
    <row r="1766" spans="14:15">
      <c r="N1766" s="7"/>
      <c r="O1766" s="7"/>
    </row>
    <row r="1767" spans="14:15">
      <c r="N1767" s="7"/>
      <c r="O1767" s="7"/>
    </row>
    <row r="1768" spans="14:15">
      <c r="N1768" s="7"/>
      <c r="O1768" s="7"/>
    </row>
    <row r="1769" spans="14:15">
      <c r="N1769" s="7"/>
      <c r="O1769" s="7"/>
    </row>
    <row r="1770" spans="14:15">
      <c r="N1770" s="7"/>
      <c r="O1770" s="7"/>
    </row>
    <row r="1771" spans="14:15">
      <c r="N1771" s="7"/>
      <c r="O1771" s="7"/>
    </row>
    <row r="1772" spans="14:15">
      <c r="N1772" s="7"/>
      <c r="O1772" s="7"/>
    </row>
    <row r="1773" spans="14:15">
      <c r="N1773" s="7"/>
      <c r="O1773" s="7"/>
    </row>
    <row r="1774" spans="14:15">
      <c r="N1774" s="7"/>
      <c r="O1774" s="7"/>
    </row>
    <row r="1775" spans="14:15">
      <c r="N1775" s="7"/>
      <c r="O1775" s="7"/>
    </row>
    <row r="1776" spans="14:15">
      <c r="N1776" s="7"/>
      <c r="O1776" s="7"/>
    </row>
    <row r="1777" spans="14:15">
      <c r="N1777" s="7"/>
      <c r="O1777" s="7"/>
    </row>
    <row r="1778" spans="14:15">
      <c r="N1778" s="7"/>
      <c r="O1778" s="7"/>
    </row>
    <row r="1779" spans="14:15">
      <c r="N1779" s="7"/>
      <c r="O1779" s="7"/>
    </row>
    <row r="1780" spans="14:15">
      <c r="N1780" s="7"/>
      <c r="O1780" s="7"/>
    </row>
    <row r="1781" spans="14:15">
      <c r="N1781" s="7"/>
      <c r="O1781" s="7"/>
    </row>
    <row r="1782" spans="14:15">
      <c r="N1782" s="7"/>
      <c r="O1782" s="7"/>
    </row>
    <row r="1783" spans="14:15">
      <c r="N1783" s="7"/>
      <c r="O1783" s="7"/>
    </row>
    <row r="1784" spans="14:15">
      <c r="N1784" s="7"/>
      <c r="O1784" s="7"/>
    </row>
    <row r="1785" spans="14:15">
      <c r="N1785" s="7"/>
      <c r="O1785" s="7"/>
    </row>
    <row r="1786" spans="14:15">
      <c r="N1786" s="7"/>
      <c r="O1786" s="7"/>
    </row>
    <row r="1787" spans="14:15">
      <c r="N1787" s="7"/>
      <c r="O1787" s="7"/>
    </row>
    <row r="1788" spans="14:15">
      <c r="N1788" s="7"/>
      <c r="O1788" s="7"/>
    </row>
    <row r="1789" spans="14:15">
      <c r="N1789" s="7"/>
      <c r="O1789" s="7"/>
    </row>
    <row r="1790" spans="14:15">
      <c r="N1790" s="7"/>
      <c r="O1790" s="7"/>
    </row>
    <row r="1791" spans="14:15">
      <c r="N1791" s="7"/>
      <c r="O1791" s="7"/>
    </row>
    <row r="1792" spans="14:15">
      <c r="N1792" s="7"/>
      <c r="O1792" s="7"/>
    </row>
    <row r="1793" spans="14:15">
      <c r="N1793" s="7"/>
      <c r="O1793" s="7"/>
    </row>
    <row r="1794" spans="14:15">
      <c r="N1794" s="7"/>
      <c r="O1794" s="7"/>
    </row>
    <row r="1795" spans="14:15">
      <c r="N1795" s="7"/>
      <c r="O1795" s="7"/>
    </row>
    <row r="1796" spans="14:15">
      <c r="N1796" s="7"/>
      <c r="O1796" s="7"/>
    </row>
    <row r="1797" spans="14:15">
      <c r="N1797" s="7"/>
      <c r="O1797" s="7"/>
    </row>
    <row r="1798" spans="14:15">
      <c r="N1798" s="7"/>
      <c r="O1798" s="7"/>
    </row>
    <row r="1799" spans="14:15">
      <c r="N1799" s="7"/>
      <c r="O1799" s="7"/>
    </row>
    <row r="1800" spans="14:15">
      <c r="N1800" s="7"/>
      <c r="O1800" s="7"/>
    </row>
    <row r="1801" spans="14:15">
      <c r="N1801" s="7"/>
      <c r="O1801" s="7"/>
    </row>
    <row r="1802" spans="14:15">
      <c r="N1802" s="7"/>
      <c r="O1802" s="7"/>
    </row>
    <row r="1803" spans="14:15">
      <c r="N1803" s="7"/>
      <c r="O1803" s="7"/>
    </row>
    <row r="1804" spans="14:15">
      <c r="N1804" s="7"/>
      <c r="O1804" s="7"/>
    </row>
    <row r="1805" spans="14:15">
      <c r="N1805" s="7"/>
      <c r="O1805" s="7"/>
    </row>
    <row r="1806" spans="14:15">
      <c r="N1806" s="7"/>
      <c r="O1806" s="7"/>
    </row>
    <row r="1807" spans="14:15">
      <c r="N1807" s="7"/>
      <c r="O1807" s="7"/>
    </row>
    <row r="1808" spans="14:15">
      <c r="N1808" s="7"/>
      <c r="O1808" s="7"/>
    </row>
    <row r="1809" spans="14:15">
      <c r="N1809" s="7"/>
      <c r="O1809" s="7"/>
    </row>
    <row r="1810" spans="14:15">
      <c r="N1810" s="7"/>
      <c r="O1810" s="7"/>
    </row>
    <row r="1811" spans="14:15">
      <c r="N1811" s="7"/>
      <c r="O1811" s="7"/>
    </row>
    <row r="1812" spans="14:15">
      <c r="N1812" s="7"/>
      <c r="O1812" s="7"/>
    </row>
    <row r="1813" spans="14:15">
      <c r="N1813" s="7"/>
      <c r="O1813" s="7"/>
    </row>
    <row r="1814" spans="14:15">
      <c r="N1814" s="7"/>
      <c r="O1814" s="7"/>
    </row>
    <row r="1815" spans="14:15">
      <c r="N1815" s="7"/>
      <c r="O1815" s="7"/>
    </row>
    <row r="1816" spans="14:15">
      <c r="N1816" s="7"/>
      <c r="O1816" s="7"/>
    </row>
    <row r="1817" spans="14:15">
      <c r="N1817" s="7"/>
      <c r="O1817" s="7"/>
    </row>
    <row r="1818" spans="14:15">
      <c r="N1818" s="7"/>
      <c r="O1818" s="7"/>
    </row>
    <row r="1819" spans="14:15">
      <c r="N1819" s="7"/>
      <c r="O1819" s="7"/>
    </row>
    <row r="1820" spans="14:15">
      <c r="N1820" s="7"/>
      <c r="O1820" s="7"/>
    </row>
    <row r="1821" spans="14:15">
      <c r="N1821" s="7"/>
      <c r="O1821" s="7"/>
    </row>
    <row r="1822" spans="14:15">
      <c r="N1822" s="7"/>
      <c r="O1822" s="7"/>
    </row>
    <row r="1823" spans="14:15">
      <c r="N1823" s="7"/>
      <c r="O1823" s="7"/>
    </row>
    <row r="1824" spans="14:15">
      <c r="N1824" s="7"/>
      <c r="O1824" s="7"/>
    </row>
    <row r="1825" spans="14:15">
      <c r="N1825" s="7"/>
      <c r="O1825" s="7"/>
    </row>
    <row r="1826" spans="14:15">
      <c r="N1826" s="7"/>
      <c r="O1826" s="7"/>
    </row>
    <row r="1827" spans="14:15">
      <c r="N1827" s="7"/>
      <c r="O1827" s="7"/>
    </row>
    <row r="1828" spans="14:15">
      <c r="N1828" s="7"/>
      <c r="O1828" s="7"/>
    </row>
    <row r="1829" spans="14:15">
      <c r="N1829" s="7"/>
      <c r="O1829" s="7"/>
    </row>
    <row r="1830" spans="14:15">
      <c r="N1830" s="7"/>
      <c r="O1830" s="7"/>
    </row>
    <row r="1831" spans="14:15">
      <c r="N1831" s="7"/>
      <c r="O1831" s="7"/>
    </row>
    <row r="1832" spans="14:15">
      <c r="N1832" s="7"/>
      <c r="O1832" s="7"/>
    </row>
    <row r="1833" spans="14:15">
      <c r="N1833" s="7"/>
      <c r="O1833" s="7"/>
    </row>
    <row r="1834" spans="14:15">
      <c r="N1834" s="7"/>
      <c r="O1834" s="7"/>
    </row>
    <row r="1835" spans="14:15">
      <c r="N1835" s="7"/>
      <c r="O1835" s="7"/>
    </row>
    <row r="1836" spans="14:15">
      <c r="N1836" s="7"/>
      <c r="O1836" s="7"/>
    </row>
    <row r="1837" spans="14:15">
      <c r="N1837" s="7"/>
      <c r="O1837" s="7"/>
    </row>
    <row r="1838" spans="14:15">
      <c r="N1838" s="7"/>
      <c r="O1838" s="7"/>
    </row>
    <row r="1839" spans="14:15">
      <c r="N1839" s="7"/>
      <c r="O1839" s="7"/>
    </row>
    <row r="1840" spans="14:15">
      <c r="N1840" s="7"/>
      <c r="O1840" s="7"/>
    </row>
    <row r="1841" spans="14:15">
      <c r="N1841" s="7"/>
      <c r="O1841" s="7"/>
    </row>
    <row r="1842" spans="14:15">
      <c r="N1842" s="7"/>
      <c r="O1842" s="7"/>
    </row>
    <row r="1843" spans="14:15">
      <c r="N1843" s="7"/>
      <c r="O1843" s="7"/>
    </row>
    <row r="1844" spans="14:15">
      <c r="N1844" s="7"/>
      <c r="O1844" s="7"/>
    </row>
    <row r="1845" spans="14:15">
      <c r="N1845" s="7"/>
      <c r="O1845" s="7"/>
    </row>
    <row r="1846" spans="14:15">
      <c r="N1846" s="7"/>
      <c r="O1846" s="7"/>
    </row>
    <row r="1847" spans="14:15">
      <c r="N1847" s="7"/>
      <c r="O1847" s="7"/>
    </row>
    <row r="1848" spans="14:15">
      <c r="N1848" s="7"/>
      <c r="O1848" s="7"/>
    </row>
    <row r="1849" spans="14:15">
      <c r="N1849" s="7"/>
      <c r="O1849" s="7"/>
    </row>
    <row r="1850" spans="14:15">
      <c r="N1850" s="7"/>
      <c r="O1850" s="7"/>
    </row>
    <row r="1851" spans="14:15">
      <c r="N1851" s="7"/>
      <c r="O1851" s="7"/>
    </row>
    <row r="1852" spans="14:15">
      <c r="N1852" s="7"/>
      <c r="O1852" s="7"/>
    </row>
    <row r="1853" spans="14:15">
      <c r="N1853" s="7"/>
      <c r="O1853" s="7"/>
    </row>
    <row r="1854" spans="14:15">
      <c r="N1854" s="7"/>
      <c r="O1854" s="7"/>
    </row>
    <row r="1855" spans="14:15">
      <c r="N1855" s="7"/>
      <c r="O1855" s="7"/>
    </row>
    <row r="1856" spans="14:15">
      <c r="N1856" s="7"/>
      <c r="O1856" s="7"/>
    </row>
    <row r="1857" spans="14:15">
      <c r="N1857" s="7"/>
      <c r="O1857" s="7"/>
    </row>
    <row r="1858" spans="14:15">
      <c r="N1858" s="7"/>
      <c r="O1858" s="7"/>
    </row>
    <row r="1859" spans="14:15">
      <c r="N1859" s="7"/>
      <c r="O1859" s="7"/>
    </row>
    <row r="1860" spans="14:15">
      <c r="N1860" s="7"/>
      <c r="O1860" s="7"/>
    </row>
    <row r="1861" spans="14:15">
      <c r="N1861" s="7"/>
      <c r="O1861" s="7"/>
    </row>
    <row r="1862" spans="14:15">
      <c r="N1862" s="7"/>
      <c r="O1862" s="7"/>
    </row>
    <row r="1863" spans="14:15">
      <c r="N1863" s="7"/>
      <c r="O1863" s="7"/>
    </row>
    <row r="1864" spans="14:15">
      <c r="N1864" s="7"/>
      <c r="O1864" s="7"/>
    </row>
    <row r="1865" spans="14:15">
      <c r="N1865" s="7"/>
      <c r="O1865" s="7"/>
    </row>
    <row r="1866" spans="14:15">
      <c r="N1866" s="7"/>
      <c r="O1866" s="7"/>
    </row>
    <row r="1867" spans="14:15">
      <c r="N1867" s="7"/>
      <c r="O1867" s="7"/>
    </row>
    <row r="1868" spans="14:15">
      <c r="N1868" s="7"/>
      <c r="O1868" s="7"/>
    </row>
    <row r="1869" spans="14:15">
      <c r="N1869" s="7"/>
      <c r="O1869" s="7"/>
    </row>
    <row r="1870" spans="14:15">
      <c r="N1870" s="7"/>
      <c r="O1870" s="7"/>
    </row>
    <row r="1871" spans="14:15">
      <c r="N1871" s="7"/>
      <c r="O1871" s="7"/>
    </row>
    <row r="1872" spans="14:15">
      <c r="N1872" s="7"/>
      <c r="O1872" s="7"/>
    </row>
    <row r="1873" spans="14:15">
      <c r="N1873" s="7"/>
      <c r="O1873" s="7"/>
    </row>
    <row r="1874" spans="14:15">
      <c r="N1874" s="7"/>
      <c r="O1874" s="7"/>
    </row>
    <row r="1875" spans="14:15">
      <c r="N1875" s="7"/>
      <c r="O1875" s="7"/>
    </row>
    <row r="1876" spans="14:15">
      <c r="N1876" s="7"/>
      <c r="O1876" s="7"/>
    </row>
    <row r="1877" spans="14:15">
      <c r="N1877" s="7"/>
      <c r="O1877" s="7"/>
    </row>
    <row r="1878" spans="14:15">
      <c r="N1878" s="7"/>
      <c r="O1878" s="7"/>
    </row>
    <row r="1879" spans="14:15">
      <c r="N1879" s="7"/>
      <c r="O1879" s="7"/>
    </row>
    <row r="1880" spans="14:15">
      <c r="N1880" s="7"/>
      <c r="O1880" s="7"/>
    </row>
    <row r="1881" spans="14:15">
      <c r="N1881" s="7"/>
      <c r="O1881" s="7"/>
    </row>
    <row r="1882" spans="14:15">
      <c r="N1882" s="7"/>
      <c r="O1882" s="7"/>
    </row>
    <row r="1883" spans="14:15">
      <c r="N1883" s="7"/>
      <c r="O1883" s="7"/>
    </row>
    <row r="1884" spans="14:15">
      <c r="N1884" s="7"/>
      <c r="O1884" s="7"/>
    </row>
    <row r="1885" spans="14:15">
      <c r="N1885" s="7"/>
      <c r="O1885" s="7"/>
    </row>
    <row r="1886" spans="14:15">
      <c r="N1886" s="7"/>
      <c r="O1886" s="7"/>
    </row>
    <row r="1887" spans="14:15">
      <c r="N1887" s="7"/>
      <c r="O1887" s="7"/>
    </row>
    <row r="1888" spans="14:15">
      <c r="N1888" s="7"/>
      <c r="O1888" s="7"/>
    </row>
    <row r="1889" spans="14:15">
      <c r="N1889" s="7"/>
      <c r="O1889" s="7"/>
    </row>
    <row r="1890" spans="14:15">
      <c r="N1890" s="7"/>
      <c r="O1890" s="7"/>
    </row>
    <row r="1891" spans="14:15">
      <c r="N1891" s="7"/>
      <c r="O1891" s="7"/>
    </row>
    <row r="1892" spans="14:15">
      <c r="N1892" s="7"/>
      <c r="O1892" s="7"/>
    </row>
    <row r="1893" spans="14:15">
      <c r="N1893" s="7"/>
      <c r="O1893" s="7"/>
    </row>
    <row r="1894" spans="14:15">
      <c r="N1894" s="7"/>
      <c r="O1894" s="7"/>
    </row>
    <row r="1895" spans="14:15">
      <c r="N1895" s="7"/>
      <c r="O1895" s="7"/>
    </row>
    <row r="1896" spans="14:15">
      <c r="N1896" s="7"/>
      <c r="O1896" s="7"/>
    </row>
    <row r="1897" spans="14:15">
      <c r="N1897" s="7"/>
      <c r="O1897" s="7"/>
    </row>
    <row r="1898" spans="14:15">
      <c r="N1898" s="7"/>
      <c r="O1898" s="7"/>
    </row>
    <row r="1899" spans="14:15">
      <c r="N1899" s="7"/>
      <c r="O1899" s="7"/>
    </row>
    <row r="1900" spans="14:15">
      <c r="N1900" s="7"/>
      <c r="O1900" s="7"/>
    </row>
    <row r="1901" spans="14:15">
      <c r="N1901" s="7"/>
      <c r="O1901" s="7"/>
    </row>
    <row r="1902" spans="14:15">
      <c r="N1902" s="7"/>
      <c r="O1902" s="7"/>
    </row>
    <row r="1903" spans="14:15">
      <c r="N1903" s="7"/>
      <c r="O1903" s="7"/>
    </row>
    <row r="1904" spans="14:15">
      <c r="N1904" s="7"/>
      <c r="O1904" s="7"/>
    </row>
    <row r="1905" spans="14:15">
      <c r="N1905" s="7"/>
      <c r="O1905" s="7"/>
    </row>
    <row r="1906" spans="14:15">
      <c r="N1906" s="7"/>
      <c r="O1906" s="7"/>
    </row>
    <row r="1907" spans="14:15">
      <c r="N1907" s="7"/>
      <c r="O1907" s="7"/>
    </row>
    <row r="1908" spans="14:15">
      <c r="N1908" s="7"/>
      <c r="O1908" s="7"/>
    </row>
    <row r="1909" spans="14:15">
      <c r="N1909" s="7"/>
      <c r="O1909" s="7"/>
    </row>
    <row r="1910" spans="14:15">
      <c r="N1910" s="7"/>
      <c r="O1910" s="7"/>
    </row>
    <row r="1911" spans="14:15">
      <c r="N1911" s="7"/>
      <c r="O1911" s="7"/>
    </row>
    <row r="1912" spans="14:15">
      <c r="N1912" s="7"/>
      <c r="O1912" s="7"/>
    </row>
    <row r="1913" spans="14:15">
      <c r="N1913" s="7"/>
      <c r="O1913" s="7"/>
    </row>
    <row r="1914" spans="14:15">
      <c r="N1914" s="7"/>
      <c r="O1914" s="7"/>
    </row>
    <row r="1915" spans="14:15">
      <c r="N1915" s="7"/>
      <c r="O1915" s="7"/>
    </row>
    <row r="1916" spans="14:15">
      <c r="N1916" s="7"/>
      <c r="O1916" s="7"/>
    </row>
    <row r="1917" spans="14:15">
      <c r="N1917" s="7"/>
      <c r="O1917" s="7"/>
    </row>
    <row r="1918" spans="14:15">
      <c r="N1918" s="7"/>
      <c r="O1918" s="7"/>
    </row>
    <row r="1919" spans="14:15">
      <c r="N1919" s="7"/>
      <c r="O1919" s="7"/>
    </row>
    <row r="1920" spans="14:15">
      <c r="N1920" s="7"/>
      <c r="O1920" s="7"/>
    </row>
    <row r="1921" spans="14:15">
      <c r="N1921" s="7"/>
      <c r="O1921" s="7"/>
    </row>
    <row r="1922" spans="14:15">
      <c r="N1922" s="7"/>
      <c r="O1922" s="7"/>
    </row>
    <row r="1923" spans="14:15">
      <c r="N1923" s="7"/>
      <c r="O1923" s="7"/>
    </row>
    <row r="1924" spans="14:15">
      <c r="N1924" s="7"/>
      <c r="O1924" s="7"/>
    </row>
    <row r="1925" spans="14:15">
      <c r="N1925" s="7"/>
      <c r="O1925" s="7"/>
    </row>
    <row r="1926" spans="14:15">
      <c r="N1926" s="7"/>
      <c r="O1926" s="7"/>
    </row>
    <row r="1927" spans="14:15">
      <c r="N1927" s="7"/>
      <c r="O1927" s="7"/>
    </row>
    <row r="1928" spans="14:15">
      <c r="N1928" s="7"/>
      <c r="O1928" s="7"/>
    </row>
    <row r="1929" spans="14:15">
      <c r="N1929" s="7"/>
      <c r="O1929" s="7"/>
    </row>
    <row r="1930" spans="14:15">
      <c r="N1930" s="7"/>
      <c r="O1930" s="7"/>
    </row>
    <row r="1931" spans="14:15">
      <c r="N1931" s="7"/>
      <c r="O1931" s="7"/>
    </row>
    <row r="1932" spans="14:15">
      <c r="N1932" s="7"/>
      <c r="O1932" s="7"/>
    </row>
    <row r="1933" spans="14:15">
      <c r="N1933" s="7"/>
      <c r="O1933" s="7"/>
    </row>
    <row r="1934" spans="14:15">
      <c r="N1934" s="7"/>
      <c r="O1934" s="7"/>
    </row>
    <row r="1935" spans="14:15">
      <c r="N1935" s="7"/>
      <c r="O1935" s="7"/>
    </row>
    <row r="1936" spans="14:15">
      <c r="N1936" s="7"/>
      <c r="O1936" s="7"/>
    </row>
    <row r="1937" spans="14:15">
      <c r="N1937" s="7"/>
      <c r="O1937" s="7"/>
    </row>
    <row r="1938" spans="14:15">
      <c r="N1938" s="7"/>
      <c r="O1938" s="7"/>
    </row>
    <row r="1939" spans="14:15">
      <c r="N1939" s="7"/>
      <c r="O1939" s="7"/>
    </row>
    <row r="1940" spans="14:15">
      <c r="N1940" s="7"/>
      <c r="O1940" s="7"/>
    </row>
    <row r="1941" spans="14:15">
      <c r="N1941" s="7"/>
      <c r="O1941" s="7"/>
    </row>
    <row r="1942" spans="14:15">
      <c r="N1942" s="7"/>
      <c r="O1942" s="7"/>
    </row>
    <row r="1943" spans="14:15">
      <c r="N1943" s="7"/>
      <c r="O1943" s="7"/>
    </row>
    <row r="1944" spans="14:15">
      <c r="N1944" s="7"/>
      <c r="O1944" s="7"/>
    </row>
    <row r="1945" spans="14:15">
      <c r="N1945" s="7"/>
      <c r="O1945" s="7"/>
    </row>
    <row r="1946" spans="14:15">
      <c r="N1946" s="7"/>
      <c r="O1946" s="7"/>
    </row>
    <row r="1947" spans="14:15">
      <c r="N1947" s="7"/>
      <c r="O1947" s="7"/>
    </row>
    <row r="1948" spans="14:15">
      <c r="N1948" s="7"/>
      <c r="O1948" s="7"/>
    </row>
    <row r="1949" spans="14:15">
      <c r="N1949" s="7"/>
      <c r="O1949" s="7"/>
    </row>
    <row r="1950" spans="14:15">
      <c r="N1950" s="7"/>
      <c r="O1950" s="7"/>
    </row>
    <row r="1951" spans="14:15">
      <c r="N1951" s="7"/>
      <c r="O1951" s="7"/>
    </row>
    <row r="1952" spans="14:15">
      <c r="N1952" s="7"/>
      <c r="O1952" s="7"/>
    </row>
    <row r="1953" spans="14:15">
      <c r="N1953" s="7"/>
      <c r="O1953" s="7"/>
    </row>
    <row r="1954" spans="14:15">
      <c r="N1954" s="7"/>
      <c r="O1954" s="7"/>
    </row>
    <row r="1955" spans="14:15">
      <c r="N1955" s="7"/>
      <c r="O1955" s="7"/>
    </row>
    <row r="1956" spans="14:15">
      <c r="N1956" s="7"/>
      <c r="O1956" s="7"/>
    </row>
    <row r="1957" spans="14:15">
      <c r="N1957" s="7"/>
      <c r="O1957" s="7"/>
    </row>
    <row r="1958" spans="14:15">
      <c r="N1958" s="7"/>
      <c r="O1958" s="7"/>
    </row>
    <row r="1959" spans="14:15">
      <c r="N1959" s="7"/>
      <c r="O1959" s="7"/>
    </row>
    <row r="1960" spans="14:15">
      <c r="N1960" s="7"/>
      <c r="O1960" s="7"/>
    </row>
    <row r="1961" spans="14:15">
      <c r="N1961" s="7"/>
      <c r="O1961" s="7"/>
    </row>
    <row r="1962" spans="14:15">
      <c r="N1962" s="7"/>
      <c r="O1962" s="7"/>
    </row>
    <row r="1963" spans="14:15">
      <c r="N1963" s="7"/>
      <c r="O1963" s="7"/>
    </row>
    <row r="1964" spans="14:15">
      <c r="N1964" s="7"/>
      <c r="O1964" s="7"/>
    </row>
    <row r="1965" spans="14:15">
      <c r="N1965" s="7"/>
      <c r="O1965" s="7"/>
    </row>
    <row r="1966" spans="14:15">
      <c r="N1966" s="7"/>
      <c r="O1966" s="7"/>
    </row>
    <row r="1967" spans="14:15">
      <c r="N1967" s="7"/>
      <c r="O1967" s="7"/>
    </row>
    <row r="1968" spans="14:15">
      <c r="N1968" s="7"/>
      <c r="O1968" s="7"/>
    </row>
    <row r="1969" spans="14:15">
      <c r="N1969" s="7"/>
      <c r="O1969" s="7"/>
    </row>
    <row r="1970" spans="14:15">
      <c r="N1970" s="7"/>
      <c r="O1970" s="7"/>
    </row>
    <row r="1971" spans="14:15">
      <c r="N1971" s="7"/>
      <c r="O1971" s="7"/>
    </row>
    <row r="1972" spans="14:15">
      <c r="N1972" s="7"/>
      <c r="O1972" s="7"/>
    </row>
    <row r="1973" spans="14:15">
      <c r="N1973" s="7"/>
      <c r="O1973" s="7"/>
    </row>
    <row r="1974" spans="14:15">
      <c r="N1974" s="7"/>
      <c r="O1974" s="7"/>
    </row>
    <row r="1975" spans="14:15">
      <c r="N1975" s="7"/>
      <c r="O1975" s="7"/>
    </row>
    <row r="1976" spans="14:15">
      <c r="N1976" s="7"/>
      <c r="O1976" s="7"/>
    </row>
    <row r="1977" spans="14:15">
      <c r="N1977" s="7"/>
      <c r="O1977" s="7"/>
    </row>
    <row r="1978" spans="14:15">
      <c r="N1978" s="7"/>
      <c r="O1978" s="7"/>
    </row>
    <row r="1979" spans="14:15">
      <c r="N1979" s="7"/>
      <c r="O1979" s="7"/>
    </row>
    <row r="1980" spans="14:15">
      <c r="N1980" s="7"/>
      <c r="O1980" s="7"/>
    </row>
    <row r="1981" spans="14:15">
      <c r="N1981" s="7"/>
      <c r="O1981" s="7"/>
    </row>
    <row r="1982" spans="14:15">
      <c r="N1982" s="7"/>
      <c r="O1982" s="7"/>
    </row>
    <row r="1983" spans="14:15">
      <c r="N1983" s="7"/>
      <c r="O1983" s="7"/>
    </row>
    <row r="1984" spans="14:15">
      <c r="N1984" s="7"/>
      <c r="O1984" s="7"/>
    </row>
    <row r="1985" spans="14:15">
      <c r="N1985" s="7"/>
      <c r="O1985" s="7"/>
    </row>
    <row r="1986" spans="14:15">
      <c r="N1986" s="7"/>
      <c r="O1986" s="7"/>
    </row>
    <row r="1987" spans="14:15">
      <c r="N1987" s="7"/>
      <c r="O1987" s="7"/>
    </row>
    <row r="1988" spans="14:15">
      <c r="N1988" s="7"/>
      <c r="O1988" s="7"/>
    </row>
    <row r="1989" spans="14:15">
      <c r="N1989" s="7"/>
      <c r="O1989" s="7"/>
    </row>
    <row r="1990" spans="14:15">
      <c r="N1990" s="7"/>
      <c r="O1990" s="7"/>
    </row>
    <row r="1991" spans="14:15">
      <c r="N1991" s="7"/>
      <c r="O1991" s="7"/>
    </row>
    <row r="1992" spans="14:15">
      <c r="N1992" s="7"/>
      <c r="O1992" s="7"/>
    </row>
    <row r="1993" spans="14:15">
      <c r="N1993" s="7"/>
      <c r="O1993" s="7"/>
    </row>
    <row r="1994" spans="14:15">
      <c r="N1994" s="7"/>
      <c r="O1994" s="7"/>
    </row>
    <row r="1995" spans="14:15">
      <c r="N1995" s="7"/>
      <c r="O1995" s="7"/>
    </row>
    <row r="1996" spans="14:15">
      <c r="N1996" s="7"/>
      <c r="O1996" s="7"/>
    </row>
    <row r="1997" spans="14:15">
      <c r="N1997" s="7"/>
      <c r="O1997" s="7"/>
    </row>
    <row r="1998" spans="14:15">
      <c r="N1998" s="7"/>
      <c r="O1998" s="7"/>
    </row>
    <row r="1999" spans="14:15">
      <c r="N1999" s="7"/>
      <c r="O1999" s="7"/>
    </row>
    <row r="2000" spans="14:15">
      <c r="N2000" s="7"/>
      <c r="O2000" s="7"/>
    </row>
    <row r="2001" spans="14:15">
      <c r="N2001" s="7"/>
      <c r="O2001" s="7"/>
    </row>
    <row r="2002" spans="14:15">
      <c r="N2002" s="7"/>
      <c r="O2002" s="7"/>
    </row>
    <row r="2003" spans="14:15">
      <c r="N2003" s="7"/>
      <c r="O2003" s="7"/>
    </row>
    <row r="2004" spans="14:15">
      <c r="N2004" s="7"/>
      <c r="O2004" s="7"/>
    </row>
    <row r="2005" spans="14:15">
      <c r="N2005" s="7"/>
      <c r="O2005" s="7"/>
    </row>
    <row r="2006" spans="14:15">
      <c r="N2006" s="7"/>
      <c r="O2006" s="7"/>
    </row>
    <row r="2007" spans="14:15">
      <c r="N2007" s="7"/>
      <c r="O2007" s="7"/>
    </row>
    <row r="2008" spans="14:15">
      <c r="N2008" s="7"/>
      <c r="O2008" s="7"/>
    </row>
    <row r="2009" spans="14:15">
      <c r="N2009" s="7"/>
      <c r="O2009" s="7"/>
    </row>
    <row r="2010" spans="14:15">
      <c r="N2010" s="7"/>
      <c r="O2010" s="7"/>
    </row>
    <row r="2011" spans="14:15">
      <c r="N2011" s="7"/>
      <c r="O2011" s="7"/>
    </row>
    <row r="2012" spans="14:15">
      <c r="N2012" s="7"/>
      <c r="O2012" s="7"/>
    </row>
    <row r="2013" spans="14:15">
      <c r="N2013" s="7"/>
      <c r="O2013" s="7"/>
    </row>
    <row r="2014" spans="14:15">
      <c r="N2014" s="7"/>
      <c r="O2014" s="7"/>
    </row>
    <row r="2015" spans="14:15">
      <c r="N2015" s="7"/>
      <c r="O2015" s="7"/>
    </row>
    <row r="2016" spans="14:15">
      <c r="N2016" s="7"/>
      <c r="O2016" s="7"/>
    </row>
    <row r="2017" spans="14:15">
      <c r="N2017" s="7"/>
      <c r="O2017" s="7"/>
    </row>
    <row r="2018" spans="14:15">
      <c r="N2018" s="7"/>
      <c r="O2018" s="7"/>
    </row>
    <row r="2019" spans="14:15">
      <c r="N2019" s="7"/>
      <c r="O2019" s="7"/>
    </row>
    <row r="2020" spans="14:15">
      <c r="N2020" s="7"/>
      <c r="O2020" s="7"/>
    </row>
    <row r="2021" spans="14:15">
      <c r="N2021" s="7"/>
      <c r="O2021" s="7"/>
    </row>
    <row r="2022" spans="14:15">
      <c r="N2022" s="7"/>
      <c r="O2022" s="7"/>
    </row>
    <row r="2023" spans="14:15">
      <c r="N2023" s="7"/>
      <c r="O2023" s="7"/>
    </row>
    <row r="2024" spans="14:15">
      <c r="N2024" s="7"/>
      <c r="O2024" s="7"/>
    </row>
    <row r="2025" spans="14:15">
      <c r="N2025" s="7"/>
      <c r="O2025" s="7"/>
    </row>
    <row r="2026" spans="14:15">
      <c r="N2026" s="7"/>
      <c r="O2026" s="7"/>
    </row>
    <row r="2027" spans="14:15">
      <c r="N2027" s="7"/>
      <c r="O2027" s="7"/>
    </row>
    <row r="2028" spans="14:15">
      <c r="N2028" s="7"/>
      <c r="O2028" s="7"/>
    </row>
    <row r="2029" spans="14:15">
      <c r="N2029" s="7"/>
      <c r="O2029" s="7"/>
    </row>
    <row r="2030" spans="14:15">
      <c r="N2030" s="7"/>
      <c r="O2030" s="7"/>
    </row>
    <row r="2031" spans="14:15">
      <c r="N2031" s="7"/>
      <c r="O2031" s="7"/>
    </row>
    <row r="2032" spans="14:15">
      <c r="N2032" s="7"/>
      <c r="O2032" s="7"/>
    </row>
    <row r="2033" spans="14:15">
      <c r="N2033" s="7"/>
      <c r="O2033" s="7"/>
    </row>
    <row r="2034" spans="14:15">
      <c r="N2034" s="7"/>
      <c r="O2034" s="7"/>
    </row>
    <row r="2035" spans="14:15">
      <c r="N2035" s="7"/>
      <c r="O2035" s="7"/>
    </row>
    <row r="2036" spans="14:15">
      <c r="N2036" s="7"/>
      <c r="O2036" s="7"/>
    </row>
    <row r="2037" spans="14:15">
      <c r="N2037" s="7"/>
      <c r="O2037" s="7"/>
    </row>
    <row r="2038" spans="14:15">
      <c r="N2038" s="7"/>
      <c r="O2038" s="7"/>
    </row>
    <row r="2039" spans="14:15">
      <c r="N2039" s="7"/>
      <c r="O2039" s="7"/>
    </row>
    <row r="2040" spans="14:15">
      <c r="N2040" s="7"/>
      <c r="O2040" s="7"/>
    </row>
    <row r="2041" spans="14:15">
      <c r="N2041" s="7"/>
      <c r="O2041" s="7"/>
    </row>
    <row r="2042" spans="14:15">
      <c r="N2042" s="7"/>
      <c r="O2042" s="7"/>
    </row>
    <row r="2043" spans="14:15">
      <c r="N2043" s="7"/>
      <c r="O2043" s="7"/>
    </row>
    <row r="2044" spans="14:15">
      <c r="N2044" s="7"/>
      <c r="O2044" s="7"/>
    </row>
    <row r="2045" spans="14:15">
      <c r="N2045" s="7"/>
      <c r="O2045" s="7"/>
    </row>
    <row r="2046" spans="14:15">
      <c r="N2046" s="7"/>
      <c r="O2046" s="7"/>
    </row>
    <row r="2047" spans="14:15">
      <c r="N2047" s="7"/>
      <c r="O2047" s="7"/>
    </row>
    <row r="2048" spans="14:15">
      <c r="N2048" s="7"/>
      <c r="O2048" s="7"/>
    </row>
    <row r="2049" spans="14:15">
      <c r="N2049" s="7"/>
      <c r="O2049" s="7"/>
    </row>
    <row r="2050" spans="14:15">
      <c r="N2050" s="7"/>
      <c r="O2050" s="7"/>
    </row>
    <row r="2051" spans="14:15">
      <c r="N2051" s="7"/>
      <c r="O2051" s="7"/>
    </row>
    <row r="2052" spans="14:15">
      <c r="N2052" s="7"/>
      <c r="O2052" s="7"/>
    </row>
    <row r="2053" spans="14:15">
      <c r="N2053" s="7"/>
      <c r="O2053" s="7"/>
    </row>
    <row r="2054" spans="14:15">
      <c r="N2054" s="7"/>
      <c r="O2054" s="7"/>
    </row>
    <row r="2055" spans="14:15">
      <c r="N2055" s="7"/>
      <c r="O2055" s="7"/>
    </row>
    <row r="2056" spans="14:15">
      <c r="N2056" s="7"/>
      <c r="O2056" s="7"/>
    </row>
    <row r="2057" spans="14:15">
      <c r="N2057" s="7"/>
      <c r="O2057" s="7"/>
    </row>
    <row r="2058" spans="14:15">
      <c r="N2058" s="7"/>
      <c r="O2058" s="7"/>
    </row>
    <row r="2059" spans="14:15">
      <c r="N2059" s="7"/>
      <c r="O2059" s="7"/>
    </row>
    <row r="2060" spans="14:15">
      <c r="N2060" s="7"/>
      <c r="O2060" s="7"/>
    </row>
    <row r="2061" spans="14:15">
      <c r="N2061" s="7"/>
      <c r="O2061" s="7"/>
    </row>
    <row r="2062" spans="14:15">
      <c r="N2062" s="7"/>
      <c r="O2062" s="7"/>
    </row>
    <row r="2063" spans="14:15">
      <c r="N2063" s="7"/>
      <c r="O2063" s="7"/>
    </row>
    <row r="2064" spans="14:15">
      <c r="N2064" s="7"/>
      <c r="O2064" s="7"/>
    </row>
    <row r="2065" spans="14:15">
      <c r="N2065" s="7"/>
      <c r="O2065" s="7"/>
    </row>
    <row r="2066" spans="14:15">
      <c r="N2066" s="7"/>
      <c r="O2066" s="7"/>
    </row>
    <row r="2067" spans="14:15">
      <c r="N2067" s="7"/>
      <c r="O2067" s="7"/>
    </row>
    <row r="2068" spans="14:15">
      <c r="N2068" s="7"/>
      <c r="O2068" s="7"/>
    </row>
    <row r="2069" spans="14:15">
      <c r="N2069" s="7"/>
      <c r="O2069" s="7"/>
    </row>
    <row r="2070" spans="14:15">
      <c r="N2070" s="7"/>
      <c r="O2070" s="7"/>
    </row>
    <row r="2071" spans="14:15">
      <c r="N2071" s="7"/>
      <c r="O2071" s="7"/>
    </row>
    <row r="2072" spans="14:15">
      <c r="N2072" s="7"/>
      <c r="O2072" s="7"/>
    </row>
    <row r="2073" spans="14:15">
      <c r="N2073" s="7"/>
      <c r="O2073" s="7"/>
    </row>
    <row r="2074" spans="14:15">
      <c r="N2074" s="7"/>
      <c r="O2074" s="7"/>
    </row>
    <row r="2075" spans="14:15">
      <c r="N2075" s="7"/>
      <c r="O2075" s="7"/>
    </row>
    <row r="2076" spans="14:15">
      <c r="N2076" s="7"/>
      <c r="O2076" s="7"/>
    </row>
    <row r="2077" spans="14:15">
      <c r="N2077" s="7"/>
      <c r="O2077" s="7"/>
    </row>
    <row r="2078" spans="14:15">
      <c r="N2078" s="7"/>
      <c r="O2078" s="7"/>
    </row>
    <row r="2079" spans="14:15">
      <c r="N2079" s="7"/>
      <c r="O2079" s="7"/>
    </row>
    <row r="2080" spans="14:15">
      <c r="N2080" s="7"/>
      <c r="O2080" s="7"/>
    </row>
    <row r="2081" spans="14:15">
      <c r="N2081" s="7"/>
      <c r="O2081" s="7"/>
    </row>
    <row r="2082" spans="14:15">
      <c r="N2082" s="7"/>
      <c r="O2082" s="7"/>
    </row>
    <row r="2083" spans="14:15">
      <c r="N2083" s="7"/>
      <c r="O2083" s="7"/>
    </row>
    <row r="2084" spans="14:15">
      <c r="N2084" s="7"/>
      <c r="O2084" s="7"/>
    </row>
    <row r="2085" spans="14:15">
      <c r="N2085" s="7"/>
      <c r="O2085" s="7"/>
    </row>
    <row r="2086" spans="14:15">
      <c r="N2086" s="7"/>
      <c r="O2086" s="7"/>
    </row>
    <row r="2087" spans="14:15">
      <c r="N2087" s="7"/>
      <c r="O2087" s="7"/>
    </row>
    <row r="2088" spans="14:15">
      <c r="N2088" s="7"/>
      <c r="O2088" s="7"/>
    </row>
    <row r="2089" spans="14:15">
      <c r="N2089" s="7"/>
      <c r="O2089" s="7"/>
    </row>
    <row r="2090" spans="14:15">
      <c r="N2090" s="7"/>
      <c r="O2090" s="7"/>
    </row>
    <row r="2091" spans="14:15">
      <c r="N2091" s="7"/>
      <c r="O2091" s="7"/>
    </row>
    <row r="2092" spans="14:15">
      <c r="N2092" s="7"/>
      <c r="O2092" s="7"/>
    </row>
    <row r="2093" spans="14:15">
      <c r="N2093" s="7"/>
      <c r="O2093" s="7"/>
    </row>
    <row r="2094" spans="14:15">
      <c r="N2094" s="7"/>
      <c r="O2094" s="7"/>
    </row>
    <row r="2095" spans="14:15">
      <c r="N2095" s="7"/>
      <c r="O2095" s="7"/>
    </row>
    <row r="2096" spans="14:15">
      <c r="N2096" s="7"/>
      <c r="O2096" s="7"/>
    </row>
    <row r="2097" spans="14:15">
      <c r="N2097" s="7"/>
      <c r="O2097" s="7"/>
    </row>
    <row r="2098" spans="14:15">
      <c r="N2098" s="7"/>
      <c r="O2098" s="7"/>
    </row>
    <row r="2099" spans="14:15">
      <c r="N2099" s="7"/>
      <c r="O2099" s="7"/>
    </row>
    <row r="2100" spans="14:15">
      <c r="N2100" s="7"/>
      <c r="O2100" s="7"/>
    </row>
    <row r="2101" spans="14:15">
      <c r="N2101" s="7"/>
      <c r="O2101" s="7"/>
    </row>
    <row r="2102" spans="14:15">
      <c r="N2102" s="7"/>
      <c r="O2102" s="7"/>
    </row>
    <row r="2103" spans="14:15">
      <c r="N2103" s="7"/>
      <c r="O2103" s="7"/>
    </row>
    <row r="2104" spans="14:15">
      <c r="N2104" s="7"/>
      <c r="O2104" s="7"/>
    </row>
    <row r="2105" spans="14:15">
      <c r="N2105" s="7"/>
      <c r="O2105" s="7"/>
    </row>
    <row r="2106" spans="14:15">
      <c r="N2106" s="7"/>
      <c r="O2106" s="7"/>
    </row>
    <row r="2107" spans="14:15">
      <c r="N2107" s="7"/>
      <c r="O2107" s="7"/>
    </row>
    <row r="2108" spans="14:15">
      <c r="N2108" s="7"/>
      <c r="O2108" s="7"/>
    </row>
    <row r="2109" spans="14:15">
      <c r="N2109" s="7"/>
      <c r="O2109" s="7"/>
    </row>
    <row r="2110" spans="14:15">
      <c r="N2110" s="7"/>
      <c r="O2110" s="7"/>
    </row>
    <row r="2111" spans="14:15">
      <c r="N2111" s="7"/>
      <c r="O2111" s="7"/>
    </row>
    <row r="2112" spans="14:15">
      <c r="N2112" s="7"/>
      <c r="O2112" s="7"/>
    </row>
    <row r="2113" spans="14:15">
      <c r="N2113" s="7"/>
      <c r="O2113" s="7"/>
    </row>
    <row r="2114" spans="14:15">
      <c r="N2114" s="7"/>
      <c r="O2114" s="7"/>
    </row>
    <row r="2115" spans="14:15">
      <c r="N2115" s="7"/>
      <c r="O2115" s="7"/>
    </row>
    <row r="2116" spans="14:15">
      <c r="N2116" s="7"/>
      <c r="O2116" s="7"/>
    </row>
    <row r="2117" spans="14:15">
      <c r="N2117" s="7"/>
      <c r="O2117" s="7"/>
    </row>
    <row r="2118" spans="14:15">
      <c r="N2118" s="7"/>
      <c r="O2118" s="7"/>
    </row>
    <row r="2119" spans="14:15">
      <c r="N2119" s="7"/>
      <c r="O2119" s="7"/>
    </row>
    <row r="2120" spans="14:15">
      <c r="N2120" s="7"/>
      <c r="O2120" s="7"/>
    </row>
    <row r="2121" spans="14:15">
      <c r="N2121" s="7"/>
      <c r="O2121" s="7"/>
    </row>
    <row r="2122" spans="14:15">
      <c r="N2122" s="7"/>
      <c r="O2122" s="7"/>
    </row>
    <row r="2123" spans="14:15">
      <c r="N2123" s="7"/>
      <c r="O2123" s="7"/>
    </row>
    <row r="2124" spans="14:15">
      <c r="N2124" s="7"/>
      <c r="O2124" s="7"/>
    </row>
    <row r="2125" spans="14:15">
      <c r="N2125" s="7"/>
      <c r="O2125" s="7"/>
    </row>
    <row r="2126" spans="14:15">
      <c r="N2126" s="7"/>
      <c r="O2126" s="7"/>
    </row>
    <row r="2127" spans="14:15">
      <c r="N2127" s="7"/>
      <c r="O2127" s="7"/>
    </row>
    <row r="2128" spans="14:15">
      <c r="N2128" s="7"/>
      <c r="O2128" s="7"/>
    </row>
    <row r="2129" spans="14:15">
      <c r="N2129" s="7"/>
      <c r="O2129" s="7"/>
    </row>
    <row r="2130" spans="14:15">
      <c r="N2130" s="7"/>
      <c r="O2130" s="7"/>
    </row>
    <row r="2131" spans="14:15">
      <c r="N2131" s="7"/>
      <c r="O2131" s="7"/>
    </row>
    <row r="2132" spans="14:15">
      <c r="N2132" s="7"/>
      <c r="O2132" s="7"/>
    </row>
    <row r="2133" spans="14:15">
      <c r="N2133" s="7"/>
      <c r="O2133" s="7"/>
    </row>
    <row r="2134" spans="14:15">
      <c r="N2134" s="7"/>
      <c r="O2134" s="7"/>
    </row>
    <row r="2135" spans="14:15">
      <c r="N2135" s="7"/>
      <c r="O2135" s="7"/>
    </row>
    <row r="2136" spans="14:15">
      <c r="N2136" s="7"/>
      <c r="O2136" s="7"/>
    </row>
    <row r="2137" spans="14:15">
      <c r="N2137" s="7"/>
      <c r="O2137" s="7"/>
    </row>
    <row r="2138" spans="14:15">
      <c r="N2138" s="7"/>
      <c r="O2138" s="7"/>
    </row>
    <row r="2139" spans="14:15">
      <c r="N2139" s="7"/>
      <c r="O2139" s="7"/>
    </row>
    <row r="2140" spans="14:15">
      <c r="N2140" s="7"/>
      <c r="O2140" s="7"/>
    </row>
    <row r="2141" spans="14:15">
      <c r="N2141" s="7"/>
      <c r="O2141" s="7"/>
    </row>
    <row r="2142" spans="14:15">
      <c r="N2142" s="7"/>
      <c r="O2142" s="7"/>
    </row>
    <row r="2143" spans="14:15">
      <c r="N2143" s="7"/>
      <c r="O2143" s="7"/>
    </row>
    <row r="2144" spans="14:15">
      <c r="N2144" s="7"/>
      <c r="O2144" s="7"/>
    </row>
    <row r="2145" spans="14:15">
      <c r="N2145" s="7"/>
      <c r="O2145" s="7"/>
    </row>
    <row r="2146" spans="14:15">
      <c r="N2146" s="7"/>
      <c r="O2146" s="7"/>
    </row>
    <row r="2147" spans="14:15">
      <c r="N2147" s="7"/>
      <c r="O2147" s="7"/>
    </row>
    <row r="2148" spans="14:15">
      <c r="N2148" s="7"/>
      <c r="O2148" s="7"/>
    </row>
    <row r="2149" spans="14:15">
      <c r="N2149" s="7"/>
      <c r="O2149" s="7"/>
    </row>
    <row r="2150" spans="14:15">
      <c r="N2150" s="7"/>
      <c r="O2150" s="7"/>
    </row>
    <row r="2151" spans="14:15">
      <c r="N2151" s="7"/>
      <c r="O2151" s="7"/>
    </row>
    <row r="2152" spans="14:15">
      <c r="N2152" s="7"/>
      <c r="O2152" s="7"/>
    </row>
    <row r="2153" spans="14:15">
      <c r="N2153" s="7"/>
      <c r="O2153" s="7"/>
    </row>
    <row r="2154" spans="14:15">
      <c r="N2154" s="7"/>
      <c r="O2154" s="7"/>
    </row>
    <row r="2155" spans="14:15">
      <c r="N2155" s="7"/>
      <c r="O2155" s="7"/>
    </row>
    <row r="2156" spans="14:15">
      <c r="N2156" s="7"/>
      <c r="O2156" s="7"/>
    </row>
    <row r="2157" spans="14:15">
      <c r="N2157" s="7"/>
      <c r="O2157" s="7"/>
    </row>
    <row r="2158" spans="14:15">
      <c r="N2158" s="7"/>
      <c r="O2158" s="7"/>
    </row>
    <row r="2159" spans="14:15">
      <c r="N2159" s="7"/>
      <c r="O2159" s="7"/>
    </row>
    <row r="2160" spans="14:15">
      <c r="N2160" s="7"/>
      <c r="O2160" s="7"/>
    </row>
    <row r="2161" spans="14:15">
      <c r="N2161" s="7"/>
      <c r="O2161" s="7"/>
    </row>
    <row r="2162" spans="14:15">
      <c r="N2162" s="7"/>
      <c r="O2162" s="7"/>
    </row>
    <row r="2163" spans="14:15">
      <c r="N2163" s="7"/>
      <c r="O2163" s="7"/>
    </row>
    <row r="2164" spans="14:15">
      <c r="N2164" s="7"/>
      <c r="O2164" s="7"/>
    </row>
    <row r="2165" spans="14:15">
      <c r="N2165" s="7"/>
      <c r="O2165" s="7"/>
    </row>
    <row r="2166" spans="14:15">
      <c r="N2166" s="7"/>
      <c r="O2166" s="7"/>
    </row>
    <row r="2167" spans="14:15">
      <c r="N2167" s="7"/>
      <c r="O2167" s="7"/>
    </row>
    <row r="2168" spans="14:15">
      <c r="N2168" s="7"/>
      <c r="O2168" s="7"/>
    </row>
    <row r="2169" spans="14:15">
      <c r="N2169" s="7"/>
      <c r="O2169" s="7"/>
    </row>
    <row r="2170" spans="14:15">
      <c r="N2170" s="7"/>
      <c r="O2170" s="7"/>
    </row>
    <row r="2171" spans="14:15">
      <c r="N2171" s="7"/>
      <c r="O2171" s="7"/>
    </row>
    <row r="2172" spans="14:15">
      <c r="N2172" s="7"/>
      <c r="O2172" s="7"/>
    </row>
    <row r="2173" spans="14:15">
      <c r="N2173" s="7"/>
      <c r="O2173" s="7"/>
    </row>
    <row r="2174" spans="14:15">
      <c r="N2174" s="7"/>
      <c r="O2174" s="7"/>
    </row>
    <row r="2175" spans="14:15">
      <c r="N2175" s="7"/>
      <c r="O2175" s="7"/>
    </row>
    <row r="2176" spans="14:15">
      <c r="N2176" s="7"/>
      <c r="O2176" s="7"/>
    </row>
    <row r="2177" spans="14:15">
      <c r="N2177" s="7"/>
      <c r="O2177" s="7"/>
    </row>
    <row r="2178" spans="14:15">
      <c r="N2178" s="7"/>
      <c r="O2178" s="7"/>
    </row>
    <row r="2179" spans="14:15">
      <c r="N2179" s="7"/>
      <c r="O2179" s="7"/>
    </row>
    <row r="2180" spans="14:15">
      <c r="N2180" s="7"/>
      <c r="O2180" s="7"/>
    </row>
    <row r="2181" spans="14:15">
      <c r="N2181" s="7"/>
      <c r="O2181" s="7"/>
    </row>
    <row r="2182" spans="14:15">
      <c r="N2182" s="7"/>
      <c r="O2182" s="7"/>
    </row>
    <row r="2183" spans="14:15">
      <c r="N2183" s="7"/>
      <c r="O2183" s="7"/>
    </row>
    <row r="2184" spans="14:15">
      <c r="N2184" s="7"/>
      <c r="O2184" s="7"/>
    </row>
    <row r="2185" spans="14:15">
      <c r="N2185" s="7"/>
      <c r="O2185" s="7"/>
    </row>
    <row r="2186" spans="14:15">
      <c r="N2186" s="7"/>
      <c r="O2186" s="7"/>
    </row>
    <row r="2187" spans="14:15">
      <c r="N2187" s="7"/>
      <c r="O2187" s="7"/>
    </row>
    <row r="2188" spans="14:15">
      <c r="N2188" s="7"/>
      <c r="O2188" s="7"/>
    </row>
    <row r="2189" spans="14:15">
      <c r="N2189" s="7"/>
      <c r="O2189" s="7"/>
    </row>
    <row r="2190" spans="14:15">
      <c r="N2190" s="7"/>
      <c r="O2190" s="7"/>
    </row>
    <row r="2191" spans="14:15">
      <c r="N2191" s="7"/>
      <c r="O2191" s="7"/>
    </row>
    <row r="2192" spans="14:15">
      <c r="N2192" s="7"/>
      <c r="O2192" s="7"/>
    </row>
    <row r="2193" spans="14:15">
      <c r="N2193" s="7"/>
      <c r="O2193" s="7"/>
    </row>
    <row r="2194" spans="14:15">
      <c r="N2194" s="7"/>
      <c r="O2194" s="7"/>
    </row>
    <row r="2195" spans="14:15">
      <c r="N2195" s="7"/>
      <c r="O2195" s="7"/>
    </row>
    <row r="2196" spans="14:15">
      <c r="N2196" s="7"/>
      <c r="O2196" s="7"/>
    </row>
    <row r="2197" spans="14:15">
      <c r="N2197" s="7"/>
      <c r="O2197" s="7"/>
    </row>
    <row r="2198" spans="14:15">
      <c r="N2198" s="7"/>
      <c r="O2198" s="7"/>
    </row>
    <row r="2199" spans="14:15">
      <c r="N2199" s="7"/>
      <c r="O2199" s="7"/>
    </row>
    <row r="2200" spans="14:15">
      <c r="N2200" s="7"/>
      <c r="O2200" s="7"/>
    </row>
    <row r="2201" spans="14:15">
      <c r="N2201" s="7"/>
      <c r="O2201" s="7"/>
    </row>
    <row r="2202" spans="14:15">
      <c r="N2202" s="7"/>
      <c r="O2202" s="7"/>
    </row>
    <row r="2203" spans="14:15">
      <c r="N2203" s="7"/>
      <c r="O2203" s="7"/>
    </row>
    <row r="2204" spans="14:15">
      <c r="N2204" s="7"/>
      <c r="O2204" s="7"/>
    </row>
    <row r="2205" spans="14:15">
      <c r="N2205" s="7"/>
      <c r="O2205" s="7"/>
    </row>
    <row r="2206" spans="14:15">
      <c r="N2206" s="7"/>
      <c r="O2206" s="7"/>
    </row>
    <row r="2207" spans="14:15">
      <c r="N2207" s="7"/>
      <c r="O2207" s="7"/>
    </row>
    <row r="2208" spans="14:15">
      <c r="N2208" s="7"/>
      <c r="O2208" s="7"/>
    </row>
    <row r="2209" spans="14:15">
      <c r="N2209" s="7"/>
      <c r="O2209" s="7"/>
    </row>
    <row r="2210" spans="14:15">
      <c r="N2210" s="7"/>
      <c r="O2210" s="7"/>
    </row>
    <row r="2211" spans="14:15">
      <c r="N2211" s="7"/>
      <c r="O2211" s="7"/>
    </row>
    <row r="2212" spans="14:15">
      <c r="N2212" s="7"/>
      <c r="O2212" s="7"/>
    </row>
    <row r="2213" spans="14:15">
      <c r="N2213" s="7"/>
      <c r="O2213" s="7"/>
    </row>
    <row r="2214" spans="14:15">
      <c r="N2214" s="7"/>
      <c r="O2214" s="7"/>
    </row>
    <row r="2215" spans="14:15">
      <c r="N2215" s="7"/>
      <c r="O2215" s="7"/>
    </row>
    <row r="2216" spans="14:15">
      <c r="N2216" s="7"/>
      <c r="O2216" s="7"/>
    </row>
    <row r="2217" spans="14:15">
      <c r="N2217" s="7"/>
      <c r="O2217" s="7"/>
    </row>
    <row r="2218" spans="14:15">
      <c r="N2218" s="7"/>
      <c r="O2218" s="7"/>
    </row>
    <row r="2219" spans="14:15">
      <c r="N2219" s="7"/>
      <c r="O2219" s="7"/>
    </row>
    <row r="2220" spans="14:15">
      <c r="N2220" s="7"/>
      <c r="O2220" s="7"/>
    </row>
    <row r="2221" spans="14:15">
      <c r="N2221" s="7"/>
      <c r="O2221" s="7"/>
    </row>
    <row r="2222" spans="14:15">
      <c r="N2222" s="7"/>
      <c r="O2222" s="7"/>
    </row>
    <row r="2223" spans="14:15">
      <c r="N2223" s="7"/>
      <c r="O2223" s="7"/>
    </row>
    <row r="2224" spans="14:15">
      <c r="N2224" s="7"/>
      <c r="O2224" s="7"/>
    </row>
    <row r="2225" spans="14:15">
      <c r="N2225" s="7"/>
      <c r="O2225" s="7"/>
    </row>
    <row r="2226" spans="14:15">
      <c r="N2226" s="7"/>
      <c r="O2226" s="7"/>
    </row>
    <row r="2227" spans="14:15">
      <c r="N2227" s="7"/>
      <c r="O2227" s="7"/>
    </row>
    <row r="2228" spans="14:15">
      <c r="N2228" s="7"/>
      <c r="O2228" s="7"/>
    </row>
    <row r="2229" spans="14:15">
      <c r="N2229" s="7"/>
      <c r="O2229" s="7"/>
    </row>
    <row r="2230" spans="14:15">
      <c r="N2230" s="7"/>
      <c r="O2230" s="7"/>
    </row>
    <row r="2231" spans="14:15">
      <c r="N2231" s="7"/>
      <c r="O2231" s="7"/>
    </row>
    <row r="2232" spans="14:15">
      <c r="N2232" s="7"/>
      <c r="O2232" s="7"/>
    </row>
    <row r="2233" spans="14:15">
      <c r="N2233" s="7"/>
      <c r="O2233" s="7"/>
    </row>
    <row r="2234" spans="14:15">
      <c r="N2234" s="7"/>
      <c r="O2234" s="7"/>
    </row>
    <row r="2235" spans="14:15">
      <c r="N2235" s="7"/>
      <c r="O2235" s="7"/>
    </row>
    <row r="2236" spans="14:15">
      <c r="N2236" s="7"/>
      <c r="O2236" s="7"/>
    </row>
    <row r="2237" spans="14:15">
      <c r="N2237" s="7"/>
      <c r="O2237" s="7"/>
    </row>
    <row r="2238" spans="14:15">
      <c r="N2238" s="7"/>
      <c r="O2238" s="7"/>
    </row>
    <row r="2239" spans="14:15">
      <c r="N2239" s="7"/>
      <c r="O2239" s="7"/>
    </row>
    <row r="2240" spans="14:15">
      <c r="N2240" s="7"/>
      <c r="O2240" s="7"/>
    </row>
    <row r="2241" spans="14:15">
      <c r="N2241" s="7"/>
      <c r="O2241" s="7"/>
    </row>
    <row r="2242" spans="14:15">
      <c r="N2242" s="7"/>
      <c r="O2242" s="7"/>
    </row>
    <row r="2243" spans="14:15">
      <c r="N2243" s="7"/>
      <c r="O2243" s="7"/>
    </row>
    <row r="2244" spans="14:15">
      <c r="N2244" s="7"/>
      <c r="O2244" s="7"/>
    </row>
    <row r="2245" spans="14:15">
      <c r="N2245" s="7"/>
      <c r="O2245" s="7"/>
    </row>
    <row r="2246" spans="14:15">
      <c r="N2246" s="7"/>
      <c r="O2246" s="7"/>
    </row>
    <row r="2247" spans="14:15">
      <c r="N2247" s="7"/>
      <c r="O2247" s="7"/>
    </row>
    <row r="2248" spans="14:15">
      <c r="N2248" s="7"/>
      <c r="O2248" s="7"/>
    </row>
    <row r="2249" spans="14:15">
      <c r="N2249" s="7"/>
      <c r="O2249" s="7"/>
    </row>
    <row r="2250" spans="14:15">
      <c r="N2250" s="7"/>
      <c r="O2250" s="7"/>
    </row>
    <row r="2251" spans="14:15">
      <c r="N2251" s="7"/>
      <c r="O2251" s="7"/>
    </row>
    <row r="2252" spans="14:15">
      <c r="N2252" s="7"/>
      <c r="O2252" s="7"/>
    </row>
    <row r="2253" spans="14:15">
      <c r="N2253" s="7"/>
      <c r="O2253" s="7"/>
    </row>
    <row r="2254" spans="14:15">
      <c r="N2254" s="7"/>
      <c r="O2254" s="7"/>
    </row>
    <row r="2255" spans="14:15">
      <c r="N2255" s="7"/>
      <c r="O2255" s="7"/>
    </row>
    <row r="2256" spans="14:15">
      <c r="N2256" s="7"/>
      <c r="O2256" s="7"/>
    </row>
    <row r="2257" spans="14:15">
      <c r="N2257" s="7"/>
      <c r="O2257" s="7"/>
    </row>
    <row r="2258" spans="14:15">
      <c r="N2258" s="7"/>
      <c r="O2258" s="7"/>
    </row>
    <row r="2259" spans="14:15">
      <c r="N2259" s="7"/>
      <c r="O2259" s="7"/>
    </row>
    <row r="2260" spans="14:15">
      <c r="N2260" s="7"/>
      <c r="O2260" s="7"/>
    </row>
    <row r="2261" spans="14:15">
      <c r="N2261" s="7"/>
      <c r="O2261" s="7"/>
    </row>
    <row r="2262" spans="14:15">
      <c r="N2262" s="7"/>
      <c r="O2262" s="7"/>
    </row>
    <row r="2263" spans="14:15">
      <c r="N2263" s="7"/>
      <c r="O2263" s="7"/>
    </row>
    <row r="2264" spans="14:15">
      <c r="N2264" s="7"/>
      <c r="O2264" s="7"/>
    </row>
    <row r="2265" spans="14:15">
      <c r="N2265" s="7"/>
      <c r="O2265" s="7"/>
    </row>
    <row r="2266" spans="14:15">
      <c r="N2266" s="7"/>
      <c r="O2266" s="7"/>
    </row>
    <row r="2267" spans="14:15">
      <c r="N2267" s="7"/>
      <c r="O2267" s="7"/>
    </row>
    <row r="2268" spans="14:15">
      <c r="N2268" s="7"/>
      <c r="O2268" s="7"/>
    </row>
    <row r="2269" spans="14:15">
      <c r="N2269" s="7"/>
      <c r="O2269" s="7"/>
    </row>
    <row r="2270" spans="14:15">
      <c r="N2270" s="7"/>
      <c r="O2270" s="7"/>
    </row>
    <row r="2271" spans="14:15">
      <c r="N2271" s="7"/>
      <c r="O2271" s="7"/>
    </row>
    <row r="2272" spans="14:15">
      <c r="N2272" s="7"/>
      <c r="O2272" s="7"/>
    </row>
    <row r="2273" spans="14:15">
      <c r="N2273" s="7"/>
      <c r="O2273" s="7"/>
    </row>
    <row r="2274" spans="14:15">
      <c r="N2274" s="7"/>
      <c r="O2274" s="7"/>
    </row>
    <row r="2275" spans="14:15">
      <c r="N2275" s="7"/>
      <c r="O2275" s="7"/>
    </row>
    <row r="2276" spans="14:15">
      <c r="N2276" s="7"/>
      <c r="O2276" s="7"/>
    </row>
    <row r="2277" spans="14:15">
      <c r="N2277" s="7"/>
      <c r="O2277" s="7"/>
    </row>
    <row r="2278" spans="14:15">
      <c r="N2278" s="7"/>
      <c r="O2278" s="7"/>
    </row>
    <row r="2279" spans="14:15">
      <c r="N2279" s="7"/>
      <c r="O2279" s="7"/>
    </row>
    <row r="2280" spans="14:15">
      <c r="N2280" s="7"/>
      <c r="O2280" s="7"/>
    </row>
    <row r="2281" spans="14:15">
      <c r="N2281" s="7"/>
      <c r="O2281" s="7"/>
    </row>
    <row r="2282" spans="14:15">
      <c r="N2282" s="7"/>
      <c r="O2282" s="7"/>
    </row>
    <row r="2283" spans="14:15">
      <c r="N2283" s="7"/>
      <c r="O2283" s="7"/>
    </row>
    <row r="2284" spans="14:15">
      <c r="N2284" s="7"/>
      <c r="O2284" s="7"/>
    </row>
    <row r="2285" spans="14:15">
      <c r="N2285" s="7"/>
      <c r="O2285" s="7"/>
    </row>
    <row r="2286" spans="14:15">
      <c r="N2286" s="7"/>
      <c r="O2286" s="7"/>
    </row>
    <row r="2287" spans="14:15">
      <c r="N2287" s="7"/>
      <c r="O2287" s="7"/>
    </row>
    <row r="2288" spans="14:15">
      <c r="N2288" s="7"/>
      <c r="O2288" s="7"/>
    </row>
    <row r="2289" spans="14:15">
      <c r="N2289" s="7"/>
      <c r="O2289" s="7"/>
    </row>
    <row r="2290" spans="14:15">
      <c r="N2290" s="7"/>
      <c r="O2290" s="7"/>
    </row>
    <row r="2291" spans="14:15">
      <c r="N2291" s="7"/>
      <c r="O2291" s="7"/>
    </row>
    <row r="2292" spans="14:15">
      <c r="N2292" s="7"/>
      <c r="O2292" s="7"/>
    </row>
    <row r="2293" spans="14:15">
      <c r="N2293" s="7"/>
      <c r="O2293" s="7"/>
    </row>
    <row r="2294" spans="14:15">
      <c r="N2294" s="7"/>
      <c r="O2294" s="7"/>
    </row>
    <row r="2295" spans="14:15">
      <c r="N2295" s="7"/>
      <c r="O2295" s="7"/>
    </row>
    <row r="2296" spans="14:15">
      <c r="N2296" s="7"/>
      <c r="O2296" s="7"/>
    </row>
    <row r="2297" spans="14:15">
      <c r="N2297" s="7"/>
      <c r="O2297" s="7"/>
    </row>
    <row r="2298" spans="14:15">
      <c r="N2298" s="7"/>
      <c r="O2298" s="7"/>
    </row>
    <row r="2299" spans="14:15">
      <c r="N2299" s="7"/>
      <c r="O2299" s="7"/>
    </row>
    <row r="2300" spans="14:15">
      <c r="N2300" s="7"/>
      <c r="O2300" s="7"/>
    </row>
    <row r="2301" spans="14:15">
      <c r="N2301" s="7"/>
      <c r="O2301" s="7"/>
    </row>
    <row r="2302" spans="14:15">
      <c r="N2302" s="7"/>
      <c r="O2302" s="7"/>
    </row>
    <row r="2303" spans="14:15">
      <c r="N2303" s="7"/>
      <c r="O2303" s="7"/>
    </row>
    <row r="2304" spans="14:15">
      <c r="N2304" s="7"/>
      <c r="O2304" s="7"/>
    </row>
    <row r="2305" spans="14:15">
      <c r="N2305" s="7"/>
      <c r="O2305" s="7"/>
    </row>
    <row r="2306" spans="14:15">
      <c r="N2306" s="7"/>
      <c r="O2306" s="7"/>
    </row>
    <row r="2307" spans="14:15">
      <c r="N2307" s="7"/>
      <c r="O2307" s="7"/>
    </row>
    <row r="2308" spans="14:15">
      <c r="N2308" s="7"/>
      <c r="O2308" s="7"/>
    </row>
    <row r="2309" spans="14:15">
      <c r="N2309" s="7"/>
      <c r="O2309" s="7"/>
    </row>
    <row r="2310" spans="14:15">
      <c r="N2310" s="7"/>
      <c r="O2310" s="7"/>
    </row>
    <row r="2311" spans="14:15">
      <c r="N2311" s="7"/>
      <c r="O2311" s="7"/>
    </row>
    <row r="2312" spans="14:15">
      <c r="N2312" s="7"/>
      <c r="O2312" s="7"/>
    </row>
    <row r="2313" spans="14:15">
      <c r="N2313" s="7"/>
      <c r="O2313" s="7"/>
    </row>
    <row r="2314" spans="14:15">
      <c r="N2314" s="7"/>
      <c r="O2314" s="7"/>
    </row>
    <row r="2315" spans="14:15">
      <c r="N2315" s="7"/>
      <c r="O2315" s="7"/>
    </row>
    <row r="2316" spans="14:15">
      <c r="N2316" s="7"/>
      <c r="O2316" s="7"/>
    </row>
    <row r="2317" spans="14:15">
      <c r="N2317" s="7"/>
      <c r="O2317" s="7"/>
    </row>
    <row r="2318" spans="14:15">
      <c r="N2318" s="7"/>
      <c r="O2318" s="7"/>
    </row>
    <row r="2319" spans="14:15">
      <c r="N2319" s="7"/>
      <c r="O2319" s="7"/>
    </row>
    <row r="2320" spans="14:15">
      <c r="N2320" s="7"/>
      <c r="O2320" s="7"/>
    </row>
    <row r="2321" spans="14:15">
      <c r="N2321" s="7"/>
      <c r="O2321" s="7"/>
    </row>
    <row r="2322" spans="14:15">
      <c r="N2322" s="7"/>
      <c r="O2322" s="7"/>
    </row>
    <row r="2323" spans="14:15">
      <c r="N2323" s="7"/>
      <c r="O2323" s="7"/>
    </row>
    <row r="2324" spans="14:15">
      <c r="N2324" s="7"/>
      <c r="O2324" s="7"/>
    </row>
    <row r="2325" spans="14:15">
      <c r="N2325" s="7"/>
      <c r="O2325" s="7"/>
    </row>
    <row r="2326" spans="14:15">
      <c r="N2326" s="7"/>
      <c r="O2326" s="7"/>
    </row>
    <row r="2327" spans="14:15">
      <c r="N2327" s="7"/>
      <c r="O2327" s="7"/>
    </row>
    <row r="2328" spans="14:15">
      <c r="N2328" s="7"/>
      <c r="O2328" s="7"/>
    </row>
    <row r="2329" spans="14:15">
      <c r="N2329" s="7"/>
      <c r="O2329" s="7"/>
    </row>
    <row r="2330" spans="14:15">
      <c r="N2330" s="7"/>
      <c r="O2330" s="7"/>
    </row>
    <row r="2331" spans="14:15">
      <c r="N2331" s="7"/>
      <c r="O2331" s="7"/>
    </row>
    <row r="2332" spans="14:15">
      <c r="N2332" s="7"/>
      <c r="O2332" s="7"/>
    </row>
    <row r="2333" spans="14:15">
      <c r="N2333" s="7"/>
      <c r="O2333" s="7"/>
    </row>
    <row r="2334" spans="14:15">
      <c r="N2334" s="7"/>
      <c r="O2334" s="7"/>
    </row>
    <row r="2335" spans="14:15">
      <c r="N2335" s="7"/>
      <c r="O2335" s="7"/>
    </row>
    <row r="2336" spans="14:15">
      <c r="N2336" s="7"/>
      <c r="O2336" s="7"/>
    </row>
    <row r="2337" spans="14:15">
      <c r="N2337" s="7"/>
      <c r="O2337" s="7"/>
    </row>
    <row r="2338" spans="14:15">
      <c r="N2338" s="7"/>
      <c r="O2338" s="7"/>
    </row>
    <row r="2339" spans="14:15">
      <c r="N2339" s="7"/>
      <c r="O2339" s="7"/>
    </row>
    <row r="2340" spans="14:15">
      <c r="N2340" s="7"/>
      <c r="O2340" s="7"/>
    </row>
    <row r="2341" spans="14:15">
      <c r="N2341" s="7"/>
      <c r="O2341" s="7"/>
    </row>
    <row r="2342" spans="14:15">
      <c r="N2342" s="7"/>
      <c r="O2342" s="7"/>
    </row>
    <row r="2343" spans="14:15">
      <c r="N2343" s="7"/>
      <c r="O2343" s="7"/>
    </row>
    <row r="2344" spans="14:15">
      <c r="N2344" s="7"/>
      <c r="O2344" s="7"/>
    </row>
    <row r="2345" spans="14:15">
      <c r="N2345" s="7"/>
      <c r="O2345" s="7"/>
    </row>
    <row r="2346" spans="14:15">
      <c r="N2346" s="7"/>
      <c r="O2346" s="7"/>
    </row>
    <row r="2347" spans="14:15">
      <c r="N2347" s="7"/>
      <c r="O2347" s="7"/>
    </row>
    <row r="2348" spans="14:15">
      <c r="N2348" s="7"/>
      <c r="O2348" s="7"/>
    </row>
    <row r="2349" spans="14:15">
      <c r="N2349" s="7"/>
      <c r="O2349" s="7"/>
    </row>
    <row r="2350" spans="14:15">
      <c r="N2350" s="7"/>
      <c r="O2350" s="7"/>
    </row>
    <row r="2351" spans="14:15">
      <c r="N2351" s="7"/>
      <c r="O2351" s="7"/>
    </row>
    <row r="2352" spans="14:15">
      <c r="N2352" s="7"/>
      <c r="O2352" s="7"/>
    </row>
    <row r="2353" spans="14:15">
      <c r="N2353" s="7"/>
      <c r="O2353" s="7"/>
    </row>
    <row r="2354" spans="14:15">
      <c r="N2354" s="7"/>
      <c r="O2354" s="7"/>
    </row>
    <row r="2355" spans="14:15">
      <c r="N2355" s="7"/>
      <c r="O2355" s="7"/>
    </row>
    <row r="2356" spans="14:15">
      <c r="N2356" s="7"/>
      <c r="O2356" s="7"/>
    </row>
    <row r="2357" spans="14:15">
      <c r="N2357" s="7"/>
      <c r="O2357" s="7"/>
    </row>
    <row r="2358" spans="14:15">
      <c r="N2358" s="7"/>
      <c r="O2358" s="7"/>
    </row>
    <row r="2359" spans="14:15">
      <c r="N2359" s="7"/>
      <c r="O2359" s="7"/>
    </row>
    <row r="2360" spans="14:15">
      <c r="N2360" s="7"/>
      <c r="O2360" s="7"/>
    </row>
    <row r="2361" spans="14:15">
      <c r="N2361" s="7"/>
      <c r="O2361" s="7"/>
    </row>
    <row r="2362" spans="14:15">
      <c r="N2362" s="7"/>
      <c r="O2362" s="7"/>
    </row>
    <row r="2363" spans="14:15">
      <c r="N2363" s="7"/>
      <c r="O2363" s="7"/>
    </row>
    <row r="2364" spans="14:15">
      <c r="N2364" s="7"/>
      <c r="O2364" s="7"/>
    </row>
    <row r="2365" spans="14:15">
      <c r="N2365" s="7"/>
      <c r="O2365" s="7"/>
    </row>
    <row r="2366" spans="14:15">
      <c r="N2366" s="7"/>
      <c r="O2366" s="7"/>
    </row>
    <row r="2367" spans="14:15">
      <c r="N2367" s="7"/>
      <c r="O2367" s="7"/>
    </row>
    <row r="2368" spans="14:15">
      <c r="N2368" s="7"/>
      <c r="O2368" s="7"/>
    </row>
    <row r="2369" spans="14:15">
      <c r="N2369" s="7"/>
      <c r="O2369" s="7"/>
    </row>
    <row r="2370" spans="14:15">
      <c r="N2370" s="7"/>
      <c r="O2370" s="7"/>
    </row>
    <row r="2371" spans="14:15">
      <c r="N2371" s="7"/>
      <c r="O2371" s="7"/>
    </row>
    <row r="2372" spans="14:15">
      <c r="N2372" s="7"/>
      <c r="O2372" s="7"/>
    </row>
    <row r="2373" spans="14:15">
      <c r="N2373" s="7"/>
      <c r="O2373" s="7"/>
    </row>
    <row r="2374" spans="14:15">
      <c r="N2374" s="7"/>
      <c r="O2374" s="7"/>
    </row>
    <row r="2375" spans="14:15">
      <c r="N2375" s="7"/>
      <c r="O2375" s="7"/>
    </row>
    <row r="2376" spans="14:15">
      <c r="N2376" s="7"/>
      <c r="O2376" s="7"/>
    </row>
    <row r="2377" spans="14:15">
      <c r="N2377" s="7"/>
      <c r="O2377" s="7"/>
    </row>
    <row r="2378" spans="14:15">
      <c r="N2378" s="7"/>
      <c r="O2378" s="7"/>
    </row>
    <row r="2379" spans="14:15">
      <c r="N2379" s="7"/>
      <c r="O2379" s="7"/>
    </row>
    <row r="2380" spans="14:15">
      <c r="N2380" s="7"/>
      <c r="O2380" s="7"/>
    </row>
    <row r="2381" spans="14:15">
      <c r="N2381" s="7"/>
      <c r="O2381" s="7"/>
    </row>
    <row r="2382" spans="14:15">
      <c r="N2382" s="7"/>
      <c r="O2382" s="7"/>
    </row>
    <row r="2383" spans="14:15">
      <c r="N2383" s="7"/>
      <c r="O2383" s="7"/>
    </row>
    <row r="2384" spans="14:15">
      <c r="N2384" s="7"/>
      <c r="O2384" s="7"/>
    </row>
    <row r="2385" spans="14:15">
      <c r="N2385" s="7"/>
      <c r="O2385" s="7"/>
    </row>
    <row r="2386" spans="14:15">
      <c r="N2386" s="7"/>
      <c r="O2386" s="7"/>
    </row>
    <row r="2387" spans="14:15">
      <c r="N2387" s="7"/>
      <c r="O2387" s="7"/>
    </row>
    <row r="2388" spans="14:15">
      <c r="N2388" s="7"/>
      <c r="O2388" s="7"/>
    </row>
    <row r="2389" spans="14:15">
      <c r="N2389" s="7"/>
      <c r="O2389" s="7"/>
    </row>
    <row r="2390" spans="14:15">
      <c r="N2390" s="7"/>
      <c r="O2390" s="7"/>
    </row>
    <row r="2391" spans="14:15">
      <c r="N2391" s="7"/>
      <c r="O2391" s="7"/>
    </row>
    <row r="2392" spans="14:15">
      <c r="N2392" s="7"/>
      <c r="O2392" s="7"/>
    </row>
    <row r="2393" spans="14:15">
      <c r="N2393" s="7"/>
      <c r="O2393" s="7"/>
    </row>
    <row r="2394" spans="14:15">
      <c r="N2394" s="7"/>
      <c r="O2394" s="7"/>
    </row>
    <row r="2395" spans="14:15">
      <c r="N2395" s="7"/>
      <c r="O2395" s="7"/>
    </row>
    <row r="2396" spans="14:15">
      <c r="N2396" s="7"/>
      <c r="O2396" s="7"/>
    </row>
    <row r="2397" spans="14:15">
      <c r="N2397" s="7"/>
      <c r="O2397" s="7"/>
    </row>
    <row r="2398" spans="14:15">
      <c r="N2398" s="7"/>
      <c r="O2398" s="7"/>
    </row>
    <row r="2399" spans="14:15">
      <c r="N2399" s="7"/>
      <c r="O2399" s="7"/>
    </row>
    <row r="2400" spans="14:15">
      <c r="N2400" s="7"/>
      <c r="O2400" s="7"/>
    </row>
    <row r="2401" spans="14:15">
      <c r="N2401" s="7"/>
      <c r="O2401" s="7"/>
    </row>
    <row r="2402" spans="14:15">
      <c r="N2402" s="7"/>
      <c r="O2402" s="7"/>
    </row>
    <row r="2403" spans="14:15">
      <c r="N2403" s="7"/>
      <c r="O2403" s="7"/>
    </row>
    <row r="2404" spans="14:15">
      <c r="N2404" s="7"/>
      <c r="O2404" s="7"/>
    </row>
    <row r="2405" spans="14:15">
      <c r="N2405" s="7"/>
      <c r="O2405" s="7"/>
    </row>
    <row r="2406" spans="14:15">
      <c r="N2406" s="7"/>
      <c r="O2406" s="7"/>
    </row>
    <row r="2407" spans="14:15">
      <c r="N2407" s="7"/>
      <c r="O2407" s="7"/>
    </row>
    <row r="2408" spans="14:15">
      <c r="N2408" s="7"/>
      <c r="O2408" s="7"/>
    </row>
    <row r="2409" spans="14:15">
      <c r="N2409" s="7"/>
      <c r="O2409" s="7"/>
    </row>
    <row r="2410" spans="14:15">
      <c r="N2410" s="7"/>
      <c r="O2410" s="7"/>
    </row>
    <row r="2411" spans="14:15">
      <c r="N2411" s="7"/>
      <c r="O2411" s="7"/>
    </row>
    <row r="2412" spans="14:15">
      <c r="N2412" s="7"/>
      <c r="O2412" s="7"/>
    </row>
    <row r="2413" spans="14:15">
      <c r="N2413" s="7"/>
      <c r="O2413" s="7"/>
    </row>
    <row r="2414" spans="14:15">
      <c r="N2414" s="7"/>
      <c r="O2414" s="7"/>
    </row>
    <row r="2415" spans="14:15">
      <c r="N2415" s="7"/>
      <c r="O2415" s="7"/>
    </row>
    <row r="2416" spans="14:15">
      <c r="N2416" s="7"/>
      <c r="O2416" s="7"/>
    </row>
    <row r="2417" spans="14:15">
      <c r="N2417" s="7"/>
      <c r="O2417" s="7"/>
    </row>
    <row r="2418" spans="14:15">
      <c r="N2418" s="7"/>
      <c r="O2418" s="7"/>
    </row>
    <row r="2419" spans="14:15">
      <c r="N2419" s="7"/>
      <c r="O2419" s="7"/>
    </row>
    <row r="2420" spans="14:15">
      <c r="N2420" s="7"/>
      <c r="O2420" s="7"/>
    </row>
    <row r="2421" spans="14:15">
      <c r="N2421" s="7"/>
      <c r="O2421" s="7"/>
    </row>
    <row r="2422" spans="14:15">
      <c r="N2422" s="7"/>
      <c r="O2422" s="7"/>
    </row>
    <row r="2423" spans="14:15">
      <c r="N2423" s="7"/>
      <c r="O2423" s="7"/>
    </row>
    <row r="2424" spans="14:15">
      <c r="N2424" s="7"/>
      <c r="O2424" s="7"/>
    </row>
    <row r="2425" spans="14:15">
      <c r="N2425" s="7"/>
      <c r="O2425" s="7"/>
    </row>
    <row r="2426" spans="14:15">
      <c r="N2426" s="7"/>
      <c r="O2426" s="7"/>
    </row>
    <row r="2427" spans="14:15">
      <c r="N2427" s="7"/>
      <c r="O2427" s="7"/>
    </row>
    <row r="2428" spans="14:15">
      <c r="N2428" s="7"/>
      <c r="O2428" s="7"/>
    </row>
    <row r="2429" spans="14:15">
      <c r="N2429" s="7"/>
      <c r="O2429" s="7"/>
    </row>
    <row r="2430" spans="14:15">
      <c r="N2430" s="7"/>
      <c r="O2430" s="7"/>
    </row>
    <row r="2431" spans="14:15">
      <c r="N2431" s="7"/>
      <c r="O2431" s="7"/>
    </row>
    <row r="2432" spans="14:15">
      <c r="N2432" s="7"/>
      <c r="O2432" s="7"/>
    </row>
    <row r="2433" spans="14:15">
      <c r="N2433" s="7"/>
      <c r="O2433" s="7"/>
    </row>
    <row r="2434" spans="14:15">
      <c r="N2434" s="7"/>
      <c r="O2434" s="7"/>
    </row>
    <row r="2435" spans="14:15">
      <c r="N2435" s="7"/>
      <c r="O2435" s="7"/>
    </row>
    <row r="2436" spans="14:15">
      <c r="N2436" s="7"/>
      <c r="O2436" s="7"/>
    </row>
    <row r="2437" spans="14:15">
      <c r="N2437" s="7"/>
      <c r="O2437" s="7"/>
    </row>
    <row r="2438" spans="14:15">
      <c r="N2438" s="7"/>
      <c r="O2438" s="7"/>
    </row>
    <row r="2439" spans="14:15">
      <c r="N2439" s="7"/>
      <c r="O2439" s="7"/>
    </row>
    <row r="2440" spans="14:15">
      <c r="N2440" s="7"/>
      <c r="O2440" s="7"/>
    </row>
    <row r="2441" spans="14:15">
      <c r="N2441" s="7"/>
      <c r="O2441" s="7"/>
    </row>
    <row r="2442" spans="14:15">
      <c r="N2442" s="7"/>
      <c r="O2442" s="7"/>
    </row>
    <row r="2443" spans="14:15">
      <c r="N2443" s="7"/>
      <c r="O2443" s="7"/>
    </row>
    <row r="2444" spans="14:15">
      <c r="N2444" s="7"/>
      <c r="O2444" s="7"/>
    </row>
    <row r="2445" spans="14:15">
      <c r="N2445" s="7"/>
      <c r="O2445" s="7"/>
    </row>
    <row r="2446" spans="14:15">
      <c r="N2446" s="7"/>
      <c r="O2446" s="7"/>
    </row>
    <row r="2447" spans="14:15">
      <c r="N2447" s="7"/>
      <c r="O2447" s="7"/>
    </row>
    <row r="2448" spans="14:15">
      <c r="N2448" s="7"/>
      <c r="O2448" s="7"/>
    </row>
    <row r="2449" spans="14:15">
      <c r="N2449" s="7"/>
      <c r="O2449" s="7"/>
    </row>
    <row r="2450" spans="14:15">
      <c r="N2450" s="7"/>
      <c r="O2450" s="7"/>
    </row>
    <row r="2451" spans="14:15">
      <c r="N2451" s="7"/>
      <c r="O2451" s="7"/>
    </row>
    <row r="2452" spans="14:15">
      <c r="N2452" s="7"/>
      <c r="O2452" s="7"/>
    </row>
    <row r="2453" spans="14:15">
      <c r="N2453" s="7"/>
      <c r="O2453" s="7"/>
    </row>
    <row r="2454" spans="14:15">
      <c r="N2454" s="7"/>
      <c r="O2454" s="7"/>
    </row>
    <row r="2455" spans="14:15">
      <c r="N2455" s="7"/>
      <c r="O2455" s="7"/>
    </row>
    <row r="2456" spans="14:15">
      <c r="N2456" s="7"/>
      <c r="O2456" s="7"/>
    </row>
    <row r="2457" spans="14:15">
      <c r="N2457" s="7"/>
      <c r="O2457" s="7"/>
    </row>
    <row r="2458" spans="14:15">
      <c r="N2458" s="7"/>
      <c r="O2458" s="7"/>
    </row>
    <row r="2459" spans="14:15">
      <c r="N2459" s="7"/>
      <c r="O2459" s="7"/>
    </row>
    <row r="2460" spans="14:15">
      <c r="N2460" s="7"/>
      <c r="O2460" s="7"/>
    </row>
    <row r="2461" spans="14:15">
      <c r="N2461" s="7"/>
      <c r="O2461" s="7"/>
    </row>
    <row r="2462" spans="14:15">
      <c r="N2462" s="7"/>
      <c r="O2462" s="7"/>
    </row>
    <row r="2463" spans="14:15">
      <c r="N2463" s="7"/>
      <c r="O2463" s="7"/>
    </row>
    <row r="2464" spans="14:15">
      <c r="N2464" s="7"/>
      <c r="O2464" s="7"/>
    </row>
    <row r="2465" spans="14:15">
      <c r="N2465" s="7"/>
      <c r="O2465" s="7"/>
    </row>
    <row r="2466" spans="14:15">
      <c r="N2466" s="7"/>
      <c r="O2466" s="7"/>
    </row>
    <row r="2467" spans="14:15">
      <c r="N2467" s="7"/>
      <c r="O2467" s="7"/>
    </row>
    <row r="2468" spans="14:15">
      <c r="N2468" s="7"/>
      <c r="O2468" s="7"/>
    </row>
    <row r="2469" spans="14:15">
      <c r="N2469" s="7"/>
      <c r="O2469" s="7"/>
    </row>
    <row r="2470" spans="14:15">
      <c r="N2470" s="7"/>
      <c r="O2470" s="7"/>
    </row>
    <row r="2471" spans="14:15">
      <c r="N2471" s="7"/>
      <c r="O2471" s="7"/>
    </row>
    <row r="2472" spans="14:15">
      <c r="N2472" s="7"/>
      <c r="O2472" s="7"/>
    </row>
    <row r="2473" spans="14:15">
      <c r="N2473" s="7"/>
      <c r="O2473" s="7"/>
    </row>
    <row r="2474" spans="14:15">
      <c r="N2474" s="7"/>
      <c r="O2474" s="7"/>
    </row>
    <row r="2475" spans="14:15">
      <c r="N2475" s="7"/>
      <c r="O2475" s="7"/>
    </row>
    <row r="2476" spans="14:15">
      <c r="N2476" s="7"/>
      <c r="O2476" s="7"/>
    </row>
    <row r="2477" spans="14:15">
      <c r="N2477" s="7"/>
      <c r="O2477" s="7"/>
    </row>
    <row r="2478" spans="14:15">
      <c r="N2478" s="7"/>
      <c r="O2478" s="7"/>
    </row>
    <row r="2479" spans="14:15">
      <c r="N2479" s="7"/>
      <c r="O2479" s="7"/>
    </row>
    <row r="2480" spans="14:15">
      <c r="N2480" s="7"/>
      <c r="O2480" s="7"/>
    </row>
    <row r="2481" spans="14:15">
      <c r="N2481" s="7"/>
      <c r="O2481" s="7"/>
    </row>
    <row r="2482" spans="14:15">
      <c r="N2482" s="7"/>
      <c r="O2482" s="7"/>
    </row>
    <row r="2483" spans="14:15">
      <c r="N2483" s="7"/>
      <c r="O2483" s="7"/>
    </row>
    <row r="2484" spans="14:15">
      <c r="N2484" s="7"/>
      <c r="O2484" s="7"/>
    </row>
    <row r="2485" spans="14:15">
      <c r="N2485" s="7"/>
      <c r="O2485" s="7"/>
    </row>
    <row r="2486" spans="14:15">
      <c r="N2486" s="7"/>
      <c r="O2486" s="7"/>
    </row>
    <row r="2487" spans="14:15">
      <c r="N2487" s="7"/>
      <c r="O2487" s="7"/>
    </row>
    <row r="2488" spans="14:15">
      <c r="N2488" s="7"/>
      <c r="O2488" s="7"/>
    </row>
    <row r="2489" spans="14:15">
      <c r="N2489" s="7"/>
      <c r="O2489" s="7"/>
    </row>
    <row r="2490" spans="14:15">
      <c r="N2490" s="7"/>
      <c r="O2490" s="7"/>
    </row>
    <row r="2491" spans="14:15">
      <c r="N2491" s="7"/>
      <c r="O2491" s="7"/>
    </row>
    <row r="2492" spans="14:15">
      <c r="N2492" s="7"/>
      <c r="O2492" s="7"/>
    </row>
    <row r="2493" spans="14:15">
      <c r="N2493" s="7"/>
      <c r="O2493" s="7"/>
    </row>
    <row r="2494" spans="14:15">
      <c r="N2494" s="7"/>
      <c r="O2494" s="7"/>
    </row>
    <row r="2495" spans="14:15">
      <c r="N2495" s="7"/>
      <c r="O2495" s="7"/>
    </row>
    <row r="2496" spans="14:15">
      <c r="N2496" s="7"/>
      <c r="O2496" s="7"/>
    </row>
    <row r="2497" spans="14:15">
      <c r="N2497" s="7"/>
      <c r="O2497" s="7"/>
    </row>
    <row r="2498" spans="14:15">
      <c r="N2498" s="7"/>
      <c r="O2498" s="7"/>
    </row>
    <row r="2499" spans="14:15">
      <c r="N2499" s="7"/>
      <c r="O2499" s="7"/>
    </row>
    <row r="2500" spans="14:15">
      <c r="N2500" s="7"/>
      <c r="O2500" s="7"/>
    </row>
    <row r="2501" spans="14:15">
      <c r="N2501" s="7"/>
      <c r="O2501" s="7"/>
    </row>
    <row r="2502" spans="14:15">
      <c r="N2502" s="7"/>
      <c r="O2502" s="7"/>
    </row>
    <row r="2503" spans="14:15">
      <c r="N2503" s="7"/>
      <c r="O2503" s="7"/>
    </row>
    <row r="2504" spans="14:15">
      <c r="N2504" s="7"/>
      <c r="O2504" s="7"/>
    </row>
    <row r="2505" spans="14:15">
      <c r="N2505" s="7"/>
      <c r="O2505" s="7"/>
    </row>
    <row r="2506" spans="14:15">
      <c r="N2506" s="7"/>
      <c r="O2506" s="7"/>
    </row>
    <row r="2507" spans="14:15">
      <c r="N2507" s="7"/>
      <c r="O2507" s="7"/>
    </row>
    <row r="2508" spans="14:15">
      <c r="N2508" s="7"/>
      <c r="O2508" s="7"/>
    </row>
    <row r="2509" spans="14:15">
      <c r="N2509" s="7"/>
      <c r="O2509" s="7"/>
    </row>
    <row r="2510" spans="14:15">
      <c r="N2510" s="7"/>
      <c r="O2510" s="7"/>
    </row>
    <row r="2511" spans="14:15">
      <c r="N2511" s="7"/>
      <c r="O2511" s="7"/>
    </row>
    <row r="2512" spans="14:15">
      <c r="N2512" s="7"/>
      <c r="O2512" s="7"/>
    </row>
    <row r="2513" spans="14:15">
      <c r="N2513" s="7"/>
      <c r="O2513" s="7"/>
    </row>
    <row r="2514" spans="14:15">
      <c r="N2514" s="7"/>
      <c r="O2514" s="7"/>
    </row>
    <row r="2515" spans="14:15">
      <c r="N2515" s="7"/>
      <c r="O2515" s="7"/>
    </row>
    <row r="2516" spans="14:15">
      <c r="N2516" s="7"/>
      <c r="O2516" s="7"/>
    </row>
    <row r="2517" spans="14:15">
      <c r="N2517" s="7"/>
      <c r="O2517" s="7"/>
    </row>
    <row r="2518" spans="14:15">
      <c r="N2518" s="7"/>
      <c r="O2518" s="7"/>
    </row>
    <row r="2519" spans="14:15">
      <c r="N2519" s="7"/>
      <c r="O2519" s="7"/>
    </row>
    <row r="2520" spans="14:15">
      <c r="N2520" s="7"/>
      <c r="O2520" s="7"/>
    </row>
    <row r="2521" spans="14:15">
      <c r="N2521" s="7"/>
      <c r="O2521" s="7"/>
    </row>
    <row r="2522" spans="14:15">
      <c r="N2522" s="7"/>
      <c r="O2522" s="7"/>
    </row>
    <row r="2523" spans="14:15">
      <c r="N2523" s="7"/>
      <c r="O2523" s="7"/>
    </row>
    <row r="2524" spans="14:15">
      <c r="N2524" s="7"/>
      <c r="O2524" s="7"/>
    </row>
    <row r="2525" spans="14:15">
      <c r="N2525" s="7"/>
      <c r="O2525" s="7"/>
    </row>
    <row r="2526" spans="14:15">
      <c r="N2526" s="7"/>
      <c r="O2526" s="7"/>
    </row>
    <row r="2527" spans="14:15">
      <c r="N2527" s="7"/>
      <c r="O2527" s="7"/>
    </row>
    <row r="2528" spans="14:15">
      <c r="N2528" s="7"/>
      <c r="O2528" s="7"/>
    </row>
    <row r="2529" spans="14:15">
      <c r="N2529" s="7"/>
      <c r="O2529" s="7"/>
    </row>
    <row r="2530" spans="14:15">
      <c r="N2530" s="7"/>
      <c r="O2530" s="7"/>
    </row>
    <row r="2531" spans="14:15">
      <c r="N2531" s="7"/>
      <c r="O2531" s="7"/>
    </row>
    <row r="2532" spans="14:15">
      <c r="N2532" s="7"/>
      <c r="O2532" s="7"/>
    </row>
    <row r="2533" spans="14:15">
      <c r="N2533" s="7"/>
      <c r="O2533" s="7"/>
    </row>
    <row r="2534" spans="14:15">
      <c r="N2534" s="7"/>
      <c r="O2534" s="7"/>
    </row>
    <row r="2535" spans="14:15">
      <c r="N2535" s="7"/>
      <c r="O2535" s="7"/>
    </row>
    <row r="2536" spans="14:15">
      <c r="N2536" s="7"/>
      <c r="O2536" s="7"/>
    </row>
    <row r="2537" spans="14:15">
      <c r="N2537" s="7"/>
      <c r="O2537" s="7"/>
    </row>
    <row r="2538" spans="14:15">
      <c r="N2538" s="7"/>
      <c r="O2538" s="7"/>
    </row>
    <row r="2539" spans="14:15">
      <c r="N2539" s="7"/>
      <c r="O2539" s="7"/>
    </row>
    <row r="2540" spans="14:15">
      <c r="N2540" s="7"/>
      <c r="O2540" s="7"/>
    </row>
    <row r="2541" spans="14:15">
      <c r="N2541" s="7"/>
      <c r="O2541" s="7"/>
    </row>
    <row r="2542" spans="14:15">
      <c r="N2542" s="7"/>
      <c r="O2542" s="7"/>
    </row>
    <row r="2543" spans="14:15">
      <c r="N2543" s="7"/>
      <c r="O2543" s="7"/>
    </row>
    <row r="2544" spans="14:15">
      <c r="N2544" s="7"/>
      <c r="O2544" s="7"/>
    </row>
    <row r="2545" spans="14:15">
      <c r="N2545" s="7"/>
      <c r="O2545" s="7"/>
    </row>
    <row r="2546" spans="14:15">
      <c r="N2546" s="7"/>
      <c r="O2546" s="7"/>
    </row>
    <row r="2547" spans="14:15">
      <c r="N2547" s="7"/>
      <c r="O2547" s="7"/>
    </row>
    <row r="2548" spans="14:15">
      <c r="N2548" s="7"/>
      <c r="O2548" s="7"/>
    </row>
    <row r="2549" spans="14:15">
      <c r="N2549" s="7"/>
      <c r="O2549" s="7"/>
    </row>
    <row r="2550" spans="14:15">
      <c r="N2550" s="7"/>
      <c r="O2550" s="7"/>
    </row>
    <row r="2551" spans="14:15">
      <c r="N2551" s="7"/>
      <c r="O2551" s="7"/>
    </row>
    <row r="2552" spans="14:15">
      <c r="N2552" s="7"/>
      <c r="O2552" s="7"/>
    </row>
    <row r="2553" spans="14:15">
      <c r="N2553" s="7"/>
      <c r="O2553" s="7"/>
    </row>
    <row r="2554" spans="14:15">
      <c r="N2554" s="7"/>
      <c r="O2554" s="7"/>
    </row>
    <row r="2555" spans="14:15">
      <c r="N2555" s="7"/>
      <c r="O2555" s="7"/>
    </row>
    <row r="2556" spans="14:15">
      <c r="N2556" s="7"/>
      <c r="O2556" s="7"/>
    </row>
    <row r="2557" spans="14:15">
      <c r="N2557" s="7"/>
      <c r="O2557" s="7"/>
    </row>
    <row r="2558" spans="14:15">
      <c r="N2558" s="7"/>
      <c r="O2558" s="7"/>
    </row>
    <row r="2559" spans="14:15">
      <c r="N2559" s="7"/>
      <c r="O2559" s="7"/>
    </row>
    <row r="2560" spans="14:15">
      <c r="N2560" s="7"/>
      <c r="O2560" s="7"/>
    </row>
    <row r="2561" spans="14:15">
      <c r="N2561" s="7"/>
      <c r="O2561" s="7"/>
    </row>
    <row r="2562" spans="14:15">
      <c r="N2562" s="7"/>
      <c r="O2562" s="7"/>
    </row>
    <row r="2563" spans="14:15">
      <c r="N2563" s="7"/>
      <c r="O2563" s="7"/>
    </row>
    <row r="2564" spans="14:15">
      <c r="N2564" s="7"/>
      <c r="O2564" s="7"/>
    </row>
    <row r="2565" spans="14:15">
      <c r="N2565" s="7"/>
      <c r="O2565" s="7"/>
    </row>
    <row r="2566" spans="14:15">
      <c r="N2566" s="7"/>
      <c r="O2566" s="7"/>
    </row>
    <row r="2567" spans="14:15">
      <c r="N2567" s="7"/>
      <c r="O2567" s="7"/>
    </row>
    <row r="2568" spans="14:15">
      <c r="N2568" s="7"/>
      <c r="O2568" s="7"/>
    </row>
    <row r="2569" spans="14:15">
      <c r="N2569" s="7"/>
      <c r="O2569" s="7"/>
    </row>
    <row r="2570" spans="14:15">
      <c r="N2570" s="7"/>
      <c r="O2570" s="7"/>
    </row>
    <row r="2571" spans="14:15">
      <c r="N2571" s="7"/>
      <c r="O2571" s="7"/>
    </row>
    <row r="2572" spans="14:15">
      <c r="N2572" s="7"/>
      <c r="O2572" s="7"/>
    </row>
    <row r="2573" spans="14:15">
      <c r="N2573" s="7"/>
      <c r="O2573" s="7"/>
    </row>
    <row r="2574" spans="14:15">
      <c r="N2574" s="7"/>
      <c r="O2574" s="7"/>
    </row>
    <row r="2575" spans="14:15">
      <c r="N2575" s="7"/>
      <c r="O2575" s="7"/>
    </row>
    <row r="2576" spans="14:15">
      <c r="N2576" s="7"/>
      <c r="O2576" s="7"/>
    </row>
    <row r="2577" spans="14:15">
      <c r="N2577" s="7"/>
      <c r="O2577" s="7"/>
    </row>
    <row r="2578" spans="14:15">
      <c r="N2578" s="7"/>
      <c r="O2578" s="7"/>
    </row>
    <row r="2579" spans="14:15">
      <c r="N2579" s="7"/>
      <c r="O2579" s="7"/>
    </row>
    <row r="2580" spans="14:15">
      <c r="N2580" s="7"/>
      <c r="O2580" s="7"/>
    </row>
    <row r="2581" spans="14:15">
      <c r="N2581" s="7"/>
      <c r="O2581" s="7"/>
    </row>
    <row r="2582" spans="14:15">
      <c r="N2582" s="7"/>
      <c r="O2582" s="7"/>
    </row>
    <row r="2583" spans="14:15">
      <c r="N2583" s="7"/>
      <c r="O2583" s="7"/>
    </row>
    <row r="2584" spans="14:15">
      <c r="N2584" s="7"/>
      <c r="O2584" s="7"/>
    </row>
    <row r="2585" spans="14:15">
      <c r="N2585" s="7"/>
      <c r="O2585" s="7"/>
    </row>
    <row r="2586" spans="14:15">
      <c r="N2586" s="7"/>
      <c r="O2586" s="7"/>
    </row>
    <row r="2587" spans="14:15">
      <c r="N2587" s="7"/>
      <c r="O2587" s="7"/>
    </row>
    <row r="2588" spans="14:15">
      <c r="N2588" s="7"/>
      <c r="O2588" s="7"/>
    </row>
    <row r="2589" spans="14:15">
      <c r="N2589" s="7"/>
      <c r="O2589" s="7"/>
    </row>
    <row r="2590" spans="14:15">
      <c r="N2590" s="7"/>
      <c r="O2590" s="7"/>
    </row>
    <row r="2591" spans="14:15">
      <c r="N2591" s="7"/>
      <c r="O2591" s="7"/>
    </row>
    <row r="2592" spans="14:15">
      <c r="N2592" s="7"/>
      <c r="O2592" s="7"/>
    </row>
    <row r="2593" spans="14:15">
      <c r="N2593" s="7"/>
      <c r="O2593" s="7"/>
    </row>
    <row r="2594" spans="14:15">
      <c r="N2594" s="7"/>
      <c r="O2594" s="7"/>
    </row>
    <row r="2595" spans="14:15">
      <c r="N2595" s="7"/>
      <c r="O2595" s="7"/>
    </row>
    <row r="2596" spans="14:15">
      <c r="N2596" s="7"/>
      <c r="O2596" s="7"/>
    </row>
    <row r="2597" spans="14:15">
      <c r="N2597" s="7"/>
      <c r="O2597" s="7"/>
    </row>
    <row r="2598" spans="14:15">
      <c r="N2598" s="7"/>
      <c r="O2598" s="7"/>
    </row>
    <row r="2599" spans="14:15">
      <c r="N2599" s="7"/>
      <c r="O2599" s="7"/>
    </row>
    <row r="2600" spans="14:15">
      <c r="N2600" s="7"/>
      <c r="O2600" s="7"/>
    </row>
    <row r="2601" spans="14:15">
      <c r="N2601" s="7"/>
      <c r="O2601" s="7"/>
    </row>
    <row r="2602" spans="14:15">
      <c r="N2602" s="7"/>
      <c r="O2602" s="7"/>
    </row>
    <row r="2603" spans="14:15">
      <c r="N2603" s="7"/>
      <c r="O2603" s="7"/>
    </row>
    <row r="2604" spans="14:15">
      <c r="N2604" s="7"/>
      <c r="O2604" s="7"/>
    </row>
    <row r="2605" spans="14:15">
      <c r="N2605" s="7"/>
      <c r="O2605" s="7"/>
    </row>
    <row r="2606" spans="14:15">
      <c r="N2606" s="7"/>
      <c r="O2606" s="7"/>
    </row>
    <row r="2607" spans="14:15">
      <c r="N2607" s="7"/>
      <c r="O2607" s="7"/>
    </row>
    <row r="2608" spans="14:15">
      <c r="N2608" s="7"/>
      <c r="O2608" s="7"/>
    </row>
    <row r="2609" spans="14:15">
      <c r="N2609" s="7"/>
      <c r="O2609" s="7"/>
    </row>
    <row r="2610" spans="14:15">
      <c r="N2610" s="7"/>
      <c r="O2610" s="7"/>
    </row>
    <row r="2611" spans="14:15">
      <c r="N2611" s="7"/>
      <c r="O2611" s="7"/>
    </row>
    <row r="2612" spans="14:15">
      <c r="N2612" s="7"/>
      <c r="O2612" s="7"/>
    </row>
    <row r="2613" spans="14:15">
      <c r="N2613" s="7"/>
      <c r="O2613" s="7"/>
    </row>
    <row r="2614" spans="14:15">
      <c r="N2614" s="7"/>
      <c r="O2614" s="7"/>
    </row>
    <row r="2615" spans="14:15">
      <c r="N2615" s="7"/>
      <c r="O2615" s="7"/>
    </row>
    <row r="2616" spans="14:15">
      <c r="N2616" s="7"/>
      <c r="O2616" s="7"/>
    </row>
    <row r="2617" spans="14:15">
      <c r="N2617" s="7"/>
      <c r="O2617" s="7"/>
    </row>
    <row r="2618" spans="14:15">
      <c r="N2618" s="7"/>
      <c r="O2618" s="7"/>
    </row>
    <row r="2619" spans="14:15">
      <c r="N2619" s="7"/>
      <c r="O2619" s="7"/>
    </row>
    <row r="2620" spans="14:15">
      <c r="N2620" s="7"/>
      <c r="O2620" s="7"/>
    </row>
    <row r="2621" spans="14:15">
      <c r="N2621" s="7"/>
      <c r="O2621" s="7"/>
    </row>
    <row r="2622" spans="14:15">
      <c r="N2622" s="7"/>
      <c r="O2622" s="7"/>
    </row>
    <row r="2623" spans="14:15">
      <c r="N2623" s="7"/>
      <c r="O2623" s="7"/>
    </row>
    <row r="2624" spans="14:15">
      <c r="N2624" s="7"/>
      <c r="O2624" s="7"/>
    </row>
    <row r="2625" spans="14:15">
      <c r="N2625" s="7"/>
      <c r="O2625" s="7"/>
    </row>
    <row r="2626" spans="14:15">
      <c r="N2626" s="7"/>
      <c r="O2626" s="7"/>
    </row>
    <row r="2627" spans="14:15">
      <c r="N2627" s="7"/>
      <c r="O2627" s="7"/>
    </row>
    <row r="2628" spans="14:15">
      <c r="N2628" s="7"/>
      <c r="O2628" s="7"/>
    </row>
    <row r="2629" spans="14:15">
      <c r="N2629" s="7"/>
      <c r="O2629" s="7"/>
    </row>
    <row r="2630" spans="14:15">
      <c r="N2630" s="7"/>
      <c r="O2630" s="7"/>
    </row>
    <row r="2631" spans="14:15">
      <c r="N2631" s="7"/>
      <c r="O2631" s="7"/>
    </row>
    <row r="2632" spans="14:15">
      <c r="N2632" s="7"/>
      <c r="O2632" s="7"/>
    </row>
    <row r="2633" spans="14:15">
      <c r="N2633" s="7"/>
      <c r="O2633" s="7"/>
    </row>
    <row r="2634" spans="14:15">
      <c r="N2634" s="7"/>
      <c r="O2634" s="7"/>
    </row>
    <row r="2635" spans="14:15">
      <c r="N2635" s="7"/>
      <c r="O2635" s="7"/>
    </row>
    <row r="2636" spans="14:15">
      <c r="N2636" s="7"/>
      <c r="O2636" s="7"/>
    </row>
    <row r="2637" spans="14:15">
      <c r="N2637" s="7"/>
      <c r="O2637" s="7"/>
    </row>
    <row r="2638" spans="14:15">
      <c r="N2638" s="7"/>
      <c r="O2638" s="7"/>
    </row>
    <row r="2639" spans="14:15">
      <c r="N2639" s="7"/>
      <c r="O2639" s="7"/>
    </row>
    <row r="2640" spans="14:15">
      <c r="N2640" s="7"/>
      <c r="O2640" s="7"/>
    </row>
    <row r="2641" spans="14:15">
      <c r="N2641" s="7"/>
      <c r="O2641" s="7"/>
    </row>
    <row r="2642" spans="14:15">
      <c r="N2642" s="7"/>
      <c r="O2642" s="7"/>
    </row>
    <row r="2643" spans="14:15">
      <c r="N2643" s="7"/>
      <c r="O2643" s="7"/>
    </row>
    <row r="2644" spans="14:15">
      <c r="N2644" s="7"/>
      <c r="O2644" s="7"/>
    </row>
    <row r="2645" spans="14:15">
      <c r="N2645" s="7"/>
      <c r="O2645" s="7"/>
    </row>
    <row r="2646" spans="14:15">
      <c r="N2646" s="7"/>
      <c r="O2646" s="7"/>
    </row>
    <row r="2647" spans="14:15">
      <c r="N2647" s="7"/>
      <c r="O2647" s="7"/>
    </row>
    <row r="2648" spans="14:15">
      <c r="N2648" s="7"/>
      <c r="O2648" s="7"/>
    </row>
    <row r="2649" spans="14:15">
      <c r="N2649" s="7"/>
      <c r="O2649" s="7"/>
    </row>
    <row r="2650" spans="14:15">
      <c r="N2650" s="7"/>
      <c r="O2650" s="7"/>
    </row>
    <row r="2651" spans="14:15">
      <c r="N2651" s="7"/>
      <c r="O2651" s="7"/>
    </row>
    <row r="2652" spans="14:15">
      <c r="N2652" s="7"/>
      <c r="O2652" s="7"/>
    </row>
    <row r="2653" spans="14:15">
      <c r="N2653" s="7"/>
      <c r="O2653" s="7"/>
    </row>
    <row r="2654" spans="14:15">
      <c r="N2654" s="7"/>
      <c r="O2654" s="7"/>
    </row>
    <row r="2655" spans="14:15">
      <c r="N2655" s="7"/>
      <c r="O2655" s="7"/>
    </row>
    <row r="2656" spans="14:15">
      <c r="N2656" s="7"/>
      <c r="O2656" s="7"/>
    </row>
    <row r="2657" spans="14:15">
      <c r="N2657" s="7"/>
      <c r="O2657" s="7"/>
    </row>
    <row r="2658" spans="14:15">
      <c r="N2658" s="7"/>
      <c r="O2658" s="7"/>
    </row>
    <row r="2659" spans="14:15">
      <c r="N2659" s="7"/>
      <c r="O2659" s="7"/>
    </row>
    <row r="2660" spans="14:15">
      <c r="N2660" s="7"/>
      <c r="O2660" s="7"/>
    </row>
    <row r="2661" spans="14:15">
      <c r="N2661" s="7"/>
      <c r="O2661" s="7"/>
    </row>
    <row r="2662" spans="14:15">
      <c r="N2662" s="7"/>
      <c r="O2662" s="7"/>
    </row>
    <row r="2663" spans="14:15">
      <c r="N2663" s="7"/>
      <c r="O2663" s="7"/>
    </row>
    <row r="2664" spans="14:15">
      <c r="N2664" s="7"/>
      <c r="O2664" s="7"/>
    </row>
    <row r="2665" spans="14:15">
      <c r="N2665" s="7"/>
      <c r="O2665" s="7"/>
    </row>
    <row r="2666" spans="14:15">
      <c r="N2666" s="7"/>
      <c r="O2666" s="7"/>
    </row>
    <row r="2667" spans="14:15">
      <c r="N2667" s="7"/>
      <c r="O2667" s="7"/>
    </row>
    <row r="2668" spans="14:15">
      <c r="N2668" s="7"/>
      <c r="O2668" s="7"/>
    </row>
    <row r="2669" spans="14:15">
      <c r="N2669" s="7"/>
      <c r="O2669" s="7"/>
    </row>
    <row r="2670" spans="14:15">
      <c r="N2670" s="7"/>
      <c r="O2670" s="7"/>
    </row>
    <row r="2671" spans="14:15">
      <c r="N2671" s="7"/>
      <c r="O2671" s="7"/>
    </row>
    <row r="2672" spans="14:15">
      <c r="N2672" s="7"/>
      <c r="O2672" s="7"/>
    </row>
    <row r="2673" spans="14:15">
      <c r="N2673" s="7"/>
      <c r="O2673" s="7"/>
    </row>
    <row r="2674" spans="14:15">
      <c r="N2674" s="7"/>
      <c r="O2674" s="7"/>
    </row>
    <row r="2675" spans="14:15">
      <c r="N2675" s="7"/>
      <c r="O2675" s="7"/>
    </row>
    <row r="2676" spans="14:15">
      <c r="N2676" s="7"/>
      <c r="O2676" s="7"/>
    </row>
    <row r="2677" spans="14:15">
      <c r="N2677" s="7"/>
      <c r="O2677" s="7"/>
    </row>
    <row r="2678" spans="14:15">
      <c r="N2678" s="7"/>
      <c r="O2678" s="7"/>
    </row>
    <row r="2679" spans="14:15">
      <c r="N2679" s="7"/>
      <c r="O2679" s="7"/>
    </row>
    <row r="2680" spans="14:15">
      <c r="N2680" s="7"/>
      <c r="O2680" s="7"/>
    </row>
    <row r="2681" spans="14:15">
      <c r="N2681" s="7"/>
      <c r="O2681" s="7"/>
    </row>
    <row r="2682" spans="14:15">
      <c r="N2682" s="7"/>
      <c r="O2682" s="7"/>
    </row>
    <row r="2683" spans="14:15">
      <c r="N2683" s="7"/>
      <c r="O2683" s="7"/>
    </row>
    <row r="2684" spans="14:15">
      <c r="N2684" s="7"/>
      <c r="O2684" s="7"/>
    </row>
    <row r="2685" spans="14:15">
      <c r="N2685" s="7"/>
      <c r="O2685" s="7"/>
    </row>
    <row r="2686" spans="14:15">
      <c r="N2686" s="7"/>
      <c r="O2686" s="7"/>
    </row>
    <row r="2687" spans="14:15">
      <c r="N2687" s="7"/>
      <c r="O2687" s="7"/>
    </row>
    <row r="2688" spans="14:15">
      <c r="N2688" s="7"/>
      <c r="O2688" s="7"/>
    </row>
    <row r="2689" spans="14:15">
      <c r="N2689" s="7"/>
      <c r="O2689" s="7"/>
    </row>
    <row r="2690" spans="14:15">
      <c r="N2690" s="7"/>
      <c r="O2690" s="7"/>
    </row>
    <row r="2691" spans="14:15">
      <c r="N2691" s="7"/>
      <c r="O2691" s="7"/>
    </row>
    <row r="2692" spans="14:15">
      <c r="N2692" s="7"/>
      <c r="O2692" s="7"/>
    </row>
    <row r="2693" spans="14:15">
      <c r="N2693" s="7"/>
      <c r="O2693" s="7"/>
    </row>
    <row r="2694" spans="14:15">
      <c r="N2694" s="7"/>
      <c r="O2694" s="7"/>
    </row>
    <row r="2695" spans="14:15">
      <c r="N2695" s="7"/>
      <c r="O2695" s="7"/>
    </row>
    <row r="2696" spans="14:15">
      <c r="N2696" s="7"/>
      <c r="O2696" s="7"/>
    </row>
    <row r="2697" spans="14:15">
      <c r="N2697" s="7"/>
      <c r="O2697" s="7"/>
    </row>
    <row r="2698" spans="14:15">
      <c r="N2698" s="7"/>
      <c r="O2698" s="7"/>
    </row>
    <row r="2699" spans="14:15">
      <c r="N2699" s="7"/>
      <c r="O2699" s="7"/>
    </row>
    <row r="2700" spans="14:15">
      <c r="N2700" s="7"/>
      <c r="O2700" s="7"/>
    </row>
    <row r="2701" spans="14:15">
      <c r="N2701" s="7"/>
      <c r="O2701" s="7"/>
    </row>
    <row r="2702" spans="14:15">
      <c r="N2702" s="7"/>
      <c r="O2702" s="7"/>
    </row>
    <row r="2703" spans="14:15">
      <c r="N2703" s="7"/>
      <c r="O2703" s="7"/>
    </row>
    <row r="2704" spans="14:15">
      <c r="N2704" s="7"/>
      <c r="O2704" s="7"/>
    </row>
    <row r="2705" spans="14:15">
      <c r="N2705" s="7"/>
      <c r="O2705" s="7"/>
    </row>
    <row r="2706" spans="14:15">
      <c r="N2706" s="7"/>
      <c r="O2706" s="7"/>
    </row>
    <row r="2707" spans="14:15">
      <c r="N2707" s="7"/>
      <c r="O2707" s="7"/>
    </row>
    <row r="2708" spans="14:15">
      <c r="N2708" s="7"/>
      <c r="O2708" s="7"/>
    </row>
    <row r="2709" spans="14:15">
      <c r="N2709" s="7"/>
      <c r="O2709" s="7"/>
    </row>
    <row r="2710" spans="14:15">
      <c r="N2710" s="7"/>
      <c r="O2710" s="7"/>
    </row>
    <row r="2711" spans="14:15">
      <c r="N2711" s="7"/>
      <c r="O2711" s="7"/>
    </row>
    <row r="2712" spans="14:15">
      <c r="N2712" s="7"/>
      <c r="O2712" s="7"/>
    </row>
    <row r="2713" spans="14:15">
      <c r="N2713" s="7"/>
      <c r="O2713" s="7"/>
    </row>
    <row r="2714" spans="14:15">
      <c r="N2714" s="7"/>
      <c r="O2714" s="7"/>
    </row>
    <row r="2715" spans="14:15">
      <c r="N2715" s="7"/>
      <c r="O2715" s="7"/>
    </row>
    <row r="2716" spans="14:15">
      <c r="N2716" s="7"/>
      <c r="O2716" s="7"/>
    </row>
    <row r="2717" spans="14:15">
      <c r="N2717" s="7"/>
      <c r="O2717" s="7"/>
    </row>
    <row r="2718" spans="14:15">
      <c r="N2718" s="7"/>
      <c r="O2718" s="7"/>
    </row>
    <row r="2719" spans="14:15">
      <c r="N2719" s="7"/>
      <c r="O2719" s="7"/>
    </row>
    <row r="2720" spans="14:15">
      <c r="N2720" s="7"/>
      <c r="O2720" s="7"/>
    </row>
    <row r="2721" spans="14:15">
      <c r="N2721" s="7"/>
      <c r="O2721" s="7"/>
    </row>
    <row r="2722" spans="14:15">
      <c r="N2722" s="7"/>
      <c r="O2722" s="7"/>
    </row>
    <row r="2723" spans="14:15">
      <c r="N2723" s="7"/>
      <c r="O2723" s="7"/>
    </row>
    <row r="2724" spans="14:15">
      <c r="N2724" s="7"/>
      <c r="O2724" s="7"/>
    </row>
    <row r="2725" spans="14:15">
      <c r="N2725" s="7"/>
      <c r="O2725" s="7"/>
    </row>
    <row r="2726" spans="14:15">
      <c r="N2726" s="7"/>
      <c r="O2726" s="7"/>
    </row>
    <row r="2727" spans="14:15">
      <c r="N2727" s="7"/>
      <c r="O2727" s="7"/>
    </row>
    <row r="2728" spans="14:15">
      <c r="N2728" s="7"/>
      <c r="O2728" s="7"/>
    </row>
    <row r="2729" spans="14:15">
      <c r="N2729" s="7"/>
      <c r="O2729" s="7"/>
    </row>
    <row r="2730" spans="14:15">
      <c r="N2730" s="7"/>
      <c r="O2730" s="7"/>
    </row>
    <row r="2731" spans="14:15">
      <c r="N2731" s="7"/>
      <c r="O2731" s="7"/>
    </row>
    <row r="2732" spans="14:15">
      <c r="N2732" s="7"/>
      <c r="O2732" s="7"/>
    </row>
    <row r="2733" spans="14:15">
      <c r="N2733" s="7"/>
      <c r="O2733" s="7"/>
    </row>
    <row r="2734" spans="14:15">
      <c r="N2734" s="7"/>
      <c r="O2734" s="7"/>
    </row>
    <row r="2735" spans="14:15">
      <c r="N2735" s="7"/>
      <c r="O2735" s="7"/>
    </row>
    <row r="2736" spans="14:15">
      <c r="N2736" s="7"/>
      <c r="O2736" s="7"/>
    </row>
    <row r="2737" spans="14:15">
      <c r="N2737" s="7"/>
      <c r="O2737" s="7"/>
    </row>
    <row r="2738" spans="14:15">
      <c r="N2738" s="7"/>
      <c r="O2738" s="7"/>
    </row>
    <row r="2739" spans="14:15">
      <c r="N2739" s="7"/>
      <c r="O2739" s="7"/>
    </row>
    <row r="2740" spans="14:15">
      <c r="N2740" s="7"/>
      <c r="O2740" s="7"/>
    </row>
    <row r="2741" spans="14:15">
      <c r="N2741" s="7"/>
      <c r="O2741" s="7"/>
    </row>
    <row r="2742" spans="14:15">
      <c r="N2742" s="7"/>
      <c r="O2742" s="7"/>
    </row>
    <row r="2743" spans="14:15">
      <c r="N2743" s="7"/>
      <c r="O2743" s="7"/>
    </row>
    <row r="2744" spans="14:15">
      <c r="N2744" s="7"/>
      <c r="O2744" s="7"/>
    </row>
    <row r="2745" spans="14:15">
      <c r="N2745" s="7"/>
      <c r="O2745" s="7"/>
    </row>
    <row r="2746" spans="14:15">
      <c r="N2746" s="7"/>
      <c r="O2746" s="7"/>
    </row>
    <row r="2747" spans="14:15">
      <c r="N2747" s="7"/>
      <c r="O2747" s="7"/>
    </row>
    <row r="2748" spans="14:15">
      <c r="N2748" s="7"/>
      <c r="O2748" s="7"/>
    </row>
    <row r="2749" spans="14:15">
      <c r="N2749" s="7"/>
      <c r="O2749" s="7"/>
    </row>
    <row r="2750" spans="14:15">
      <c r="N2750" s="7"/>
      <c r="O2750" s="7"/>
    </row>
    <row r="2751" spans="14:15">
      <c r="N2751" s="7"/>
      <c r="O2751" s="7"/>
    </row>
    <row r="2752" spans="14:15">
      <c r="N2752" s="7"/>
      <c r="O2752" s="7"/>
    </row>
    <row r="2753" spans="14:15">
      <c r="N2753" s="7"/>
      <c r="O2753" s="7"/>
    </row>
    <row r="2754" spans="14:15">
      <c r="N2754" s="7"/>
      <c r="O2754" s="7"/>
    </row>
    <row r="2755" spans="14:15">
      <c r="N2755" s="7"/>
      <c r="O2755" s="7"/>
    </row>
    <row r="2756" spans="14:15">
      <c r="N2756" s="7"/>
      <c r="O2756" s="7"/>
    </row>
    <row r="2757" spans="14:15">
      <c r="N2757" s="7"/>
      <c r="O2757" s="7"/>
    </row>
    <row r="2758" spans="14:15">
      <c r="N2758" s="7"/>
      <c r="O2758" s="7"/>
    </row>
    <row r="2759" spans="14:15">
      <c r="N2759" s="7"/>
      <c r="O2759" s="7"/>
    </row>
    <row r="2760" spans="14:15">
      <c r="N2760" s="7"/>
      <c r="O2760" s="7"/>
    </row>
    <row r="2761" spans="14:15">
      <c r="N2761" s="7"/>
      <c r="O2761" s="7"/>
    </row>
    <row r="2762" spans="14:15">
      <c r="N2762" s="7"/>
      <c r="O2762" s="7"/>
    </row>
    <row r="2763" spans="14:15">
      <c r="N2763" s="7"/>
      <c r="O2763" s="7"/>
    </row>
    <row r="2764" spans="14:15">
      <c r="N2764" s="7"/>
      <c r="O2764" s="7"/>
    </row>
    <row r="2765" spans="14:15">
      <c r="N2765" s="7"/>
      <c r="O2765" s="7"/>
    </row>
    <row r="2766" spans="14:15">
      <c r="N2766" s="7"/>
      <c r="O2766" s="7"/>
    </row>
    <row r="2767" spans="14:15">
      <c r="N2767" s="7"/>
      <c r="O2767" s="7"/>
    </row>
    <row r="2768" spans="14:15">
      <c r="N2768" s="7"/>
      <c r="O2768" s="7"/>
    </row>
    <row r="2769" spans="14:15">
      <c r="N2769" s="7"/>
      <c r="O2769" s="7"/>
    </row>
    <row r="2770" spans="14:15">
      <c r="N2770" s="7"/>
      <c r="O2770" s="7"/>
    </row>
    <row r="2771" spans="14:15">
      <c r="N2771" s="7"/>
      <c r="O2771" s="7"/>
    </row>
    <row r="2772" spans="14:15">
      <c r="N2772" s="7"/>
      <c r="O2772" s="7"/>
    </row>
    <row r="2773" spans="14:15">
      <c r="N2773" s="7"/>
      <c r="O2773" s="7"/>
    </row>
    <row r="2774" spans="14:15">
      <c r="N2774" s="7"/>
      <c r="O2774" s="7"/>
    </row>
    <row r="2775" spans="14:15">
      <c r="N2775" s="7"/>
      <c r="O2775" s="7"/>
    </row>
    <row r="2776" spans="14:15">
      <c r="N2776" s="7"/>
      <c r="O2776" s="7"/>
    </row>
    <row r="2777" spans="14:15">
      <c r="N2777" s="7"/>
      <c r="O2777" s="7"/>
    </row>
    <row r="2778" spans="14:15">
      <c r="N2778" s="7"/>
      <c r="O2778" s="7"/>
    </row>
    <row r="2779" spans="14:15">
      <c r="N2779" s="7"/>
      <c r="O2779" s="7"/>
    </row>
    <row r="2780" spans="14:15">
      <c r="N2780" s="7"/>
      <c r="O2780" s="7"/>
    </row>
    <row r="2781" spans="14:15">
      <c r="N2781" s="7"/>
      <c r="O2781" s="7"/>
    </row>
    <row r="2782" spans="14:15">
      <c r="N2782" s="7"/>
      <c r="O2782" s="7"/>
    </row>
    <row r="2783" spans="14:15">
      <c r="N2783" s="7"/>
      <c r="O2783" s="7"/>
    </row>
    <row r="2784" spans="14:15">
      <c r="N2784" s="7"/>
      <c r="O2784" s="7"/>
    </row>
    <row r="2785" spans="14:15">
      <c r="N2785" s="7"/>
      <c r="O2785" s="7"/>
    </row>
    <row r="2786" spans="14:15">
      <c r="N2786" s="7"/>
      <c r="O2786" s="7"/>
    </row>
    <row r="2787" spans="14:15">
      <c r="N2787" s="7"/>
      <c r="O2787" s="7"/>
    </row>
    <row r="2788" spans="14:15">
      <c r="N2788" s="7"/>
      <c r="O2788" s="7"/>
    </row>
    <row r="2789" spans="14:15">
      <c r="N2789" s="7"/>
      <c r="O2789" s="7"/>
    </row>
    <row r="2790" spans="14:15">
      <c r="N2790" s="7"/>
      <c r="O2790" s="7"/>
    </row>
    <row r="2791" spans="14:15">
      <c r="N2791" s="7"/>
      <c r="O2791" s="7"/>
    </row>
    <row r="2792" spans="14:15">
      <c r="N2792" s="7"/>
      <c r="O2792" s="7"/>
    </row>
    <row r="2793" spans="14:15">
      <c r="N2793" s="7"/>
      <c r="O2793" s="7"/>
    </row>
    <row r="2794" spans="14:15">
      <c r="N2794" s="7"/>
      <c r="O2794" s="7"/>
    </row>
    <row r="2795" spans="14:15">
      <c r="N2795" s="7"/>
      <c r="O2795" s="7"/>
    </row>
    <row r="2796" spans="14:15">
      <c r="N2796" s="7"/>
      <c r="O2796" s="7"/>
    </row>
    <row r="2797" spans="14:15">
      <c r="N2797" s="7"/>
      <c r="O2797" s="7"/>
    </row>
    <row r="2798" spans="14:15">
      <c r="N2798" s="7"/>
      <c r="O2798" s="7"/>
    </row>
    <row r="2799" spans="14:15">
      <c r="N2799" s="7"/>
      <c r="O2799" s="7"/>
    </row>
    <row r="2800" spans="14:15">
      <c r="N2800" s="7"/>
      <c r="O2800" s="7"/>
    </row>
    <row r="2801" spans="14:15">
      <c r="N2801" s="7"/>
      <c r="O2801" s="7"/>
    </row>
    <row r="2802" spans="14:15">
      <c r="N2802" s="7"/>
      <c r="O2802" s="7"/>
    </row>
    <row r="2803" spans="14:15">
      <c r="N2803" s="7"/>
      <c r="O2803" s="7"/>
    </row>
    <row r="2804" spans="14:15">
      <c r="N2804" s="7"/>
      <c r="O2804" s="7"/>
    </row>
    <row r="2805" spans="14:15">
      <c r="N2805" s="7"/>
      <c r="O2805" s="7"/>
    </row>
    <row r="2806" spans="14:15">
      <c r="N2806" s="7"/>
      <c r="O2806" s="7"/>
    </row>
    <row r="2807" spans="14:15">
      <c r="N2807" s="7"/>
      <c r="O2807" s="7"/>
    </row>
    <row r="2808" spans="14:15">
      <c r="N2808" s="7"/>
      <c r="O2808" s="7"/>
    </row>
    <row r="2809" spans="14:15">
      <c r="N2809" s="7"/>
      <c r="O2809" s="7"/>
    </row>
    <row r="2810" spans="14:15">
      <c r="N2810" s="7"/>
      <c r="O2810" s="7"/>
    </row>
    <row r="2811" spans="14:15">
      <c r="N2811" s="7"/>
      <c r="O2811" s="7"/>
    </row>
    <row r="2812" spans="14:15">
      <c r="N2812" s="7"/>
      <c r="O2812" s="7"/>
    </row>
    <row r="2813" spans="14:15">
      <c r="N2813" s="7"/>
      <c r="O2813" s="7"/>
    </row>
    <row r="2814" spans="14:15">
      <c r="N2814" s="7"/>
      <c r="O2814" s="7"/>
    </row>
    <row r="2815" spans="14:15">
      <c r="N2815" s="7"/>
      <c r="O2815" s="7"/>
    </row>
    <row r="2816" spans="14:15">
      <c r="N2816" s="7"/>
      <c r="O2816" s="7"/>
    </row>
    <row r="2817" spans="14:15">
      <c r="N2817" s="7"/>
      <c r="O2817" s="7"/>
    </row>
    <row r="2818" spans="14:15">
      <c r="N2818" s="7"/>
      <c r="O2818" s="7"/>
    </row>
    <row r="2819" spans="14:15">
      <c r="N2819" s="7"/>
      <c r="O2819" s="7"/>
    </row>
    <row r="2820" spans="14:15">
      <c r="N2820" s="7"/>
      <c r="O2820" s="7"/>
    </row>
    <row r="2821" spans="14:15">
      <c r="N2821" s="7"/>
      <c r="O2821" s="7"/>
    </row>
    <row r="2822" spans="14:15">
      <c r="N2822" s="7"/>
      <c r="O2822" s="7"/>
    </row>
    <row r="2823" spans="14:15">
      <c r="N2823" s="7"/>
      <c r="O2823" s="7"/>
    </row>
    <row r="2824" spans="14:15">
      <c r="N2824" s="7"/>
      <c r="O2824" s="7"/>
    </row>
    <row r="2825" spans="14:15">
      <c r="N2825" s="7"/>
      <c r="O2825" s="7"/>
    </row>
    <row r="2826" spans="14:15">
      <c r="N2826" s="7"/>
      <c r="O2826" s="7"/>
    </row>
    <row r="2827" spans="14:15">
      <c r="N2827" s="7"/>
      <c r="O2827" s="7"/>
    </row>
    <row r="2828" spans="14:15">
      <c r="N2828" s="7"/>
      <c r="O2828" s="7"/>
    </row>
    <row r="2829" spans="14:15">
      <c r="N2829" s="7"/>
      <c r="O2829" s="7"/>
    </row>
    <row r="2830" spans="14:15">
      <c r="N2830" s="7"/>
      <c r="O2830" s="7"/>
    </row>
    <row r="2831" spans="14:15">
      <c r="N2831" s="7"/>
      <c r="O2831" s="7"/>
    </row>
    <row r="2832" spans="14:15">
      <c r="N2832" s="7"/>
      <c r="O2832" s="7"/>
    </row>
    <row r="2833" spans="14:15">
      <c r="N2833" s="7"/>
      <c r="O2833" s="7"/>
    </row>
    <row r="2834" spans="14:15">
      <c r="N2834" s="7"/>
      <c r="O2834" s="7"/>
    </row>
    <row r="2835" spans="14:15">
      <c r="N2835" s="7"/>
      <c r="O2835" s="7"/>
    </row>
    <row r="2836" spans="14:15">
      <c r="N2836" s="7"/>
      <c r="O2836" s="7"/>
    </row>
    <row r="2837" spans="14:15">
      <c r="N2837" s="7"/>
      <c r="O2837" s="7"/>
    </row>
    <row r="2838" spans="14:15">
      <c r="N2838" s="7"/>
      <c r="O2838" s="7"/>
    </row>
    <row r="2839" spans="14:15">
      <c r="N2839" s="7"/>
      <c r="O2839" s="7"/>
    </row>
    <row r="2840" spans="14:15">
      <c r="N2840" s="7"/>
      <c r="O2840" s="7"/>
    </row>
    <row r="2841" spans="14:15">
      <c r="N2841" s="7"/>
      <c r="O2841" s="7"/>
    </row>
    <row r="2842" spans="14:15">
      <c r="N2842" s="7"/>
      <c r="O2842" s="7"/>
    </row>
    <row r="2843" spans="14:15">
      <c r="N2843" s="7"/>
      <c r="O2843" s="7"/>
    </row>
    <row r="2844" spans="14:15">
      <c r="N2844" s="7"/>
      <c r="O2844" s="7"/>
    </row>
    <row r="2845" spans="14:15">
      <c r="N2845" s="7"/>
      <c r="O2845" s="7"/>
    </row>
    <row r="2846" spans="14:15">
      <c r="N2846" s="7"/>
      <c r="O2846" s="7"/>
    </row>
    <row r="2847" spans="14:15">
      <c r="N2847" s="7"/>
      <c r="O2847" s="7"/>
    </row>
    <row r="2848" spans="14:15">
      <c r="N2848" s="7"/>
      <c r="O2848" s="7"/>
    </row>
    <row r="2849" spans="14:15">
      <c r="N2849" s="7"/>
      <c r="O2849" s="7"/>
    </row>
    <row r="2850" spans="14:15">
      <c r="N2850" s="7"/>
      <c r="O2850" s="7"/>
    </row>
    <row r="2851" spans="14:15">
      <c r="N2851" s="7"/>
      <c r="O2851" s="7"/>
    </row>
    <row r="2852" spans="14:15">
      <c r="N2852" s="7"/>
      <c r="O2852" s="7"/>
    </row>
    <row r="2853" spans="14:15">
      <c r="N2853" s="7"/>
      <c r="O2853" s="7"/>
    </row>
    <row r="2854" spans="14:15">
      <c r="N2854" s="7"/>
      <c r="O2854" s="7"/>
    </row>
    <row r="2855" spans="14:15">
      <c r="N2855" s="7"/>
      <c r="O2855" s="7"/>
    </row>
    <row r="2856" spans="14:15">
      <c r="N2856" s="7"/>
      <c r="O2856" s="7"/>
    </row>
    <row r="2857" spans="14:15">
      <c r="N2857" s="7"/>
      <c r="O2857" s="7"/>
    </row>
    <row r="2858" spans="14:15">
      <c r="N2858" s="7"/>
      <c r="O2858" s="7"/>
    </row>
    <row r="2859" spans="14:15">
      <c r="N2859" s="7"/>
      <c r="O2859" s="7"/>
    </row>
    <row r="2860" spans="14:15">
      <c r="N2860" s="7"/>
      <c r="O2860" s="7"/>
    </row>
    <row r="2861" spans="14:15">
      <c r="N2861" s="7"/>
      <c r="O2861" s="7"/>
    </row>
    <row r="2862" spans="14:15">
      <c r="N2862" s="7"/>
      <c r="O2862" s="7"/>
    </row>
    <row r="2863" spans="14:15">
      <c r="N2863" s="7"/>
      <c r="O2863" s="7"/>
    </row>
    <row r="2864" spans="14:15">
      <c r="N2864" s="7"/>
      <c r="O2864" s="7"/>
    </row>
    <row r="2865" spans="14:15">
      <c r="N2865" s="7"/>
      <c r="O2865" s="7"/>
    </row>
    <row r="2866" spans="14:15">
      <c r="N2866" s="7"/>
      <c r="O2866" s="7"/>
    </row>
    <row r="2867" spans="14:15">
      <c r="N2867" s="7"/>
      <c r="O2867" s="7"/>
    </row>
    <row r="2868" spans="14:15">
      <c r="N2868" s="7"/>
      <c r="O2868" s="7"/>
    </row>
    <row r="2869" spans="14:15">
      <c r="N2869" s="7"/>
      <c r="O2869" s="7"/>
    </row>
    <row r="2870" spans="14:15">
      <c r="N2870" s="7"/>
      <c r="O2870" s="7"/>
    </row>
    <row r="2871" spans="14:15">
      <c r="N2871" s="7"/>
      <c r="O2871" s="7"/>
    </row>
    <row r="2872" spans="14:15">
      <c r="N2872" s="7"/>
      <c r="O2872" s="7"/>
    </row>
    <row r="2873" spans="14:15">
      <c r="N2873" s="7"/>
      <c r="O2873" s="7"/>
    </row>
    <row r="2874" spans="14:15">
      <c r="N2874" s="7"/>
      <c r="O2874" s="7"/>
    </row>
    <row r="2875" spans="14:15">
      <c r="N2875" s="7"/>
      <c r="O2875" s="7"/>
    </row>
    <row r="2876" spans="14:15">
      <c r="N2876" s="7"/>
      <c r="O2876" s="7"/>
    </row>
    <row r="2877" spans="14:15">
      <c r="N2877" s="7"/>
      <c r="O2877" s="7"/>
    </row>
    <row r="2878" spans="14:15">
      <c r="N2878" s="7"/>
      <c r="O2878" s="7"/>
    </row>
    <row r="2879" spans="14:15">
      <c r="N2879" s="7"/>
      <c r="O2879" s="7"/>
    </row>
    <row r="2880" spans="14:15">
      <c r="N2880" s="7"/>
      <c r="O2880" s="7"/>
    </row>
    <row r="2881" spans="14:15">
      <c r="N2881" s="7"/>
      <c r="O2881" s="7"/>
    </row>
    <row r="2882" spans="14:15">
      <c r="N2882" s="7"/>
      <c r="O2882" s="7"/>
    </row>
    <row r="2883" spans="14:15">
      <c r="N2883" s="7"/>
      <c r="O2883" s="7"/>
    </row>
    <row r="2884" spans="14:15">
      <c r="N2884" s="7"/>
      <c r="O2884" s="7"/>
    </row>
    <row r="2885" spans="14:15">
      <c r="N2885" s="7"/>
      <c r="O2885" s="7"/>
    </row>
    <row r="2886" spans="14:15">
      <c r="N2886" s="7"/>
      <c r="O2886" s="7"/>
    </row>
    <row r="2887" spans="14:15">
      <c r="N2887" s="7"/>
      <c r="O2887" s="7"/>
    </row>
    <row r="2888" spans="14:15">
      <c r="N2888" s="7"/>
      <c r="O2888" s="7"/>
    </row>
    <row r="2889" spans="14:15">
      <c r="N2889" s="7"/>
      <c r="O2889" s="7"/>
    </row>
    <row r="2890" spans="14:15">
      <c r="N2890" s="7"/>
      <c r="O2890" s="7"/>
    </row>
    <row r="2891" spans="14:15">
      <c r="N2891" s="7"/>
      <c r="O2891" s="7"/>
    </row>
    <row r="2892" spans="14:15">
      <c r="N2892" s="7"/>
      <c r="O2892" s="7"/>
    </row>
    <row r="2893" spans="14:15">
      <c r="N2893" s="7"/>
      <c r="O2893" s="7"/>
    </row>
    <row r="2894" spans="14:15">
      <c r="N2894" s="7"/>
      <c r="O2894" s="7"/>
    </row>
    <row r="2895" spans="14:15">
      <c r="N2895" s="7"/>
      <c r="O2895" s="7"/>
    </row>
    <row r="2896" spans="14:15">
      <c r="N2896" s="7"/>
      <c r="O2896" s="7"/>
    </row>
    <row r="2897" spans="14:15">
      <c r="N2897" s="7"/>
      <c r="O2897" s="7"/>
    </row>
    <row r="2898" spans="14:15">
      <c r="N2898" s="7"/>
      <c r="O2898" s="7"/>
    </row>
    <row r="2899" spans="14:15">
      <c r="N2899" s="7"/>
      <c r="O2899" s="7"/>
    </row>
    <row r="2900" spans="14:15">
      <c r="N2900" s="7"/>
      <c r="O2900" s="7"/>
    </row>
    <row r="2901" spans="14:15">
      <c r="N2901" s="7"/>
      <c r="O2901" s="7"/>
    </row>
    <row r="2902" spans="14:15">
      <c r="N2902" s="7"/>
      <c r="O2902" s="7"/>
    </row>
    <row r="2903" spans="14:15">
      <c r="N2903" s="7"/>
      <c r="O2903" s="7"/>
    </row>
    <row r="2904" spans="14:15">
      <c r="N2904" s="7"/>
      <c r="O2904" s="7"/>
    </row>
    <row r="2905" spans="14:15">
      <c r="N2905" s="7"/>
      <c r="O2905" s="7"/>
    </row>
    <row r="2906" spans="14:15">
      <c r="N2906" s="7"/>
      <c r="O2906" s="7"/>
    </row>
    <row r="2907" spans="14:15">
      <c r="N2907" s="7"/>
      <c r="O2907" s="7"/>
    </row>
    <row r="2908" spans="14:15">
      <c r="N2908" s="7"/>
      <c r="O2908" s="7"/>
    </row>
    <row r="2909" spans="14:15">
      <c r="N2909" s="7"/>
      <c r="O2909" s="7"/>
    </row>
    <row r="2910" spans="14:15">
      <c r="N2910" s="7"/>
      <c r="O2910" s="7"/>
    </row>
    <row r="2911" spans="14:15">
      <c r="N2911" s="7"/>
      <c r="O2911" s="7"/>
    </row>
    <row r="2912" spans="14:15">
      <c r="N2912" s="7"/>
      <c r="O2912" s="7"/>
    </row>
    <row r="2913" spans="14:15">
      <c r="N2913" s="7"/>
      <c r="O2913" s="7"/>
    </row>
    <row r="2914" spans="14:15">
      <c r="N2914" s="7"/>
      <c r="O2914" s="7"/>
    </row>
    <row r="2915" spans="14:15">
      <c r="N2915" s="7"/>
      <c r="O2915" s="7"/>
    </row>
    <row r="2916" spans="14:15">
      <c r="N2916" s="7"/>
      <c r="O2916" s="7"/>
    </row>
    <row r="2917" spans="14:15">
      <c r="N2917" s="7"/>
      <c r="O2917" s="7"/>
    </row>
    <row r="2918" spans="14:15">
      <c r="N2918" s="7"/>
      <c r="O2918" s="7"/>
    </row>
    <row r="2919" spans="14:15">
      <c r="N2919" s="7"/>
      <c r="O2919" s="7"/>
    </row>
    <row r="2920" spans="14:15">
      <c r="N2920" s="7"/>
      <c r="O2920" s="7"/>
    </row>
    <row r="2921" spans="14:15">
      <c r="N2921" s="7"/>
      <c r="O2921" s="7"/>
    </row>
    <row r="2922" spans="14:15">
      <c r="N2922" s="7"/>
      <c r="O2922" s="7"/>
    </row>
    <row r="2923" spans="14:15">
      <c r="N2923" s="7"/>
      <c r="O2923" s="7"/>
    </row>
    <row r="2924" spans="14:15">
      <c r="N2924" s="7"/>
      <c r="O2924" s="7"/>
    </row>
    <row r="2925" spans="14:15">
      <c r="N2925" s="7"/>
      <c r="O2925" s="7"/>
    </row>
    <row r="2926" spans="14:15">
      <c r="N2926" s="7"/>
      <c r="O2926" s="7"/>
    </row>
    <row r="2927" spans="14:15">
      <c r="N2927" s="7"/>
      <c r="O2927" s="7"/>
    </row>
    <row r="2928" spans="14:15">
      <c r="N2928" s="7"/>
      <c r="O2928" s="7"/>
    </row>
    <row r="2929" spans="14:15">
      <c r="N2929" s="7"/>
      <c r="O2929" s="7"/>
    </row>
    <row r="2930" spans="14:15">
      <c r="N2930" s="7"/>
      <c r="O2930" s="7"/>
    </row>
    <row r="2931" spans="14:15">
      <c r="N2931" s="7"/>
      <c r="O2931" s="7"/>
    </row>
    <row r="2932" spans="14:15">
      <c r="N2932" s="7"/>
      <c r="O2932" s="7"/>
    </row>
    <row r="2933" spans="14:15">
      <c r="N2933" s="7"/>
      <c r="O2933" s="7"/>
    </row>
    <row r="2934" spans="14:15">
      <c r="N2934" s="7"/>
      <c r="O2934" s="7"/>
    </row>
    <row r="2935" spans="14:15">
      <c r="N2935" s="7"/>
      <c r="O2935" s="7"/>
    </row>
    <row r="2936" spans="14:15">
      <c r="N2936" s="7"/>
      <c r="O2936" s="7"/>
    </row>
    <row r="2937" spans="14:15">
      <c r="N2937" s="7"/>
      <c r="O2937" s="7"/>
    </row>
    <row r="2938" spans="14:15">
      <c r="N2938" s="7"/>
      <c r="O2938" s="7"/>
    </row>
    <row r="2939" spans="14:15">
      <c r="N2939" s="7"/>
      <c r="O2939" s="7"/>
    </row>
    <row r="2940" spans="14:15">
      <c r="N2940" s="7"/>
      <c r="O2940" s="7"/>
    </row>
    <row r="2941" spans="14:15">
      <c r="N2941" s="7"/>
      <c r="O2941" s="7"/>
    </row>
    <row r="2942" spans="14:15">
      <c r="N2942" s="7"/>
      <c r="O2942" s="7"/>
    </row>
    <row r="2943" spans="14:15">
      <c r="N2943" s="7"/>
      <c r="O2943" s="7"/>
    </row>
    <row r="2944" spans="14:15">
      <c r="N2944" s="7"/>
      <c r="O2944" s="7"/>
    </row>
    <row r="2945" spans="14:15">
      <c r="N2945" s="7"/>
      <c r="O2945" s="7"/>
    </row>
    <row r="2946" spans="14:15">
      <c r="N2946" s="7"/>
      <c r="O2946" s="7"/>
    </row>
    <row r="2947" spans="14:15">
      <c r="N2947" s="7"/>
      <c r="O2947" s="7"/>
    </row>
    <row r="2948" spans="14:15">
      <c r="N2948" s="7"/>
      <c r="O2948" s="7"/>
    </row>
    <row r="2949" spans="14:15">
      <c r="N2949" s="7"/>
      <c r="O2949" s="7"/>
    </row>
    <row r="2950" spans="14:15">
      <c r="N2950" s="7"/>
      <c r="O2950" s="7"/>
    </row>
    <row r="2951" spans="14:15">
      <c r="N2951" s="7"/>
      <c r="O2951" s="7"/>
    </row>
    <row r="2952" spans="14:15">
      <c r="N2952" s="7"/>
      <c r="O2952" s="7"/>
    </row>
    <row r="2953" spans="14:15">
      <c r="N2953" s="7"/>
      <c r="O2953" s="7"/>
    </row>
    <row r="2954" spans="14:15">
      <c r="N2954" s="7"/>
      <c r="O2954" s="7"/>
    </row>
    <row r="2955" spans="14:15">
      <c r="N2955" s="7"/>
      <c r="O2955" s="7"/>
    </row>
    <row r="2956" spans="14:15">
      <c r="N2956" s="7"/>
      <c r="O2956" s="7"/>
    </row>
    <row r="2957" spans="14:15">
      <c r="N2957" s="7"/>
      <c r="O2957" s="7"/>
    </row>
    <row r="2958" spans="14:15">
      <c r="N2958" s="7"/>
      <c r="O2958" s="7"/>
    </row>
    <row r="2959" spans="14:15">
      <c r="N2959" s="7"/>
      <c r="O2959" s="7"/>
    </row>
    <row r="2960" spans="14:15">
      <c r="N2960" s="7"/>
      <c r="O2960" s="7"/>
    </row>
    <row r="2961" spans="14:15">
      <c r="N2961" s="7"/>
      <c r="O2961" s="7"/>
    </row>
    <row r="2962" spans="14:15">
      <c r="N2962" s="7"/>
      <c r="O2962" s="7"/>
    </row>
    <row r="2963" spans="14:15">
      <c r="N2963" s="7"/>
      <c r="O2963" s="7"/>
    </row>
    <row r="2964" spans="14:15">
      <c r="N2964" s="7"/>
      <c r="O2964" s="7"/>
    </row>
    <row r="2965" spans="14:15">
      <c r="N2965" s="7"/>
      <c r="O2965" s="7"/>
    </row>
    <row r="2966" spans="14:15">
      <c r="N2966" s="7"/>
      <c r="O2966" s="7"/>
    </row>
    <row r="2967" spans="14:15">
      <c r="N2967" s="7"/>
      <c r="O2967" s="7"/>
    </row>
    <row r="2968" spans="14:15">
      <c r="N2968" s="7"/>
      <c r="O2968" s="7"/>
    </row>
    <row r="2969" spans="14:15">
      <c r="N2969" s="7"/>
      <c r="O2969" s="7"/>
    </row>
    <row r="2970" spans="14:15">
      <c r="N2970" s="7"/>
      <c r="O2970" s="7"/>
    </row>
    <row r="2971" spans="14:15">
      <c r="N2971" s="7"/>
      <c r="O2971" s="7"/>
    </row>
    <row r="2972" spans="14:15">
      <c r="N2972" s="7"/>
      <c r="O2972" s="7"/>
    </row>
    <row r="2973" spans="14:15">
      <c r="N2973" s="7"/>
      <c r="O2973" s="7"/>
    </row>
    <row r="2974" spans="14:15">
      <c r="N2974" s="7"/>
      <c r="O2974" s="7"/>
    </row>
    <row r="2975" spans="14:15">
      <c r="N2975" s="7"/>
      <c r="O2975" s="7"/>
    </row>
    <row r="2976" spans="14:15">
      <c r="N2976" s="7"/>
      <c r="O2976" s="7"/>
    </row>
    <row r="2977" spans="14:15">
      <c r="N2977" s="7"/>
      <c r="O2977" s="7"/>
    </row>
    <row r="2978" spans="14:15">
      <c r="N2978" s="7"/>
      <c r="O2978" s="7"/>
    </row>
    <row r="2979" spans="14:15">
      <c r="N2979" s="7"/>
      <c r="O2979" s="7"/>
    </row>
    <row r="2980" spans="14:15">
      <c r="N2980" s="7"/>
      <c r="O2980" s="7"/>
    </row>
    <row r="2981" spans="14:15">
      <c r="N2981" s="7"/>
      <c r="O2981" s="7"/>
    </row>
    <row r="2982" spans="14:15">
      <c r="N2982" s="7"/>
      <c r="O2982" s="7"/>
    </row>
    <row r="2983" spans="14:15">
      <c r="N2983" s="7"/>
      <c r="O2983" s="7"/>
    </row>
    <row r="2984" spans="14:15">
      <c r="N2984" s="7"/>
      <c r="O2984" s="7"/>
    </row>
    <row r="2985" spans="14:15">
      <c r="N2985" s="7"/>
      <c r="O2985" s="7"/>
    </row>
    <row r="2986" spans="14:15">
      <c r="N2986" s="7"/>
      <c r="O2986" s="7"/>
    </row>
    <row r="2987" spans="14:15">
      <c r="N2987" s="7"/>
      <c r="O2987" s="7"/>
    </row>
    <row r="2988" spans="14:15">
      <c r="N2988" s="7"/>
      <c r="O2988" s="7"/>
    </row>
    <row r="2989" spans="14:15">
      <c r="N2989" s="7"/>
      <c r="O2989" s="7"/>
    </row>
    <row r="2990" spans="14:15">
      <c r="N2990" s="7"/>
      <c r="O2990" s="7"/>
    </row>
    <row r="2991" spans="14:15">
      <c r="N2991" s="7"/>
      <c r="O2991" s="7"/>
    </row>
    <row r="2992" spans="14:15">
      <c r="N2992" s="7"/>
      <c r="O2992" s="7"/>
    </row>
    <row r="2993" spans="14:15">
      <c r="N2993" s="7"/>
      <c r="O2993" s="7"/>
    </row>
    <row r="2994" spans="14:15">
      <c r="N2994" s="7"/>
      <c r="O2994" s="7"/>
    </row>
    <row r="2995" spans="14:15">
      <c r="N2995" s="7"/>
      <c r="O2995" s="7"/>
    </row>
    <row r="2996" spans="14:15">
      <c r="N2996" s="7"/>
      <c r="O2996" s="7"/>
    </row>
    <row r="2997" spans="14:15">
      <c r="N2997" s="7"/>
      <c r="O2997" s="7"/>
    </row>
    <row r="2998" spans="14:15">
      <c r="N2998" s="7"/>
      <c r="O2998" s="7"/>
    </row>
    <row r="2999" spans="14:15">
      <c r="N2999" s="7"/>
      <c r="O2999" s="7"/>
    </row>
    <row r="3000" spans="14:15">
      <c r="N3000" s="7"/>
      <c r="O3000" s="7"/>
    </row>
    <row r="3001" spans="14:15">
      <c r="N3001" s="7"/>
      <c r="O3001" s="7"/>
    </row>
    <row r="3002" spans="14:15">
      <c r="N3002" s="7"/>
      <c r="O3002" s="7"/>
    </row>
    <row r="3003" spans="14:15">
      <c r="N3003" s="7"/>
      <c r="O3003" s="7"/>
    </row>
    <row r="3004" spans="14:15">
      <c r="N3004" s="7"/>
      <c r="O3004" s="7"/>
    </row>
    <row r="3005" spans="14:15">
      <c r="N3005" s="7"/>
      <c r="O3005" s="7"/>
    </row>
    <row r="3006" spans="14:15">
      <c r="N3006" s="7"/>
      <c r="O3006" s="7"/>
    </row>
    <row r="3007" spans="14:15">
      <c r="N3007" s="7"/>
      <c r="O3007" s="7"/>
    </row>
    <row r="3008" spans="14:15">
      <c r="N3008" s="7"/>
      <c r="O3008" s="7"/>
    </row>
    <row r="3009" spans="14:15">
      <c r="N3009" s="7"/>
      <c r="O3009" s="7"/>
    </row>
    <row r="3010" spans="14:15">
      <c r="N3010" s="7"/>
      <c r="O3010" s="7"/>
    </row>
    <row r="3011" spans="14:15">
      <c r="N3011" s="7"/>
      <c r="O3011" s="7"/>
    </row>
    <row r="3012" spans="14:15">
      <c r="N3012" s="7"/>
      <c r="O3012" s="7"/>
    </row>
    <row r="3013" spans="14:15">
      <c r="N3013" s="7"/>
      <c r="O3013" s="7"/>
    </row>
    <row r="3014" spans="14:15">
      <c r="N3014" s="7"/>
      <c r="O3014" s="7"/>
    </row>
    <row r="3015" spans="14:15">
      <c r="N3015" s="7"/>
      <c r="O3015" s="7"/>
    </row>
    <row r="3016" spans="14:15">
      <c r="N3016" s="7"/>
      <c r="O3016" s="7"/>
    </row>
    <row r="3017" spans="14:15">
      <c r="N3017" s="7"/>
      <c r="O3017" s="7"/>
    </row>
    <row r="3018" spans="14:15">
      <c r="N3018" s="7"/>
      <c r="O3018" s="7"/>
    </row>
    <row r="3019" spans="14:15">
      <c r="N3019" s="7"/>
      <c r="O3019" s="7"/>
    </row>
    <row r="3020" spans="14:15">
      <c r="N3020" s="7"/>
      <c r="O3020" s="7"/>
    </row>
    <row r="3021" spans="14:15">
      <c r="N3021" s="7"/>
      <c r="O3021" s="7"/>
    </row>
    <row r="3022" spans="14:15">
      <c r="N3022" s="7"/>
      <c r="O3022" s="7"/>
    </row>
    <row r="3023" spans="14:15">
      <c r="N3023" s="7"/>
      <c r="O3023" s="7"/>
    </row>
    <row r="3024" spans="14:15">
      <c r="N3024" s="7"/>
      <c r="O3024" s="7"/>
    </row>
    <row r="3025" spans="14:15">
      <c r="N3025" s="7"/>
      <c r="O3025" s="7"/>
    </row>
    <row r="3026" spans="14:15">
      <c r="N3026" s="7"/>
      <c r="O3026" s="7"/>
    </row>
    <row r="3027" spans="14:15">
      <c r="N3027" s="7"/>
      <c r="O3027" s="7"/>
    </row>
    <row r="3028" spans="14:15">
      <c r="N3028" s="7"/>
      <c r="O3028" s="7"/>
    </row>
    <row r="3029" spans="14:15">
      <c r="N3029" s="7"/>
      <c r="O3029" s="7"/>
    </row>
    <row r="3030" spans="14:15">
      <c r="N3030" s="7"/>
      <c r="O3030" s="7"/>
    </row>
    <row r="3031" spans="14:15">
      <c r="N3031" s="7"/>
      <c r="O3031" s="7"/>
    </row>
    <row r="3032" spans="14:15">
      <c r="N3032" s="7"/>
      <c r="O3032" s="7"/>
    </row>
    <row r="3033" spans="14:15">
      <c r="N3033" s="7"/>
      <c r="O3033" s="7"/>
    </row>
    <row r="3034" spans="14:15">
      <c r="N3034" s="7"/>
      <c r="O3034" s="7"/>
    </row>
    <row r="3035" spans="14:15">
      <c r="N3035" s="7"/>
      <c r="O3035" s="7"/>
    </row>
    <row r="3036" spans="14:15">
      <c r="N3036" s="7"/>
      <c r="O3036" s="7"/>
    </row>
    <row r="3037" spans="14:15">
      <c r="N3037" s="7"/>
      <c r="O3037" s="7"/>
    </row>
    <row r="3038" spans="14:15">
      <c r="N3038" s="7"/>
      <c r="O3038" s="7"/>
    </row>
    <row r="3039" spans="14:15">
      <c r="N3039" s="7"/>
      <c r="O3039" s="7"/>
    </row>
    <row r="3040" spans="14:15">
      <c r="N3040" s="7"/>
      <c r="O3040" s="7"/>
    </row>
    <row r="3041" spans="14:15">
      <c r="N3041" s="7"/>
      <c r="O3041" s="7"/>
    </row>
    <row r="3042" spans="14:15">
      <c r="N3042" s="7"/>
      <c r="O3042" s="7"/>
    </row>
    <row r="3043" spans="14:15">
      <c r="N3043" s="7"/>
      <c r="O3043" s="7"/>
    </row>
    <row r="3044" spans="14:15">
      <c r="N3044" s="7"/>
      <c r="O3044" s="7"/>
    </row>
    <row r="3045" spans="14:15">
      <c r="N3045" s="7"/>
      <c r="O3045" s="7"/>
    </row>
    <row r="3046" spans="14:15">
      <c r="N3046" s="7"/>
      <c r="O3046" s="7"/>
    </row>
    <row r="3047" spans="14:15">
      <c r="N3047" s="7"/>
      <c r="O3047" s="7"/>
    </row>
    <row r="3048" spans="14:15">
      <c r="N3048" s="7"/>
      <c r="O3048" s="7"/>
    </row>
    <row r="3049" spans="14:15">
      <c r="N3049" s="7"/>
      <c r="O3049" s="7"/>
    </row>
    <row r="3050" spans="14:15">
      <c r="N3050" s="7"/>
      <c r="O3050" s="7"/>
    </row>
    <row r="3051" spans="14:15">
      <c r="N3051" s="7"/>
      <c r="O3051" s="7"/>
    </row>
    <row r="3052" spans="14:15">
      <c r="N3052" s="7"/>
      <c r="O3052" s="7"/>
    </row>
    <row r="3053" spans="14:15">
      <c r="N3053" s="7"/>
      <c r="O3053" s="7"/>
    </row>
    <row r="3054" spans="14:15">
      <c r="N3054" s="7"/>
      <c r="O3054" s="7"/>
    </row>
    <row r="3055" spans="14:15">
      <c r="N3055" s="7"/>
      <c r="O3055" s="7"/>
    </row>
    <row r="3056" spans="14:15">
      <c r="N3056" s="7"/>
      <c r="O3056" s="7"/>
    </row>
    <row r="3057" spans="14:15">
      <c r="N3057" s="7"/>
      <c r="O3057" s="7"/>
    </row>
    <row r="3058" spans="14:15">
      <c r="N3058" s="7"/>
      <c r="O3058" s="7"/>
    </row>
    <row r="3059" spans="14:15">
      <c r="N3059" s="7"/>
      <c r="O3059" s="7"/>
    </row>
    <row r="3060" spans="14:15">
      <c r="N3060" s="7"/>
      <c r="O3060" s="7"/>
    </row>
    <row r="3061" spans="14:15">
      <c r="N3061" s="7"/>
      <c r="O3061" s="7"/>
    </row>
    <row r="3062" spans="14:15">
      <c r="N3062" s="7"/>
      <c r="O3062" s="7"/>
    </row>
    <row r="3063" spans="14:15">
      <c r="N3063" s="7"/>
      <c r="O3063" s="7"/>
    </row>
    <row r="3064" spans="14:15">
      <c r="N3064" s="7"/>
      <c r="O3064" s="7"/>
    </row>
    <row r="3065" spans="14:15">
      <c r="N3065" s="7"/>
      <c r="O3065" s="7"/>
    </row>
    <row r="3066" spans="14:15">
      <c r="N3066" s="7"/>
      <c r="O3066" s="7"/>
    </row>
    <row r="3067" spans="14:15">
      <c r="N3067" s="7"/>
      <c r="O3067" s="7"/>
    </row>
    <row r="3068" spans="14:15">
      <c r="N3068" s="7"/>
      <c r="O3068" s="7"/>
    </row>
    <row r="3069" spans="14:15">
      <c r="N3069" s="7"/>
      <c r="O3069" s="7"/>
    </row>
    <row r="3070" spans="14:15">
      <c r="N3070" s="7"/>
      <c r="O3070" s="7"/>
    </row>
    <row r="3071" spans="14:15">
      <c r="N3071" s="7"/>
      <c r="O3071" s="7"/>
    </row>
    <row r="3072" spans="14:15">
      <c r="N3072" s="7"/>
      <c r="O3072" s="7"/>
    </row>
    <row r="3073" spans="14:15">
      <c r="N3073" s="7"/>
      <c r="O3073" s="7"/>
    </row>
    <row r="3074" spans="14:15">
      <c r="N3074" s="7"/>
      <c r="O3074" s="7"/>
    </row>
    <row r="3075" spans="14:15">
      <c r="N3075" s="7"/>
      <c r="O3075" s="7"/>
    </row>
    <row r="3076" spans="14:15">
      <c r="N3076" s="7"/>
      <c r="O3076" s="7"/>
    </row>
    <row r="3077" spans="14:15">
      <c r="N3077" s="7"/>
      <c r="O3077" s="7"/>
    </row>
  </sheetData>
  <autoFilter ref="A1:P1225" xr:uid="{D17F49C5-045C-4C41-8133-90E2E1555C53}">
    <filterColumn colId="1">
      <filters>
        <filter val="Export of primary plastics"/>
      </filters>
    </filterColumn>
  </autoFilter>
  <sortState xmlns:xlrd2="http://schemas.microsoft.com/office/spreadsheetml/2017/richdata2" ref="A2:P3077">
    <sortCondition ref="A1:A3077"/>
  </sortState>
  <phoneticPr fontId="22" type="noConversion"/>
  <conditionalFormatting sqref="H309:H310">
    <cfRule type="dataBar" priority="148">
      <dataBar>
        <cfvo type="min"/>
        <cfvo type="num" val="4"/>
        <color rgb="FFFFC000"/>
      </dataBar>
      <extLst>
        <ext xmlns:x14="http://schemas.microsoft.com/office/spreadsheetml/2009/9/main" uri="{B025F937-C7B1-47D3-B67F-A62EFF666E3E}">
          <x14:id>{639DB7A4-AB12-4E57-AD97-0D9CFDF09E4F}</x14:id>
        </ext>
      </extLst>
    </cfRule>
  </conditionalFormatting>
  <conditionalFormatting sqref="H312:H313">
    <cfRule type="dataBar" priority="166">
      <dataBar>
        <cfvo type="min"/>
        <cfvo type="num" val="4"/>
        <color rgb="FFFFC000"/>
      </dataBar>
      <extLst>
        <ext xmlns:x14="http://schemas.microsoft.com/office/spreadsheetml/2009/9/main" uri="{B025F937-C7B1-47D3-B67F-A62EFF666E3E}">
          <x14:id>{7F0D3BF5-F7D3-41C9-B5D1-8E4AFD59C17C}</x14:id>
        </ext>
      </extLst>
    </cfRule>
  </conditionalFormatting>
  <conditionalFormatting sqref="H941:H946">
    <cfRule type="dataBar" priority="104">
      <dataBar>
        <cfvo type="min"/>
        <cfvo type="num" val="4"/>
        <color rgb="FFFFC000"/>
      </dataBar>
      <extLst>
        <ext xmlns:x14="http://schemas.microsoft.com/office/spreadsheetml/2009/9/main" uri="{B025F937-C7B1-47D3-B67F-A62EFF666E3E}">
          <x14:id>{417BFCA9-CDE7-4C65-85B5-ADEF903F56D6}</x14:id>
        </ext>
      </extLst>
    </cfRule>
  </conditionalFormatting>
  <conditionalFormatting sqref="H2:M307 H315:M939">
    <cfRule type="dataBar" priority="7927">
      <dataBar>
        <cfvo type="min"/>
        <cfvo type="num" val="4"/>
        <color rgb="FFFFC000"/>
      </dataBar>
      <extLst>
        <ext xmlns:x14="http://schemas.microsoft.com/office/spreadsheetml/2009/9/main" uri="{B025F937-C7B1-47D3-B67F-A62EFF666E3E}">
          <x14:id>{63002CF0-DF8C-4594-826D-C58BB7151C72}</x14:id>
        </ext>
      </extLst>
    </cfRule>
  </conditionalFormatting>
  <conditionalFormatting sqref="H2:M307">
    <cfRule type="cellIs" dxfId="165" priority="7926" stopIfTrue="1" operator="notBetween">
      <formula>1</formula>
      <formula>4</formula>
    </cfRule>
  </conditionalFormatting>
  <conditionalFormatting sqref="H308:M939">
    <cfRule type="cellIs" dxfId="164" priority="144" stopIfTrue="1" operator="notBetween">
      <formula>1</formula>
      <formula>4</formula>
    </cfRule>
  </conditionalFormatting>
  <conditionalFormatting sqref="H314:M314 H308:M308 H311:M311">
    <cfRule type="dataBar" priority="184">
      <dataBar>
        <cfvo type="min"/>
        <cfvo type="num" val="4"/>
        <color rgb="FFFFC000"/>
      </dataBar>
      <extLst>
        <ext xmlns:x14="http://schemas.microsoft.com/office/spreadsheetml/2009/9/main" uri="{B025F937-C7B1-47D3-B67F-A62EFF666E3E}">
          <x14:id>{7FB5FFFD-BFF5-4607-8266-C61D50D37610}</x14:id>
        </ext>
      </extLst>
    </cfRule>
  </conditionalFormatting>
  <conditionalFormatting sqref="H940:M940">
    <cfRule type="cellIs" dxfId="163" priority="118" stopIfTrue="1" operator="notBetween">
      <formula>1</formula>
      <formula>4</formula>
    </cfRule>
    <cfRule type="dataBar" priority="119">
      <dataBar>
        <cfvo type="min"/>
        <cfvo type="num" val="4"/>
        <color rgb="FFFFC000"/>
      </dataBar>
      <extLst>
        <ext xmlns:x14="http://schemas.microsoft.com/office/spreadsheetml/2009/9/main" uri="{B025F937-C7B1-47D3-B67F-A62EFF666E3E}">
          <x14:id>{8E152E79-9395-4607-AAB9-133D2AEF55CD}</x14:id>
        </ext>
      </extLst>
    </cfRule>
  </conditionalFormatting>
  <conditionalFormatting sqref="H941:M946">
    <cfRule type="cellIs" dxfId="162" priority="100" stopIfTrue="1" operator="notBetween">
      <formula>1</formula>
      <formula>4</formula>
    </cfRule>
  </conditionalFormatting>
  <conditionalFormatting sqref="H947:M947">
    <cfRule type="dataBar" priority="86">
      <dataBar>
        <cfvo type="min"/>
        <cfvo type="num" val="4"/>
        <color rgb="FFFFC000"/>
      </dataBar>
      <extLst>
        <ext xmlns:x14="http://schemas.microsoft.com/office/spreadsheetml/2009/9/main" uri="{B025F937-C7B1-47D3-B67F-A62EFF666E3E}">
          <x14:id>{B6046930-B12E-4F63-A1A3-82B63FAA2115}</x14:id>
        </ext>
      </extLst>
    </cfRule>
  </conditionalFormatting>
  <conditionalFormatting sqref="H947:M948">
    <cfRule type="dataBar" priority="69">
      <dataBar>
        <cfvo type="min"/>
        <cfvo type="num" val="4"/>
        <color rgb="FFFFC000"/>
      </dataBar>
      <extLst>
        <ext xmlns:x14="http://schemas.microsoft.com/office/spreadsheetml/2009/9/main" uri="{B025F937-C7B1-47D3-B67F-A62EFF666E3E}">
          <x14:id>{313108EF-E70F-470E-8327-337884178851}</x14:id>
        </ext>
      </extLst>
    </cfRule>
  </conditionalFormatting>
  <conditionalFormatting sqref="H947:M949">
    <cfRule type="cellIs" dxfId="161" priority="70" stopIfTrue="1" operator="notBetween">
      <formula>1</formula>
      <formula>4</formula>
    </cfRule>
  </conditionalFormatting>
  <conditionalFormatting sqref="H947:M958">
    <cfRule type="containsBlanks" dxfId="160" priority="63">
      <formula>LEN(TRIM(H947))=0</formula>
    </cfRule>
  </conditionalFormatting>
  <conditionalFormatting sqref="H948:M948">
    <cfRule type="dataBar" priority="88">
      <dataBar>
        <cfvo type="min"/>
        <cfvo type="num" val="4"/>
        <color rgb="FFFFC000"/>
      </dataBar>
      <extLst>
        <ext xmlns:x14="http://schemas.microsoft.com/office/spreadsheetml/2009/9/main" uri="{B025F937-C7B1-47D3-B67F-A62EFF666E3E}">
          <x14:id>{2A4AEB21-0401-4F6F-BAFE-DCE5BAE1F22E}</x14:id>
        </ext>
      </extLst>
    </cfRule>
  </conditionalFormatting>
  <conditionalFormatting sqref="H949:M949">
    <cfRule type="dataBar" priority="81">
      <dataBar>
        <cfvo type="min"/>
        <cfvo type="num" val="4"/>
        <color rgb="FFFFC000"/>
      </dataBar>
      <extLst>
        <ext xmlns:x14="http://schemas.microsoft.com/office/spreadsheetml/2009/9/main" uri="{B025F937-C7B1-47D3-B67F-A62EFF666E3E}">
          <x14:id>{5D386311-A62A-4DEA-933B-43D27B06F7D1}</x14:id>
        </ext>
      </extLst>
    </cfRule>
  </conditionalFormatting>
  <conditionalFormatting sqref="H950:M950">
    <cfRule type="dataBar" priority="96">
      <dataBar>
        <cfvo type="min"/>
        <cfvo type="num" val="4"/>
        <color rgb="FFFFC000"/>
      </dataBar>
      <extLst>
        <ext xmlns:x14="http://schemas.microsoft.com/office/spreadsheetml/2009/9/main" uri="{B025F937-C7B1-47D3-B67F-A62EFF666E3E}">
          <x14:id>{7BAE4504-4F0E-4DB4-9789-A64DEFBEF436}</x14:id>
        </ext>
      </extLst>
    </cfRule>
  </conditionalFormatting>
  <conditionalFormatting sqref="H950:M954">
    <cfRule type="cellIs" dxfId="159" priority="94" stopIfTrue="1" operator="notBetween">
      <formula>1</formula>
      <formula>4</formula>
    </cfRule>
  </conditionalFormatting>
  <conditionalFormatting sqref="H951:M954">
    <cfRule type="dataBar" priority="91">
      <dataBar>
        <cfvo type="min"/>
        <cfvo type="num" val="4"/>
        <color rgb="FFFFC000"/>
      </dataBar>
      <extLst>
        <ext xmlns:x14="http://schemas.microsoft.com/office/spreadsheetml/2009/9/main" uri="{B025F937-C7B1-47D3-B67F-A62EFF666E3E}">
          <x14:id>{196AA2B0-1A96-46F6-9570-3964F7E343F8}</x14:id>
        </ext>
      </extLst>
    </cfRule>
  </conditionalFormatting>
  <conditionalFormatting sqref="H955:M956">
    <cfRule type="dataBar" priority="64">
      <dataBar>
        <cfvo type="min"/>
        <cfvo type="num" val="4"/>
        <color rgb="FFFFC000"/>
      </dataBar>
      <extLst>
        <ext xmlns:x14="http://schemas.microsoft.com/office/spreadsheetml/2009/9/main" uri="{B025F937-C7B1-47D3-B67F-A62EFF666E3E}">
          <x14:id>{4FF3944F-F6EB-469A-B3BF-89C2ACEF9A5A}</x14:id>
        </ext>
      </extLst>
    </cfRule>
    <cfRule type="cellIs" dxfId="158" priority="66" stopIfTrue="1" operator="notBetween">
      <formula>1</formula>
      <formula>4</formula>
    </cfRule>
  </conditionalFormatting>
  <conditionalFormatting sqref="H957:M958">
    <cfRule type="dataBar" priority="72">
      <dataBar>
        <cfvo type="min"/>
        <cfvo type="num" val="4"/>
        <color rgb="FFFFC000"/>
      </dataBar>
      <extLst>
        <ext xmlns:x14="http://schemas.microsoft.com/office/spreadsheetml/2009/9/main" uri="{B025F937-C7B1-47D3-B67F-A62EFF666E3E}">
          <x14:id>{C636A330-3589-4118-9161-5E09435D3530}</x14:id>
        </ext>
      </extLst>
    </cfRule>
    <cfRule type="cellIs" dxfId="157" priority="74" stopIfTrue="1" operator="notBetween">
      <formula>1</formula>
      <formula>4</formula>
    </cfRule>
  </conditionalFormatting>
  <conditionalFormatting sqref="H959:M972">
    <cfRule type="dataBar" priority="58">
      <dataBar>
        <cfvo type="min"/>
        <cfvo type="num" val="4"/>
        <color rgb="FFFFC000"/>
      </dataBar>
      <extLst>
        <ext xmlns:x14="http://schemas.microsoft.com/office/spreadsheetml/2009/9/main" uri="{B025F937-C7B1-47D3-B67F-A62EFF666E3E}">
          <x14:id>{0ACD0B7B-98AF-45E4-8215-5123E796F153}</x14:id>
        </ext>
      </extLst>
    </cfRule>
  </conditionalFormatting>
  <conditionalFormatting sqref="H959:M1213">
    <cfRule type="cellIs" dxfId="156" priority="5" stopIfTrue="1" operator="notBetween">
      <formula>1</formula>
      <formula>4</formula>
    </cfRule>
  </conditionalFormatting>
  <conditionalFormatting sqref="H960:M960">
    <cfRule type="containsBlanks" dxfId="155" priority="1" stopIfTrue="1">
      <formula>LEN(TRIM(H960))=0</formula>
    </cfRule>
    <cfRule type="dataBar" priority="2">
      <dataBar>
        <cfvo type="min"/>
        <cfvo type="num" val="4"/>
        <color rgb="FFFFC000"/>
      </dataBar>
      <extLst>
        <ext xmlns:x14="http://schemas.microsoft.com/office/spreadsheetml/2009/9/main" uri="{B025F937-C7B1-47D3-B67F-A62EFF666E3E}">
          <x14:id>{4A516C74-FCED-47AC-AAE2-98D1F54DE959}</x14:id>
        </ext>
      </extLst>
    </cfRule>
  </conditionalFormatting>
  <conditionalFormatting sqref="H973:M1213">
    <cfRule type="containsBlanks" dxfId="154" priority="4" stopIfTrue="1">
      <formula>LEN(TRIM(H973))=0</formula>
    </cfRule>
  </conditionalFormatting>
  <conditionalFormatting sqref="H990:M990">
    <cfRule type="dataBar" priority="54">
      <dataBar>
        <cfvo type="min"/>
        <cfvo type="num" val="4"/>
        <color rgb="FFFFC000"/>
      </dataBar>
      <extLst>
        <ext xmlns:x14="http://schemas.microsoft.com/office/spreadsheetml/2009/9/main" uri="{B025F937-C7B1-47D3-B67F-A62EFF666E3E}">
          <x14:id>{BA1F9C6C-AC7E-448E-BA6C-317D0FFF122C}</x14:id>
        </ext>
      </extLst>
    </cfRule>
  </conditionalFormatting>
  <conditionalFormatting sqref="H991:M996 H1211:M1213 H973:M989 H999:M1016 H1018:M1035 H1037:M1054 H1056:M1073 H1075:M1092 H1094:M1111 H1113:M1130 H1132:M1149 H1151:M1171 H1173:M1190 H1192:M1209">
    <cfRule type="dataBar" priority="62">
      <dataBar>
        <cfvo type="min"/>
        <cfvo type="num" val="4"/>
        <color rgb="FFFFC000"/>
      </dataBar>
      <extLst>
        <ext xmlns:x14="http://schemas.microsoft.com/office/spreadsheetml/2009/9/main" uri="{B025F937-C7B1-47D3-B67F-A62EFF666E3E}">
          <x14:id>{F6EBAD4B-397A-4D41-A011-39216889E484}</x14:id>
        </ext>
      </extLst>
    </cfRule>
  </conditionalFormatting>
  <conditionalFormatting sqref="H997:M998">
    <cfRule type="dataBar" priority="50">
      <dataBar>
        <cfvo type="min"/>
        <cfvo type="num" val="4"/>
        <color rgb="FFFFC000"/>
      </dataBar>
      <extLst>
        <ext xmlns:x14="http://schemas.microsoft.com/office/spreadsheetml/2009/9/main" uri="{B025F937-C7B1-47D3-B67F-A62EFF666E3E}">
          <x14:id>{3FE364B5-5DD3-4A5D-838F-4917A68DD0D8}</x14:id>
        </ext>
      </extLst>
    </cfRule>
  </conditionalFormatting>
  <conditionalFormatting sqref="H1017:M1017">
    <cfRule type="dataBar" priority="46">
      <dataBar>
        <cfvo type="min"/>
        <cfvo type="num" val="4"/>
        <color rgb="FFFFC000"/>
      </dataBar>
      <extLst>
        <ext xmlns:x14="http://schemas.microsoft.com/office/spreadsheetml/2009/9/main" uri="{B025F937-C7B1-47D3-B67F-A62EFF666E3E}">
          <x14:id>{E849F10B-2B10-497E-B79A-0495DC630C98}</x14:id>
        </ext>
      </extLst>
    </cfRule>
  </conditionalFormatting>
  <conditionalFormatting sqref="H1036:M1036">
    <cfRule type="dataBar" priority="42">
      <dataBar>
        <cfvo type="min"/>
        <cfvo type="num" val="4"/>
        <color rgb="FFFFC000"/>
      </dataBar>
      <extLst>
        <ext xmlns:x14="http://schemas.microsoft.com/office/spreadsheetml/2009/9/main" uri="{B025F937-C7B1-47D3-B67F-A62EFF666E3E}">
          <x14:id>{EA43D244-56CF-446F-AC5E-E8422A84AF22}</x14:id>
        </ext>
      </extLst>
    </cfRule>
  </conditionalFormatting>
  <conditionalFormatting sqref="H1055:M1055">
    <cfRule type="dataBar" priority="38">
      <dataBar>
        <cfvo type="min"/>
        <cfvo type="num" val="4"/>
        <color rgb="FFFFC000"/>
      </dataBar>
      <extLst>
        <ext xmlns:x14="http://schemas.microsoft.com/office/spreadsheetml/2009/9/main" uri="{B025F937-C7B1-47D3-B67F-A62EFF666E3E}">
          <x14:id>{49E73A2C-8A08-4096-9749-FF6D8E8F492F}</x14:id>
        </ext>
      </extLst>
    </cfRule>
  </conditionalFormatting>
  <conditionalFormatting sqref="H1074:M1074">
    <cfRule type="dataBar" priority="34">
      <dataBar>
        <cfvo type="min"/>
        <cfvo type="num" val="4"/>
        <color rgb="FFFFC000"/>
      </dataBar>
      <extLst>
        <ext xmlns:x14="http://schemas.microsoft.com/office/spreadsheetml/2009/9/main" uri="{B025F937-C7B1-47D3-B67F-A62EFF666E3E}">
          <x14:id>{07E15439-BBFA-4CFE-A61F-33485D00BD6F}</x14:id>
        </ext>
      </extLst>
    </cfRule>
  </conditionalFormatting>
  <conditionalFormatting sqref="H1093:M1093">
    <cfRule type="dataBar" priority="30">
      <dataBar>
        <cfvo type="min"/>
        <cfvo type="num" val="4"/>
        <color rgb="FFFFC000"/>
      </dataBar>
      <extLst>
        <ext xmlns:x14="http://schemas.microsoft.com/office/spreadsheetml/2009/9/main" uri="{B025F937-C7B1-47D3-B67F-A62EFF666E3E}">
          <x14:id>{38745E4E-3A56-44D1-B890-7189DCD49A5C}</x14:id>
        </ext>
      </extLst>
    </cfRule>
  </conditionalFormatting>
  <conditionalFormatting sqref="H1112:M1112">
    <cfRule type="dataBar" priority="26">
      <dataBar>
        <cfvo type="min"/>
        <cfvo type="num" val="4"/>
        <color rgb="FFFFC000"/>
      </dataBar>
      <extLst>
        <ext xmlns:x14="http://schemas.microsoft.com/office/spreadsheetml/2009/9/main" uri="{B025F937-C7B1-47D3-B67F-A62EFF666E3E}">
          <x14:id>{5C6A9FF9-D196-42A0-9CDF-7889F935CE1A}</x14:id>
        </ext>
      </extLst>
    </cfRule>
  </conditionalFormatting>
  <conditionalFormatting sqref="H1131:M1131">
    <cfRule type="dataBar" priority="22">
      <dataBar>
        <cfvo type="min"/>
        <cfvo type="num" val="4"/>
        <color rgb="FFFFC000"/>
      </dataBar>
      <extLst>
        <ext xmlns:x14="http://schemas.microsoft.com/office/spreadsheetml/2009/9/main" uri="{B025F937-C7B1-47D3-B67F-A62EFF666E3E}">
          <x14:id>{BA4D3E41-5B69-4BC9-9D03-B27E5624E081}</x14:id>
        </ext>
      </extLst>
    </cfRule>
  </conditionalFormatting>
  <conditionalFormatting sqref="H1150:M1150">
    <cfRule type="dataBar" priority="18">
      <dataBar>
        <cfvo type="min"/>
        <cfvo type="num" val="4"/>
        <color rgb="FFFFC000"/>
      </dataBar>
      <extLst>
        <ext xmlns:x14="http://schemas.microsoft.com/office/spreadsheetml/2009/9/main" uri="{B025F937-C7B1-47D3-B67F-A62EFF666E3E}">
          <x14:id>{F531ED59-95EA-44D1-8C42-6C72F488B85A}</x14:id>
        </ext>
      </extLst>
    </cfRule>
  </conditionalFormatting>
  <conditionalFormatting sqref="H1172:M1172">
    <cfRule type="dataBar" priority="14">
      <dataBar>
        <cfvo type="min"/>
        <cfvo type="num" val="4"/>
        <color rgb="FFFFC000"/>
      </dataBar>
      <extLst>
        <ext xmlns:x14="http://schemas.microsoft.com/office/spreadsheetml/2009/9/main" uri="{B025F937-C7B1-47D3-B67F-A62EFF666E3E}">
          <x14:id>{EB2DD670-BF81-427B-AFC4-FC454331F690}</x14:id>
        </ext>
      </extLst>
    </cfRule>
  </conditionalFormatting>
  <conditionalFormatting sqref="H1191:M1191">
    <cfRule type="dataBar" priority="10">
      <dataBar>
        <cfvo type="min"/>
        <cfvo type="num" val="4"/>
        <color rgb="FFFFC000"/>
      </dataBar>
      <extLst>
        <ext xmlns:x14="http://schemas.microsoft.com/office/spreadsheetml/2009/9/main" uri="{B025F937-C7B1-47D3-B67F-A62EFF666E3E}">
          <x14:id>{F17A6D30-0FA8-445D-A163-EF37F8FAC453}</x14:id>
        </ext>
      </extLst>
    </cfRule>
  </conditionalFormatting>
  <conditionalFormatting sqref="H1210:M1210">
    <cfRule type="dataBar" priority="6">
      <dataBar>
        <cfvo type="min"/>
        <cfvo type="num" val="4"/>
        <color rgb="FFFFC000"/>
      </dataBar>
      <extLst>
        <ext xmlns:x14="http://schemas.microsoft.com/office/spreadsheetml/2009/9/main" uri="{B025F937-C7B1-47D3-B67F-A62EFF666E3E}">
          <x14:id>{04F6C02E-7BF6-4FBC-A993-DC42F0422558}</x14:id>
        </ext>
      </extLst>
    </cfRule>
  </conditionalFormatting>
  <conditionalFormatting sqref="H941:N946">
    <cfRule type="containsBlanks" dxfId="153" priority="97">
      <formula>LEN(TRIM(H941))=0</formula>
    </cfRule>
  </conditionalFormatting>
  <conditionalFormatting sqref="H2:O307">
    <cfRule type="containsBlanks" dxfId="152" priority="195" stopIfTrue="1">
      <formula>LEN(TRIM(H2))=0</formula>
    </cfRule>
  </conditionalFormatting>
  <conditionalFormatting sqref="H308:O314">
    <cfRule type="containsBlanks" dxfId="151" priority="143">
      <formula>LEN(TRIM(H308))=0</formula>
    </cfRule>
  </conditionalFormatting>
  <conditionalFormatting sqref="H315:O940">
    <cfRule type="containsBlanks" dxfId="150" priority="117" stopIfTrue="1">
      <formula>LEN(TRIM(H315))=0</formula>
    </cfRule>
  </conditionalFormatting>
  <conditionalFormatting sqref="H947:O948 N949:O958">
    <cfRule type="containsBlanks" dxfId="149" priority="92">
      <formula>LEN(TRIM(H947))=0</formula>
    </cfRule>
  </conditionalFormatting>
  <conditionalFormatting sqref="H959:O959 H960:M972">
    <cfRule type="containsBlanks" dxfId="148" priority="59">
      <formula>LEN(TRIM(H959))=0</formula>
    </cfRule>
  </conditionalFormatting>
  <conditionalFormatting sqref="I309:I310">
    <cfRule type="dataBar" priority="151">
      <dataBar>
        <cfvo type="min"/>
        <cfvo type="num" val="4"/>
        <color rgb="FFFFC000"/>
      </dataBar>
      <extLst>
        <ext xmlns:x14="http://schemas.microsoft.com/office/spreadsheetml/2009/9/main" uri="{B025F937-C7B1-47D3-B67F-A62EFF666E3E}">
          <x14:id>{0981FE92-40C9-4998-8688-F5E958AF26DF}</x14:id>
        </ext>
      </extLst>
    </cfRule>
  </conditionalFormatting>
  <conditionalFormatting sqref="I312:I313">
    <cfRule type="dataBar" priority="169">
      <dataBar>
        <cfvo type="min"/>
        <cfvo type="num" val="4"/>
        <color rgb="FFFFC000"/>
      </dataBar>
      <extLst>
        <ext xmlns:x14="http://schemas.microsoft.com/office/spreadsheetml/2009/9/main" uri="{B025F937-C7B1-47D3-B67F-A62EFF666E3E}">
          <x14:id>{8C325829-DC4E-4059-85B7-DE2682CB3B57}</x14:id>
        </ext>
      </extLst>
    </cfRule>
  </conditionalFormatting>
  <conditionalFormatting sqref="I941:I946">
    <cfRule type="dataBar" priority="107">
      <dataBar>
        <cfvo type="min"/>
        <cfvo type="num" val="4"/>
        <color rgb="FFFFC000"/>
      </dataBar>
      <extLst>
        <ext xmlns:x14="http://schemas.microsoft.com/office/spreadsheetml/2009/9/main" uri="{B025F937-C7B1-47D3-B67F-A62EFF666E3E}">
          <x14:id>{64BBA177-E9E6-4258-837C-B4E2091A860D}</x14:id>
        </ext>
      </extLst>
    </cfRule>
  </conditionalFormatting>
  <conditionalFormatting sqref="J309:J310">
    <cfRule type="dataBar" priority="145">
      <dataBar>
        <cfvo type="min"/>
        <cfvo type="num" val="4"/>
        <color rgb="FFFFC000"/>
      </dataBar>
      <extLst>
        <ext xmlns:x14="http://schemas.microsoft.com/office/spreadsheetml/2009/9/main" uri="{B025F937-C7B1-47D3-B67F-A62EFF666E3E}">
          <x14:id>{36844039-BEAE-48B6-9E94-15D168E5520E}</x14:id>
        </ext>
      </extLst>
    </cfRule>
  </conditionalFormatting>
  <conditionalFormatting sqref="J312:J313">
    <cfRule type="dataBar" priority="163">
      <dataBar>
        <cfvo type="min"/>
        <cfvo type="num" val="4"/>
        <color rgb="FFFFC000"/>
      </dataBar>
      <extLst>
        <ext xmlns:x14="http://schemas.microsoft.com/office/spreadsheetml/2009/9/main" uri="{B025F937-C7B1-47D3-B67F-A62EFF666E3E}">
          <x14:id>{F934E2D6-1F08-4146-B105-9A045A89AA43}</x14:id>
        </ext>
      </extLst>
    </cfRule>
  </conditionalFormatting>
  <conditionalFormatting sqref="J941:J946">
    <cfRule type="dataBar" priority="101">
      <dataBar>
        <cfvo type="min"/>
        <cfvo type="num" val="4"/>
        <color rgb="FFFFC000"/>
      </dataBar>
      <extLst>
        <ext xmlns:x14="http://schemas.microsoft.com/office/spreadsheetml/2009/9/main" uri="{B025F937-C7B1-47D3-B67F-A62EFF666E3E}">
          <x14:id>{40511D16-FD68-424C-B221-1299B52B9CEF}</x14:id>
        </ext>
      </extLst>
    </cfRule>
  </conditionalFormatting>
  <conditionalFormatting sqref="K309:K310">
    <cfRule type="dataBar" priority="160">
      <dataBar>
        <cfvo type="min"/>
        <cfvo type="num" val="4"/>
        <color rgb="FFFFC000"/>
      </dataBar>
      <extLst>
        <ext xmlns:x14="http://schemas.microsoft.com/office/spreadsheetml/2009/9/main" uri="{B025F937-C7B1-47D3-B67F-A62EFF666E3E}">
          <x14:id>{35655516-FD7D-487A-A136-73E746610FEE}</x14:id>
        </ext>
      </extLst>
    </cfRule>
  </conditionalFormatting>
  <conditionalFormatting sqref="K312:K313">
    <cfRule type="dataBar" priority="178">
      <dataBar>
        <cfvo type="min"/>
        <cfvo type="num" val="4"/>
        <color rgb="FFFFC000"/>
      </dataBar>
      <extLst>
        <ext xmlns:x14="http://schemas.microsoft.com/office/spreadsheetml/2009/9/main" uri="{B025F937-C7B1-47D3-B67F-A62EFF666E3E}">
          <x14:id>{3AC1C6DC-4662-48C3-A299-2758C912D15B}</x14:id>
        </ext>
      </extLst>
    </cfRule>
  </conditionalFormatting>
  <conditionalFormatting sqref="K941:K946">
    <cfRule type="dataBar" priority="116">
      <dataBar>
        <cfvo type="min"/>
        <cfvo type="num" val="4"/>
        <color rgb="FFFFC000"/>
      </dataBar>
      <extLst>
        <ext xmlns:x14="http://schemas.microsoft.com/office/spreadsheetml/2009/9/main" uri="{B025F937-C7B1-47D3-B67F-A62EFF666E3E}">
          <x14:id>{410751F8-359B-48E2-B5D1-B8A6F48ADF33}</x14:id>
        </ext>
      </extLst>
    </cfRule>
  </conditionalFormatting>
  <conditionalFormatting sqref="L309:L310">
    <cfRule type="dataBar" priority="157">
      <dataBar>
        <cfvo type="min"/>
        <cfvo type="num" val="4"/>
        <color rgb="FFFFC000"/>
      </dataBar>
      <extLst>
        <ext xmlns:x14="http://schemas.microsoft.com/office/spreadsheetml/2009/9/main" uri="{B025F937-C7B1-47D3-B67F-A62EFF666E3E}">
          <x14:id>{A0C0C633-887C-4064-B0C9-D8DCFD8A0232}</x14:id>
        </ext>
      </extLst>
    </cfRule>
  </conditionalFormatting>
  <conditionalFormatting sqref="L312:L313">
    <cfRule type="dataBar" priority="175">
      <dataBar>
        <cfvo type="min"/>
        <cfvo type="num" val="4"/>
        <color rgb="FFFFC000"/>
      </dataBar>
      <extLst>
        <ext xmlns:x14="http://schemas.microsoft.com/office/spreadsheetml/2009/9/main" uri="{B025F937-C7B1-47D3-B67F-A62EFF666E3E}">
          <x14:id>{EB0DFE2C-63FE-4D19-8832-2FF6F7765BEF}</x14:id>
        </ext>
      </extLst>
    </cfRule>
  </conditionalFormatting>
  <conditionalFormatting sqref="L941:L946">
    <cfRule type="dataBar" priority="113">
      <dataBar>
        <cfvo type="min"/>
        <cfvo type="num" val="4"/>
        <color rgb="FFFFC000"/>
      </dataBar>
      <extLst>
        <ext xmlns:x14="http://schemas.microsoft.com/office/spreadsheetml/2009/9/main" uri="{B025F937-C7B1-47D3-B67F-A62EFF666E3E}">
          <x14:id>{7F39E170-6BBD-4A71-8987-7FAC5C0FBA51}</x14:id>
        </ext>
      </extLst>
    </cfRule>
  </conditionalFormatting>
  <conditionalFormatting sqref="M309:M310">
    <cfRule type="dataBar" priority="154">
      <dataBar>
        <cfvo type="min"/>
        <cfvo type="num" val="4"/>
        <color rgb="FFFFC000"/>
      </dataBar>
      <extLst>
        <ext xmlns:x14="http://schemas.microsoft.com/office/spreadsheetml/2009/9/main" uri="{B025F937-C7B1-47D3-B67F-A62EFF666E3E}">
          <x14:id>{2FF23883-0495-42DD-8901-6B987EBA4DFE}</x14:id>
        </ext>
      </extLst>
    </cfRule>
  </conditionalFormatting>
  <conditionalFormatting sqref="M312:M313">
    <cfRule type="dataBar" priority="172">
      <dataBar>
        <cfvo type="min"/>
        <cfvo type="num" val="4"/>
        <color rgb="FFFFC000"/>
      </dataBar>
      <extLst>
        <ext xmlns:x14="http://schemas.microsoft.com/office/spreadsheetml/2009/9/main" uri="{B025F937-C7B1-47D3-B67F-A62EFF666E3E}">
          <x14:id>{5AEF6319-80C2-4A0C-B2D1-345E3DD9F043}</x14:id>
        </ext>
      </extLst>
    </cfRule>
  </conditionalFormatting>
  <conditionalFormatting sqref="M941:M946">
    <cfRule type="dataBar" priority="110">
      <dataBar>
        <cfvo type="min"/>
        <cfvo type="num" val="4"/>
        <color rgb="FFFFC000"/>
      </dataBar>
      <extLst>
        <ext xmlns:x14="http://schemas.microsoft.com/office/spreadsheetml/2009/9/main" uri="{B025F937-C7B1-47D3-B67F-A62EFF666E3E}">
          <x14:id>{D8476B79-A7A0-48EE-B819-C78E9304EB16}</x14:id>
        </ext>
      </extLst>
    </cfRule>
  </conditionalFormatting>
  <conditionalFormatting sqref="N308:N314">
    <cfRule type="dataBar" priority="180">
      <dataBar>
        <cfvo type="min"/>
        <cfvo type="max"/>
        <color rgb="FF3FCDFF"/>
      </dataBar>
      <extLst>
        <ext xmlns:x14="http://schemas.microsoft.com/office/spreadsheetml/2009/9/main" uri="{B025F937-C7B1-47D3-B67F-A62EFF666E3E}">
          <x14:id>{5FE02AD2-B592-4442-BE93-F1FA8A0DDB6E}</x14:id>
        </ext>
      </extLst>
    </cfRule>
  </conditionalFormatting>
  <conditionalFormatting sqref="N941:N946">
    <cfRule type="dataBar" priority="98">
      <dataBar>
        <cfvo type="min"/>
        <cfvo type="max"/>
        <color rgb="FF3FCDFF"/>
      </dataBar>
      <extLst>
        <ext xmlns:x14="http://schemas.microsoft.com/office/spreadsheetml/2009/9/main" uri="{B025F937-C7B1-47D3-B67F-A62EFF666E3E}">
          <x14:id>{653FB42B-DE40-4B04-BFE0-2BFA64BBDF9F}</x14:id>
        </ext>
      </extLst>
    </cfRule>
  </conditionalFormatting>
  <conditionalFormatting sqref="N947:N958">
    <cfRule type="dataBar" priority="89">
      <dataBar>
        <cfvo type="min"/>
        <cfvo type="max"/>
        <color rgb="FF3FCDFF"/>
      </dataBar>
      <extLst>
        <ext xmlns:x14="http://schemas.microsoft.com/office/spreadsheetml/2009/9/main" uri="{B025F937-C7B1-47D3-B67F-A62EFF666E3E}">
          <x14:id>{71FBF820-96F4-4292-A09E-2001342C43A2}</x14:id>
        </ext>
      </extLst>
    </cfRule>
  </conditionalFormatting>
  <conditionalFormatting sqref="N959:N1213">
    <cfRule type="dataBar" priority="60">
      <dataBar>
        <cfvo type="min"/>
        <cfvo type="max"/>
        <color rgb="FF3FCDFF"/>
      </dataBar>
      <extLst>
        <ext xmlns:x14="http://schemas.microsoft.com/office/spreadsheetml/2009/9/main" uri="{B025F937-C7B1-47D3-B67F-A62EFF666E3E}">
          <x14:id>{75FB3F3D-C50D-494B-9F38-66F7DAE5D4A4}</x14:id>
        </ext>
      </extLst>
    </cfRule>
  </conditionalFormatting>
  <conditionalFormatting sqref="N2:O307 N315:O939">
    <cfRule type="dataBar" priority="7933">
      <dataBar>
        <cfvo type="min"/>
        <cfvo type="max"/>
        <color rgb="FF3FCDFF"/>
      </dataBar>
      <extLst>
        <ext xmlns:x14="http://schemas.microsoft.com/office/spreadsheetml/2009/9/main" uri="{B025F937-C7B1-47D3-B67F-A62EFF666E3E}">
          <x14:id>{39683FCE-C635-49D2-A9BA-C7023BF37511}</x14:id>
        </ext>
      </extLst>
    </cfRule>
  </conditionalFormatting>
  <conditionalFormatting sqref="N940:O940">
    <cfRule type="dataBar" priority="122">
      <dataBar>
        <cfvo type="min"/>
        <cfvo type="max"/>
        <color rgb="FF3FCDFF"/>
      </dataBar>
      <extLst>
        <ext xmlns:x14="http://schemas.microsoft.com/office/spreadsheetml/2009/9/main" uri="{B025F937-C7B1-47D3-B67F-A62EFF666E3E}">
          <x14:id>{D11272F5-DF2F-4773-94F8-7C2EEEAA96C3}</x14:id>
        </ext>
      </extLst>
    </cfRule>
  </conditionalFormatting>
  <conditionalFormatting sqref="N960:O1213">
    <cfRule type="containsBlanks" dxfId="147" priority="3">
      <formula>LEN(TRIM(N960))=0</formula>
    </cfRule>
  </conditionalFormatting>
  <conditionalFormatting sqref="O308:O314">
    <cfRule type="dataBar" priority="181">
      <dataBar>
        <cfvo type="min"/>
        <cfvo type="max"/>
        <color rgb="FF3FCDFF"/>
      </dataBar>
      <extLst>
        <ext xmlns:x14="http://schemas.microsoft.com/office/spreadsheetml/2009/9/main" uri="{B025F937-C7B1-47D3-B67F-A62EFF666E3E}">
          <x14:id>{0AFB4F83-0A52-40D8-AB0C-A5FD58A88EC6}</x14:id>
        </ext>
      </extLst>
    </cfRule>
  </conditionalFormatting>
  <conditionalFormatting sqref="O947:O958">
    <cfRule type="dataBar" priority="90">
      <dataBar>
        <cfvo type="min"/>
        <cfvo type="max"/>
        <color rgb="FF3FCDFF"/>
      </dataBar>
      <extLst>
        <ext xmlns:x14="http://schemas.microsoft.com/office/spreadsheetml/2009/9/main" uri="{B025F937-C7B1-47D3-B67F-A62EFF666E3E}">
          <x14:id>{66C82E18-99EA-4433-AB1D-53FBF20EFA86}</x14:id>
        </ext>
      </extLst>
    </cfRule>
  </conditionalFormatting>
  <conditionalFormatting sqref="O959:O1213">
    <cfRule type="dataBar" priority="61">
      <dataBar>
        <cfvo type="min"/>
        <cfvo type="max"/>
        <color rgb="FF3FCDFF"/>
      </dataBar>
      <extLst>
        <ext xmlns:x14="http://schemas.microsoft.com/office/spreadsheetml/2009/9/main" uri="{B025F937-C7B1-47D3-B67F-A62EFF666E3E}">
          <x14:id>{FA495B81-A52E-48A7-8207-E9317622B22D}</x14:id>
        </ext>
      </extLst>
    </cfRule>
  </conditionalFormatting>
  <conditionalFormatting sqref="P2:P490 P753:P940">
    <cfRule type="containsText" dxfId="146" priority="182" operator="containsText" text="Actual TC">
      <formula>NOT(ISERROR(SEARCH("Actual TC",P2)))</formula>
    </cfRule>
  </conditionalFormatting>
  <conditionalFormatting sqref="P52">
    <cfRule type="dataBar" priority="488">
      <dataBar>
        <cfvo type="min"/>
        <cfvo type="max"/>
        <color rgb="FF3FCDFF"/>
      </dataBar>
      <extLst>
        <ext xmlns:x14="http://schemas.microsoft.com/office/spreadsheetml/2009/9/main" uri="{B025F937-C7B1-47D3-B67F-A62EFF666E3E}">
          <x14:id>{390A2160-3F82-4A47-A33A-146EF68B2912}</x14:id>
        </ext>
      </extLst>
    </cfRule>
  </conditionalFormatting>
  <conditionalFormatting sqref="P493:P503">
    <cfRule type="containsText" dxfId="145" priority="208" operator="containsText" text="Actual TC">
      <formula>NOT(ISERROR(SEARCH("Actual TC",P493)))</formula>
    </cfRule>
  </conditionalFormatting>
  <conditionalFormatting sqref="P509">
    <cfRule type="containsText" dxfId="144" priority="437" operator="containsText" text="Actual TC">
      <formula>NOT(ISERROR(SEARCH("Actual TC",P509)))</formula>
    </cfRule>
  </conditionalFormatting>
  <conditionalFormatting sqref="P511:P513">
    <cfRule type="containsText" dxfId="143" priority="436" operator="containsText" text="Actual TC">
      <formula>NOT(ISERROR(SEARCH("Actual TC",P511)))</formula>
    </cfRule>
  </conditionalFormatting>
  <conditionalFormatting sqref="P949:P952">
    <cfRule type="containsText" dxfId="142" priority="83" operator="containsText" text="Actual TC">
      <formula>NOT(ISERROR(SEARCH("Actual TC",P949)))</formula>
    </cfRule>
  </conditionalFormatting>
  <conditionalFormatting sqref="P955:P958">
    <cfRule type="containsText" dxfId="141" priority="75" operator="containsText" text="Actual TC">
      <formula>NOT(ISERROR(SEARCH("Actual TC",P955)))</formula>
    </cfRule>
  </conditionalFormatting>
  <conditionalFormatting sqref="Q71:T71">
    <cfRule type="dataBar" priority="2795">
      <dataBar>
        <cfvo type="min"/>
        <cfvo type="max"/>
        <color rgb="FF3FCDFF"/>
      </dataBar>
      <extLst>
        <ext xmlns:x14="http://schemas.microsoft.com/office/spreadsheetml/2009/9/main" uri="{B025F937-C7B1-47D3-B67F-A62EFF666E3E}">
          <x14:id>{9D887FAC-849C-4DD2-9754-D6AB34DE9384}</x14:id>
        </ext>
      </extLst>
    </cfRule>
  </conditionalFormatting>
  <hyperlinks>
    <hyperlink ref="G475:G479" r:id="rId1" display="https://ec.europa.eu/eurostat/databrowser/view/DS-056120__custom_6262207/default/table" xr:uid="{64A4E7E9-E2C9-4784-8D63-9E64E7CFC3FE}"/>
    <hyperlink ref="G471:G474" r:id="rId2" display="https://ec.europa.eu/eurostat/databrowser/view/DS-056120__custom_5851448/default/table" xr:uid="{B595BB2C-99BA-46ED-BB35-C7522A3C7864}"/>
    <hyperlink ref="G382" r:id="rId3" display="https://doi.org/10.1016/j.resconrec.2023.107389" xr:uid="{42973653-FFAC-497A-A977-F79969579536}"/>
    <hyperlink ref="G783" r:id="rId4" display="https://doi.org/10.1016/j.resconrec.2023.107389" xr:uid="{818B2EDA-DBA0-4EF2-83FC-24BC7E843676}"/>
    <hyperlink ref="G921" r:id="rId5" display="https://doi.org/10.1016/j.resconrec.2023.107389" xr:uid="{C93F6439-DC92-4293-99EF-B0A52E4135A9}"/>
    <hyperlink ref="G675" r:id="rId6" display="https://doi.org/10.1016/j.resconrec.2023.107389" xr:uid="{02B72B08-7A21-47ED-A54A-1B09FB599AFA}"/>
    <hyperlink ref="G744" r:id="rId7" display="https://ec.europa.eu/eurostat/databrowser/view/DS-056120__custom_6262207/default/table" xr:uid="{53DE11B1-913B-4F17-931B-7D82CEBADD33}"/>
    <hyperlink ref="G329" r:id="rId8" display="https://ec.europa.eu/eurostat/databrowser/view/DS-056120__custom_5851448/default/table" xr:uid="{15A9B237-05EB-47AB-A211-688F10CC7CEB}"/>
  </hyperlinks>
  <pageMargins left="0.7" right="0.7" top="0.75" bottom="0.75" header="0.3" footer="0.3"/>
  <pageSetup paperSize="9" orientation="portrait" r:id="rId9"/>
  <extLst>
    <ext xmlns:x14="http://schemas.microsoft.com/office/spreadsheetml/2009/9/main" uri="{78C0D931-6437-407d-A8EE-F0AAD7539E65}">
      <x14:conditionalFormattings>
        <x14:conditionalFormatting xmlns:xm="http://schemas.microsoft.com/office/excel/2006/main">
          <x14:cfRule type="dataBar" id="{639DB7A4-AB12-4E57-AD97-0D9CFDF09E4F}">
            <x14:dataBar minLength="0" maxLength="100" gradient="0">
              <x14:cfvo type="autoMin"/>
              <x14:cfvo type="num">
                <xm:f>4</xm:f>
              </x14:cfvo>
              <x14:negativeFillColor rgb="FFFF0000"/>
              <x14:axisColor rgb="FF000000"/>
            </x14:dataBar>
          </x14:cfRule>
          <xm:sqref>H309:H310</xm:sqref>
        </x14:conditionalFormatting>
        <x14:conditionalFormatting xmlns:xm="http://schemas.microsoft.com/office/excel/2006/main">
          <x14:cfRule type="dataBar" id="{7F0D3BF5-F7D3-41C9-B5D1-8E4AFD59C17C}">
            <x14:dataBar minLength="0" maxLength="100" gradient="0">
              <x14:cfvo type="autoMin"/>
              <x14:cfvo type="num">
                <xm:f>4</xm:f>
              </x14:cfvo>
              <x14:negativeFillColor rgb="FFFF0000"/>
              <x14:axisColor rgb="FF000000"/>
            </x14:dataBar>
          </x14:cfRule>
          <xm:sqref>H312:H313</xm:sqref>
        </x14:conditionalFormatting>
        <x14:conditionalFormatting xmlns:xm="http://schemas.microsoft.com/office/excel/2006/main">
          <x14:cfRule type="dataBar" id="{417BFCA9-CDE7-4C65-85B5-ADEF903F56D6}">
            <x14:dataBar minLength="0" maxLength="100" gradient="0">
              <x14:cfvo type="autoMin"/>
              <x14:cfvo type="num">
                <xm:f>4</xm:f>
              </x14:cfvo>
              <x14:negativeFillColor rgb="FFFF0000"/>
              <x14:axisColor rgb="FF000000"/>
            </x14:dataBar>
          </x14:cfRule>
          <xm:sqref>H941:H946</xm:sqref>
        </x14:conditionalFormatting>
        <x14:conditionalFormatting xmlns:xm="http://schemas.microsoft.com/office/excel/2006/main">
          <x14:cfRule type="dataBar" id="{63002CF0-DF8C-4594-826D-C58BB7151C72}">
            <x14:dataBar minLength="0" maxLength="100" gradient="0">
              <x14:cfvo type="autoMin"/>
              <x14:cfvo type="num">
                <xm:f>4</xm:f>
              </x14:cfvo>
              <x14:negativeFillColor rgb="FFFF0000"/>
              <x14:axisColor rgb="FF000000"/>
            </x14:dataBar>
          </x14:cfRule>
          <xm:sqref>H2:M307 H315:M939</xm:sqref>
        </x14:conditionalFormatting>
        <x14:conditionalFormatting xmlns:xm="http://schemas.microsoft.com/office/excel/2006/main">
          <x14:cfRule type="dataBar" id="{7FB5FFFD-BFF5-4607-8266-C61D50D37610}">
            <x14:dataBar minLength="0" maxLength="100" gradient="0">
              <x14:cfvo type="autoMin"/>
              <x14:cfvo type="num">
                <xm:f>4</xm:f>
              </x14:cfvo>
              <x14:negativeFillColor rgb="FFFF0000"/>
              <x14:axisColor rgb="FF000000"/>
            </x14:dataBar>
          </x14:cfRule>
          <xm:sqref>H314:M314 H308:M308 H311:M311</xm:sqref>
        </x14:conditionalFormatting>
        <x14:conditionalFormatting xmlns:xm="http://schemas.microsoft.com/office/excel/2006/main">
          <x14:cfRule type="dataBar" id="{8E152E79-9395-4607-AAB9-133D2AEF55CD}">
            <x14:dataBar minLength="0" maxLength="100" gradient="0">
              <x14:cfvo type="autoMin"/>
              <x14:cfvo type="num">
                <xm:f>4</xm:f>
              </x14:cfvo>
              <x14:negativeFillColor rgb="FFFF0000"/>
              <x14:axisColor rgb="FF000000"/>
            </x14:dataBar>
          </x14:cfRule>
          <xm:sqref>H940:M940</xm:sqref>
        </x14:conditionalFormatting>
        <x14:conditionalFormatting xmlns:xm="http://schemas.microsoft.com/office/excel/2006/main">
          <x14:cfRule type="dataBar" id="{B6046930-B12E-4F63-A1A3-82B63FAA2115}">
            <x14:dataBar minLength="0" maxLength="100" gradient="0">
              <x14:cfvo type="autoMin"/>
              <x14:cfvo type="num">
                <xm:f>4</xm:f>
              </x14:cfvo>
              <x14:negativeFillColor rgb="FFFF0000"/>
              <x14:axisColor rgb="FF000000"/>
            </x14:dataBar>
          </x14:cfRule>
          <xm:sqref>H947:M947</xm:sqref>
        </x14:conditionalFormatting>
        <x14:conditionalFormatting xmlns:xm="http://schemas.microsoft.com/office/excel/2006/main">
          <x14:cfRule type="dataBar" id="{313108EF-E70F-470E-8327-337884178851}">
            <x14:dataBar minLength="0" maxLength="100" gradient="0">
              <x14:cfvo type="autoMin"/>
              <x14:cfvo type="num">
                <xm:f>4</xm:f>
              </x14:cfvo>
              <x14:negativeFillColor rgb="FFFF0000"/>
              <x14:axisColor rgb="FF000000"/>
            </x14:dataBar>
          </x14:cfRule>
          <xm:sqref>H947:M948</xm:sqref>
        </x14:conditionalFormatting>
        <x14:conditionalFormatting xmlns:xm="http://schemas.microsoft.com/office/excel/2006/main">
          <x14:cfRule type="dataBar" id="{2A4AEB21-0401-4F6F-BAFE-DCE5BAE1F22E}">
            <x14:dataBar minLength="0" maxLength="100" gradient="0">
              <x14:cfvo type="autoMin"/>
              <x14:cfvo type="num">
                <xm:f>4</xm:f>
              </x14:cfvo>
              <x14:negativeFillColor rgb="FFFF0000"/>
              <x14:axisColor rgb="FF000000"/>
            </x14:dataBar>
          </x14:cfRule>
          <xm:sqref>H948:M948</xm:sqref>
        </x14:conditionalFormatting>
        <x14:conditionalFormatting xmlns:xm="http://schemas.microsoft.com/office/excel/2006/main">
          <x14:cfRule type="dataBar" id="{5D386311-A62A-4DEA-933B-43D27B06F7D1}">
            <x14:dataBar minLength="0" maxLength="100" gradient="0">
              <x14:cfvo type="autoMin"/>
              <x14:cfvo type="num">
                <xm:f>4</xm:f>
              </x14:cfvo>
              <x14:negativeFillColor rgb="FFFF0000"/>
              <x14:axisColor rgb="FF000000"/>
            </x14:dataBar>
          </x14:cfRule>
          <xm:sqref>H949:M949</xm:sqref>
        </x14:conditionalFormatting>
        <x14:conditionalFormatting xmlns:xm="http://schemas.microsoft.com/office/excel/2006/main">
          <x14:cfRule type="dataBar" id="{7BAE4504-4F0E-4DB4-9789-A64DEFBEF436}">
            <x14:dataBar minLength="0" maxLength="100" gradient="0">
              <x14:cfvo type="autoMin"/>
              <x14:cfvo type="num">
                <xm:f>4</xm:f>
              </x14:cfvo>
              <x14:negativeFillColor rgb="FFFF0000"/>
              <x14:axisColor rgb="FF000000"/>
            </x14:dataBar>
          </x14:cfRule>
          <xm:sqref>H950:M950</xm:sqref>
        </x14:conditionalFormatting>
        <x14:conditionalFormatting xmlns:xm="http://schemas.microsoft.com/office/excel/2006/main">
          <x14:cfRule type="dataBar" id="{196AA2B0-1A96-46F6-9570-3964F7E343F8}">
            <x14:dataBar minLength="0" maxLength="100" gradient="0">
              <x14:cfvo type="autoMin"/>
              <x14:cfvo type="num">
                <xm:f>4</xm:f>
              </x14:cfvo>
              <x14:negativeFillColor rgb="FFFF0000"/>
              <x14:axisColor rgb="FF000000"/>
            </x14:dataBar>
          </x14:cfRule>
          <xm:sqref>H951:M954</xm:sqref>
        </x14:conditionalFormatting>
        <x14:conditionalFormatting xmlns:xm="http://schemas.microsoft.com/office/excel/2006/main">
          <x14:cfRule type="dataBar" id="{4FF3944F-F6EB-469A-B3BF-89C2ACEF9A5A}">
            <x14:dataBar minLength="0" maxLength="100" gradient="0">
              <x14:cfvo type="autoMin"/>
              <x14:cfvo type="num">
                <xm:f>4</xm:f>
              </x14:cfvo>
              <x14:negativeFillColor rgb="FFFF0000"/>
              <x14:axisColor rgb="FF000000"/>
            </x14:dataBar>
          </x14:cfRule>
          <xm:sqref>H955:M956</xm:sqref>
        </x14:conditionalFormatting>
        <x14:conditionalFormatting xmlns:xm="http://schemas.microsoft.com/office/excel/2006/main">
          <x14:cfRule type="dataBar" id="{C636A330-3589-4118-9161-5E09435D3530}">
            <x14:dataBar minLength="0" maxLength="100" gradient="0">
              <x14:cfvo type="autoMin"/>
              <x14:cfvo type="num">
                <xm:f>4</xm:f>
              </x14:cfvo>
              <x14:negativeFillColor rgb="FFFF0000"/>
              <x14:axisColor rgb="FF000000"/>
            </x14:dataBar>
          </x14:cfRule>
          <xm:sqref>H957:M958</xm:sqref>
        </x14:conditionalFormatting>
        <x14:conditionalFormatting xmlns:xm="http://schemas.microsoft.com/office/excel/2006/main">
          <x14:cfRule type="dataBar" id="{0ACD0B7B-98AF-45E4-8215-5123E796F153}">
            <x14:dataBar minLength="0" maxLength="100" gradient="0">
              <x14:cfvo type="autoMin"/>
              <x14:cfvo type="num">
                <xm:f>4</xm:f>
              </x14:cfvo>
              <x14:negativeFillColor rgb="FFFF0000"/>
              <x14:axisColor rgb="FF000000"/>
            </x14:dataBar>
          </x14:cfRule>
          <xm:sqref>H959:M972</xm:sqref>
        </x14:conditionalFormatting>
        <x14:conditionalFormatting xmlns:xm="http://schemas.microsoft.com/office/excel/2006/main">
          <x14:cfRule type="dataBar" id="{4A516C74-FCED-47AC-AAE2-98D1F54DE959}">
            <x14:dataBar minLength="0" maxLength="100" gradient="0">
              <x14:cfvo type="autoMin"/>
              <x14:cfvo type="num">
                <xm:f>4</xm:f>
              </x14:cfvo>
              <x14:negativeFillColor rgb="FFFF0000"/>
              <x14:axisColor rgb="FF000000"/>
            </x14:dataBar>
          </x14:cfRule>
          <xm:sqref>H960:M960</xm:sqref>
        </x14:conditionalFormatting>
        <x14:conditionalFormatting xmlns:xm="http://schemas.microsoft.com/office/excel/2006/main">
          <x14:cfRule type="dataBar" id="{BA1F9C6C-AC7E-448E-BA6C-317D0FFF122C}">
            <x14:dataBar minLength="0" maxLength="100" gradient="0">
              <x14:cfvo type="autoMin"/>
              <x14:cfvo type="num">
                <xm:f>4</xm:f>
              </x14:cfvo>
              <x14:negativeFillColor rgb="FFFF0000"/>
              <x14:axisColor rgb="FF000000"/>
            </x14:dataBar>
          </x14:cfRule>
          <xm:sqref>H990:M990</xm:sqref>
        </x14:conditionalFormatting>
        <x14:conditionalFormatting xmlns:xm="http://schemas.microsoft.com/office/excel/2006/main">
          <x14:cfRule type="dataBar" id="{F6EBAD4B-397A-4D41-A011-39216889E484}">
            <x14:dataBar minLength="0" maxLength="100" gradient="0">
              <x14:cfvo type="autoMin"/>
              <x14:cfvo type="num">
                <xm:f>4</xm:f>
              </x14:cfvo>
              <x14:negativeFillColor rgb="FFFF0000"/>
              <x14:axisColor rgb="FF000000"/>
            </x14:dataBar>
          </x14:cfRule>
          <xm:sqref>H991:M996 H1211:M1213 H973:M989 H999:M1016 H1018:M1035 H1037:M1054 H1056:M1073 H1075:M1092 H1094:M1111 H1113:M1130 H1132:M1149 H1151:M1171 H1173:M1190 H1192:M1209</xm:sqref>
        </x14:conditionalFormatting>
        <x14:conditionalFormatting xmlns:xm="http://schemas.microsoft.com/office/excel/2006/main">
          <x14:cfRule type="dataBar" id="{3FE364B5-5DD3-4A5D-838F-4917A68DD0D8}">
            <x14:dataBar minLength="0" maxLength="100" gradient="0">
              <x14:cfvo type="autoMin"/>
              <x14:cfvo type="num">
                <xm:f>4</xm:f>
              </x14:cfvo>
              <x14:negativeFillColor rgb="FFFF0000"/>
              <x14:axisColor rgb="FF000000"/>
            </x14:dataBar>
          </x14:cfRule>
          <xm:sqref>H997:M998</xm:sqref>
        </x14:conditionalFormatting>
        <x14:conditionalFormatting xmlns:xm="http://schemas.microsoft.com/office/excel/2006/main">
          <x14:cfRule type="dataBar" id="{E849F10B-2B10-497E-B79A-0495DC630C98}">
            <x14:dataBar minLength="0" maxLength="100" gradient="0">
              <x14:cfvo type="autoMin"/>
              <x14:cfvo type="num">
                <xm:f>4</xm:f>
              </x14:cfvo>
              <x14:negativeFillColor rgb="FFFF0000"/>
              <x14:axisColor rgb="FF000000"/>
            </x14:dataBar>
          </x14:cfRule>
          <xm:sqref>H1017:M1017</xm:sqref>
        </x14:conditionalFormatting>
        <x14:conditionalFormatting xmlns:xm="http://schemas.microsoft.com/office/excel/2006/main">
          <x14:cfRule type="dataBar" id="{EA43D244-56CF-446F-AC5E-E8422A84AF22}">
            <x14:dataBar minLength="0" maxLength="100" gradient="0">
              <x14:cfvo type="autoMin"/>
              <x14:cfvo type="num">
                <xm:f>4</xm:f>
              </x14:cfvo>
              <x14:negativeFillColor rgb="FFFF0000"/>
              <x14:axisColor rgb="FF000000"/>
            </x14:dataBar>
          </x14:cfRule>
          <xm:sqref>H1036:M1036</xm:sqref>
        </x14:conditionalFormatting>
        <x14:conditionalFormatting xmlns:xm="http://schemas.microsoft.com/office/excel/2006/main">
          <x14:cfRule type="dataBar" id="{49E73A2C-8A08-4096-9749-FF6D8E8F492F}">
            <x14:dataBar minLength="0" maxLength="100" gradient="0">
              <x14:cfvo type="autoMin"/>
              <x14:cfvo type="num">
                <xm:f>4</xm:f>
              </x14:cfvo>
              <x14:negativeFillColor rgb="FFFF0000"/>
              <x14:axisColor rgb="FF000000"/>
            </x14:dataBar>
          </x14:cfRule>
          <xm:sqref>H1055:M1055</xm:sqref>
        </x14:conditionalFormatting>
        <x14:conditionalFormatting xmlns:xm="http://schemas.microsoft.com/office/excel/2006/main">
          <x14:cfRule type="dataBar" id="{07E15439-BBFA-4CFE-A61F-33485D00BD6F}">
            <x14:dataBar minLength="0" maxLength="100" gradient="0">
              <x14:cfvo type="autoMin"/>
              <x14:cfvo type="num">
                <xm:f>4</xm:f>
              </x14:cfvo>
              <x14:negativeFillColor rgb="FFFF0000"/>
              <x14:axisColor rgb="FF000000"/>
            </x14:dataBar>
          </x14:cfRule>
          <xm:sqref>H1074:M1074</xm:sqref>
        </x14:conditionalFormatting>
        <x14:conditionalFormatting xmlns:xm="http://schemas.microsoft.com/office/excel/2006/main">
          <x14:cfRule type="dataBar" id="{38745E4E-3A56-44D1-B890-7189DCD49A5C}">
            <x14:dataBar minLength="0" maxLength="100" gradient="0">
              <x14:cfvo type="autoMin"/>
              <x14:cfvo type="num">
                <xm:f>4</xm:f>
              </x14:cfvo>
              <x14:negativeFillColor rgb="FFFF0000"/>
              <x14:axisColor rgb="FF000000"/>
            </x14:dataBar>
          </x14:cfRule>
          <xm:sqref>H1093:M1093</xm:sqref>
        </x14:conditionalFormatting>
        <x14:conditionalFormatting xmlns:xm="http://schemas.microsoft.com/office/excel/2006/main">
          <x14:cfRule type="dataBar" id="{5C6A9FF9-D196-42A0-9CDF-7889F935CE1A}">
            <x14:dataBar minLength="0" maxLength="100" gradient="0">
              <x14:cfvo type="autoMin"/>
              <x14:cfvo type="num">
                <xm:f>4</xm:f>
              </x14:cfvo>
              <x14:negativeFillColor rgb="FFFF0000"/>
              <x14:axisColor rgb="FF000000"/>
            </x14:dataBar>
          </x14:cfRule>
          <xm:sqref>H1112:M1112</xm:sqref>
        </x14:conditionalFormatting>
        <x14:conditionalFormatting xmlns:xm="http://schemas.microsoft.com/office/excel/2006/main">
          <x14:cfRule type="dataBar" id="{BA4D3E41-5B69-4BC9-9D03-B27E5624E081}">
            <x14:dataBar minLength="0" maxLength="100" gradient="0">
              <x14:cfvo type="autoMin"/>
              <x14:cfvo type="num">
                <xm:f>4</xm:f>
              </x14:cfvo>
              <x14:negativeFillColor rgb="FFFF0000"/>
              <x14:axisColor rgb="FF000000"/>
            </x14:dataBar>
          </x14:cfRule>
          <xm:sqref>H1131:M1131</xm:sqref>
        </x14:conditionalFormatting>
        <x14:conditionalFormatting xmlns:xm="http://schemas.microsoft.com/office/excel/2006/main">
          <x14:cfRule type="dataBar" id="{F531ED59-95EA-44D1-8C42-6C72F488B85A}">
            <x14:dataBar minLength="0" maxLength="100" gradient="0">
              <x14:cfvo type="autoMin"/>
              <x14:cfvo type="num">
                <xm:f>4</xm:f>
              </x14:cfvo>
              <x14:negativeFillColor rgb="FFFF0000"/>
              <x14:axisColor rgb="FF000000"/>
            </x14:dataBar>
          </x14:cfRule>
          <xm:sqref>H1150:M1150</xm:sqref>
        </x14:conditionalFormatting>
        <x14:conditionalFormatting xmlns:xm="http://schemas.microsoft.com/office/excel/2006/main">
          <x14:cfRule type="dataBar" id="{EB2DD670-BF81-427B-AFC4-FC454331F690}">
            <x14:dataBar minLength="0" maxLength="100" gradient="0">
              <x14:cfvo type="autoMin"/>
              <x14:cfvo type="num">
                <xm:f>4</xm:f>
              </x14:cfvo>
              <x14:negativeFillColor rgb="FFFF0000"/>
              <x14:axisColor rgb="FF000000"/>
            </x14:dataBar>
          </x14:cfRule>
          <xm:sqref>H1172:M1172</xm:sqref>
        </x14:conditionalFormatting>
        <x14:conditionalFormatting xmlns:xm="http://schemas.microsoft.com/office/excel/2006/main">
          <x14:cfRule type="dataBar" id="{F17A6D30-0FA8-445D-A163-EF37F8FAC453}">
            <x14:dataBar minLength="0" maxLength="100" gradient="0">
              <x14:cfvo type="autoMin"/>
              <x14:cfvo type="num">
                <xm:f>4</xm:f>
              </x14:cfvo>
              <x14:negativeFillColor rgb="FFFF0000"/>
              <x14:axisColor rgb="FF000000"/>
            </x14:dataBar>
          </x14:cfRule>
          <xm:sqref>H1191:M1191</xm:sqref>
        </x14:conditionalFormatting>
        <x14:conditionalFormatting xmlns:xm="http://schemas.microsoft.com/office/excel/2006/main">
          <x14:cfRule type="dataBar" id="{04F6C02E-7BF6-4FBC-A993-DC42F0422558}">
            <x14:dataBar minLength="0" maxLength="100" gradient="0">
              <x14:cfvo type="autoMin"/>
              <x14:cfvo type="num">
                <xm:f>4</xm:f>
              </x14:cfvo>
              <x14:negativeFillColor rgb="FFFF0000"/>
              <x14:axisColor rgb="FF000000"/>
            </x14:dataBar>
          </x14:cfRule>
          <xm:sqref>H1210:M1210</xm:sqref>
        </x14:conditionalFormatting>
        <x14:conditionalFormatting xmlns:xm="http://schemas.microsoft.com/office/excel/2006/main">
          <x14:cfRule type="dataBar" id="{0981FE92-40C9-4998-8688-F5E958AF26DF}">
            <x14:dataBar minLength="0" maxLength="100" gradient="0">
              <x14:cfvo type="autoMin"/>
              <x14:cfvo type="num">
                <xm:f>4</xm:f>
              </x14:cfvo>
              <x14:negativeFillColor rgb="FFFF0000"/>
              <x14:axisColor rgb="FF000000"/>
            </x14:dataBar>
          </x14:cfRule>
          <xm:sqref>I309:I310</xm:sqref>
        </x14:conditionalFormatting>
        <x14:conditionalFormatting xmlns:xm="http://schemas.microsoft.com/office/excel/2006/main">
          <x14:cfRule type="dataBar" id="{8C325829-DC4E-4059-85B7-DE2682CB3B57}">
            <x14:dataBar minLength="0" maxLength="100" gradient="0">
              <x14:cfvo type="autoMin"/>
              <x14:cfvo type="num">
                <xm:f>4</xm:f>
              </x14:cfvo>
              <x14:negativeFillColor rgb="FFFF0000"/>
              <x14:axisColor rgb="FF000000"/>
            </x14:dataBar>
          </x14:cfRule>
          <xm:sqref>I312:I313</xm:sqref>
        </x14:conditionalFormatting>
        <x14:conditionalFormatting xmlns:xm="http://schemas.microsoft.com/office/excel/2006/main">
          <x14:cfRule type="dataBar" id="{64BBA177-E9E6-4258-837C-B4E2091A860D}">
            <x14:dataBar minLength="0" maxLength="100" gradient="0">
              <x14:cfvo type="autoMin"/>
              <x14:cfvo type="num">
                <xm:f>4</xm:f>
              </x14:cfvo>
              <x14:negativeFillColor rgb="FFFF0000"/>
              <x14:axisColor rgb="FF000000"/>
            </x14:dataBar>
          </x14:cfRule>
          <xm:sqref>I941:I946</xm:sqref>
        </x14:conditionalFormatting>
        <x14:conditionalFormatting xmlns:xm="http://schemas.microsoft.com/office/excel/2006/main">
          <x14:cfRule type="dataBar" id="{36844039-BEAE-48B6-9E94-15D168E5520E}">
            <x14:dataBar minLength="0" maxLength="100" gradient="0">
              <x14:cfvo type="autoMin"/>
              <x14:cfvo type="num">
                <xm:f>4</xm:f>
              </x14:cfvo>
              <x14:negativeFillColor rgb="FFFF0000"/>
              <x14:axisColor rgb="FF000000"/>
            </x14:dataBar>
          </x14:cfRule>
          <xm:sqref>J309:J310</xm:sqref>
        </x14:conditionalFormatting>
        <x14:conditionalFormatting xmlns:xm="http://schemas.microsoft.com/office/excel/2006/main">
          <x14:cfRule type="dataBar" id="{F934E2D6-1F08-4146-B105-9A045A89AA43}">
            <x14:dataBar minLength="0" maxLength="100" gradient="0">
              <x14:cfvo type="autoMin"/>
              <x14:cfvo type="num">
                <xm:f>4</xm:f>
              </x14:cfvo>
              <x14:negativeFillColor rgb="FFFF0000"/>
              <x14:axisColor rgb="FF000000"/>
            </x14:dataBar>
          </x14:cfRule>
          <xm:sqref>J312:J313</xm:sqref>
        </x14:conditionalFormatting>
        <x14:conditionalFormatting xmlns:xm="http://schemas.microsoft.com/office/excel/2006/main">
          <x14:cfRule type="dataBar" id="{40511D16-FD68-424C-B221-1299B52B9CEF}">
            <x14:dataBar minLength="0" maxLength="100" gradient="0">
              <x14:cfvo type="autoMin"/>
              <x14:cfvo type="num">
                <xm:f>4</xm:f>
              </x14:cfvo>
              <x14:negativeFillColor rgb="FFFF0000"/>
              <x14:axisColor rgb="FF000000"/>
            </x14:dataBar>
          </x14:cfRule>
          <xm:sqref>J941:J946</xm:sqref>
        </x14:conditionalFormatting>
        <x14:conditionalFormatting xmlns:xm="http://schemas.microsoft.com/office/excel/2006/main">
          <x14:cfRule type="dataBar" id="{35655516-FD7D-487A-A136-73E746610FEE}">
            <x14:dataBar minLength="0" maxLength="100" gradient="0">
              <x14:cfvo type="autoMin"/>
              <x14:cfvo type="num">
                <xm:f>4</xm:f>
              </x14:cfvo>
              <x14:negativeFillColor rgb="FFFF0000"/>
              <x14:axisColor rgb="FF000000"/>
            </x14:dataBar>
          </x14:cfRule>
          <xm:sqref>K309:K310</xm:sqref>
        </x14:conditionalFormatting>
        <x14:conditionalFormatting xmlns:xm="http://schemas.microsoft.com/office/excel/2006/main">
          <x14:cfRule type="dataBar" id="{3AC1C6DC-4662-48C3-A299-2758C912D15B}">
            <x14:dataBar minLength="0" maxLength="100" gradient="0">
              <x14:cfvo type="autoMin"/>
              <x14:cfvo type="num">
                <xm:f>4</xm:f>
              </x14:cfvo>
              <x14:negativeFillColor rgb="FFFF0000"/>
              <x14:axisColor rgb="FF000000"/>
            </x14:dataBar>
          </x14:cfRule>
          <xm:sqref>K312:K313</xm:sqref>
        </x14:conditionalFormatting>
        <x14:conditionalFormatting xmlns:xm="http://schemas.microsoft.com/office/excel/2006/main">
          <x14:cfRule type="dataBar" id="{410751F8-359B-48E2-B5D1-B8A6F48ADF33}">
            <x14:dataBar minLength="0" maxLength="100" gradient="0">
              <x14:cfvo type="autoMin"/>
              <x14:cfvo type="num">
                <xm:f>4</xm:f>
              </x14:cfvo>
              <x14:negativeFillColor rgb="FFFF0000"/>
              <x14:axisColor rgb="FF000000"/>
            </x14:dataBar>
          </x14:cfRule>
          <xm:sqref>K941:K946</xm:sqref>
        </x14:conditionalFormatting>
        <x14:conditionalFormatting xmlns:xm="http://schemas.microsoft.com/office/excel/2006/main">
          <x14:cfRule type="dataBar" id="{A0C0C633-887C-4064-B0C9-D8DCFD8A0232}">
            <x14:dataBar minLength="0" maxLength="100" gradient="0">
              <x14:cfvo type="autoMin"/>
              <x14:cfvo type="num">
                <xm:f>4</xm:f>
              </x14:cfvo>
              <x14:negativeFillColor rgb="FFFF0000"/>
              <x14:axisColor rgb="FF000000"/>
            </x14:dataBar>
          </x14:cfRule>
          <xm:sqref>L309:L310</xm:sqref>
        </x14:conditionalFormatting>
        <x14:conditionalFormatting xmlns:xm="http://schemas.microsoft.com/office/excel/2006/main">
          <x14:cfRule type="dataBar" id="{EB0DFE2C-63FE-4D19-8832-2FF6F7765BEF}">
            <x14:dataBar minLength="0" maxLength="100" gradient="0">
              <x14:cfvo type="autoMin"/>
              <x14:cfvo type="num">
                <xm:f>4</xm:f>
              </x14:cfvo>
              <x14:negativeFillColor rgb="FFFF0000"/>
              <x14:axisColor rgb="FF000000"/>
            </x14:dataBar>
          </x14:cfRule>
          <xm:sqref>L312:L313</xm:sqref>
        </x14:conditionalFormatting>
        <x14:conditionalFormatting xmlns:xm="http://schemas.microsoft.com/office/excel/2006/main">
          <x14:cfRule type="dataBar" id="{7F39E170-6BBD-4A71-8987-7FAC5C0FBA51}">
            <x14:dataBar minLength="0" maxLength="100" gradient="0">
              <x14:cfvo type="autoMin"/>
              <x14:cfvo type="num">
                <xm:f>4</xm:f>
              </x14:cfvo>
              <x14:negativeFillColor rgb="FFFF0000"/>
              <x14:axisColor rgb="FF000000"/>
            </x14:dataBar>
          </x14:cfRule>
          <xm:sqref>L941:L946</xm:sqref>
        </x14:conditionalFormatting>
        <x14:conditionalFormatting xmlns:xm="http://schemas.microsoft.com/office/excel/2006/main">
          <x14:cfRule type="dataBar" id="{2FF23883-0495-42DD-8901-6B987EBA4DFE}">
            <x14:dataBar minLength="0" maxLength="100" gradient="0">
              <x14:cfvo type="autoMin"/>
              <x14:cfvo type="num">
                <xm:f>4</xm:f>
              </x14:cfvo>
              <x14:negativeFillColor rgb="FFFF0000"/>
              <x14:axisColor rgb="FF000000"/>
            </x14:dataBar>
          </x14:cfRule>
          <xm:sqref>M309:M310</xm:sqref>
        </x14:conditionalFormatting>
        <x14:conditionalFormatting xmlns:xm="http://schemas.microsoft.com/office/excel/2006/main">
          <x14:cfRule type="dataBar" id="{5AEF6319-80C2-4A0C-B2D1-345E3DD9F043}">
            <x14:dataBar minLength="0" maxLength="100" gradient="0">
              <x14:cfvo type="autoMin"/>
              <x14:cfvo type="num">
                <xm:f>4</xm:f>
              </x14:cfvo>
              <x14:negativeFillColor rgb="FFFF0000"/>
              <x14:axisColor rgb="FF000000"/>
            </x14:dataBar>
          </x14:cfRule>
          <xm:sqref>M312:M313</xm:sqref>
        </x14:conditionalFormatting>
        <x14:conditionalFormatting xmlns:xm="http://schemas.microsoft.com/office/excel/2006/main">
          <x14:cfRule type="dataBar" id="{D8476B79-A7A0-48EE-B819-C78E9304EB16}">
            <x14:dataBar minLength="0" maxLength="100" gradient="0">
              <x14:cfvo type="autoMin"/>
              <x14:cfvo type="num">
                <xm:f>4</xm:f>
              </x14:cfvo>
              <x14:negativeFillColor rgb="FFFF0000"/>
              <x14:axisColor rgb="FF000000"/>
            </x14:dataBar>
          </x14:cfRule>
          <xm:sqref>M941:M946</xm:sqref>
        </x14:conditionalFormatting>
        <x14:conditionalFormatting xmlns:xm="http://schemas.microsoft.com/office/excel/2006/main">
          <x14:cfRule type="dataBar" id="{5FE02AD2-B592-4442-BE93-F1FA8A0DDB6E}">
            <x14:dataBar minLength="0" maxLength="100" gradient="0">
              <x14:cfvo type="autoMin"/>
              <x14:cfvo type="autoMax"/>
              <x14:negativeFillColor rgb="FFFF0000"/>
              <x14:axisColor rgb="FF000000"/>
            </x14:dataBar>
          </x14:cfRule>
          <xm:sqref>N308:N314</xm:sqref>
        </x14:conditionalFormatting>
        <x14:conditionalFormatting xmlns:xm="http://schemas.microsoft.com/office/excel/2006/main">
          <x14:cfRule type="dataBar" id="{653FB42B-DE40-4B04-BFE0-2BFA64BBDF9F}">
            <x14:dataBar minLength="0" maxLength="100" gradient="0">
              <x14:cfvo type="autoMin"/>
              <x14:cfvo type="autoMax"/>
              <x14:negativeFillColor rgb="FFFF0000"/>
              <x14:axisColor rgb="FF000000"/>
            </x14:dataBar>
          </x14:cfRule>
          <xm:sqref>N941:N946</xm:sqref>
        </x14:conditionalFormatting>
        <x14:conditionalFormatting xmlns:xm="http://schemas.microsoft.com/office/excel/2006/main">
          <x14:cfRule type="dataBar" id="{71FBF820-96F4-4292-A09E-2001342C43A2}">
            <x14:dataBar minLength="0" maxLength="100" gradient="0">
              <x14:cfvo type="autoMin"/>
              <x14:cfvo type="autoMax"/>
              <x14:negativeFillColor rgb="FFFF0000"/>
              <x14:axisColor rgb="FF000000"/>
            </x14:dataBar>
          </x14:cfRule>
          <xm:sqref>N947:N958</xm:sqref>
        </x14:conditionalFormatting>
        <x14:conditionalFormatting xmlns:xm="http://schemas.microsoft.com/office/excel/2006/main">
          <x14:cfRule type="dataBar" id="{75FB3F3D-C50D-494B-9F38-66F7DAE5D4A4}">
            <x14:dataBar minLength="0" maxLength="100" gradient="0">
              <x14:cfvo type="autoMin"/>
              <x14:cfvo type="autoMax"/>
              <x14:negativeFillColor rgb="FFFF0000"/>
              <x14:axisColor rgb="FF000000"/>
            </x14:dataBar>
          </x14:cfRule>
          <xm:sqref>N959:N1213</xm:sqref>
        </x14:conditionalFormatting>
        <x14:conditionalFormatting xmlns:xm="http://schemas.microsoft.com/office/excel/2006/main">
          <x14:cfRule type="dataBar" id="{39683FCE-C635-49D2-A9BA-C7023BF37511}">
            <x14:dataBar minLength="0" maxLength="100" gradient="0">
              <x14:cfvo type="autoMin"/>
              <x14:cfvo type="autoMax"/>
              <x14:negativeFillColor rgb="FFFF0000"/>
              <x14:axisColor rgb="FF000000"/>
            </x14:dataBar>
          </x14:cfRule>
          <xm:sqref>N2:O307 N315:O939</xm:sqref>
        </x14:conditionalFormatting>
        <x14:conditionalFormatting xmlns:xm="http://schemas.microsoft.com/office/excel/2006/main">
          <x14:cfRule type="dataBar" id="{D11272F5-DF2F-4773-94F8-7C2EEEAA96C3}">
            <x14:dataBar minLength="0" maxLength="100" gradient="0">
              <x14:cfvo type="autoMin"/>
              <x14:cfvo type="autoMax"/>
              <x14:negativeFillColor rgb="FFFF0000"/>
              <x14:axisColor rgb="FF000000"/>
            </x14:dataBar>
          </x14:cfRule>
          <xm:sqref>N940:O940</xm:sqref>
        </x14:conditionalFormatting>
        <x14:conditionalFormatting xmlns:xm="http://schemas.microsoft.com/office/excel/2006/main">
          <x14:cfRule type="dataBar" id="{0AFB4F83-0A52-40D8-AB0C-A5FD58A88EC6}">
            <x14:dataBar minLength="0" maxLength="100" gradient="0">
              <x14:cfvo type="autoMin"/>
              <x14:cfvo type="autoMax"/>
              <x14:negativeFillColor rgb="FFFF0000"/>
              <x14:axisColor rgb="FF000000"/>
            </x14:dataBar>
          </x14:cfRule>
          <xm:sqref>O308:O314</xm:sqref>
        </x14:conditionalFormatting>
        <x14:conditionalFormatting xmlns:xm="http://schemas.microsoft.com/office/excel/2006/main">
          <x14:cfRule type="dataBar" id="{66C82E18-99EA-4433-AB1D-53FBF20EFA86}">
            <x14:dataBar minLength="0" maxLength="100" gradient="0">
              <x14:cfvo type="autoMin"/>
              <x14:cfvo type="autoMax"/>
              <x14:negativeFillColor rgb="FFFF0000"/>
              <x14:axisColor rgb="FF000000"/>
            </x14:dataBar>
          </x14:cfRule>
          <xm:sqref>O947:O958</xm:sqref>
        </x14:conditionalFormatting>
        <x14:conditionalFormatting xmlns:xm="http://schemas.microsoft.com/office/excel/2006/main">
          <x14:cfRule type="dataBar" id="{FA495B81-A52E-48A7-8207-E9317622B22D}">
            <x14:dataBar minLength="0" maxLength="100" gradient="0">
              <x14:cfvo type="autoMin"/>
              <x14:cfvo type="autoMax"/>
              <x14:negativeFillColor rgb="FFFF0000"/>
              <x14:axisColor rgb="FF000000"/>
            </x14:dataBar>
          </x14:cfRule>
          <xm:sqref>O959:O1213</xm:sqref>
        </x14:conditionalFormatting>
        <x14:conditionalFormatting xmlns:xm="http://schemas.microsoft.com/office/excel/2006/main">
          <x14:cfRule type="dataBar" id="{390A2160-3F82-4A47-A33A-146EF68B2912}">
            <x14:dataBar minLength="0" maxLength="100" gradient="0">
              <x14:cfvo type="autoMin"/>
              <x14:cfvo type="autoMax"/>
              <x14:negativeFillColor rgb="FFFF0000"/>
              <x14:axisColor rgb="FF000000"/>
            </x14:dataBar>
          </x14:cfRule>
          <xm:sqref>P52</xm:sqref>
        </x14:conditionalFormatting>
        <x14:conditionalFormatting xmlns:xm="http://schemas.microsoft.com/office/excel/2006/main">
          <x14:cfRule type="dataBar" id="{9D887FAC-849C-4DD2-9754-D6AB34DE9384}">
            <x14:dataBar minLength="0" maxLength="100" gradient="0">
              <x14:cfvo type="autoMin"/>
              <x14:cfvo type="autoMax"/>
              <x14:negativeFillColor rgb="FFFF0000"/>
              <x14:axisColor rgb="FF000000"/>
            </x14:dataBar>
          </x14:cfRule>
          <xm:sqref>Q71:T71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50B32-B26D-4C8D-A8F8-AE4534580B35}">
  <sheetPr>
    <tabColor rgb="FF92D050"/>
  </sheetPr>
  <dimension ref="A1:A11"/>
  <sheetViews>
    <sheetView workbookViewId="0"/>
  </sheetViews>
  <sheetFormatPr defaultRowHeight="15"/>
  <cols>
    <col min="1" max="1" width="35.140625" bestFit="1" customWidth="1"/>
  </cols>
  <sheetData>
    <row r="1" spans="1:1">
      <c r="A1" s="932" t="s">
        <v>118</v>
      </c>
    </row>
    <row r="2" spans="1:1">
      <c r="A2" s="932" t="s">
        <v>123</v>
      </c>
    </row>
    <row r="3" spans="1:1">
      <c r="A3" s="932" t="s">
        <v>269</v>
      </c>
    </row>
    <row r="4" spans="1:1">
      <c r="A4" s="1105" t="s">
        <v>1033</v>
      </c>
    </row>
    <row r="5" spans="1:1">
      <c r="A5" s="1105" t="s">
        <v>116</v>
      </c>
    </row>
    <row r="6" spans="1:1">
      <c r="A6" s="1105" t="s">
        <v>121</v>
      </c>
    </row>
    <row r="7" spans="1:1">
      <c r="A7" s="1105" t="s">
        <v>130</v>
      </c>
    </row>
    <row r="8" spans="1:1">
      <c r="A8" s="1105" t="s">
        <v>37</v>
      </c>
    </row>
    <row r="9" spans="1:1">
      <c r="A9" s="1105" t="s">
        <v>39</v>
      </c>
    </row>
    <row r="10" spans="1:1">
      <c r="A10" s="1105" t="s">
        <v>127</v>
      </c>
    </row>
    <row r="11" spans="1:1">
      <c r="A11" s="1105" t="s">
        <v>407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AD585-7752-4DA6-BBBB-D096A865E300}">
  <sheetPr>
    <tabColor theme="8"/>
  </sheetPr>
  <dimension ref="A1:Q238"/>
  <sheetViews>
    <sheetView topLeftCell="A127" zoomScaleNormal="100" workbookViewId="0">
      <selection activeCell="B152" sqref="B152"/>
    </sheetView>
  </sheetViews>
  <sheetFormatPr defaultRowHeight="15"/>
  <cols>
    <col min="1" max="1" width="26.7109375" bestFit="1" customWidth="1"/>
    <col min="2" max="2" width="33.28515625" bestFit="1" customWidth="1"/>
    <col min="3" max="3" width="11" customWidth="1"/>
    <col min="4" max="4" width="12.7109375" customWidth="1"/>
    <col min="5" max="5" width="13.42578125" customWidth="1"/>
    <col min="6" max="6" width="15.28515625" customWidth="1"/>
    <col min="7" max="7" width="18.42578125" customWidth="1"/>
    <col min="8" max="8" width="15.7109375" bestFit="1" customWidth="1"/>
    <col min="9" max="9" width="23.5703125" customWidth="1"/>
    <col min="10" max="10" width="8.140625" customWidth="1"/>
    <col min="11" max="11" width="8" customWidth="1"/>
    <col min="12" max="12" width="9" customWidth="1"/>
    <col min="13" max="13" width="8.5703125" customWidth="1"/>
    <col min="14" max="14" width="13" customWidth="1"/>
    <col min="15" max="15" width="27.42578125" bestFit="1" customWidth="1"/>
    <col min="16" max="16" width="33.28515625" bestFit="1" customWidth="1"/>
  </cols>
  <sheetData>
    <row r="1" spans="1:17" s="956" customFormat="1">
      <c r="A1" s="955" t="s">
        <v>15</v>
      </c>
    </row>
    <row r="2" spans="1:17" s="956" customFormat="1" ht="15.75" thickBot="1"/>
    <row r="3" spans="1:17">
      <c r="A3" s="65" t="s">
        <v>137</v>
      </c>
      <c r="B3" s="107" t="s">
        <v>138</v>
      </c>
      <c r="C3" s="108" t="s">
        <v>139</v>
      </c>
      <c r="D3" s="109" t="s">
        <v>110</v>
      </c>
      <c r="E3" s="229" t="s">
        <v>140</v>
      </c>
      <c r="F3" s="108" t="s">
        <v>141</v>
      </c>
      <c r="G3" s="110" t="s">
        <v>112</v>
      </c>
      <c r="H3" s="111" t="s">
        <v>142</v>
      </c>
      <c r="I3" s="112" t="s">
        <v>143</v>
      </c>
      <c r="J3" s="112" t="s">
        <v>69</v>
      </c>
      <c r="K3" s="112" t="s">
        <v>75</v>
      </c>
      <c r="L3" s="112" t="s">
        <v>81</v>
      </c>
      <c r="M3" s="113" t="s">
        <v>87</v>
      </c>
      <c r="N3" s="115" t="s">
        <v>132</v>
      </c>
    </row>
    <row r="4" spans="1:17" ht="15.75" thickBot="1">
      <c r="A4" s="920" t="s">
        <v>2048</v>
      </c>
      <c r="B4" s="7" t="s">
        <v>2050</v>
      </c>
      <c r="C4" s="7" t="s">
        <v>188</v>
      </c>
      <c r="D4" s="7" t="s">
        <v>147</v>
      </c>
      <c r="E4" s="120">
        <v>0.03</v>
      </c>
      <c r="F4" s="7">
        <v>2</v>
      </c>
      <c r="G4" s="16" t="s">
        <v>2055</v>
      </c>
      <c r="H4" s="16">
        <v>2</v>
      </c>
      <c r="I4" s="16">
        <v>2</v>
      </c>
      <c r="J4" s="16">
        <v>3</v>
      </c>
      <c r="K4" s="16">
        <v>3</v>
      </c>
      <c r="L4" s="16">
        <v>3</v>
      </c>
      <c r="M4" s="16">
        <v>2</v>
      </c>
      <c r="N4" s="16"/>
    </row>
    <row r="5" spans="1:17">
      <c r="A5" s="920" t="s">
        <v>2048</v>
      </c>
      <c r="B5" s="7" t="s">
        <v>2050</v>
      </c>
      <c r="C5" s="7" t="s">
        <v>188</v>
      </c>
      <c r="D5" s="7" t="s">
        <v>147</v>
      </c>
      <c r="E5" s="120">
        <v>6.5100000000000005E-2</v>
      </c>
      <c r="F5" s="7">
        <v>2</v>
      </c>
      <c r="G5" s="16" t="s">
        <v>2058</v>
      </c>
      <c r="H5" s="16">
        <v>2</v>
      </c>
      <c r="I5" s="16">
        <v>2</v>
      </c>
      <c r="J5" s="16">
        <v>1</v>
      </c>
      <c r="K5" s="16">
        <v>3</v>
      </c>
      <c r="L5" s="16">
        <v>2</v>
      </c>
      <c r="M5" s="16">
        <v>1</v>
      </c>
      <c r="N5" s="16"/>
      <c r="P5" s="926" t="s">
        <v>2054</v>
      </c>
      <c r="Q5" s="924" t="s">
        <v>1107</v>
      </c>
    </row>
    <row r="6" spans="1:17">
      <c r="A6" s="920" t="s">
        <v>2048</v>
      </c>
      <c r="B6" s="7" t="s">
        <v>2047</v>
      </c>
      <c r="C6" s="7" t="s">
        <v>188</v>
      </c>
      <c r="D6" s="7" t="s">
        <v>147</v>
      </c>
      <c r="E6" s="120" t="s">
        <v>158</v>
      </c>
      <c r="F6" s="7">
        <v>1</v>
      </c>
      <c r="G6" s="922"/>
      <c r="H6" s="923"/>
      <c r="I6" s="923"/>
      <c r="J6" s="923"/>
      <c r="K6" s="923"/>
      <c r="L6" s="923"/>
      <c r="M6" s="923"/>
      <c r="N6" s="923"/>
      <c r="O6" t="s">
        <v>2059</v>
      </c>
      <c r="P6" s="927" t="s">
        <v>2048</v>
      </c>
      <c r="Q6" s="921" t="s">
        <v>1500</v>
      </c>
    </row>
    <row r="7" spans="1:17">
      <c r="A7" s="920" t="s">
        <v>2049</v>
      </c>
      <c r="B7" s="7" t="s">
        <v>2050</v>
      </c>
      <c r="C7" s="7" t="s">
        <v>188</v>
      </c>
      <c r="D7" s="7" t="s">
        <v>147</v>
      </c>
      <c r="E7" s="16">
        <v>0.03</v>
      </c>
      <c r="F7" s="16">
        <v>2</v>
      </c>
      <c r="G7" s="16" t="s">
        <v>2055</v>
      </c>
      <c r="H7" s="16">
        <v>2</v>
      </c>
      <c r="I7" s="16">
        <v>2</v>
      </c>
      <c r="J7" s="16">
        <v>3</v>
      </c>
      <c r="K7" s="16">
        <v>3</v>
      </c>
      <c r="L7" s="16">
        <v>3</v>
      </c>
      <c r="M7" s="16">
        <v>2</v>
      </c>
      <c r="N7" s="16"/>
      <c r="O7" t="s">
        <v>2059</v>
      </c>
      <c r="P7" s="927" t="s">
        <v>2049</v>
      </c>
      <c r="Q7" s="921" t="s">
        <v>1500</v>
      </c>
    </row>
    <row r="8" spans="1:17">
      <c r="A8" s="920" t="s">
        <v>2049</v>
      </c>
      <c r="B8" s="7" t="s">
        <v>2050</v>
      </c>
      <c r="C8" s="7" t="s">
        <v>188</v>
      </c>
      <c r="D8" s="7" t="s">
        <v>147</v>
      </c>
      <c r="E8" s="16">
        <v>6.5100000000000005E-2</v>
      </c>
      <c r="F8" s="16">
        <v>2</v>
      </c>
      <c r="G8" s="16" t="s">
        <v>2058</v>
      </c>
      <c r="H8" s="16">
        <v>2</v>
      </c>
      <c r="I8" s="16">
        <v>2</v>
      </c>
      <c r="J8" s="16">
        <v>1</v>
      </c>
      <c r="K8" s="16">
        <v>3</v>
      </c>
      <c r="L8" s="16">
        <v>2</v>
      </c>
      <c r="M8" s="16">
        <v>1</v>
      </c>
      <c r="N8" s="16"/>
      <c r="P8" s="928" t="s">
        <v>2047</v>
      </c>
      <c r="Q8" s="921" t="s">
        <v>1500</v>
      </c>
    </row>
    <row r="9" spans="1:17">
      <c r="A9" s="920" t="s">
        <v>2049</v>
      </c>
      <c r="B9" s="7" t="s">
        <v>2047</v>
      </c>
      <c r="C9" s="7" t="s">
        <v>188</v>
      </c>
      <c r="D9" s="7" t="s">
        <v>147</v>
      </c>
      <c r="E9" s="7" t="s">
        <v>158</v>
      </c>
      <c r="F9" s="7">
        <v>1</v>
      </c>
      <c r="G9" s="923"/>
      <c r="H9" s="923"/>
      <c r="I9" s="923"/>
      <c r="J9" s="923"/>
      <c r="K9" s="923"/>
      <c r="L9" s="923"/>
      <c r="M9" s="923"/>
      <c r="N9" s="923"/>
      <c r="P9" s="928" t="s">
        <v>2050</v>
      </c>
      <c r="Q9" s="921" t="s">
        <v>1500</v>
      </c>
    </row>
    <row r="10" spans="1:17">
      <c r="A10" s="7" t="s">
        <v>2047</v>
      </c>
      <c r="B10" s="7" t="s">
        <v>2050</v>
      </c>
      <c r="C10" s="7" t="s">
        <v>147</v>
      </c>
      <c r="D10" s="7" t="s">
        <v>147</v>
      </c>
      <c r="E10" s="16">
        <v>0.1</v>
      </c>
      <c r="F10" s="7">
        <v>2</v>
      </c>
      <c r="G10" s="16" t="s">
        <v>2055</v>
      </c>
      <c r="H10" s="16">
        <v>2</v>
      </c>
      <c r="I10" s="16">
        <v>2</v>
      </c>
      <c r="J10" s="16">
        <v>3</v>
      </c>
      <c r="K10" s="16">
        <v>3</v>
      </c>
      <c r="L10" s="16">
        <v>3</v>
      </c>
      <c r="M10" s="16">
        <v>2</v>
      </c>
      <c r="N10" s="16"/>
      <c r="P10" s="928" t="s">
        <v>2053</v>
      </c>
      <c r="Q10" s="921" t="s">
        <v>1500</v>
      </c>
    </row>
    <row r="11" spans="1:17">
      <c r="A11" s="7" t="s">
        <v>2047</v>
      </c>
      <c r="B11" s="7" t="s">
        <v>2050</v>
      </c>
      <c r="C11" s="7" t="s">
        <v>147</v>
      </c>
      <c r="D11" s="7" t="s">
        <v>147</v>
      </c>
      <c r="E11" s="16">
        <v>0.2</v>
      </c>
      <c r="F11" s="7">
        <v>2</v>
      </c>
      <c r="G11" s="16" t="s">
        <v>2058</v>
      </c>
      <c r="H11" s="16">
        <v>2</v>
      </c>
      <c r="I11" s="16">
        <v>2</v>
      </c>
      <c r="J11" s="16">
        <v>1</v>
      </c>
      <c r="K11" s="16">
        <v>3</v>
      </c>
      <c r="L11" s="16">
        <v>2</v>
      </c>
      <c r="M11" s="16">
        <v>1</v>
      </c>
      <c r="N11" s="16"/>
      <c r="P11" s="929" t="s">
        <v>2033</v>
      </c>
      <c r="Q11" s="921" t="s">
        <v>1503</v>
      </c>
    </row>
    <row r="12" spans="1:17">
      <c r="A12" s="7" t="s">
        <v>2047</v>
      </c>
      <c r="B12" s="7" t="s">
        <v>2053</v>
      </c>
      <c r="C12" s="7" t="s">
        <v>147</v>
      </c>
      <c r="D12" s="7" t="s">
        <v>147</v>
      </c>
      <c r="E12" s="7" t="s">
        <v>158</v>
      </c>
      <c r="F12" s="7">
        <v>1</v>
      </c>
      <c r="G12" s="923"/>
      <c r="H12" s="923"/>
      <c r="I12" s="923"/>
      <c r="J12" s="923"/>
      <c r="K12" s="923"/>
      <c r="L12" s="923"/>
      <c r="M12" s="923"/>
      <c r="N12" s="923"/>
      <c r="P12" s="929" t="s">
        <v>2044</v>
      </c>
      <c r="Q12" s="921" t="s">
        <v>1503</v>
      </c>
    </row>
    <row r="13" spans="1:17">
      <c r="P13" s="929" t="s">
        <v>2045</v>
      </c>
      <c r="Q13" s="921" t="s">
        <v>1503</v>
      </c>
    </row>
    <row r="14" spans="1:17">
      <c r="P14" s="929" t="s">
        <v>2035</v>
      </c>
      <c r="Q14" s="921" t="s">
        <v>1503</v>
      </c>
    </row>
    <row r="15" spans="1:17">
      <c r="P15" s="929" t="s">
        <v>2036</v>
      </c>
      <c r="Q15" s="921" t="s">
        <v>1503</v>
      </c>
    </row>
    <row r="16" spans="1:17">
      <c r="P16" s="929" t="s">
        <v>2037</v>
      </c>
      <c r="Q16" s="921" t="s">
        <v>1503</v>
      </c>
    </row>
    <row r="17" spans="1:17">
      <c r="P17" s="929" t="s">
        <v>2046</v>
      </c>
      <c r="Q17" s="921" t="s">
        <v>1503</v>
      </c>
    </row>
    <row r="18" spans="1:17">
      <c r="P18" s="929" t="s">
        <v>2038</v>
      </c>
      <c r="Q18" s="921" t="s">
        <v>1503</v>
      </c>
    </row>
    <row r="19" spans="1:17">
      <c r="P19" s="929" t="s">
        <v>2039</v>
      </c>
      <c r="Q19" s="921" t="s">
        <v>1503</v>
      </c>
    </row>
    <row r="20" spans="1:17">
      <c r="A20" s="7" t="s">
        <v>2053</v>
      </c>
      <c r="B20" s="16" t="s">
        <v>2033</v>
      </c>
      <c r="C20" s="7" t="s">
        <v>188</v>
      </c>
      <c r="D20" s="16" t="s">
        <v>107</v>
      </c>
      <c r="E20" s="16">
        <v>0.17880344000000001</v>
      </c>
      <c r="F20" s="16">
        <v>1</v>
      </c>
      <c r="G20" s="16" t="s">
        <v>2034</v>
      </c>
      <c r="H20" s="16">
        <v>2</v>
      </c>
      <c r="I20" s="16"/>
      <c r="J20" s="16">
        <v>2</v>
      </c>
      <c r="K20" s="16">
        <v>1</v>
      </c>
      <c r="L20" s="16">
        <v>2</v>
      </c>
      <c r="M20" s="16">
        <v>3</v>
      </c>
      <c r="N20" s="16"/>
      <c r="P20" s="929" t="s">
        <v>2040</v>
      </c>
      <c r="Q20" s="921" t="s">
        <v>1503</v>
      </c>
    </row>
    <row r="21" spans="1:17">
      <c r="A21" s="7" t="s">
        <v>2053</v>
      </c>
      <c r="B21" s="16" t="s">
        <v>2033</v>
      </c>
      <c r="C21" s="7" t="s">
        <v>188</v>
      </c>
      <c r="D21" s="16" t="s">
        <v>106</v>
      </c>
      <c r="E21" s="16">
        <v>0</v>
      </c>
      <c r="F21" s="16">
        <v>1</v>
      </c>
      <c r="G21" s="16" t="s">
        <v>2034</v>
      </c>
      <c r="H21" s="16">
        <v>2</v>
      </c>
      <c r="I21" s="16"/>
      <c r="J21" s="16">
        <v>2</v>
      </c>
      <c r="K21" s="16">
        <v>1</v>
      </c>
      <c r="L21" s="16">
        <v>2</v>
      </c>
      <c r="M21" s="16">
        <v>3</v>
      </c>
      <c r="N21" s="16"/>
      <c r="P21" s="929" t="s">
        <v>2041</v>
      </c>
      <c r="Q21" s="921" t="s">
        <v>1503</v>
      </c>
    </row>
    <row r="22" spans="1:17">
      <c r="A22" s="7" t="s">
        <v>2053</v>
      </c>
      <c r="B22" s="7" t="s">
        <v>2033</v>
      </c>
      <c r="C22" s="7" t="s">
        <v>188</v>
      </c>
      <c r="D22" s="7" t="s">
        <v>103</v>
      </c>
      <c r="E22" s="120">
        <v>1.9180867000000001E-2</v>
      </c>
      <c r="F22" s="7">
        <v>1</v>
      </c>
      <c r="G22" s="7" t="s">
        <v>2034</v>
      </c>
      <c r="H22" s="16">
        <v>2</v>
      </c>
      <c r="I22" s="16"/>
      <c r="J22" s="16">
        <v>2</v>
      </c>
      <c r="K22" s="16">
        <v>1</v>
      </c>
      <c r="L22" s="16">
        <v>2</v>
      </c>
      <c r="M22" s="16">
        <v>3</v>
      </c>
      <c r="N22" s="16"/>
      <c r="P22" s="929" t="s">
        <v>2042</v>
      </c>
      <c r="Q22" s="921" t="s">
        <v>1503</v>
      </c>
    </row>
    <row r="23" spans="1:17">
      <c r="A23" s="7" t="s">
        <v>2053</v>
      </c>
      <c r="B23" s="7" t="s">
        <v>2033</v>
      </c>
      <c r="C23" s="7" t="s">
        <v>188</v>
      </c>
      <c r="D23" s="7" t="s">
        <v>99</v>
      </c>
      <c r="E23" s="120">
        <v>3.0840249E-2</v>
      </c>
      <c r="F23" s="7">
        <v>1</v>
      </c>
      <c r="G23" s="7" t="s">
        <v>2034</v>
      </c>
      <c r="H23" s="16">
        <v>2</v>
      </c>
      <c r="I23" s="16"/>
      <c r="J23" s="16">
        <v>2</v>
      </c>
      <c r="K23" s="16">
        <v>1</v>
      </c>
      <c r="L23" s="16">
        <v>2</v>
      </c>
      <c r="M23" s="16">
        <v>3</v>
      </c>
      <c r="N23" s="16"/>
      <c r="P23" s="929" t="s">
        <v>2043</v>
      </c>
      <c r="Q23" s="921" t="s">
        <v>1503</v>
      </c>
    </row>
    <row r="24" spans="1:17" ht="15.75" thickBot="1">
      <c r="A24" s="7" t="s">
        <v>2053</v>
      </c>
      <c r="B24" s="7" t="s">
        <v>2044</v>
      </c>
      <c r="C24" s="7" t="s">
        <v>188</v>
      </c>
      <c r="D24" s="7" t="s">
        <v>106</v>
      </c>
      <c r="E24" s="120">
        <v>0</v>
      </c>
      <c r="F24" s="7">
        <v>1</v>
      </c>
      <c r="G24" s="7" t="s">
        <v>2034</v>
      </c>
      <c r="H24" s="16">
        <v>2</v>
      </c>
      <c r="I24" s="16"/>
      <c r="J24" s="16">
        <v>2</v>
      </c>
      <c r="K24" s="16">
        <v>1</v>
      </c>
      <c r="L24" s="16">
        <v>2</v>
      </c>
      <c r="M24" s="16">
        <v>3</v>
      </c>
      <c r="N24" s="16"/>
      <c r="O24" t="s">
        <v>2061</v>
      </c>
      <c r="P24" s="930" t="s">
        <v>2060</v>
      </c>
      <c r="Q24" s="925" t="s">
        <v>1500</v>
      </c>
    </row>
    <row r="25" spans="1:17">
      <c r="A25" s="7" t="s">
        <v>2053</v>
      </c>
      <c r="B25" s="7" t="s">
        <v>2044</v>
      </c>
      <c r="C25" s="7" t="s">
        <v>188</v>
      </c>
      <c r="D25" s="7" t="s">
        <v>103</v>
      </c>
      <c r="E25" s="120">
        <v>3.6350166000000003E-2</v>
      </c>
      <c r="F25" s="7">
        <v>1</v>
      </c>
      <c r="G25" s="7" t="s">
        <v>2034</v>
      </c>
      <c r="H25" s="16">
        <v>2</v>
      </c>
      <c r="I25" s="16"/>
      <c r="J25" s="16">
        <v>2</v>
      </c>
      <c r="K25" s="16">
        <v>1</v>
      </c>
      <c r="L25" s="16">
        <v>2</v>
      </c>
      <c r="M25" s="16">
        <v>3</v>
      </c>
      <c r="N25" s="16"/>
    </row>
    <row r="26" spans="1:17">
      <c r="A26" s="7" t="s">
        <v>2053</v>
      </c>
      <c r="B26" s="16" t="s">
        <v>2044</v>
      </c>
      <c r="C26" s="7" t="s">
        <v>188</v>
      </c>
      <c r="D26" s="16" t="s">
        <v>99</v>
      </c>
      <c r="E26" s="16">
        <v>3.8578330000000001E-2</v>
      </c>
      <c r="F26" s="16">
        <v>1</v>
      </c>
      <c r="G26" s="16" t="s">
        <v>2034</v>
      </c>
      <c r="H26" s="16">
        <v>2</v>
      </c>
      <c r="I26" s="16"/>
      <c r="J26" s="16">
        <v>2</v>
      </c>
      <c r="K26" s="16">
        <v>1</v>
      </c>
      <c r="L26" s="16">
        <v>2</v>
      </c>
      <c r="M26" s="16">
        <v>3</v>
      </c>
      <c r="N26" s="16"/>
    </row>
    <row r="27" spans="1:17">
      <c r="A27" s="7" t="s">
        <v>2053</v>
      </c>
      <c r="B27" s="16" t="s">
        <v>2044</v>
      </c>
      <c r="C27" s="7" t="s">
        <v>188</v>
      </c>
      <c r="D27" s="16" t="s">
        <v>101</v>
      </c>
      <c r="E27" s="16">
        <v>0.49830867699999998</v>
      </c>
      <c r="F27" s="16">
        <v>1</v>
      </c>
      <c r="G27" s="16" t="s">
        <v>2034</v>
      </c>
      <c r="H27" s="16">
        <v>2</v>
      </c>
      <c r="I27" s="16"/>
      <c r="J27" s="16">
        <v>2</v>
      </c>
      <c r="K27" s="16">
        <v>1</v>
      </c>
      <c r="L27" s="16">
        <v>2</v>
      </c>
      <c r="M27" s="16">
        <v>3</v>
      </c>
      <c r="N27" s="16"/>
    </row>
    <row r="28" spans="1:17">
      <c r="A28" s="7" t="s">
        <v>2053</v>
      </c>
      <c r="B28" s="16" t="s">
        <v>2044</v>
      </c>
      <c r="C28" s="7" t="s">
        <v>188</v>
      </c>
      <c r="D28" s="16" t="s">
        <v>98</v>
      </c>
      <c r="E28" s="16">
        <v>0.45898524299999999</v>
      </c>
      <c r="F28" s="16">
        <v>1</v>
      </c>
      <c r="G28" s="16" t="s">
        <v>2034</v>
      </c>
      <c r="H28" s="16">
        <v>2</v>
      </c>
      <c r="I28" s="16"/>
      <c r="J28" s="16">
        <v>2</v>
      </c>
      <c r="K28" s="16">
        <v>1</v>
      </c>
      <c r="L28" s="16">
        <v>2</v>
      </c>
      <c r="M28" s="16">
        <v>3</v>
      </c>
      <c r="N28" s="16"/>
    </row>
    <row r="29" spans="1:17">
      <c r="A29" s="7" t="s">
        <v>2053</v>
      </c>
      <c r="B29" s="16" t="s">
        <v>2044</v>
      </c>
      <c r="C29" s="7" t="s">
        <v>188</v>
      </c>
      <c r="D29" s="16" t="s">
        <v>100</v>
      </c>
      <c r="E29" s="16">
        <v>0.19374356000000001</v>
      </c>
      <c r="F29" s="16">
        <v>1</v>
      </c>
      <c r="G29" s="16" t="s">
        <v>2034</v>
      </c>
      <c r="H29" s="16">
        <v>2</v>
      </c>
      <c r="I29" s="16"/>
      <c r="J29" s="16">
        <v>2</v>
      </c>
      <c r="K29" s="16">
        <v>1</v>
      </c>
      <c r="L29" s="16">
        <v>2</v>
      </c>
      <c r="M29" s="16">
        <v>3</v>
      </c>
      <c r="N29" s="16"/>
    </row>
    <row r="30" spans="1:17">
      <c r="A30" s="7" t="s">
        <v>2053</v>
      </c>
      <c r="B30" s="16" t="s">
        <v>2045</v>
      </c>
      <c r="C30" s="7" t="s">
        <v>188</v>
      </c>
      <c r="D30" s="16" t="s">
        <v>106</v>
      </c>
      <c r="E30" s="16">
        <v>0.27182748499999998</v>
      </c>
      <c r="F30" s="16">
        <v>1</v>
      </c>
      <c r="G30" s="16" t="s">
        <v>2034</v>
      </c>
      <c r="H30" s="16">
        <v>2</v>
      </c>
      <c r="I30" s="16"/>
      <c r="J30" s="16">
        <v>2</v>
      </c>
      <c r="K30" s="16">
        <v>1</v>
      </c>
      <c r="L30" s="16">
        <v>2</v>
      </c>
      <c r="M30" s="16">
        <v>3</v>
      </c>
      <c r="N30" s="16"/>
    </row>
    <row r="31" spans="1:17">
      <c r="A31" s="7" t="s">
        <v>2053</v>
      </c>
      <c r="B31" s="16" t="s">
        <v>2045</v>
      </c>
      <c r="C31" s="7" t="s">
        <v>188</v>
      </c>
      <c r="D31" s="16" t="s">
        <v>103</v>
      </c>
      <c r="E31" s="16">
        <v>7.8522105999999994E-2</v>
      </c>
      <c r="F31" s="16">
        <v>1</v>
      </c>
      <c r="G31" s="16" t="s">
        <v>2034</v>
      </c>
      <c r="H31" s="16">
        <v>2</v>
      </c>
      <c r="I31" s="16"/>
      <c r="J31" s="16">
        <v>2</v>
      </c>
      <c r="K31" s="16">
        <v>1</v>
      </c>
      <c r="L31" s="16">
        <v>2</v>
      </c>
      <c r="M31" s="16">
        <v>3</v>
      </c>
      <c r="N31" s="16"/>
    </row>
    <row r="32" spans="1:17">
      <c r="A32" s="7" t="s">
        <v>2053</v>
      </c>
      <c r="B32" s="16" t="s">
        <v>2045</v>
      </c>
      <c r="C32" s="16" t="s">
        <v>188</v>
      </c>
      <c r="D32" s="16" t="s">
        <v>99</v>
      </c>
      <c r="E32" s="16">
        <v>0.16111489900000001</v>
      </c>
      <c r="F32" s="16">
        <v>1</v>
      </c>
      <c r="G32" s="16" t="s">
        <v>2034</v>
      </c>
      <c r="H32" s="16">
        <v>2</v>
      </c>
      <c r="I32" s="16"/>
      <c r="J32" s="16">
        <v>2</v>
      </c>
      <c r="K32" s="16">
        <v>1</v>
      </c>
      <c r="L32" s="16">
        <v>2</v>
      </c>
      <c r="M32" s="16">
        <v>3</v>
      </c>
      <c r="N32" s="16"/>
    </row>
    <row r="33" spans="1:14">
      <c r="A33" s="7" t="s">
        <v>2053</v>
      </c>
      <c r="B33" s="16" t="s">
        <v>2045</v>
      </c>
      <c r="C33" s="16" t="s">
        <v>188</v>
      </c>
      <c r="D33" s="16" t="s">
        <v>101</v>
      </c>
      <c r="E33" s="16">
        <v>0.40365957699999999</v>
      </c>
      <c r="F33" s="16">
        <v>1</v>
      </c>
      <c r="G33" s="16" t="s">
        <v>2034</v>
      </c>
      <c r="H33" s="16">
        <v>2</v>
      </c>
      <c r="I33" s="16"/>
      <c r="J33" s="16">
        <v>2</v>
      </c>
      <c r="K33" s="16">
        <v>1</v>
      </c>
      <c r="L33" s="16">
        <v>2</v>
      </c>
      <c r="M33" s="16">
        <v>3</v>
      </c>
      <c r="N33" s="16"/>
    </row>
    <row r="34" spans="1:14">
      <c r="A34" s="7" t="s">
        <v>2053</v>
      </c>
      <c r="B34" s="16" t="s">
        <v>2045</v>
      </c>
      <c r="C34" s="16" t="s">
        <v>188</v>
      </c>
      <c r="D34" s="16" t="s">
        <v>98</v>
      </c>
      <c r="E34" s="16">
        <v>0.424920301</v>
      </c>
      <c r="F34" s="16">
        <v>1</v>
      </c>
      <c r="G34" s="16" t="s">
        <v>2034</v>
      </c>
      <c r="H34" s="16">
        <v>2</v>
      </c>
      <c r="I34" s="16"/>
      <c r="J34" s="16">
        <v>2</v>
      </c>
      <c r="K34" s="16">
        <v>1</v>
      </c>
      <c r="L34" s="16">
        <v>2</v>
      </c>
      <c r="M34" s="16">
        <v>3</v>
      </c>
      <c r="N34" s="16"/>
    </row>
    <row r="35" spans="1:14">
      <c r="A35" s="7" t="s">
        <v>2053</v>
      </c>
      <c r="B35" s="16" t="s">
        <v>2045</v>
      </c>
      <c r="C35" s="16" t="s">
        <v>188</v>
      </c>
      <c r="D35" s="16" t="s">
        <v>100</v>
      </c>
      <c r="E35" s="16">
        <v>0.608751602</v>
      </c>
      <c r="F35" s="16">
        <v>1</v>
      </c>
      <c r="G35" s="16" t="s">
        <v>2034</v>
      </c>
      <c r="H35" s="16">
        <v>2</v>
      </c>
      <c r="I35" s="16"/>
      <c r="J35" s="16">
        <v>2</v>
      </c>
      <c r="K35" s="16">
        <v>1</v>
      </c>
      <c r="L35" s="16">
        <v>2</v>
      </c>
      <c r="M35" s="16">
        <v>3</v>
      </c>
      <c r="N35" s="16"/>
    </row>
    <row r="36" spans="1:14">
      <c r="A36" s="7" t="s">
        <v>2053</v>
      </c>
      <c r="B36" s="16" t="s">
        <v>2035</v>
      </c>
      <c r="C36" s="16" t="s">
        <v>188</v>
      </c>
      <c r="D36" s="16" t="s">
        <v>107</v>
      </c>
      <c r="E36" s="16">
        <v>0</v>
      </c>
      <c r="F36" s="16">
        <v>1</v>
      </c>
      <c r="G36" s="16" t="s">
        <v>2034</v>
      </c>
      <c r="H36" s="16">
        <v>2</v>
      </c>
      <c r="I36" s="16"/>
      <c r="J36" s="16">
        <v>2</v>
      </c>
      <c r="K36" s="16">
        <v>1</v>
      </c>
      <c r="L36" s="16">
        <v>2</v>
      </c>
      <c r="M36" s="16">
        <v>3</v>
      </c>
      <c r="N36" s="16"/>
    </row>
    <row r="37" spans="1:14">
      <c r="A37" s="7" t="s">
        <v>2053</v>
      </c>
      <c r="B37" s="16" t="s">
        <v>2035</v>
      </c>
      <c r="C37" s="16" t="s">
        <v>188</v>
      </c>
      <c r="D37" s="16" t="s">
        <v>106</v>
      </c>
      <c r="E37" s="16">
        <v>0</v>
      </c>
      <c r="F37" s="16">
        <v>1</v>
      </c>
      <c r="G37" s="16" t="s">
        <v>2034</v>
      </c>
      <c r="H37" s="16">
        <v>2</v>
      </c>
      <c r="I37" s="16"/>
      <c r="J37" s="16">
        <v>2</v>
      </c>
      <c r="K37" s="16">
        <v>1</v>
      </c>
      <c r="L37" s="16">
        <v>2</v>
      </c>
      <c r="M37" s="16">
        <v>3</v>
      </c>
      <c r="N37" s="16"/>
    </row>
    <row r="38" spans="1:14">
      <c r="A38" s="7" t="s">
        <v>2053</v>
      </c>
      <c r="B38" s="16" t="s">
        <v>2035</v>
      </c>
      <c r="C38" s="16" t="s">
        <v>188</v>
      </c>
      <c r="D38" s="16" t="s">
        <v>103</v>
      </c>
      <c r="E38" s="16">
        <v>2.6768923999999999E-2</v>
      </c>
      <c r="F38" s="16">
        <v>1</v>
      </c>
      <c r="G38" s="16" t="s">
        <v>2034</v>
      </c>
      <c r="H38" s="16">
        <v>2</v>
      </c>
      <c r="I38" s="16"/>
      <c r="J38" s="16">
        <v>2</v>
      </c>
      <c r="K38" s="16">
        <v>1</v>
      </c>
      <c r="L38" s="16">
        <v>2</v>
      </c>
      <c r="M38" s="16">
        <v>3</v>
      </c>
      <c r="N38" s="16"/>
    </row>
    <row r="39" spans="1:14">
      <c r="A39" s="7" t="s">
        <v>2053</v>
      </c>
      <c r="B39" s="16" t="s">
        <v>2035</v>
      </c>
      <c r="C39" s="16" t="s">
        <v>188</v>
      </c>
      <c r="D39" s="16" t="s">
        <v>99</v>
      </c>
      <c r="E39" s="16">
        <v>3.7642965E-2</v>
      </c>
      <c r="F39" s="16">
        <v>1</v>
      </c>
      <c r="G39" s="16" t="s">
        <v>2034</v>
      </c>
      <c r="H39" s="16">
        <v>2</v>
      </c>
      <c r="I39" s="16"/>
      <c r="J39" s="16">
        <v>2</v>
      </c>
      <c r="K39" s="16">
        <v>1</v>
      </c>
      <c r="L39" s="16">
        <v>2</v>
      </c>
      <c r="M39" s="16">
        <v>3</v>
      </c>
      <c r="N39" s="16"/>
    </row>
    <row r="40" spans="1:14">
      <c r="A40" s="7" t="s">
        <v>2053</v>
      </c>
      <c r="B40" s="16" t="s">
        <v>2036</v>
      </c>
      <c r="C40" s="16" t="s">
        <v>188</v>
      </c>
      <c r="D40" s="16" t="s">
        <v>107</v>
      </c>
      <c r="E40" s="16">
        <v>0.54133729500000005</v>
      </c>
      <c r="F40" s="16">
        <v>1</v>
      </c>
      <c r="G40" s="16" t="s">
        <v>2034</v>
      </c>
      <c r="H40" s="16">
        <v>2</v>
      </c>
      <c r="I40" s="16"/>
      <c r="J40" s="16">
        <v>2</v>
      </c>
      <c r="K40" s="16">
        <v>1</v>
      </c>
      <c r="L40" s="16">
        <v>2</v>
      </c>
      <c r="M40" s="16">
        <v>3</v>
      </c>
      <c r="N40" s="16"/>
    </row>
    <row r="41" spans="1:14">
      <c r="A41" s="7" t="s">
        <v>2053</v>
      </c>
      <c r="B41" s="16" t="s">
        <v>2036</v>
      </c>
      <c r="C41" s="16" t="s">
        <v>188</v>
      </c>
      <c r="D41" s="16" t="s">
        <v>106</v>
      </c>
      <c r="E41" s="16">
        <v>5.6392943000000001E-2</v>
      </c>
      <c r="F41" s="16">
        <v>1</v>
      </c>
      <c r="G41" s="16" t="s">
        <v>2034</v>
      </c>
      <c r="H41" s="16">
        <v>2</v>
      </c>
      <c r="I41" s="16"/>
      <c r="J41" s="16">
        <v>2</v>
      </c>
      <c r="K41" s="16">
        <v>1</v>
      </c>
      <c r="L41" s="16">
        <v>2</v>
      </c>
      <c r="M41" s="16">
        <v>3</v>
      </c>
      <c r="N41" s="16"/>
    </row>
    <row r="42" spans="1:14">
      <c r="A42" s="7" t="s">
        <v>2053</v>
      </c>
      <c r="B42" s="16" t="s">
        <v>2036</v>
      </c>
      <c r="C42" s="16" t="s">
        <v>188</v>
      </c>
      <c r="D42" s="16" t="s">
        <v>103</v>
      </c>
      <c r="E42" s="16">
        <v>0.31675163699999997</v>
      </c>
      <c r="F42" s="16">
        <v>1</v>
      </c>
      <c r="G42" s="16" t="s">
        <v>2034</v>
      </c>
      <c r="H42" s="16">
        <v>2</v>
      </c>
      <c r="I42" s="16"/>
      <c r="J42" s="16">
        <v>2</v>
      </c>
      <c r="K42" s="16">
        <v>1</v>
      </c>
      <c r="L42" s="16">
        <v>2</v>
      </c>
      <c r="M42" s="16">
        <v>3</v>
      </c>
      <c r="N42" s="16"/>
    </row>
    <row r="43" spans="1:14">
      <c r="A43" s="7" t="s">
        <v>2053</v>
      </c>
      <c r="B43" s="16" t="s">
        <v>2036</v>
      </c>
      <c r="C43" s="16" t="s">
        <v>188</v>
      </c>
      <c r="D43" s="16" t="s">
        <v>99</v>
      </c>
      <c r="E43" s="16">
        <v>0.177496509</v>
      </c>
      <c r="F43" s="16">
        <v>1</v>
      </c>
      <c r="G43" s="16" t="s">
        <v>2034</v>
      </c>
      <c r="H43" s="16">
        <v>2</v>
      </c>
      <c r="I43" s="16"/>
      <c r="J43" s="16">
        <v>2</v>
      </c>
      <c r="K43" s="16">
        <v>1</v>
      </c>
      <c r="L43" s="16">
        <v>2</v>
      </c>
      <c r="M43" s="16">
        <v>3</v>
      </c>
      <c r="N43" s="16"/>
    </row>
    <row r="44" spans="1:14">
      <c r="A44" s="7" t="s">
        <v>2053</v>
      </c>
      <c r="B44" s="16" t="s">
        <v>2037</v>
      </c>
      <c r="C44" s="16" t="s">
        <v>188</v>
      </c>
      <c r="D44" s="16" t="s">
        <v>107</v>
      </c>
      <c r="E44" s="16">
        <v>8.7360879999999995E-3</v>
      </c>
      <c r="F44" s="16">
        <v>1</v>
      </c>
      <c r="G44" s="16" t="s">
        <v>2034</v>
      </c>
      <c r="H44" s="16">
        <v>2</v>
      </c>
      <c r="I44" s="16"/>
      <c r="J44" s="16">
        <v>2</v>
      </c>
      <c r="K44" s="16">
        <v>1</v>
      </c>
      <c r="L44" s="16">
        <v>2</v>
      </c>
      <c r="M44" s="16">
        <v>3</v>
      </c>
      <c r="N44" s="16"/>
    </row>
    <row r="45" spans="1:14">
      <c r="A45" s="7" t="s">
        <v>2053</v>
      </c>
      <c r="B45" s="16" t="s">
        <v>2037</v>
      </c>
      <c r="C45" s="16" t="s">
        <v>188</v>
      </c>
      <c r="D45" s="16" t="s">
        <v>106</v>
      </c>
      <c r="E45" s="16">
        <v>7.1505340000000001E-3</v>
      </c>
      <c r="F45" s="16">
        <v>1</v>
      </c>
      <c r="G45" s="16" t="s">
        <v>2034</v>
      </c>
      <c r="H45" s="16">
        <v>2</v>
      </c>
      <c r="I45" s="16"/>
      <c r="J45" s="16">
        <v>2</v>
      </c>
      <c r="K45" s="16">
        <v>1</v>
      </c>
      <c r="L45" s="16">
        <v>2</v>
      </c>
      <c r="M45" s="16">
        <v>3</v>
      </c>
      <c r="N45" s="16"/>
    </row>
    <row r="46" spans="1:14">
      <c r="A46" s="7" t="s">
        <v>2053</v>
      </c>
      <c r="B46" s="16" t="s">
        <v>2037</v>
      </c>
      <c r="C46" s="16" t="s">
        <v>188</v>
      </c>
      <c r="D46" s="16" t="s">
        <v>103</v>
      </c>
      <c r="E46" s="16">
        <v>1.6600953000000002E-2</v>
      </c>
      <c r="F46" s="16">
        <v>1</v>
      </c>
      <c r="G46" s="16" t="s">
        <v>2034</v>
      </c>
      <c r="H46" s="16">
        <v>2</v>
      </c>
      <c r="I46" s="16"/>
      <c r="J46" s="16">
        <v>2</v>
      </c>
      <c r="K46" s="16">
        <v>1</v>
      </c>
      <c r="L46" s="16">
        <v>2</v>
      </c>
      <c r="M46" s="16">
        <v>3</v>
      </c>
      <c r="N46" s="16"/>
    </row>
    <row r="47" spans="1:14">
      <c r="A47" s="7" t="s">
        <v>2053</v>
      </c>
      <c r="B47" s="16" t="s">
        <v>2037</v>
      </c>
      <c r="C47" s="16" t="s">
        <v>188</v>
      </c>
      <c r="D47" s="16" t="s">
        <v>99</v>
      </c>
      <c r="E47" s="16">
        <v>2.3642950000000002E-3</v>
      </c>
      <c r="F47" s="16">
        <v>1</v>
      </c>
      <c r="G47" s="16" t="s">
        <v>2034</v>
      </c>
      <c r="H47" s="16">
        <v>2</v>
      </c>
      <c r="I47" s="16"/>
      <c r="J47" s="16">
        <v>2</v>
      </c>
      <c r="K47" s="16">
        <v>1</v>
      </c>
      <c r="L47" s="16">
        <v>2</v>
      </c>
      <c r="M47" s="16">
        <v>3</v>
      </c>
      <c r="N47" s="16"/>
    </row>
    <row r="48" spans="1:14">
      <c r="A48" s="7" t="s">
        <v>2053</v>
      </c>
      <c r="B48" s="16" t="s">
        <v>2046</v>
      </c>
      <c r="C48" s="16" t="s">
        <v>188</v>
      </c>
      <c r="D48" s="16" t="s">
        <v>106</v>
      </c>
      <c r="E48" s="16">
        <v>0.29706901800000002</v>
      </c>
      <c r="F48" s="16">
        <v>1</v>
      </c>
      <c r="G48" s="16" t="s">
        <v>2034</v>
      </c>
      <c r="H48" s="16">
        <v>2</v>
      </c>
      <c r="I48" s="16"/>
      <c r="J48" s="16">
        <v>2</v>
      </c>
      <c r="K48" s="16">
        <v>1</v>
      </c>
      <c r="L48" s="16">
        <v>2</v>
      </c>
      <c r="M48" s="16">
        <v>3</v>
      </c>
      <c r="N48" s="16"/>
    </row>
    <row r="49" spans="1:14">
      <c r="A49" s="7" t="s">
        <v>2053</v>
      </c>
      <c r="B49" s="16" t="s">
        <v>2046</v>
      </c>
      <c r="C49" s="16" t="s">
        <v>188</v>
      </c>
      <c r="D49" s="16" t="s">
        <v>103</v>
      </c>
      <c r="E49" s="16">
        <v>0</v>
      </c>
      <c r="F49" s="16">
        <v>1</v>
      </c>
      <c r="G49" s="16" t="s">
        <v>2034</v>
      </c>
      <c r="H49" s="16">
        <v>2</v>
      </c>
      <c r="I49" s="16"/>
      <c r="J49" s="16">
        <v>2</v>
      </c>
      <c r="K49" s="16">
        <v>1</v>
      </c>
      <c r="L49" s="16">
        <v>2</v>
      </c>
      <c r="M49" s="16">
        <v>3</v>
      </c>
      <c r="N49" s="16"/>
    </row>
    <row r="50" spans="1:14">
      <c r="A50" s="7" t="s">
        <v>2053</v>
      </c>
      <c r="B50" s="16" t="s">
        <v>2046</v>
      </c>
      <c r="C50" s="16" t="s">
        <v>188</v>
      </c>
      <c r="D50" s="16" t="s">
        <v>99</v>
      </c>
      <c r="E50" s="16">
        <v>4.553685E-3</v>
      </c>
      <c r="F50" s="16">
        <v>1</v>
      </c>
      <c r="G50" s="16" t="s">
        <v>2034</v>
      </c>
      <c r="H50" s="16">
        <v>2</v>
      </c>
      <c r="I50" s="16"/>
      <c r="J50" s="16">
        <v>2</v>
      </c>
      <c r="K50" s="16">
        <v>1</v>
      </c>
      <c r="L50" s="16">
        <v>2</v>
      </c>
      <c r="M50" s="16">
        <v>3</v>
      </c>
      <c r="N50" s="16"/>
    </row>
    <row r="51" spans="1:14">
      <c r="A51" s="7" t="s">
        <v>2053</v>
      </c>
      <c r="B51" s="16" t="s">
        <v>2046</v>
      </c>
      <c r="C51" s="16" t="s">
        <v>188</v>
      </c>
      <c r="D51" s="16" t="s">
        <v>101</v>
      </c>
      <c r="E51" s="16">
        <v>9.8031746000000003E-2</v>
      </c>
      <c r="F51" s="16">
        <v>1</v>
      </c>
      <c r="G51" s="16" t="s">
        <v>2034</v>
      </c>
      <c r="H51" s="16">
        <v>2</v>
      </c>
      <c r="I51" s="16"/>
      <c r="J51" s="16">
        <v>2</v>
      </c>
      <c r="K51" s="16">
        <v>1</v>
      </c>
      <c r="L51" s="16">
        <v>2</v>
      </c>
      <c r="M51" s="16">
        <v>3</v>
      </c>
      <c r="N51" s="16"/>
    </row>
    <row r="52" spans="1:14">
      <c r="A52" s="7" t="s">
        <v>2053</v>
      </c>
      <c r="B52" s="16" t="s">
        <v>2046</v>
      </c>
      <c r="C52" s="16" t="s">
        <v>188</v>
      </c>
      <c r="D52" s="16" t="s">
        <v>98</v>
      </c>
      <c r="E52" s="16">
        <v>0.116094456</v>
      </c>
      <c r="F52" s="16">
        <v>1</v>
      </c>
      <c r="G52" s="16" t="s">
        <v>2034</v>
      </c>
      <c r="H52" s="16">
        <v>2</v>
      </c>
      <c r="I52" s="16"/>
      <c r="J52" s="16">
        <v>2</v>
      </c>
      <c r="K52" s="16">
        <v>1</v>
      </c>
      <c r="L52" s="16">
        <v>2</v>
      </c>
      <c r="M52" s="16">
        <v>3</v>
      </c>
      <c r="N52" s="16"/>
    </row>
    <row r="53" spans="1:14">
      <c r="A53" s="7" t="s">
        <v>2053</v>
      </c>
      <c r="B53" s="16" t="s">
        <v>2046</v>
      </c>
      <c r="C53" s="16" t="s">
        <v>188</v>
      </c>
      <c r="D53" s="16" t="s">
        <v>100</v>
      </c>
      <c r="E53" s="16">
        <v>0.19750483799999999</v>
      </c>
      <c r="F53" s="16">
        <v>1</v>
      </c>
      <c r="G53" s="16" t="s">
        <v>2034</v>
      </c>
      <c r="H53" s="16">
        <v>2</v>
      </c>
      <c r="I53" s="16"/>
      <c r="J53" s="16">
        <v>2</v>
      </c>
      <c r="K53" s="16">
        <v>1</v>
      </c>
      <c r="L53" s="16">
        <v>2</v>
      </c>
      <c r="M53" s="16">
        <v>3</v>
      </c>
      <c r="N53" s="16"/>
    </row>
    <row r="54" spans="1:14">
      <c r="A54" s="7" t="s">
        <v>2053</v>
      </c>
      <c r="B54" s="16" t="s">
        <v>2038</v>
      </c>
      <c r="C54" s="16" t="s">
        <v>188</v>
      </c>
      <c r="D54" s="16" t="s">
        <v>107</v>
      </c>
      <c r="E54" s="16">
        <v>0</v>
      </c>
      <c r="F54" s="16">
        <v>1</v>
      </c>
      <c r="G54" s="16" t="s">
        <v>2034</v>
      </c>
      <c r="H54" s="16">
        <v>2</v>
      </c>
      <c r="I54" s="16"/>
      <c r="J54" s="16">
        <v>2</v>
      </c>
      <c r="K54" s="16">
        <v>1</v>
      </c>
      <c r="L54" s="16">
        <v>2</v>
      </c>
      <c r="M54" s="16">
        <v>3</v>
      </c>
      <c r="N54" s="16"/>
    </row>
    <row r="55" spans="1:14">
      <c r="A55" s="7" t="s">
        <v>2053</v>
      </c>
      <c r="B55" s="16" t="s">
        <v>2038</v>
      </c>
      <c r="C55" s="16" t="s">
        <v>188</v>
      </c>
      <c r="D55" s="16" t="s">
        <v>106</v>
      </c>
      <c r="E55" s="16">
        <v>0.24244671200000001</v>
      </c>
      <c r="F55" s="16">
        <v>1</v>
      </c>
      <c r="G55" s="16" t="s">
        <v>2034</v>
      </c>
      <c r="H55" s="16">
        <v>2</v>
      </c>
      <c r="I55" s="16"/>
      <c r="J55" s="16">
        <v>2</v>
      </c>
      <c r="K55" s="16">
        <v>1</v>
      </c>
      <c r="L55" s="16">
        <v>2</v>
      </c>
      <c r="M55" s="16">
        <v>3</v>
      </c>
      <c r="N55" s="16"/>
    </row>
    <row r="56" spans="1:14">
      <c r="A56" s="7" t="s">
        <v>2053</v>
      </c>
      <c r="B56" s="16" t="s">
        <v>2038</v>
      </c>
      <c r="C56" s="16" t="s">
        <v>188</v>
      </c>
      <c r="D56" s="16" t="s">
        <v>103</v>
      </c>
      <c r="E56" s="16">
        <v>0.28597607800000002</v>
      </c>
      <c r="F56" s="16">
        <v>1</v>
      </c>
      <c r="G56" s="16" t="s">
        <v>2034</v>
      </c>
      <c r="H56" s="16">
        <v>2</v>
      </c>
      <c r="I56" s="16"/>
      <c r="J56" s="16">
        <v>2</v>
      </c>
      <c r="K56" s="16">
        <v>1</v>
      </c>
      <c r="L56" s="16">
        <v>2</v>
      </c>
      <c r="M56" s="16">
        <v>3</v>
      </c>
      <c r="N56" s="16"/>
    </row>
    <row r="57" spans="1:14">
      <c r="A57" s="7" t="s">
        <v>2053</v>
      </c>
      <c r="B57" s="16" t="s">
        <v>2038</v>
      </c>
      <c r="C57" s="16" t="s">
        <v>188</v>
      </c>
      <c r="D57" s="16" t="s">
        <v>99</v>
      </c>
      <c r="E57" s="16">
        <v>0.29396686799999999</v>
      </c>
      <c r="F57" s="16">
        <v>1</v>
      </c>
      <c r="G57" s="16" t="s">
        <v>2034</v>
      </c>
      <c r="H57" s="16">
        <v>2</v>
      </c>
      <c r="I57" s="16"/>
      <c r="J57" s="16">
        <v>2</v>
      </c>
      <c r="K57" s="16">
        <v>1</v>
      </c>
      <c r="L57" s="16">
        <v>2</v>
      </c>
      <c r="M57" s="16">
        <v>3</v>
      </c>
      <c r="N57" s="16"/>
    </row>
    <row r="58" spans="1:14">
      <c r="A58" s="7" t="s">
        <v>2053</v>
      </c>
      <c r="B58" s="16" t="s">
        <v>2039</v>
      </c>
      <c r="C58" s="16" t="s">
        <v>188</v>
      </c>
      <c r="D58" s="16" t="s">
        <v>107</v>
      </c>
      <c r="E58" s="16">
        <v>0</v>
      </c>
      <c r="F58" s="16">
        <v>1</v>
      </c>
      <c r="G58" s="16" t="s">
        <v>2034</v>
      </c>
      <c r="H58" s="16">
        <v>2</v>
      </c>
      <c r="I58" s="16"/>
      <c r="J58" s="16">
        <v>2</v>
      </c>
      <c r="K58" s="16">
        <v>1</v>
      </c>
      <c r="L58" s="16">
        <v>2</v>
      </c>
      <c r="M58" s="16">
        <v>3</v>
      </c>
      <c r="N58" s="16"/>
    </row>
    <row r="59" spans="1:14">
      <c r="A59" s="7" t="s">
        <v>2053</v>
      </c>
      <c r="B59" s="16" t="s">
        <v>2039</v>
      </c>
      <c r="C59" s="16" t="s">
        <v>188</v>
      </c>
      <c r="D59" s="16" t="s">
        <v>106</v>
      </c>
      <c r="E59" s="16">
        <v>0</v>
      </c>
      <c r="F59" s="16">
        <v>1</v>
      </c>
      <c r="G59" s="16" t="s">
        <v>2034</v>
      </c>
      <c r="H59" s="16">
        <v>2</v>
      </c>
      <c r="I59" s="16"/>
      <c r="J59" s="16">
        <v>2</v>
      </c>
      <c r="K59" s="16">
        <v>1</v>
      </c>
      <c r="L59" s="16">
        <v>2</v>
      </c>
      <c r="M59" s="16">
        <v>3</v>
      </c>
      <c r="N59" s="16"/>
    </row>
    <row r="60" spans="1:14">
      <c r="A60" s="7" t="s">
        <v>2053</v>
      </c>
      <c r="B60" s="16" t="s">
        <v>2039</v>
      </c>
      <c r="C60" s="16" t="s">
        <v>188</v>
      </c>
      <c r="D60" s="16" t="s">
        <v>103</v>
      </c>
      <c r="E60" s="16">
        <v>0</v>
      </c>
      <c r="F60" s="16">
        <v>1</v>
      </c>
      <c r="G60" s="16" t="s">
        <v>2034</v>
      </c>
      <c r="H60" s="16">
        <v>2</v>
      </c>
      <c r="I60" s="16"/>
      <c r="J60" s="16">
        <v>2</v>
      </c>
      <c r="K60" s="16">
        <v>1</v>
      </c>
      <c r="L60" s="16">
        <v>2</v>
      </c>
      <c r="M60" s="16">
        <v>3</v>
      </c>
      <c r="N60" s="16"/>
    </row>
    <row r="61" spans="1:14">
      <c r="A61" s="7" t="s">
        <v>2053</v>
      </c>
      <c r="B61" s="16" t="s">
        <v>2039</v>
      </c>
      <c r="C61" s="16" t="s">
        <v>188</v>
      </c>
      <c r="D61" s="16" t="s">
        <v>99</v>
      </c>
      <c r="E61" s="16">
        <v>3.5289348999999998E-2</v>
      </c>
      <c r="F61" s="16">
        <v>1</v>
      </c>
      <c r="G61" s="16" t="s">
        <v>2034</v>
      </c>
      <c r="H61" s="16">
        <v>2</v>
      </c>
      <c r="I61" s="16"/>
      <c r="J61" s="16">
        <v>2</v>
      </c>
      <c r="K61" s="16">
        <v>1</v>
      </c>
      <c r="L61" s="16">
        <v>2</v>
      </c>
      <c r="M61" s="16">
        <v>3</v>
      </c>
      <c r="N61" s="16"/>
    </row>
    <row r="62" spans="1:14">
      <c r="A62" s="7" t="s">
        <v>2053</v>
      </c>
      <c r="B62" s="16" t="s">
        <v>2040</v>
      </c>
      <c r="C62" s="16" t="s">
        <v>188</v>
      </c>
      <c r="D62" s="16" t="s">
        <v>107</v>
      </c>
      <c r="E62" s="16">
        <v>0.27112317699999999</v>
      </c>
      <c r="F62" s="16">
        <v>1</v>
      </c>
      <c r="G62" s="16" t="s">
        <v>2034</v>
      </c>
      <c r="H62" s="16">
        <v>2</v>
      </c>
      <c r="I62" s="16"/>
      <c r="J62" s="16">
        <v>2</v>
      </c>
      <c r="K62" s="16">
        <v>1</v>
      </c>
      <c r="L62" s="16">
        <v>2</v>
      </c>
      <c r="M62" s="16">
        <v>3</v>
      </c>
      <c r="N62" s="16"/>
    </row>
    <row r="63" spans="1:14">
      <c r="A63" s="7" t="s">
        <v>2053</v>
      </c>
      <c r="B63" s="16" t="s">
        <v>2040</v>
      </c>
      <c r="C63" s="16" t="s">
        <v>188</v>
      </c>
      <c r="D63" s="16" t="s">
        <v>106</v>
      </c>
      <c r="E63" s="16">
        <v>0</v>
      </c>
      <c r="F63" s="16">
        <v>1</v>
      </c>
      <c r="G63" s="16" t="s">
        <v>2034</v>
      </c>
      <c r="H63" s="16">
        <v>2</v>
      </c>
      <c r="I63" s="16"/>
      <c r="J63" s="16">
        <v>2</v>
      </c>
      <c r="K63" s="16">
        <v>1</v>
      </c>
      <c r="L63" s="16">
        <v>2</v>
      </c>
      <c r="M63" s="16">
        <v>3</v>
      </c>
      <c r="N63" s="16"/>
    </row>
    <row r="64" spans="1:14">
      <c r="A64" s="7" t="s">
        <v>2053</v>
      </c>
      <c r="B64" s="16" t="s">
        <v>2040</v>
      </c>
      <c r="C64" s="16" t="s">
        <v>188</v>
      </c>
      <c r="D64" s="16" t="s">
        <v>103</v>
      </c>
      <c r="E64" s="16">
        <v>4.6534921E-2</v>
      </c>
      <c r="F64" s="16">
        <v>1</v>
      </c>
      <c r="G64" s="16" t="s">
        <v>2034</v>
      </c>
      <c r="H64" s="16">
        <v>2</v>
      </c>
      <c r="I64" s="16"/>
      <c r="J64" s="16">
        <v>2</v>
      </c>
      <c r="K64" s="16">
        <v>1</v>
      </c>
      <c r="L64" s="16">
        <v>2</v>
      </c>
      <c r="M64" s="16">
        <v>3</v>
      </c>
      <c r="N64" s="16"/>
    </row>
    <row r="65" spans="1:14">
      <c r="A65" s="7" t="s">
        <v>2053</v>
      </c>
      <c r="B65" s="16" t="s">
        <v>2040</v>
      </c>
      <c r="C65" s="16" t="s">
        <v>188</v>
      </c>
      <c r="D65" s="16" t="s">
        <v>99</v>
      </c>
      <c r="E65" s="16">
        <v>0.12692557300000001</v>
      </c>
      <c r="F65" s="16">
        <v>1</v>
      </c>
      <c r="G65" s="16" t="s">
        <v>2034</v>
      </c>
      <c r="H65" s="16">
        <v>2</v>
      </c>
      <c r="I65" s="16"/>
      <c r="J65" s="16">
        <v>2</v>
      </c>
      <c r="K65" s="16">
        <v>1</v>
      </c>
      <c r="L65" s="16">
        <v>2</v>
      </c>
      <c r="M65" s="16">
        <v>3</v>
      </c>
      <c r="N65" s="16"/>
    </row>
    <row r="66" spans="1:14">
      <c r="A66" s="7" t="s">
        <v>2053</v>
      </c>
      <c r="B66" s="16" t="s">
        <v>2041</v>
      </c>
      <c r="C66" s="16" t="s">
        <v>188</v>
      </c>
      <c r="D66" s="16" t="s">
        <v>107</v>
      </c>
      <c r="E66" s="16">
        <v>0</v>
      </c>
      <c r="F66" s="16">
        <v>1</v>
      </c>
      <c r="G66" s="16" t="s">
        <v>2034</v>
      </c>
      <c r="H66" s="16">
        <v>2</v>
      </c>
      <c r="I66" s="16"/>
      <c r="J66" s="16">
        <v>2</v>
      </c>
      <c r="K66" s="16">
        <v>1</v>
      </c>
      <c r="L66" s="16">
        <v>2</v>
      </c>
      <c r="M66" s="16">
        <v>3</v>
      </c>
      <c r="N66" s="16"/>
    </row>
    <row r="67" spans="1:14">
      <c r="A67" s="7" t="s">
        <v>2053</v>
      </c>
      <c r="B67" s="16" t="s">
        <v>2041</v>
      </c>
      <c r="C67" s="16" t="s">
        <v>188</v>
      </c>
      <c r="D67" s="16" t="s">
        <v>106</v>
      </c>
      <c r="E67" s="16">
        <v>1.0791936E-2</v>
      </c>
      <c r="F67" s="16">
        <v>1</v>
      </c>
      <c r="G67" s="16" t="s">
        <v>2034</v>
      </c>
      <c r="H67" s="16">
        <v>2</v>
      </c>
      <c r="I67" s="16"/>
      <c r="J67" s="16">
        <v>2</v>
      </c>
      <c r="K67" s="16">
        <v>1</v>
      </c>
      <c r="L67" s="16">
        <v>2</v>
      </c>
      <c r="M67" s="16">
        <v>3</v>
      </c>
      <c r="N67" s="16"/>
    </row>
    <row r="68" spans="1:14">
      <c r="A68" s="7" t="s">
        <v>2053</v>
      </c>
      <c r="B68" s="16" t="s">
        <v>2041</v>
      </c>
      <c r="C68" s="16" t="s">
        <v>188</v>
      </c>
      <c r="D68" s="16" t="s">
        <v>103</v>
      </c>
      <c r="E68" s="16">
        <v>4.1219467000000003E-2</v>
      </c>
      <c r="F68" s="16">
        <v>1</v>
      </c>
      <c r="G68" s="16" t="s">
        <v>2034</v>
      </c>
      <c r="H68" s="16">
        <v>2</v>
      </c>
      <c r="I68" s="16"/>
      <c r="J68" s="16">
        <v>2</v>
      </c>
      <c r="K68" s="16">
        <v>1</v>
      </c>
      <c r="L68" s="16">
        <v>2</v>
      </c>
      <c r="M68" s="16">
        <v>3</v>
      </c>
      <c r="N68" s="16"/>
    </row>
    <row r="69" spans="1:14">
      <c r="A69" s="7" t="s">
        <v>2053</v>
      </c>
      <c r="B69" s="16" t="s">
        <v>2041</v>
      </c>
      <c r="C69" s="16" t="s">
        <v>188</v>
      </c>
      <c r="D69" s="16" t="s">
        <v>99</v>
      </c>
      <c r="E69" s="16">
        <v>6.7935130000000002E-3</v>
      </c>
      <c r="F69" s="16">
        <v>1</v>
      </c>
      <c r="G69" s="16" t="s">
        <v>2034</v>
      </c>
      <c r="H69" s="16">
        <v>2</v>
      </c>
      <c r="I69" s="16"/>
      <c r="J69" s="16">
        <v>2</v>
      </c>
      <c r="K69" s="16">
        <v>1</v>
      </c>
      <c r="L69" s="16">
        <v>2</v>
      </c>
      <c r="M69" s="16">
        <v>3</v>
      </c>
      <c r="N69" s="16"/>
    </row>
    <row r="70" spans="1:14">
      <c r="A70" s="7" t="s">
        <v>2053</v>
      </c>
      <c r="B70" s="16" t="s">
        <v>2042</v>
      </c>
      <c r="C70" s="16" t="s">
        <v>188</v>
      </c>
      <c r="D70" s="16" t="s">
        <v>107</v>
      </c>
      <c r="E70" s="16">
        <v>0</v>
      </c>
      <c r="F70" s="16">
        <v>1</v>
      </c>
      <c r="G70" s="16" t="s">
        <v>2034</v>
      </c>
      <c r="H70" s="16">
        <v>2</v>
      </c>
      <c r="I70" s="16"/>
      <c r="J70" s="16">
        <v>2</v>
      </c>
      <c r="K70" s="16">
        <v>1</v>
      </c>
      <c r="L70" s="16">
        <v>2</v>
      </c>
      <c r="M70" s="16">
        <v>3</v>
      </c>
      <c r="N70" s="16"/>
    </row>
    <row r="71" spans="1:14">
      <c r="A71" s="7" t="s">
        <v>2053</v>
      </c>
      <c r="B71" s="16" t="s">
        <v>2042</v>
      </c>
      <c r="C71" s="16" t="s">
        <v>188</v>
      </c>
      <c r="D71" s="16" t="s">
        <v>106</v>
      </c>
      <c r="E71" s="16">
        <v>0</v>
      </c>
      <c r="F71" s="16">
        <v>1</v>
      </c>
      <c r="G71" s="16" t="s">
        <v>2034</v>
      </c>
      <c r="H71" s="16">
        <v>2</v>
      </c>
      <c r="I71" s="16"/>
      <c r="J71" s="16">
        <v>2</v>
      </c>
      <c r="K71" s="16">
        <v>1</v>
      </c>
      <c r="L71" s="16">
        <v>2</v>
      </c>
      <c r="M71" s="16">
        <v>3</v>
      </c>
      <c r="N71" s="16"/>
    </row>
    <row r="72" spans="1:14">
      <c r="A72" s="7" t="s">
        <v>2053</v>
      </c>
      <c r="B72" s="16" t="s">
        <v>2042</v>
      </c>
      <c r="C72" s="16" t="s">
        <v>188</v>
      </c>
      <c r="D72" s="16" t="s">
        <v>103</v>
      </c>
      <c r="E72" s="16">
        <v>0</v>
      </c>
      <c r="F72" s="16">
        <v>1</v>
      </c>
      <c r="G72" s="16" t="s">
        <v>2034</v>
      </c>
      <c r="H72" s="16">
        <v>2</v>
      </c>
      <c r="I72" s="16"/>
      <c r="J72" s="16">
        <v>2</v>
      </c>
      <c r="K72" s="16">
        <v>1</v>
      </c>
      <c r="L72" s="16">
        <v>2</v>
      </c>
      <c r="M72" s="16">
        <v>3</v>
      </c>
      <c r="N72" s="16"/>
    </row>
    <row r="73" spans="1:14">
      <c r="A73" s="7" t="s">
        <v>2053</v>
      </c>
      <c r="B73" s="16" t="s">
        <v>2042</v>
      </c>
      <c r="C73" s="16" t="s">
        <v>188</v>
      </c>
      <c r="D73" s="16" t="s">
        <v>99</v>
      </c>
      <c r="E73" s="16">
        <v>7.2517450999999997E-2</v>
      </c>
      <c r="F73" s="16">
        <v>1</v>
      </c>
      <c r="G73" s="16" t="s">
        <v>2034</v>
      </c>
      <c r="H73" s="16">
        <v>2</v>
      </c>
      <c r="I73" s="16"/>
      <c r="J73" s="16">
        <v>2</v>
      </c>
      <c r="K73" s="16">
        <v>1</v>
      </c>
      <c r="L73" s="16">
        <v>2</v>
      </c>
      <c r="M73" s="16">
        <v>3</v>
      </c>
      <c r="N73" s="16"/>
    </row>
    <row r="74" spans="1:14">
      <c r="A74" s="7" t="s">
        <v>2053</v>
      </c>
      <c r="B74" s="16" t="s">
        <v>2043</v>
      </c>
      <c r="C74" s="16" t="s">
        <v>188</v>
      </c>
      <c r="D74" s="16" t="s">
        <v>107</v>
      </c>
      <c r="E74" s="16">
        <v>0</v>
      </c>
      <c r="F74" s="16">
        <v>1</v>
      </c>
      <c r="G74" s="16" t="s">
        <v>2034</v>
      </c>
      <c r="H74" s="16">
        <v>2</v>
      </c>
      <c r="I74" s="16"/>
      <c r="J74" s="16">
        <v>2</v>
      </c>
      <c r="K74" s="16">
        <v>1</v>
      </c>
      <c r="L74" s="16">
        <v>2</v>
      </c>
      <c r="M74" s="16">
        <v>3</v>
      </c>
      <c r="N74" s="16"/>
    </row>
    <row r="75" spans="1:14">
      <c r="A75" s="7" t="s">
        <v>2053</v>
      </c>
      <c r="B75" s="16" t="s">
        <v>2043</v>
      </c>
      <c r="C75" s="16" t="s">
        <v>188</v>
      </c>
      <c r="D75" s="16" t="s">
        <v>106</v>
      </c>
      <c r="E75" s="16">
        <v>0.114321372</v>
      </c>
      <c r="F75" s="16">
        <v>1</v>
      </c>
      <c r="G75" s="16" t="s">
        <v>2034</v>
      </c>
      <c r="H75" s="16">
        <v>2</v>
      </c>
      <c r="I75" s="16"/>
      <c r="J75" s="16">
        <v>2</v>
      </c>
      <c r="K75" s="16">
        <v>1</v>
      </c>
      <c r="L75" s="16">
        <v>2</v>
      </c>
      <c r="M75" s="16">
        <v>3</v>
      </c>
      <c r="N75" s="16"/>
    </row>
    <row r="76" spans="1:14">
      <c r="A76" s="7" t="s">
        <v>2053</v>
      </c>
      <c r="B76" s="16" t="s">
        <v>2043</v>
      </c>
      <c r="C76" s="16" t="s">
        <v>188</v>
      </c>
      <c r="D76" s="16" t="s">
        <v>103</v>
      </c>
      <c r="E76" s="16">
        <v>0.132094882</v>
      </c>
      <c r="F76" s="16">
        <v>1</v>
      </c>
      <c r="G76" s="16" t="s">
        <v>2034</v>
      </c>
      <c r="H76" s="16">
        <v>2</v>
      </c>
      <c r="I76" s="16"/>
      <c r="J76" s="16">
        <v>2</v>
      </c>
      <c r="K76" s="16">
        <v>1</v>
      </c>
      <c r="L76" s="16">
        <v>2</v>
      </c>
      <c r="M76" s="16">
        <v>3</v>
      </c>
      <c r="N76" s="16"/>
    </row>
    <row r="77" spans="1:14">
      <c r="A77" s="7" t="s">
        <v>2053</v>
      </c>
      <c r="B77" s="16" t="s">
        <v>2043</v>
      </c>
      <c r="C77" s="16" t="s">
        <v>188</v>
      </c>
      <c r="D77" s="16" t="s">
        <v>99</v>
      </c>
      <c r="E77" s="16">
        <v>1.1916314000000001E-2</v>
      </c>
      <c r="F77" s="16">
        <v>1</v>
      </c>
      <c r="G77" s="16" t="s">
        <v>2034</v>
      </c>
      <c r="H77" s="16">
        <v>2</v>
      </c>
      <c r="I77" s="16"/>
      <c r="J77" s="16">
        <v>2</v>
      </c>
      <c r="K77" s="16">
        <v>1</v>
      </c>
      <c r="L77" s="16">
        <v>2</v>
      </c>
      <c r="M77" s="16">
        <v>3</v>
      </c>
      <c r="N77" s="16"/>
    </row>
    <row r="78" spans="1:14">
      <c r="A78" s="931" t="s">
        <v>2033</v>
      </c>
      <c r="B78" s="931" t="s">
        <v>258</v>
      </c>
      <c r="C78" s="931" t="s">
        <v>188</v>
      </c>
      <c r="D78" s="931" t="s">
        <v>147</v>
      </c>
      <c r="E78" s="931">
        <v>0.45933429799999997</v>
      </c>
      <c r="F78" s="931">
        <v>1</v>
      </c>
      <c r="G78" s="931" t="s">
        <v>2051</v>
      </c>
      <c r="H78" s="931">
        <v>1</v>
      </c>
      <c r="I78" s="931"/>
      <c r="J78" s="931">
        <v>1</v>
      </c>
      <c r="K78" s="931">
        <v>2</v>
      </c>
      <c r="L78" s="931">
        <v>2</v>
      </c>
      <c r="M78" s="931">
        <v>2</v>
      </c>
      <c r="N78" s="931" t="s">
        <v>2052</v>
      </c>
    </row>
    <row r="79" spans="1:14">
      <c r="A79" s="931" t="s">
        <v>2044</v>
      </c>
      <c r="B79" s="931" t="s">
        <v>258</v>
      </c>
      <c r="C79" s="931" t="s">
        <v>188</v>
      </c>
      <c r="D79" s="931" t="s">
        <v>147</v>
      </c>
      <c r="E79" s="931">
        <v>0.67987419800000004</v>
      </c>
      <c r="F79" s="931">
        <v>1</v>
      </c>
      <c r="G79" s="931" t="s">
        <v>2051</v>
      </c>
      <c r="H79" s="931">
        <v>1</v>
      </c>
      <c r="I79" s="931"/>
      <c r="J79" s="931">
        <v>1</v>
      </c>
      <c r="K79" s="931">
        <v>2</v>
      </c>
      <c r="L79" s="931">
        <v>2</v>
      </c>
      <c r="M79" s="931">
        <v>2</v>
      </c>
      <c r="N79" s="931" t="s">
        <v>2052</v>
      </c>
    </row>
    <row r="80" spans="1:14">
      <c r="A80" s="931" t="s">
        <v>2045</v>
      </c>
      <c r="B80" s="931" t="s">
        <v>258</v>
      </c>
      <c r="C80" s="931" t="s">
        <v>188</v>
      </c>
      <c r="D80" s="931" t="s">
        <v>147</v>
      </c>
      <c r="E80" s="931">
        <v>0.64951761299999999</v>
      </c>
      <c r="F80" s="931">
        <v>1</v>
      </c>
      <c r="G80" s="931" t="s">
        <v>2051</v>
      </c>
      <c r="H80" s="931">
        <v>1</v>
      </c>
      <c r="I80" s="931"/>
      <c r="J80" s="931">
        <v>1</v>
      </c>
      <c r="K80" s="931">
        <v>2</v>
      </c>
      <c r="L80" s="931">
        <v>2</v>
      </c>
      <c r="M80" s="931">
        <v>2</v>
      </c>
      <c r="N80" s="931" t="s">
        <v>2052</v>
      </c>
    </row>
    <row r="81" spans="1:14">
      <c r="A81" s="931" t="s">
        <v>2035</v>
      </c>
      <c r="B81" s="931" t="s">
        <v>258</v>
      </c>
      <c r="C81" s="931" t="s">
        <v>188</v>
      </c>
      <c r="D81" s="931" t="s">
        <v>147</v>
      </c>
      <c r="E81" s="931">
        <v>0.57392244999999997</v>
      </c>
      <c r="F81" s="931">
        <v>1</v>
      </c>
      <c r="G81" s="931" t="s">
        <v>2051</v>
      </c>
      <c r="H81" s="931">
        <v>1</v>
      </c>
      <c r="I81" s="931"/>
      <c r="J81" s="931">
        <v>1</v>
      </c>
      <c r="K81" s="931">
        <v>2</v>
      </c>
      <c r="L81" s="931">
        <v>2</v>
      </c>
      <c r="M81" s="931">
        <v>2</v>
      </c>
      <c r="N81" s="931" t="s">
        <v>2052</v>
      </c>
    </row>
    <row r="82" spans="1:14">
      <c r="A82" s="931" t="s">
        <v>2036</v>
      </c>
      <c r="B82" s="931" t="s">
        <v>258</v>
      </c>
      <c r="C82" s="931" t="s">
        <v>188</v>
      </c>
      <c r="D82" s="931" t="s">
        <v>147</v>
      </c>
      <c r="E82" s="931">
        <v>0.60140740100000001</v>
      </c>
      <c r="F82" s="931">
        <v>1</v>
      </c>
      <c r="G82" s="931" t="s">
        <v>2051</v>
      </c>
      <c r="H82" s="931">
        <v>1</v>
      </c>
      <c r="I82" s="931"/>
      <c r="J82" s="931">
        <v>1</v>
      </c>
      <c r="K82" s="931">
        <v>2</v>
      </c>
      <c r="L82" s="931">
        <v>2</v>
      </c>
      <c r="M82" s="931">
        <v>2</v>
      </c>
      <c r="N82" s="931" t="s">
        <v>2052</v>
      </c>
    </row>
    <row r="83" spans="1:14">
      <c r="A83" s="931" t="s">
        <v>2037</v>
      </c>
      <c r="B83" s="931" t="s">
        <v>258</v>
      </c>
      <c r="C83" s="931" t="s">
        <v>188</v>
      </c>
      <c r="D83" s="931" t="s">
        <v>147</v>
      </c>
      <c r="E83" s="931">
        <v>0.58356041000000003</v>
      </c>
      <c r="F83" s="931">
        <v>1</v>
      </c>
      <c r="G83" s="931" t="s">
        <v>2051</v>
      </c>
      <c r="H83" s="931">
        <v>1</v>
      </c>
      <c r="I83" s="931"/>
      <c r="J83" s="931">
        <v>1</v>
      </c>
      <c r="K83" s="931">
        <v>2</v>
      </c>
      <c r="L83" s="931">
        <v>2</v>
      </c>
      <c r="M83" s="931">
        <v>2</v>
      </c>
      <c r="N83" s="931" t="s">
        <v>2052</v>
      </c>
    </row>
    <row r="84" spans="1:14">
      <c r="A84" s="931" t="s">
        <v>2046</v>
      </c>
      <c r="B84" s="931" t="s">
        <v>258</v>
      </c>
      <c r="C84" s="931" t="s">
        <v>188</v>
      </c>
      <c r="D84" s="931" t="s">
        <v>147</v>
      </c>
      <c r="E84" s="931">
        <v>0.58247127700000001</v>
      </c>
      <c r="F84" s="931">
        <v>1</v>
      </c>
      <c r="G84" s="931" t="s">
        <v>2051</v>
      </c>
      <c r="H84" s="931">
        <v>1</v>
      </c>
      <c r="I84" s="931"/>
      <c r="J84" s="931">
        <v>1</v>
      </c>
      <c r="K84" s="931">
        <v>2</v>
      </c>
      <c r="L84" s="931">
        <v>2</v>
      </c>
      <c r="M84" s="931">
        <v>2</v>
      </c>
      <c r="N84" s="931" t="s">
        <v>2052</v>
      </c>
    </row>
    <row r="85" spans="1:14">
      <c r="A85" s="931" t="s">
        <v>2038</v>
      </c>
      <c r="B85" s="931" t="s">
        <v>258</v>
      </c>
      <c r="C85" s="931" t="s">
        <v>188</v>
      </c>
      <c r="D85" s="931" t="s">
        <v>147</v>
      </c>
      <c r="E85" s="931">
        <v>0.59305110100000002</v>
      </c>
      <c r="F85" s="931">
        <v>1</v>
      </c>
      <c r="G85" s="931" t="s">
        <v>2051</v>
      </c>
      <c r="H85" s="931">
        <v>1</v>
      </c>
      <c r="I85" s="931"/>
      <c r="J85" s="931">
        <v>1</v>
      </c>
      <c r="K85" s="931">
        <v>2</v>
      </c>
      <c r="L85" s="931">
        <v>2</v>
      </c>
      <c r="M85" s="931">
        <v>2</v>
      </c>
      <c r="N85" s="931" t="s">
        <v>2052</v>
      </c>
    </row>
    <row r="86" spans="1:14">
      <c r="A86" s="931" t="s">
        <v>2039</v>
      </c>
      <c r="B86" s="931" t="s">
        <v>258</v>
      </c>
      <c r="C86" s="931" t="s">
        <v>188</v>
      </c>
      <c r="D86" s="931" t="s">
        <v>147</v>
      </c>
      <c r="E86" s="931">
        <v>0.54161951500000005</v>
      </c>
      <c r="F86" s="931">
        <v>1</v>
      </c>
      <c r="G86" s="931" t="s">
        <v>2051</v>
      </c>
      <c r="H86" s="931">
        <v>1</v>
      </c>
      <c r="I86" s="931"/>
      <c r="J86" s="931">
        <v>1</v>
      </c>
      <c r="K86" s="931">
        <v>2</v>
      </c>
      <c r="L86" s="931">
        <v>2</v>
      </c>
      <c r="M86" s="931">
        <v>2</v>
      </c>
      <c r="N86" s="931" t="s">
        <v>2052</v>
      </c>
    </row>
    <row r="87" spans="1:14">
      <c r="A87" s="931" t="s">
        <v>2040</v>
      </c>
      <c r="B87" s="931" t="s">
        <v>258</v>
      </c>
      <c r="C87" s="931" t="s">
        <v>188</v>
      </c>
      <c r="D87" s="931" t="s">
        <v>147</v>
      </c>
      <c r="E87" s="931">
        <v>0.57006287</v>
      </c>
      <c r="F87" s="931">
        <v>1</v>
      </c>
      <c r="G87" s="931" t="s">
        <v>2051</v>
      </c>
      <c r="H87" s="931">
        <v>1</v>
      </c>
      <c r="I87" s="931"/>
      <c r="J87" s="931">
        <v>1</v>
      </c>
      <c r="K87" s="931">
        <v>2</v>
      </c>
      <c r="L87" s="931">
        <v>2</v>
      </c>
      <c r="M87" s="931">
        <v>2</v>
      </c>
      <c r="N87" s="931" t="s">
        <v>2052</v>
      </c>
    </row>
    <row r="88" spans="1:14">
      <c r="A88" s="931" t="s">
        <v>2041</v>
      </c>
      <c r="B88" s="931" t="s">
        <v>258</v>
      </c>
      <c r="C88" s="931" t="s">
        <v>188</v>
      </c>
      <c r="D88" s="931" t="s">
        <v>147</v>
      </c>
      <c r="E88" s="931">
        <v>0.51745820499999995</v>
      </c>
      <c r="F88" s="931">
        <v>1</v>
      </c>
      <c r="G88" s="931" t="s">
        <v>2051</v>
      </c>
      <c r="H88" s="931">
        <v>1</v>
      </c>
      <c r="I88" s="931"/>
      <c r="J88" s="931">
        <v>1</v>
      </c>
      <c r="K88" s="931">
        <v>2</v>
      </c>
      <c r="L88" s="931">
        <v>2</v>
      </c>
      <c r="M88" s="931">
        <v>2</v>
      </c>
      <c r="N88" s="931" t="s">
        <v>2052</v>
      </c>
    </row>
    <row r="89" spans="1:14">
      <c r="A89" s="931" t="s">
        <v>2042</v>
      </c>
      <c r="B89" s="931" t="s">
        <v>258</v>
      </c>
      <c r="C89" s="931" t="s">
        <v>188</v>
      </c>
      <c r="D89" s="931" t="s">
        <v>147</v>
      </c>
      <c r="E89" s="931">
        <v>0.55110667199999996</v>
      </c>
      <c r="F89" s="931">
        <v>1</v>
      </c>
      <c r="G89" s="931" t="s">
        <v>2051</v>
      </c>
      <c r="H89" s="931">
        <v>1</v>
      </c>
      <c r="I89" s="931"/>
      <c r="J89" s="931">
        <v>1</v>
      </c>
      <c r="K89" s="931">
        <v>2</v>
      </c>
      <c r="L89" s="931">
        <v>2</v>
      </c>
      <c r="M89" s="931">
        <v>2</v>
      </c>
      <c r="N89" s="931" t="s">
        <v>2052</v>
      </c>
    </row>
    <row r="90" spans="1:14">
      <c r="A90" s="931" t="s">
        <v>2043</v>
      </c>
      <c r="B90" s="931" t="s">
        <v>258</v>
      </c>
      <c r="C90" s="931" t="s">
        <v>188</v>
      </c>
      <c r="D90" s="931" t="s">
        <v>147</v>
      </c>
      <c r="E90" s="931">
        <v>0.67926981799999997</v>
      </c>
      <c r="F90" s="931">
        <v>1</v>
      </c>
      <c r="G90" s="931" t="s">
        <v>2051</v>
      </c>
      <c r="H90" s="931">
        <v>1</v>
      </c>
      <c r="I90" s="931"/>
      <c r="J90" s="931">
        <v>1</v>
      </c>
      <c r="K90" s="931">
        <v>2</v>
      </c>
      <c r="L90" s="931">
        <v>2</v>
      </c>
      <c r="M90" s="931">
        <v>2</v>
      </c>
      <c r="N90" s="931" t="s">
        <v>2052</v>
      </c>
    </row>
    <row r="91" spans="1:14">
      <c r="A91" s="16"/>
      <c r="B91" s="16"/>
      <c r="C91" s="16"/>
      <c r="D91" s="16"/>
      <c r="E91" s="16"/>
      <c r="F91" s="16"/>
      <c r="G91" s="16"/>
      <c r="H91" s="16"/>
      <c r="I91" s="16"/>
      <c r="J91" s="16"/>
      <c r="K91" s="16"/>
      <c r="L91" s="16"/>
      <c r="M91" s="16"/>
      <c r="N91" s="16"/>
    </row>
    <row r="92" spans="1:14">
      <c r="A92" s="16"/>
      <c r="B92" s="16"/>
      <c r="C92" s="16"/>
      <c r="D92" s="16"/>
      <c r="E92" s="16"/>
      <c r="F92" s="16"/>
      <c r="G92" s="16"/>
      <c r="H92" s="16"/>
      <c r="I92" s="16"/>
      <c r="J92" s="16"/>
      <c r="K92" s="16"/>
      <c r="L92" s="16"/>
      <c r="M92" s="16"/>
      <c r="N92" s="16"/>
    </row>
    <row r="93" spans="1:14">
      <c r="A93" s="16"/>
      <c r="B93" s="16"/>
      <c r="C93" s="16"/>
      <c r="D93" s="16"/>
      <c r="E93" s="16"/>
      <c r="F93" s="16"/>
      <c r="G93" s="16"/>
      <c r="H93" s="16"/>
      <c r="I93" s="16"/>
      <c r="J93" s="16"/>
      <c r="K93" s="16"/>
      <c r="L93" s="16"/>
      <c r="M93" s="16"/>
      <c r="N93" s="16"/>
    </row>
    <row r="94" spans="1:14">
      <c r="A94" s="16"/>
      <c r="B94" s="16"/>
      <c r="C94" s="16"/>
      <c r="D94" s="16"/>
      <c r="E94" s="16"/>
      <c r="F94" s="16"/>
      <c r="G94" s="16"/>
      <c r="H94" s="16"/>
      <c r="I94" s="16"/>
      <c r="J94" s="16"/>
      <c r="K94" s="16"/>
      <c r="L94" s="16"/>
      <c r="M94" s="16"/>
      <c r="N94" s="16"/>
    </row>
    <row r="95" spans="1:14">
      <c r="A95" s="16"/>
      <c r="B95" s="16"/>
      <c r="C95" s="16"/>
      <c r="D95" s="16"/>
      <c r="E95" s="16"/>
      <c r="F95" s="16"/>
      <c r="G95" s="16"/>
      <c r="H95" s="16"/>
      <c r="I95" s="16"/>
      <c r="J95" s="16"/>
      <c r="K95" s="16"/>
      <c r="L95" s="16"/>
      <c r="M95" s="16"/>
      <c r="N95" s="16"/>
    </row>
    <row r="96" spans="1:14">
      <c r="A96" s="16"/>
      <c r="B96" s="16"/>
      <c r="C96" s="16"/>
      <c r="D96" s="16"/>
      <c r="E96" s="16"/>
      <c r="F96" s="16"/>
      <c r="G96" s="16"/>
      <c r="H96" s="16"/>
      <c r="I96" s="16"/>
      <c r="J96" s="16"/>
      <c r="K96" s="16"/>
      <c r="L96" s="16"/>
      <c r="M96" s="16"/>
      <c r="N96" s="16"/>
    </row>
    <row r="97" spans="1:14">
      <c r="A97" s="16"/>
      <c r="B97" s="16"/>
      <c r="C97" s="16"/>
      <c r="D97" s="16"/>
      <c r="E97" s="16"/>
      <c r="F97" s="16"/>
      <c r="G97" s="16"/>
      <c r="H97" s="16"/>
      <c r="I97" s="16"/>
      <c r="J97" s="16"/>
      <c r="K97" s="16"/>
      <c r="L97" s="16"/>
      <c r="M97" s="16"/>
      <c r="N97" s="16"/>
    </row>
    <row r="98" spans="1:14">
      <c r="A98" s="16"/>
      <c r="B98" s="16"/>
      <c r="C98" s="16"/>
      <c r="D98" s="16"/>
      <c r="E98" s="16"/>
      <c r="F98" s="16"/>
      <c r="G98" s="16"/>
      <c r="H98" s="16"/>
      <c r="I98" s="16"/>
      <c r="J98" s="16"/>
      <c r="K98" s="16"/>
      <c r="L98" s="16"/>
      <c r="M98" s="16"/>
      <c r="N98" s="16"/>
    </row>
    <row r="99" spans="1:14">
      <c r="A99" s="16"/>
      <c r="B99" s="16"/>
      <c r="C99" s="16"/>
      <c r="D99" s="16"/>
      <c r="E99" s="16"/>
      <c r="F99" s="16"/>
      <c r="G99" s="16"/>
      <c r="H99" s="16"/>
      <c r="I99" s="16"/>
      <c r="J99" s="16"/>
      <c r="K99" s="16"/>
      <c r="L99" s="16"/>
      <c r="M99" s="16"/>
      <c r="N99" s="16"/>
    </row>
    <row r="100" spans="1:14">
      <c r="A100" s="16"/>
      <c r="B100" s="16"/>
      <c r="C100" s="16"/>
      <c r="D100" s="16"/>
      <c r="E100" s="16"/>
      <c r="F100" s="16"/>
      <c r="G100" s="16"/>
      <c r="H100" s="16"/>
      <c r="I100" s="16"/>
      <c r="J100" s="16"/>
      <c r="K100" s="16"/>
      <c r="L100" s="16"/>
      <c r="M100" s="16"/>
      <c r="N100" s="16"/>
    </row>
    <row r="101" spans="1:14">
      <c r="A101" s="16"/>
      <c r="B101" s="16"/>
      <c r="C101" s="16"/>
      <c r="D101" s="16"/>
      <c r="E101" s="16"/>
      <c r="F101" s="16"/>
      <c r="G101" s="16"/>
      <c r="H101" s="16"/>
      <c r="I101" s="16"/>
      <c r="J101" s="16"/>
      <c r="K101" s="16"/>
      <c r="L101" s="16"/>
      <c r="M101" s="16"/>
      <c r="N101" s="16"/>
    </row>
    <row r="102" spans="1:14">
      <c r="A102" s="16"/>
      <c r="B102" s="16"/>
      <c r="C102" s="16"/>
      <c r="D102" s="16"/>
      <c r="E102" s="16"/>
      <c r="F102" s="16"/>
      <c r="G102" s="16"/>
      <c r="H102" s="16"/>
      <c r="I102" s="16"/>
      <c r="J102" s="16"/>
      <c r="K102" s="16"/>
      <c r="L102" s="16"/>
      <c r="M102" s="16"/>
      <c r="N102" s="16"/>
    </row>
    <row r="103" spans="1:14">
      <c r="A103" s="16"/>
      <c r="B103" s="16"/>
      <c r="C103" s="16"/>
      <c r="D103" s="16"/>
      <c r="E103" s="16"/>
      <c r="F103" s="16"/>
      <c r="G103" s="16"/>
      <c r="H103" s="16"/>
      <c r="I103" s="16"/>
      <c r="J103" s="16"/>
      <c r="K103" s="16"/>
      <c r="L103" s="16"/>
      <c r="M103" s="16"/>
      <c r="N103" s="16"/>
    </row>
    <row r="104" spans="1:14">
      <c r="A104" s="16"/>
      <c r="B104" s="16"/>
      <c r="C104" s="16"/>
      <c r="D104" s="16"/>
      <c r="E104" s="16"/>
      <c r="F104" s="16"/>
      <c r="G104" s="16"/>
      <c r="H104" s="16"/>
      <c r="I104" s="16"/>
      <c r="J104" s="16"/>
      <c r="K104" s="16"/>
      <c r="L104" s="16"/>
      <c r="M104" s="16"/>
      <c r="N104" s="16"/>
    </row>
    <row r="105" spans="1:14">
      <c r="A105" s="16"/>
      <c r="B105" s="16"/>
      <c r="C105" s="16"/>
      <c r="D105" s="16"/>
      <c r="E105" s="16"/>
      <c r="F105" s="16"/>
      <c r="G105" s="16"/>
      <c r="H105" s="16"/>
      <c r="I105" s="16"/>
      <c r="J105" s="16"/>
      <c r="K105" s="16"/>
      <c r="L105" s="16"/>
      <c r="M105" s="16"/>
      <c r="N105" s="16"/>
    </row>
    <row r="106" spans="1:14">
      <c r="A106" s="16"/>
      <c r="B106" s="16"/>
      <c r="C106" s="16"/>
      <c r="D106" s="16"/>
      <c r="E106" s="16"/>
      <c r="F106" s="16"/>
      <c r="G106" s="16"/>
      <c r="H106" s="16"/>
      <c r="I106" s="16"/>
      <c r="J106" s="16"/>
      <c r="K106" s="16"/>
      <c r="L106" s="16"/>
      <c r="M106" s="16"/>
      <c r="N106" s="16"/>
    </row>
    <row r="107" spans="1:14">
      <c r="A107" s="16"/>
      <c r="B107" s="16"/>
      <c r="C107" s="16"/>
      <c r="D107" s="16"/>
      <c r="E107" s="16"/>
      <c r="F107" s="16"/>
      <c r="G107" s="16"/>
      <c r="H107" s="16"/>
      <c r="I107" s="16"/>
      <c r="J107" s="16"/>
      <c r="K107" s="16"/>
      <c r="L107" s="16"/>
      <c r="M107" s="16"/>
      <c r="N107" s="16"/>
    </row>
    <row r="108" spans="1:14">
      <c r="A108" s="16"/>
      <c r="B108" s="16"/>
      <c r="C108" s="16"/>
      <c r="D108" s="16"/>
      <c r="E108" s="16"/>
      <c r="F108" s="16"/>
      <c r="G108" s="16"/>
      <c r="H108" s="16"/>
      <c r="I108" s="16"/>
      <c r="J108" s="16"/>
      <c r="K108" s="16"/>
      <c r="L108" s="16"/>
      <c r="M108" s="16"/>
      <c r="N108" s="16"/>
    </row>
    <row r="109" spans="1:14" s="956" customFormat="1">
      <c r="A109" s="955" t="s">
        <v>21</v>
      </c>
    </row>
    <row r="110" spans="1:14" s="956" customFormat="1"/>
    <row r="111" spans="1:14">
      <c r="A111" s="16"/>
      <c r="B111" s="16"/>
      <c r="C111" s="16"/>
      <c r="D111" s="16"/>
      <c r="E111" s="16"/>
      <c r="F111" s="16"/>
      <c r="G111" s="16"/>
      <c r="H111" s="16"/>
      <c r="I111" s="16"/>
      <c r="J111" s="16"/>
      <c r="K111" s="16"/>
      <c r="L111" s="16"/>
      <c r="M111" s="16"/>
      <c r="N111" s="16"/>
    </row>
    <row r="112" spans="1:14">
      <c r="A112" s="16" t="s">
        <v>108</v>
      </c>
      <c r="B112" s="16" t="s">
        <v>2056</v>
      </c>
      <c r="C112" s="16" t="s">
        <v>112</v>
      </c>
      <c r="D112" s="16"/>
      <c r="E112" s="16"/>
      <c r="F112" s="16"/>
      <c r="G112" s="16"/>
      <c r="H112" s="16"/>
      <c r="I112" s="16"/>
      <c r="J112" s="16"/>
      <c r="K112" s="16"/>
      <c r="L112" s="16"/>
      <c r="M112" s="16"/>
      <c r="N112" s="16"/>
    </row>
    <row r="113" spans="1:14">
      <c r="A113" s="16" t="s">
        <v>2033</v>
      </c>
      <c r="B113" s="16">
        <v>2</v>
      </c>
      <c r="C113" s="16" t="s">
        <v>2057</v>
      </c>
      <c r="D113" s="16"/>
      <c r="E113" s="16"/>
      <c r="F113" s="16"/>
      <c r="G113" s="16"/>
      <c r="H113" s="16"/>
      <c r="I113" s="16"/>
      <c r="J113" s="16"/>
      <c r="K113" s="16"/>
      <c r="L113" s="16"/>
      <c r="M113" s="16"/>
      <c r="N113" s="16"/>
    </row>
    <row r="114" spans="1:14">
      <c r="A114" s="16" t="s">
        <v>2044</v>
      </c>
      <c r="B114" s="16">
        <v>5</v>
      </c>
      <c r="C114" s="16" t="s">
        <v>2057</v>
      </c>
      <c r="D114" s="16"/>
      <c r="E114" s="16"/>
      <c r="F114" s="16"/>
      <c r="G114" s="16"/>
      <c r="H114" s="16"/>
      <c r="I114" s="16"/>
      <c r="J114" s="16"/>
      <c r="K114" s="16"/>
      <c r="L114" s="16"/>
      <c r="M114" s="16"/>
      <c r="N114" s="16"/>
    </row>
    <row r="115" spans="1:14">
      <c r="A115" s="16" t="s">
        <v>2045</v>
      </c>
      <c r="B115" s="16">
        <v>5</v>
      </c>
      <c r="C115" s="16" t="s">
        <v>2057</v>
      </c>
      <c r="D115" s="16"/>
      <c r="E115" s="16"/>
      <c r="F115" s="16"/>
      <c r="G115" s="16"/>
      <c r="H115" s="16"/>
      <c r="I115" s="16"/>
      <c r="J115" s="16"/>
      <c r="K115" s="16"/>
      <c r="L115" s="16"/>
      <c r="M115" s="16"/>
      <c r="N115" s="16"/>
    </row>
    <row r="116" spans="1:14">
      <c r="A116" s="16" t="s">
        <v>2035</v>
      </c>
      <c r="B116" s="16">
        <v>8</v>
      </c>
      <c r="C116" s="16" t="s">
        <v>2057</v>
      </c>
      <c r="D116" s="16"/>
      <c r="E116" s="16"/>
      <c r="F116" s="16"/>
      <c r="G116" s="16"/>
      <c r="H116" s="16"/>
      <c r="I116" s="16"/>
      <c r="J116" s="16"/>
      <c r="K116" s="16"/>
      <c r="L116" s="16"/>
      <c r="M116" s="16"/>
      <c r="N116" s="16"/>
    </row>
    <row r="117" spans="1:14">
      <c r="A117" s="16" t="s">
        <v>2036</v>
      </c>
      <c r="B117" s="16">
        <v>7</v>
      </c>
      <c r="C117" s="16" t="s">
        <v>2057</v>
      </c>
      <c r="D117" s="16"/>
      <c r="E117" s="16"/>
      <c r="F117" s="16"/>
      <c r="G117" s="16"/>
      <c r="H117" s="16"/>
      <c r="I117" s="16"/>
      <c r="J117" s="16"/>
      <c r="K117" s="16"/>
      <c r="L117" s="16"/>
      <c r="M117" s="16"/>
      <c r="N117" s="16"/>
    </row>
    <row r="118" spans="1:14">
      <c r="A118" s="16" t="s">
        <v>2037</v>
      </c>
      <c r="B118" s="16">
        <v>3</v>
      </c>
      <c r="C118" s="16" t="s">
        <v>2057</v>
      </c>
      <c r="D118" s="16"/>
      <c r="E118" s="16"/>
      <c r="F118" s="16"/>
      <c r="G118" s="16"/>
      <c r="H118" s="16"/>
      <c r="I118" s="16"/>
      <c r="J118" s="16"/>
      <c r="K118" s="16"/>
      <c r="L118" s="16"/>
      <c r="M118" s="16"/>
      <c r="N118" s="16"/>
    </row>
    <row r="119" spans="1:14">
      <c r="A119" s="16" t="s">
        <v>2046</v>
      </c>
      <c r="B119" s="16">
        <v>5</v>
      </c>
      <c r="C119" s="16" t="s">
        <v>2057</v>
      </c>
      <c r="D119" s="16"/>
      <c r="E119" s="16"/>
      <c r="F119" s="16"/>
      <c r="G119" s="16"/>
      <c r="H119" s="16"/>
      <c r="I119" s="16"/>
      <c r="J119" s="16"/>
      <c r="K119" s="16"/>
      <c r="L119" s="16"/>
      <c r="M119" s="16"/>
      <c r="N119" s="16"/>
    </row>
    <row r="120" spans="1:14">
      <c r="A120" s="16" t="s">
        <v>2038</v>
      </c>
      <c r="B120" s="16">
        <v>4</v>
      </c>
      <c r="C120" s="16" t="s">
        <v>2057</v>
      </c>
      <c r="D120" s="16"/>
      <c r="E120" s="16"/>
      <c r="F120" s="16"/>
      <c r="G120" s="16"/>
      <c r="H120" s="16"/>
      <c r="I120" s="16"/>
      <c r="J120" s="16"/>
      <c r="K120" s="16"/>
      <c r="L120" s="16"/>
      <c r="M120" s="16"/>
      <c r="N120" s="16"/>
    </row>
    <row r="121" spans="1:14">
      <c r="A121" s="16" t="s">
        <v>2039</v>
      </c>
      <c r="B121" s="16">
        <v>5</v>
      </c>
      <c r="C121" s="16" t="s">
        <v>2057</v>
      </c>
      <c r="D121" s="16"/>
      <c r="E121" s="16"/>
      <c r="F121" s="16"/>
      <c r="G121" s="16"/>
      <c r="H121" s="16"/>
      <c r="I121" s="16"/>
      <c r="J121" s="16"/>
      <c r="K121" s="16"/>
      <c r="L121" s="16"/>
      <c r="M121" s="16"/>
      <c r="N121" s="16"/>
    </row>
    <row r="122" spans="1:14">
      <c r="A122" s="16" t="s">
        <v>2040</v>
      </c>
      <c r="B122" s="16">
        <v>6</v>
      </c>
      <c r="C122" s="16" t="s">
        <v>2057</v>
      </c>
      <c r="D122" s="16"/>
      <c r="E122" s="16"/>
      <c r="F122" s="16"/>
      <c r="G122" s="16"/>
      <c r="H122" s="16"/>
      <c r="I122" s="16"/>
      <c r="J122" s="16"/>
      <c r="K122" s="16"/>
      <c r="L122" s="16"/>
      <c r="M122" s="16"/>
      <c r="N122" s="16"/>
    </row>
    <row r="123" spans="1:14">
      <c r="A123" s="16" t="s">
        <v>2041</v>
      </c>
      <c r="B123" s="16">
        <v>2</v>
      </c>
      <c r="C123" s="16" t="s">
        <v>2057</v>
      </c>
      <c r="D123" s="16"/>
      <c r="E123" s="16"/>
      <c r="F123" s="16"/>
      <c r="G123" s="16"/>
      <c r="H123" s="16"/>
      <c r="I123" s="16"/>
      <c r="J123" s="16"/>
      <c r="K123" s="16"/>
      <c r="L123" s="16"/>
      <c r="M123" s="16"/>
      <c r="N123" s="16"/>
    </row>
    <row r="124" spans="1:14">
      <c r="A124" s="16" t="s">
        <v>2042</v>
      </c>
      <c r="B124" s="16">
        <v>5</v>
      </c>
      <c r="C124" s="16" t="s">
        <v>2057</v>
      </c>
      <c r="D124" s="16"/>
      <c r="E124" s="16"/>
      <c r="F124" s="16"/>
      <c r="G124" s="16"/>
      <c r="H124" s="16"/>
      <c r="I124" s="16"/>
      <c r="J124" s="16"/>
      <c r="K124" s="16"/>
      <c r="L124" s="16"/>
      <c r="M124" s="16"/>
      <c r="N124" s="16"/>
    </row>
    <row r="125" spans="1:14">
      <c r="A125" s="16" t="s">
        <v>2043</v>
      </c>
      <c r="B125" s="16">
        <v>3</v>
      </c>
      <c r="C125" s="16" t="s">
        <v>2057</v>
      </c>
      <c r="D125" s="16"/>
      <c r="E125" s="16"/>
      <c r="F125" s="16"/>
      <c r="G125" s="16"/>
      <c r="H125" s="16"/>
      <c r="I125" s="16"/>
      <c r="J125" s="16"/>
      <c r="K125" s="16"/>
      <c r="L125" s="16"/>
      <c r="M125" s="16"/>
      <c r="N125" s="16"/>
    </row>
    <row r="126" spans="1:14">
      <c r="A126" s="16"/>
      <c r="B126" s="16"/>
      <c r="C126" s="16"/>
      <c r="D126" s="16"/>
      <c r="E126" s="16"/>
      <c r="F126" s="16"/>
      <c r="G126" s="16"/>
      <c r="H126" s="16"/>
      <c r="I126" s="16"/>
      <c r="J126" s="16"/>
      <c r="K126" s="16"/>
      <c r="L126" s="16"/>
      <c r="M126" s="16"/>
      <c r="N126" s="16"/>
    </row>
    <row r="127" spans="1:14">
      <c r="A127" s="16"/>
      <c r="B127" s="16"/>
      <c r="C127" s="16"/>
      <c r="D127" s="16"/>
      <c r="E127" s="16"/>
      <c r="F127" s="16"/>
      <c r="G127" s="16"/>
      <c r="H127" s="16"/>
      <c r="I127" s="16"/>
      <c r="J127" s="16"/>
      <c r="K127" s="16"/>
      <c r="L127" s="16"/>
      <c r="M127" s="16"/>
      <c r="N127" s="16"/>
    </row>
    <row r="128" spans="1:14">
      <c r="A128" s="16"/>
      <c r="B128" s="16"/>
      <c r="C128" s="16"/>
      <c r="D128" s="16"/>
      <c r="E128" s="16"/>
      <c r="F128" s="16"/>
      <c r="G128" s="16"/>
      <c r="H128" s="16"/>
      <c r="I128" s="16"/>
      <c r="J128" s="16"/>
      <c r="K128" s="16"/>
      <c r="L128" s="16"/>
      <c r="M128" s="16"/>
      <c r="N128" s="16"/>
    </row>
    <row r="129" spans="1:14">
      <c r="A129" s="16"/>
      <c r="B129" s="16"/>
      <c r="C129" s="16"/>
      <c r="D129" s="16"/>
      <c r="E129" s="16"/>
      <c r="F129" s="16"/>
      <c r="G129" s="16"/>
      <c r="H129" s="16"/>
      <c r="I129" s="16"/>
      <c r="J129" s="16"/>
      <c r="K129" s="16"/>
      <c r="L129" s="16"/>
      <c r="M129" s="16"/>
      <c r="N129" s="16"/>
    </row>
    <row r="130" spans="1:14">
      <c r="A130" s="16"/>
      <c r="B130" s="16"/>
      <c r="C130" s="16"/>
      <c r="D130" s="16"/>
      <c r="E130" s="16"/>
      <c r="F130" s="16"/>
      <c r="G130" s="16"/>
      <c r="H130" s="16"/>
      <c r="I130" s="16"/>
      <c r="J130" s="16"/>
      <c r="K130" s="16"/>
      <c r="L130" s="16"/>
      <c r="M130" s="16"/>
      <c r="N130" s="16"/>
    </row>
    <row r="131" spans="1:14">
      <c r="A131" s="16"/>
      <c r="B131" s="16"/>
      <c r="C131" s="16"/>
      <c r="D131" s="16"/>
      <c r="E131" s="16"/>
      <c r="F131" s="16"/>
      <c r="G131" s="16"/>
      <c r="H131" s="16"/>
      <c r="I131" s="16"/>
      <c r="J131" s="16"/>
      <c r="K131" s="16"/>
      <c r="L131" s="16"/>
      <c r="M131" s="16"/>
      <c r="N131" s="16"/>
    </row>
    <row r="132" spans="1:14">
      <c r="A132" s="16"/>
      <c r="B132" s="16"/>
      <c r="C132" s="16"/>
      <c r="D132" s="16"/>
      <c r="E132" s="16"/>
      <c r="F132" s="16"/>
      <c r="G132" s="16"/>
      <c r="H132" s="16"/>
      <c r="I132" s="16"/>
      <c r="J132" s="16"/>
      <c r="K132" s="16"/>
      <c r="L132" s="16"/>
      <c r="M132" s="16"/>
      <c r="N132" s="16"/>
    </row>
    <row r="133" spans="1:14">
      <c r="A133" s="16"/>
      <c r="B133" s="16"/>
      <c r="C133" s="16"/>
      <c r="D133" s="16"/>
      <c r="E133" s="16"/>
      <c r="F133" s="16"/>
      <c r="G133" s="16"/>
      <c r="H133" s="16"/>
      <c r="I133" s="16"/>
      <c r="J133" s="16"/>
      <c r="K133" s="16"/>
      <c r="L133" s="16"/>
      <c r="M133" s="16"/>
      <c r="N133" s="16"/>
    </row>
    <row r="134" spans="1:14">
      <c r="A134" s="16"/>
      <c r="B134" s="16"/>
      <c r="C134" s="16"/>
      <c r="D134" s="16"/>
      <c r="E134" s="16"/>
      <c r="F134" s="16"/>
      <c r="G134" s="16"/>
      <c r="H134" s="16"/>
      <c r="I134" s="16"/>
      <c r="J134" s="16"/>
      <c r="K134" s="16"/>
      <c r="L134" s="16"/>
      <c r="M134" s="16"/>
      <c r="N134" s="16"/>
    </row>
    <row r="135" spans="1:14">
      <c r="A135" s="16"/>
      <c r="B135" s="16"/>
      <c r="C135" s="16"/>
      <c r="D135" s="16"/>
      <c r="E135" s="16"/>
      <c r="F135" s="16"/>
      <c r="G135" s="16"/>
      <c r="H135" s="16"/>
      <c r="I135" s="16"/>
      <c r="J135" s="16"/>
      <c r="K135" s="16"/>
      <c r="L135" s="16"/>
      <c r="M135" s="16"/>
      <c r="N135" s="16"/>
    </row>
    <row r="136" spans="1:14">
      <c r="A136" s="16"/>
      <c r="B136" s="16"/>
      <c r="C136" s="16"/>
      <c r="D136" s="16"/>
      <c r="E136" s="16"/>
      <c r="F136" s="16"/>
      <c r="G136" s="16"/>
      <c r="H136" s="16"/>
      <c r="I136" s="16"/>
      <c r="J136" s="16"/>
      <c r="K136" s="16"/>
      <c r="L136" s="16"/>
      <c r="M136" s="16"/>
      <c r="N136" s="16"/>
    </row>
    <row r="137" spans="1:14">
      <c r="A137" s="16"/>
      <c r="B137" s="16"/>
      <c r="C137" s="16"/>
      <c r="D137" s="16"/>
      <c r="E137" s="16"/>
      <c r="F137" s="16"/>
      <c r="G137" s="16"/>
      <c r="H137" s="16"/>
      <c r="I137" s="16"/>
      <c r="J137" s="16"/>
      <c r="K137" s="16"/>
      <c r="L137" s="16"/>
      <c r="M137" s="16"/>
      <c r="N137" s="16"/>
    </row>
    <row r="138" spans="1:14">
      <c r="A138" s="16"/>
      <c r="B138" s="16"/>
      <c r="C138" s="16"/>
      <c r="D138" s="16"/>
      <c r="E138" s="16"/>
      <c r="F138" s="16"/>
      <c r="G138" s="16"/>
      <c r="H138" s="16"/>
      <c r="I138" s="16"/>
      <c r="J138" s="16"/>
      <c r="K138" s="16"/>
      <c r="L138" s="16"/>
      <c r="M138" s="16"/>
      <c r="N138" s="16"/>
    </row>
    <row r="139" spans="1:14">
      <c r="A139" s="16"/>
      <c r="B139" s="16"/>
      <c r="C139" s="16"/>
      <c r="D139" s="16"/>
      <c r="E139" s="16"/>
      <c r="F139" s="16"/>
      <c r="G139" s="16"/>
      <c r="H139" s="16"/>
      <c r="I139" s="16"/>
      <c r="J139" s="16"/>
      <c r="K139" s="16"/>
      <c r="L139" s="16"/>
      <c r="M139" s="16"/>
      <c r="N139" s="16"/>
    </row>
    <row r="140" spans="1:14">
      <c r="A140" s="16"/>
      <c r="B140" s="16"/>
      <c r="C140" s="16"/>
      <c r="D140" s="16"/>
      <c r="E140" s="16"/>
      <c r="F140" s="16"/>
      <c r="G140" s="16"/>
      <c r="H140" s="16"/>
      <c r="I140" s="16"/>
      <c r="J140" s="16"/>
      <c r="K140" s="16"/>
      <c r="L140" s="16"/>
      <c r="M140" s="16"/>
      <c r="N140" s="16"/>
    </row>
    <row r="141" spans="1:14">
      <c r="A141" s="16"/>
      <c r="B141" s="16"/>
      <c r="C141" s="16"/>
      <c r="D141" s="16"/>
      <c r="E141" s="16"/>
      <c r="F141" s="16"/>
      <c r="G141" s="16"/>
      <c r="H141" s="16"/>
      <c r="I141" s="16"/>
      <c r="J141" s="16"/>
      <c r="K141" s="16"/>
      <c r="L141" s="16"/>
      <c r="M141" s="16"/>
      <c r="N141" s="16"/>
    </row>
    <row r="142" spans="1:14">
      <c r="A142" s="16"/>
      <c r="B142" s="16"/>
      <c r="C142" s="16"/>
      <c r="D142" s="16"/>
      <c r="E142" s="16"/>
      <c r="F142" s="16"/>
      <c r="G142" s="16"/>
      <c r="H142" s="16"/>
      <c r="I142" s="16"/>
      <c r="J142" s="16"/>
      <c r="K142" s="16"/>
      <c r="L142" s="16"/>
      <c r="M142" s="16"/>
      <c r="N142" s="16"/>
    </row>
    <row r="143" spans="1:14">
      <c r="A143" s="16"/>
      <c r="B143" s="16"/>
      <c r="C143" s="16"/>
      <c r="D143" s="16"/>
      <c r="E143" s="16"/>
      <c r="F143" s="16"/>
      <c r="G143" s="16"/>
      <c r="H143" s="16"/>
      <c r="I143" s="16"/>
      <c r="J143" s="16"/>
      <c r="K143" s="16"/>
      <c r="L143" s="16"/>
      <c r="M143" s="16"/>
      <c r="N143" s="16"/>
    </row>
    <row r="144" spans="1:14">
      <c r="A144" s="16"/>
      <c r="B144" s="16"/>
      <c r="C144" s="16"/>
      <c r="D144" s="16"/>
      <c r="E144" s="16"/>
      <c r="F144" s="16"/>
      <c r="G144" s="16"/>
      <c r="H144" s="16"/>
      <c r="I144" s="16"/>
      <c r="J144" s="16"/>
      <c r="K144" s="16"/>
      <c r="L144" s="16"/>
      <c r="M144" s="16"/>
      <c r="N144" s="16"/>
    </row>
    <row r="145" spans="1:12" s="956" customFormat="1">
      <c r="A145" s="955" t="s">
        <v>955</v>
      </c>
    </row>
    <row r="146" spans="1:12" s="956" customFormat="1"/>
    <row r="147" spans="1:12">
      <c r="A147" s="919" t="s">
        <v>1106</v>
      </c>
      <c r="B147" s="919" t="s">
        <v>109</v>
      </c>
      <c r="C147" s="919" t="s">
        <v>110</v>
      </c>
      <c r="D147" s="919" t="s">
        <v>2062</v>
      </c>
      <c r="E147" s="919" t="s">
        <v>2063</v>
      </c>
      <c r="F147" s="919" t="s">
        <v>2064</v>
      </c>
      <c r="G147" s="919" t="s">
        <v>2065</v>
      </c>
      <c r="H147" s="919" t="s">
        <v>2066</v>
      </c>
      <c r="I147" s="919" t="s">
        <v>2067</v>
      </c>
      <c r="J147" s="919"/>
      <c r="K147" s="919"/>
      <c r="L147" s="919"/>
    </row>
    <row r="148" spans="1:12">
      <c r="A148" s="919" t="s">
        <v>188</v>
      </c>
      <c r="B148" s="919">
        <v>2011</v>
      </c>
      <c r="C148" s="919" t="s">
        <v>107</v>
      </c>
      <c r="D148" s="919">
        <v>17.864055684</v>
      </c>
      <c r="E148" s="919">
        <v>0</v>
      </c>
      <c r="F148" s="919">
        <v>-7.0630766383000001</v>
      </c>
      <c r="G148" s="919">
        <v>0.167032442403379</v>
      </c>
      <c r="H148" s="919">
        <v>2.9838768521284802</v>
      </c>
      <c r="I148" s="919">
        <v>14.8801788318715</v>
      </c>
    </row>
    <row r="149" spans="1:12">
      <c r="A149" s="919" t="s">
        <v>188</v>
      </c>
      <c r="B149" s="919">
        <v>2011</v>
      </c>
      <c r="C149" s="919" t="s">
        <v>106</v>
      </c>
      <c r="D149" s="919">
        <v>28.521494730600001</v>
      </c>
      <c r="E149" s="919">
        <v>0</v>
      </c>
      <c r="F149" s="919">
        <v>-14.3340022375</v>
      </c>
      <c r="G149" s="919">
        <v>0.16374406879647899</v>
      </c>
      <c r="H149" s="919">
        <v>4.6702255953457898</v>
      </c>
      <c r="I149" s="919">
        <v>23.851269135254199</v>
      </c>
    </row>
    <row r="150" spans="1:12">
      <c r="A150" s="919" t="s">
        <v>188</v>
      </c>
      <c r="B150" s="919">
        <v>2011</v>
      </c>
      <c r="C150" s="919" t="s">
        <v>103</v>
      </c>
      <c r="D150" s="919">
        <v>45.869809473700002</v>
      </c>
      <c r="E150" s="919">
        <v>0</v>
      </c>
      <c r="F150" s="919">
        <v>-18.619256866000001</v>
      </c>
      <c r="G150" s="919">
        <v>0.22511230013518799</v>
      </c>
      <c r="H150" s="919">
        <v>10.3258583173874</v>
      </c>
      <c r="I150" s="919">
        <v>35.543951156312602</v>
      </c>
    </row>
    <row r="151" spans="1:12">
      <c r="A151" s="919" t="s">
        <v>188</v>
      </c>
      <c r="B151" s="919">
        <v>2011</v>
      </c>
      <c r="C151" s="919" t="s">
        <v>99</v>
      </c>
      <c r="D151" s="919">
        <v>190.60912715054999</v>
      </c>
      <c r="E151" s="919">
        <v>0</v>
      </c>
      <c r="F151" s="919">
        <v>-76.861589176739997</v>
      </c>
      <c r="G151" s="919">
        <v>0.14530050384070001</v>
      </c>
      <c r="H151" s="919">
        <v>27.695602211611</v>
      </c>
      <c r="I151" s="919">
        <v>162.91352493893899</v>
      </c>
    </row>
    <row r="152" spans="1:12">
      <c r="A152" s="919" t="s">
        <v>188</v>
      </c>
      <c r="B152" s="919">
        <v>2011</v>
      </c>
      <c r="C152" s="919" t="s">
        <v>101</v>
      </c>
      <c r="D152" s="919">
        <v>26.214729520999999</v>
      </c>
      <c r="E152" s="919">
        <v>0</v>
      </c>
      <c r="F152" s="919">
        <v>-16.158205452000001</v>
      </c>
      <c r="G152" s="919">
        <v>0.280745352099454</v>
      </c>
      <c r="H152" s="919">
        <v>7.3596634695651</v>
      </c>
      <c r="I152" s="919">
        <v>18.8550660514349</v>
      </c>
    </row>
    <row r="153" spans="1:12">
      <c r="A153" s="919" t="s">
        <v>188</v>
      </c>
      <c r="B153" s="919">
        <v>2011</v>
      </c>
      <c r="C153" s="919" t="s">
        <v>98</v>
      </c>
      <c r="D153" s="919">
        <v>16.569958496999998</v>
      </c>
      <c r="E153" s="919">
        <v>0</v>
      </c>
      <c r="F153" s="919">
        <v>-10.16148924</v>
      </c>
      <c r="G153" s="919">
        <v>0.267051014202149</v>
      </c>
      <c r="H153" s="919">
        <v>4.4250242219113698</v>
      </c>
      <c r="I153" s="919">
        <v>12.1449342750886</v>
      </c>
    </row>
    <row r="154" spans="1:12">
      <c r="A154" s="919" t="s">
        <v>188</v>
      </c>
      <c r="B154" s="919">
        <v>2011</v>
      </c>
      <c r="C154" s="919" t="s">
        <v>100</v>
      </c>
      <c r="D154" s="919">
        <v>30.709163465500001</v>
      </c>
      <c r="E154" s="919">
        <v>0</v>
      </c>
      <c r="F154" s="919">
        <v>-18.036622103999999</v>
      </c>
      <c r="G154" s="919">
        <v>0.17261258929469001</v>
      </c>
      <c r="H154" s="919">
        <v>5.3007882208538497</v>
      </c>
      <c r="I154" s="919">
        <v>25.408375244646098</v>
      </c>
    </row>
    <row r="155" spans="1:12">
      <c r="A155" s="919" t="s">
        <v>188</v>
      </c>
      <c r="B155" s="919">
        <v>2012</v>
      </c>
      <c r="C155" s="919" t="s">
        <v>107</v>
      </c>
      <c r="D155" s="919">
        <v>14.5068532895</v>
      </c>
      <c r="E155" s="919">
        <v>0</v>
      </c>
      <c r="F155" s="919">
        <v>-5.2640174657000003</v>
      </c>
      <c r="G155" s="919">
        <v>0.19862523092050399</v>
      </c>
      <c r="H155" s="919">
        <v>2.88142708455681</v>
      </c>
      <c r="I155" s="919">
        <v>11.625426204943199</v>
      </c>
    </row>
    <row r="156" spans="1:12">
      <c r="A156" s="919" t="s">
        <v>188</v>
      </c>
      <c r="B156" s="919">
        <v>2012</v>
      </c>
      <c r="C156" s="919" t="s">
        <v>106</v>
      </c>
      <c r="D156" s="919">
        <v>23.329963203199998</v>
      </c>
      <c r="E156" s="919">
        <v>0</v>
      </c>
      <c r="F156" s="919">
        <v>-12.6522568807</v>
      </c>
      <c r="G156" s="919">
        <v>0.17185822041351101</v>
      </c>
      <c r="H156" s="919">
        <v>4.0094459584146502</v>
      </c>
      <c r="I156" s="919">
        <v>19.3205172447853</v>
      </c>
    </row>
    <row r="157" spans="1:12">
      <c r="A157" s="919" t="s">
        <v>188</v>
      </c>
      <c r="B157" s="919">
        <v>2012</v>
      </c>
      <c r="C157" s="919" t="s">
        <v>103</v>
      </c>
      <c r="D157" s="919">
        <v>34.450737529800001</v>
      </c>
      <c r="E157" s="919">
        <v>0</v>
      </c>
      <c r="F157" s="919">
        <v>-13.2470930035</v>
      </c>
      <c r="G157" s="919">
        <v>0.25387409171951297</v>
      </c>
      <c r="H157" s="919">
        <v>8.7461496994453203</v>
      </c>
      <c r="I157" s="919">
        <v>25.704587830354701</v>
      </c>
    </row>
    <row r="158" spans="1:12">
      <c r="A158" s="919" t="s">
        <v>188</v>
      </c>
      <c r="B158" s="919">
        <v>2012</v>
      </c>
      <c r="C158" s="919" t="s">
        <v>99</v>
      </c>
      <c r="D158" s="919">
        <v>176.82620041894</v>
      </c>
      <c r="E158" s="919">
        <v>0</v>
      </c>
      <c r="F158" s="919">
        <v>-69.49940018222</v>
      </c>
      <c r="G158" s="919">
        <v>0.16035684463865599</v>
      </c>
      <c r="H158" s="919">
        <v>28.355291548623899</v>
      </c>
      <c r="I158" s="919">
        <v>148.47090887031601</v>
      </c>
    </row>
    <row r="159" spans="1:12">
      <c r="A159" s="919" t="s">
        <v>188</v>
      </c>
      <c r="B159" s="919">
        <v>2012</v>
      </c>
      <c r="C159" s="919" t="s">
        <v>101</v>
      </c>
      <c r="D159" s="919">
        <v>23.345791685999998</v>
      </c>
      <c r="E159" s="919">
        <v>0</v>
      </c>
      <c r="F159" s="919">
        <v>-14.538809602000001</v>
      </c>
      <c r="G159" s="919">
        <v>0.29708895672089197</v>
      </c>
      <c r="H159" s="919">
        <v>6.9357768958170096</v>
      </c>
      <c r="I159" s="919">
        <v>16.410014790182998</v>
      </c>
    </row>
    <row r="160" spans="1:12">
      <c r="A160" s="919" t="s">
        <v>188</v>
      </c>
      <c r="B160" s="919">
        <v>2012</v>
      </c>
      <c r="C160" s="919" t="s">
        <v>98</v>
      </c>
      <c r="D160" s="919">
        <v>14.734705113</v>
      </c>
      <c r="E160" s="919">
        <v>0</v>
      </c>
      <c r="F160" s="919">
        <v>-9.1850493360000005</v>
      </c>
      <c r="G160" s="919">
        <v>0.28344444007818798</v>
      </c>
      <c r="H160" s="919">
        <v>4.1764702404714997</v>
      </c>
      <c r="I160" s="919">
        <v>10.5582348725285</v>
      </c>
    </row>
    <row r="161" spans="1:9">
      <c r="A161" s="919" t="s">
        <v>188</v>
      </c>
      <c r="B161" s="919">
        <v>2012</v>
      </c>
      <c r="C161" s="919" t="s">
        <v>100</v>
      </c>
      <c r="D161" s="919">
        <v>27.091548778500002</v>
      </c>
      <c r="E161" s="919">
        <v>0</v>
      </c>
      <c r="F161" s="919">
        <v>-16.823204306000001</v>
      </c>
      <c r="G161" s="919">
        <v>0.18478291443824599</v>
      </c>
      <c r="H161" s="919">
        <v>5.0060553399371504</v>
      </c>
      <c r="I161" s="919">
        <v>22.085493438562899</v>
      </c>
    </row>
    <row r="162" spans="1:9">
      <c r="A162" s="919" t="s">
        <v>188</v>
      </c>
      <c r="B162" s="919">
        <v>2013</v>
      </c>
      <c r="C162" s="919" t="s">
        <v>107</v>
      </c>
      <c r="D162" s="919">
        <v>16.8165371288</v>
      </c>
      <c r="E162" s="919">
        <v>0</v>
      </c>
      <c r="F162" s="919">
        <v>-7.0791820757000004</v>
      </c>
      <c r="G162" s="919">
        <v>0.182052147080664</v>
      </c>
      <c r="H162" s="919">
        <v>3.06148669075974</v>
      </c>
      <c r="I162" s="919">
        <v>13.7550504380403</v>
      </c>
    </row>
    <row r="163" spans="1:9">
      <c r="A163" s="919" t="s">
        <v>188</v>
      </c>
      <c r="B163" s="919">
        <v>2013</v>
      </c>
      <c r="C163" s="919" t="s">
        <v>106</v>
      </c>
      <c r="D163" s="919">
        <v>27.4338433267</v>
      </c>
      <c r="E163" s="919">
        <v>0</v>
      </c>
      <c r="F163" s="919">
        <v>-14.154660159300001</v>
      </c>
      <c r="G163" s="919">
        <v>0.15589731353977701</v>
      </c>
      <c r="H163" s="919">
        <v>4.2768624747036803</v>
      </c>
      <c r="I163" s="919">
        <v>23.156980851996298</v>
      </c>
    </row>
    <row r="164" spans="1:9">
      <c r="A164" s="919" t="s">
        <v>188</v>
      </c>
      <c r="B164" s="919">
        <v>2013</v>
      </c>
      <c r="C164" s="919" t="s">
        <v>103</v>
      </c>
      <c r="D164" s="919">
        <v>39.1253643497</v>
      </c>
      <c r="E164" s="919">
        <v>0</v>
      </c>
      <c r="F164" s="919">
        <v>-16.0355648894</v>
      </c>
      <c r="G164" s="919">
        <v>0.23679967464968399</v>
      </c>
      <c r="H164" s="919">
        <v>9.2648735485593008</v>
      </c>
      <c r="I164" s="919">
        <v>29.860490801140699</v>
      </c>
    </row>
    <row r="165" spans="1:9">
      <c r="A165" s="919" t="s">
        <v>188</v>
      </c>
      <c r="B165" s="919">
        <v>2013</v>
      </c>
      <c r="C165" s="919" t="s">
        <v>99</v>
      </c>
      <c r="D165" s="919">
        <v>204.12550617625999</v>
      </c>
      <c r="E165" s="919">
        <v>0</v>
      </c>
      <c r="F165" s="919">
        <v>-84.701817708429999</v>
      </c>
      <c r="G165" s="919">
        <v>0.15339839180009801</v>
      </c>
      <c r="H165" s="919">
        <v>31.312524372819201</v>
      </c>
      <c r="I165" s="919">
        <v>172.81298180344101</v>
      </c>
    </row>
    <row r="166" spans="1:9">
      <c r="A166" s="919" t="s">
        <v>188</v>
      </c>
      <c r="B166" s="919">
        <v>2013</v>
      </c>
      <c r="C166" s="919" t="s">
        <v>101</v>
      </c>
      <c r="D166" s="919">
        <v>25.184954624</v>
      </c>
      <c r="E166" s="919">
        <v>0</v>
      </c>
      <c r="F166" s="919">
        <v>-16.060460152000001</v>
      </c>
      <c r="G166" s="919">
        <v>0.29365581378505001</v>
      </c>
      <c r="H166" s="919">
        <v>7.3957083452502701</v>
      </c>
      <c r="I166" s="919">
        <v>17.789246278749701</v>
      </c>
    </row>
    <row r="167" spans="1:9">
      <c r="A167" s="919" t="s">
        <v>188</v>
      </c>
      <c r="B167" s="919">
        <v>2013</v>
      </c>
      <c r="C167" s="919" t="s">
        <v>98</v>
      </c>
      <c r="D167" s="919">
        <v>16.000537964999999</v>
      </c>
      <c r="E167" s="919">
        <v>0</v>
      </c>
      <c r="F167" s="919">
        <v>-10.157695527</v>
      </c>
      <c r="G167" s="919">
        <v>0.27975075324012799</v>
      </c>
      <c r="H167" s="919">
        <v>4.4761625479560196</v>
      </c>
      <c r="I167" s="919">
        <v>11.524375417044</v>
      </c>
    </row>
    <row r="168" spans="1:9">
      <c r="A168" s="919" t="s">
        <v>188</v>
      </c>
      <c r="B168" s="919">
        <v>2013</v>
      </c>
      <c r="C168" s="919" t="s">
        <v>100</v>
      </c>
      <c r="D168" s="919">
        <v>30.770356310499999</v>
      </c>
      <c r="E168" s="919">
        <v>0</v>
      </c>
      <c r="F168" s="919">
        <v>-18.870301935499999</v>
      </c>
      <c r="G168" s="919">
        <v>0.18067302539074501</v>
      </c>
      <c r="H168" s="919">
        <v>5.55937336696923</v>
      </c>
      <c r="I168" s="919">
        <v>25.210982943530801</v>
      </c>
    </row>
    <row r="169" spans="1:9">
      <c r="A169" s="919" t="s">
        <v>188</v>
      </c>
      <c r="B169" s="919">
        <v>2014</v>
      </c>
      <c r="C169" s="919" t="s">
        <v>107</v>
      </c>
      <c r="D169" s="919">
        <v>21.0687384939</v>
      </c>
      <c r="E169" s="919">
        <v>0</v>
      </c>
      <c r="F169" s="919">
        <v>-10.4366245564</v>
      </c>
      <c r="G169" s="919">
        <v>0.16098046392352799</v>
      </c>
      <c r="H169" s="919">
        <v>3.3916552970315199</v>
      </c>
      <c r="I169" s="919">
        <v>17.677083196868502</v>
      </c>
    </row>
    <row r="170" spans="1:9">
      <c r="A170" s="919" t="s">
        <v>188</v>
      </c>
      <c r="B170" s="919">
        <v>2014</v>
      </c>
      <c r="C170" s="919" t="s">
        <v>106</v>
      </c>
      <c r="D170" s="919">
        <v>32.753631861000002</v>
      </c>
      <c r="E170" s="919">
        <v>0</v>
      </c>
      <c r="F170" s="919">
        <v>-16.611146119699999</v>
      </c>
      <c r="G170" s="919">
        <v>0.15043193799788401</v>
      </c>
      <c r="H170" s="919">
        <v>4.92719231731947</v>
      </c>
      <c r="I170" s="919">
        <v>27.8264395436805</v>
      </c>
    </row>
    <row r="171" spans="1:9">
      <c r="A171" s="919" t="s">
        <v>188</v>
      </c>
      <c r="B171" s="919">
        <v>2014</v>
      </c>
      <c r="C171" s="919" t="s">
        <v>103</v>
      </c>
      <c r="D171" s="919">
        <v>47.861728994400004</v>
      </c>
      <c r="E171" s="919">
        <v>0</v>
      </c>
      <c r="F171" s="919">
        <v>-21.313565153199999</v>
      </c>
      <c r="G171" s="919">
        <v>0.21870241531531601</v>
      </c>
      <c r="H171" s="919">
        <v>10.4674757322424</v>
      </c>
      <c r="I171" s="919">
        <v>37.394253262157598</v>
      </c>
    </row>
    <row r="172" spans="1:9">
      <c r="A172" s="919" t="s">
        <v>188</v>
      </c>
      <c r="B172" s="919">
        <v>2014</v>
      </c>
      <c r="C172" s="919" t="s">
        <v>99</v>
      </c>
      <c r="D172" s="919">
        <v>247.49685889413001</v>
      </c>
      <c r="E172" s="919">
        <v>0</v>
      </c>
      <c r="F172" s="919">
        <v>-111.38126869379001</v>
      </c>
      <c r="G172" s="919">
        <v>0.14201630492006601</v>
      </c>
      <c r="H172" s="919">
        <v>35.148589379467403</v>
      </c>
      <c r="I172" s="919">
        <v>212.348269514663</v>
      </c>
    </row>
    <row r="173" spans="1:9">
      <c r="A173" s="919" t="s">
        <v>188</v>
      </c>
      <c r="B173" s="919">
        <v>2014</v>
      </c>
      <c r="C173" s="919" t="s">
        <v>101</v>
      </c>
      <c r="D173" s="919">
        <v>27.206431542000001</v>
      </c>
      <c r="E173" s="919">
        <v>0</v>
      </c>
      <c r="F173" s="919">
        <v>-16.388617928999999</v>
      </c>
      <c r="G173" s="919">
        <v>0.29526108416618901</v>
      </c>
      <c r="H173" s="919">
        <v>8.0330004733841296</v>
      </c>
      <c r="I173" s="919">
        <v>19.173431068615901</v>
      </c>
    </row>
    <row r="174" spans="1:9">
      <c r="A174" s="919" t="s">
        <v>188</v>
      </c>
      <c r="B174" s="919">
        <v>2014</v>
      </c>
      <c r="C174" s="919" t="s">
        <v>98</v>
      </c>
      <c r="D174" s="919">
        <v>17.366239863000001</v>
      </c>
      <c r="E174" s="919">
        <v>0</v>
      </c>
      <c r="F174" s="919">
        <v>-10.446142995000001</v>
      </c>
      <c r="G174" s="919">
        <v>0.281197766189142</v>
      </c>
      <c r="H174" s="919">
        <v>4.88334785658044</v>
      </c>
      <c r="I174" s="919">
        <v>12.482892006419601</v>
      </c>
    </row>
    <row r="175" spans="1:9">
      <c r="A175" s="919" t="s">
        <v>188</v>
      </c>
      <c r="B175" s="919">
        <v>2014</v>
      </c>
      <c r="C175" s="919" t="s">
        <v>100</v>
      </c>
      <c r="D175" s="919">
        <v>34.304845117500001</v>
      </c>
      <c r="E175" s="919">
        <v>0</v>
      </c>
      <c r="F175" s="919">
        <v>-20.470950934499999</v>
      </c>
      <c r="G175" s="919">
        <v>0.181446362812588</v>
      </c>
      <c r="H175" s="919">
        <v>6.2244893734195603</v>
      </c>
      <c r="I175" s="919">
        <v>28.0803557440804</v>
      </c>
    </row>
    <row r="176" spans="1:9">
      <c r="A176" s="919" t="s">
        <v>188</v>
      </c>
      <c r="B176" s="919">
        <v>2015</v>
      </c>
      <c r="C176" s="919" t="s">
        <v>107</v>
      </c>
      <c r="D176" s="919">
        <v>18.342331984200001</v>
      </c>
      <c r="E176" s="919">
        <v>0</v>
      </c>
      <c r="F176" s="919">
        <v>-7.6148640638999998</v>
      </c>
      <c r="G176" s="919">
        <v>0.15599052383193299</v>
      </c>
      <c r="H176" s="919">
        <v>2.8612299745145702</v>
      </c>
      <c r="I176" s="919">
        <v>15.481102009685401</v>
      </c>
    </row>
    <row r="177" spans="1:9">
      <c r="A177" s="919" t="s">
        <v>188</v>
      </c>
      <c r="B177" s="919">
        <v>2015</v>
      </c>
      <c r="C177" s="919" t="s">
        <v>106</v>
      </c>
      <c r="D177" s="919">
        <v>29.8670674904</v>
      </c>
      <c r="E177" s="919">
        <v>0</v>
      </c>
      <c r="F177" s="919">
        <v>-14.234603527399999</v>
      </c>
      <c r="G177" s="919">
        <v>0.15043450777439499</v>
      </c>
      <c r="H177" s="919">
        <v>4.4930375965829699</v>
      </c>
      <c r="I177" s="919">
        <v>25.374029893816999</v>
      </c>
    </row>
    <row r="178" spans="1:9">
      <c r="A178" s="919" t="s">
        <v>188</v>
      </c>
      <c r="B178" s="919">
        <v>2015</v>
      </c>
      <c r="C178" s="919" t="s">
        <v>103</v>
      </c>
      <c r="D178" s="919">
        <v>43.7372827716</v>
      </c>
      <c r="E178" s="919">
        <v>0</v>
      </c>
      <c r="F178" s="919">
        <v>-18.325043384800001</v>
      </c>
      <c r="G178" s="919">
        <v>0.21270745325082799</v>
      </c>
      <c r="H178" s="919">
        <v>9.3032460304583395</v>
      </c>
      <c r="I178" s="919">
        <v>34.434036741141703</v>
      </c>
    </row>
    <row r="179" spans="1:9">
      <c r="A179" s="919" t="s">
        <v>188</v>
      </c>
      <c r="B179" s="919">
        <v>2015</v>
      </c>
      <c r="C179" s="919" t="s">
        <v>99</v>
      </c>
      <c r="D179" s="919">
        <v>225.18437093388999</v>
      </c>
      <c r="E179" s="919">
        <v>0</v>
      </c>
      <c r="F179" s="919">
        <v>-92.926025435650004</v>
      </c>
      <c r="G179" s="919">
        <v>0.13568599853597199</v>
      </c>
      <c r="H179" s="919">
        <v>30.5543662248595</v>
      </c>
      <c r="I179" s="919">
        <v>194.630004709031</v>
      </c>
    </row>
    <row r="180" spans="1:9">
      <c r="A180" s="919" t="s">
        <v>188</v>
      </c>
      <c r="B180" s="919">
        <v>2015</v>
      </c>
      <c r="C180" s="919" t="s">
        <v>101</v>
      </c>
      <c r="D180" s="919">
        <v>26.231844970000001</v>
      </c>
      <c r="E180" s="919">
        <v>0</v>
      </c>
      <c r="F180" s="919">
        <v>-14.501953571</v>
      </c>
      <c r="G180" s="919">
        <v>0.29700021768582302</v>
      </c>
      <c r="H180" s="919">
        <v>7.79086366639077</v>
      </c>
      <c r="I180" s="919">
        <v>18.440981303609199</v>
      </c>
    </row>
    <row r="181" spans="1:9">
      <c r="A181" s="919" t="s">
        <v>188</v>
      </c>
      <c r="B181" s="919">
        <v>2015</v>
      </c>
      <c r="C181" s="919" t="s">
        <v>98</v>
      </c>
      <c r="D181" s="919">
        <v>16.682326031999999</v>
      </c>
      <c r="E181" s="919">
        <v>0</v>
      </c>
      <c r="F181" s="919">
        <v>-9.1773205440000005</v>
      </c>
      <c r="G181" s="919">
        <v>0.28366565042122299</v>
      </c>
      <c r="H181" s="919">
        <v>4.7322028644061804</v>
      </c>
      <c r="I181" s="919">
        <v>11.9501231675938</v>
      </c>
    </row>
    <row r="182" spans="1:9">
      <c r="A182" s="919" t="s">
        <v>188</v>
      </c>
      <c r="B182" s="919">
        <v>2015</v>
      </c>
      <c r="C182" s="919" t="s">
        <v>100</v>
      </c>
      <c r="D182" s="919">
        <v>32.31432539</v>
      </c>
      <c r="E182" s="919">
        <v>0</v>
      </c>
      <c r="F182" s="919">
        <v>-17.112173683000002</v>
      </c>
      <c r="G182" s="919">
        <v>0.18617618783268</v>
      </c>
      <c r="H182" s="919">
        <v>6.0161579134949896</v>
      </c>
      <c r="I182" s="919">
        <v>26.298167476505</v>
      </c>
    </row>
    <row r="183" spans="1:9">
      <c r="A183" s="919" t="s">
        <v>188</v>
      </c>
      <c r="B183" s="919">
        <v>2016</v>
      </c>
      <c r="C183" s="919" t="s">
        <v>107</v>
      </c>
      <c r="D183" s="919">
        <v>19.8344458901</v>
      </c>
      <c r="E183" s="919">
        <v>0</v>
      </c>
      <c r="F183" s="919">
        <v>-8.6037087323999994</v>
      </c>
      <c r="G183" s="919">
        <v>0.168014990619238</v>
      </c>
      <c r="H183" s="919">
        <v>3.33248424016293</v>
      </c>
      <c r="I183" s="919">
        <v>16.501961649937101</v>
      </c>
    </row>
    <row r="184" spans="1:9">
      <c r="A184" s="919" t="s">
        <v>188</v>
      </c>
      <c r="B184" s="919">
        <v>2016</v>
      </c>
      <c r="C184" s="919" t="s">
        <v>106</v>
      </c>
      <c r="D184" s="919">
        <v>33.031369280100002</v>
      </c>
      <c r="E184" s="919">
        <v>0</v>
      </c>
      <c r="F184" s="919">
        <v>-16.7650600385</v>
      </c>
      <c r="G184" s="919">
        <v>0.147123750890467</v>
      </c>
      <c r="H184" s="919">
        <v>4.8596989455364596</v>
      </c>
      <c r="I184" s="919">
        <v>28.171670334563501</v>
      </c>
    </row>
    <row r="185" spans="1:9">
      <c r="A185" s="919" t="s">
        <v>188</v>
      </c>
      <c r="B185" s="919">
        <v>2016</v>
      </c>
      <c r="C185" s="919" t="s">
        <v>103</v>
      </c>
      <c r="D185" s="919">
        <v>49.348487018100002</v>
      </c>
      <c r="E185" s="919">
        <v>0</v>
      </c>
      <c r="F185" s="919">
        <v>-21.639784132500001</v>
      </c>
      <c r="G185" s="919">
        <v>0.20411004190234699</v>
      </c>
      <c r="H185" s="919">
        <v>10.0725217530818</v>
      </c>
      <c r="I185" s="919">
        <v>39.275965265018201</v>
      </c>
    </row>
    <row r="186" spans="1:9">
      <c r="A186" s="919" t="s">
        <v>188</v>
      </c>
      <c r="B186" s="919">
        <v>2016</v>
      </c>
      <c r="C186" s="919" t="s">
        <v>99</v>
      </c>
      <c r="D186" s="919">
        <v>252.12044231100001</v>
      </c>
      <c r="E186" s="919">
        <v>0</v>
      </c>
      <c r="F186" s="919">
        <v>-110.30048233719999</v>
      </c>
      <c r="G186" s="919">
        <v>0.13690128259287401</v>
      </c>
      <c r="H186" s="919">
        <v>34.5156119202585</v>
      </c>
      <c r="I186" s="919">
        <v>217.60483039074199</v>
      </c>
    </row>
    <row r="187" spans="1:9">
      <c r="A187" s="919" t="s">
        <v>188</v>
      </c>
      <c r="B187" s="919">
        <v>2016</v>
      </c>
      <c r="C187" s="919" t="s">
        <v>101</v>
      </c>
      <c r="D187" s="919">
        <v>28.825606439000001</v>
      </c>
      <c r="E187" s="919">
        <v>0</v>
      </c>
      <c r="F187" s="919">
        <v>-16.889088151999999</v>
      </c>
      <c r="G187" s="919">
        <v>0.29872224414972898</v>
      </c>
      <c r="H187" s="919">
        <v>8.6108498444349593</v>
      </c>
      <c r="I187" s="919">
        <v>20.214756594564999</v>
      </c>
    </row>
    <row r="188" spans="1:9">
      <c r="A188" s="919" t="s">
        <v>188</v>
      </c>
      <c r="B188" s="919">
        <v>2016</v>
      </c>
      <c r="C188" s="919" t="s">
        <v>98</v>
      </c>
      <c r="D188" s="919">
        <v>18.276709209</v>
      </c>
      <c r="E188" s="919">
        <v>0</v>
      </c>
      <c r="F188" s="919">
        <v>-10.712392188000001</v>
      </c>
      <c r="G188" s="919">
        <v>0.28524255026637102</v>
      </c>
      <c r="H188" s="919">
        <v>5.2132951452520304</v>
      </c>
      <c r="I188" s="919">
        <v>13.063414063748001</v>
      </c>
    </row>
    <row r="189" spans="1:9">
      <c r="A189" s="919" t="s">
        <v>188</v>
      </c>
      <c r="B189" s="919">
        <v>2016</v>
      </c>
      <c r="C189" s="919" t="s">
        <v>100</v>
      </c>
      <c r="D189" s="919">
        <v>34.6124516275</v>
      </c>
      <c r="E189" s="919">
        <v>0</v>
      </c>
      <c r="F189" s="919">
        <v>-20.378832478</v>
      </c>
      <c r="G189" s="919">
        <v>0.18629378654093001</v>
      </c>
      <c r="H189" s="919">
        <v>6.44808467515176</v>
      </c>
      <c r="I189" s="919">
        <v>28.1643669523482</v>
      </c>
    </row>
    <row r="190" spans="1:9">
      <c r="A190" s="919" t="s">
        <v>188</v>
      </c>
      <c r="B190" s="919">
        <v>2017</v>
      </c>
      <c r="C190" s="919" t="s">
        <v>107</v>
      </c>
      <c r="D190" s="919">
        <v>19.752803859099998</v>
      </c>
      <c r="E190" s="919">
        <v>0</v>
      </c>
      <c r="F190" s="919">
        <v>-8.8705314049999995</v>
      </c>
      <c r="G190" s="919">
        <v>0.13759468318388099</v>
      </c>
      <c r="H190" s="919">
        <v>2.7178807889862102</v>
      </c>
      <c r="I190" s="919">
        <v>17.034923070113798</v>
      </c>
    </row>
    <row r="191" spans="1:9">
      <c r="A191" s="919" t="s">
        <v>188</v>
      </c>
      <c r="B191" s="919">
        <v>2017</v>
      </c>
      <c r="C191" s="919" t="s">
        <v>106</v>
      </c>
      <c r="D191" s="919">
        <v>32.818416945899997</v>
      </c>
      <c r="E191" s="919">
        <v>0</v>
      </c>
      <c r="F191" s="919">
        <v>-18.213439018999999</v>
      </c>
      <c r="G191" s="919">
        <v>0.136585254504244</v>
      </c>
      <c r="H191" s="919">
        <v>4.4825118309821503</v>
      </c>
      <c r="I191" s="919">
        <v>28.3359051149178</v>
      </c>
    </row>
    <row r="192" spans="1:9">
      <c r="A192" s="919" t="s">
        <v>188</v>
      </c>
      <c r="B192" s="919">
        <v>2017</v>
      </c>
      <c r="C192" s="919" t="s">
        <v>103</v>
      </c>
      <c r="D192" s="919">
        <v>47.970776967600003</v>
      </c>
      <c r="E192" s="919">
        <v>0</v>
      </c>
      <c r="F192" s="919">
        <v>-23.019471899199999</v>
      </c>
      <c r="G192" s="919">
        <v>0.18618478888017101</v>
      </c>
      <c r="H192" s="919">
        <v>8.9314289821303792</v>
      </c>
      <c r="I192" s="919">
        <v>39.039347985469597</v>
      </c>
    </row>
    <row r="193" spans="1:9">
      <c r="A193" s="919" t="s">
        <v>188</v>
      </c>
      <c r="B193" s="919">
        <v>2017</v>
      </c>
      <c r="C193" s="919" t="s">
        <v>99</v>
      </c>
      <c r="D193" s="919">
        <v>238.55765431615001</v>
      </c>
      <c r="E193" s="919">
        <v>0</v>
      </c>
      <c r="F193" s="919">
        <v>-116.65476798582</v>
      </c>
      <c r="G193" s="919">
        <v>0.127657876559503</v>
      </c>
      <c r="H193" s="919">
        <v>30.4537635870157</v>
      </c>
      <c r="I193" s="919">
        <v>208.10389072913401</v>
      </c>
    </row>
    <row r="194" spans="1:9">
      <c r="A194" s="919" t="s">
        <v>188</v>
      </c>
      <c r="B194" s="919">
        <v>2017</v>
      </c>
      <c r="C194" s="919" t="s">
        <v>101</v>
      </c>
      <c r="D194" s="919">
        <v>28.638106204</v>
      </c>
      <c r="E194" s="919">
        <v>0</v>
      </c>
      <c r="F194" s="919">
        <v>-18.539099319000002</v>
      </c>
      <c r="G194" s="919">
        <v>0.29633397412898899</v>
      </c>
      <c r="H194" s="919">
        <v>8.4864438229593695</v>
      </c>
      <c r="I194" s="919">
        <v>20.151662381040602</v>
      </c>
    </row>
    <row r="195" spans="1:9">
      <c r="A195" s="919" t="s">
        <v>188</v>
      </c>
      <c r="B195" s="919">
        <v>2017</v>
      </c>
      <c r="C195" s="919" t="s">
        <v>98</v>
      </c>
      <c r="D195" s="919">
        <v>18.153164055000001</v>
      </c>
      <c r="E195" s="919">
        <v>0</v>
      </c>
      <c r="F195" s="919">
        <v>-11.718102123</v>
      </c>
      <c r="G195" s="919">
        <v>0.28269201250181702</v>
      </c>
      <c r="H195" s="919">
        <v>5.1317544799836003</v>
      </c>
      <c r="I195" s="919">
        <v>13.021409575016399</v>
      </c>
    </row>
    <row r="196" spans="1:9">
      <c r="A196" s="919" t="s">
        <v>188</v>
      </c>
      <c r="B196" s="919">
        <v>2017</v>
      </c>
      <c r="C196" s="919" t="s">
        <v>100</v>
      </c>
      <c r="D196" s="919">
        <v>34.134906807500002</v>
      </c>
      <c r="E196" s="919">
        <v>0</v>
      </c>
      <c r="F196" s="919">
        <v>-21.613362400500002</v>
      </c>
      <c r="G196" s="919">
        <v>0.18402706648262801</v>
      </c>
      <c r="H196" s="919">
        <v>6.2817467644420999</v>
      </c>
      <c r="I196" s="919">
        <v>27.853160043057901</v>
      </c>
    </row>
    <row r="197" spans="1:9">
      <c r="A197" s="919" t="s">
        <v>188</v>
      </c>
      <c r="B197" s="919">
        <v>2018</v>
      </c>
      <c r="C197" s="919" t="s">
        <v>107</v>
      </c>
      <c r="D197" s="919">
        <v>21.888771440399999</v>
      </c>
      <c r="E197" s="919">
        <v>0</v>
      </c>
      <c r="F197" s="919">
        <v>-10.01495948</v>
      </c>
      <c r="G197" s="919">
        <v>0.14136846662264199</v>
      </c>
      <c r="H197" s="919">
        <v>3.09438205478282</v>
      </c>
      <c r="I197" s="919">
        <v>18.794389385617201</v>
      </c>
    </row>
    <row r="198" spans="1:9">
      <c r="A198" s="919" t="s">
        <v>188</v>
      </c>
      <c r="B198" s="919">
        <v>2018</v>
      </c>
      <c r="C198" s="919" t="s">
        <v>106</v>
      </c>
      <c r="D198" s="919">
        <v>36.429839678699999</v>
      </c>
      <c r="E198" s="919">
        <v>0</v>
      </c>
      <c r="F198" s="919">
        <v>-19.549108049899999</v>
      </c>
      <c r="G198" s="919">
        <v>0.159232724384338</v>
      </c>
      <c r="H198" s="919">
        <v>5.8008226209240696</v>
      </c>
      <c r="I198" s="919">
        <v>30.629017057775901</v>
      </c>
    </row>
    <row r="199" spans="1:9">
      <c r="A199" s="919" t="s">
        <v>188</v>
      </c>
      <c r="B199" s="919">
        <v>2018</v>
      </c>
      <c r="C199" s="919" t="s">
        <v>103</v>
      </c>
      <c r="D199" s="919">
        <v>54.021081993000003</v>
      </c>
      <c r="E199" s="919">
        <v>0</v>
      </c>
      <c r="F199" s="919">
        <v>-25.0729939241</v>
      </c>
      <c r="G199" s="919">
        <v>0.18587988898135299</v>
      </c>
      <c r="H199" s="919">
        <v>10.0414327235114</v>
      </c>
      <c r="I199" s="919">
        <v>43.979649269488597</v>
      </c>
    </row>
    <row r="200" spans="1:9">
      <c r="A200" s="919" t="s">
        <v>188</v>
      </c>
      <c r="B200" s="919">
        <v>2018</v>
      </c>
      <c r="C200" s="919" t="s">
        <v>99</v>
      </c>
      <c r="D200" s="919">
        <v>268.01383640169001</v>
      </c>
      <c r="E200" s="919">
        <v>0</v>
      </c>
      <c r="F200" s="919">
        <v>-126.51916299478</v>
      </c>
      <c r="G200" s="919">
        <v>0.13649005269099099</v>
      </c>
      <c r="H200" s="919">
        <v>36.5812226523812</v>
      </c>
      <c r="I200" s="919">
        <v>231.43261374930901</v>
      </c>
    </row>
    <row r="201" spans="1:9">
      <c r="A201" s="919" t="s">
        <v>188</v>
      </c>
      <c r="B201" s="919">
        <v>2018</v>
      </c>
      <c r="C201" s="919" t="s">
        <v>101</v>
      </c>
      <c r="D201" s="919">
        <v>29.825654570000001</v>
      </c>
      <c r="E201" s="919">
        <v>0</v>
      </c>
      <c r="F201" s="919">
        <v>-18.712387209999999</v>
      </c>
      <c r="G201" s="919">
        <v>0.28037303039155698</v>
      </c>
      <c r="H201" s="919">
        <v>8.3623091552026896</v>
      </c>
      <c r="I201" s="919">
        <v>21.463345414797299</v>
      </c>
    </row>
    <row r="202" spans="1:9">
      <c r="A202" s="919" t="s">
        <v>188</v>
      </c>
      <c r="B202" s="919">
        <v>2018</v>
      </c>
      <c r="C202" s="919" t="s">
        <v>98</v>
      </c>
      <c r="D202" s="919">
        <v>18.983562818999999</v>
      </c>
      <c r="E202" s="919">
        <v>0</v>
      </c>
      <c r="F202" s="919">
        <v>-11.878221567000001</v>
      </c>
      <c r="G202" s="919">
        <v>0.26979161968850501</v>
      </c>
      <c r="H202" s="919">
        <v>5.1216061603965004</v>
      </c>
      <c r="I202" s="919">
        <v>13.8619566586035</v>
      </c>
    </row>
    <row r="203" spans="1:9">
      <c r="A203" s="919" t="s">
        <v>188</v>
      </c>
      <c r="B203" s="919">
        <v>2018</v>
      </c>
      <c r="C203" s="919" t="s">
        <v>100</v>
      </c>
      <c r="D203" s="919">
        <v>36.730252067499997</v>
      </c>
      <c r="E203" s="919">
        <v>0</v>
      </c>
      <c r="F203" s="919">
        <v>-22.5402549935</v>
      </c>
      <c r="G203" s="919">
        <v>0.19866115836808901</v>
      </c>
      <c r="H203" s="919">
        <v>7.2968744228814399</v>
      </c>
      <c r="I203" s="919">
        <v>29.433377644618599</v>
      </c>
    </row>
    <row r="204" spans="1:9">
      <c r="A204" s="919" t="s">
        <v>188</v>
      </c>
      <c r="B204" s="919">
        <v>2019</v>
      </c>
      <c r="C204" s="919" t="s">
        <v>107</v>
      </c>
      <c r="D204" s="919">
        <v>20.478683829400001</v>
      </c>
      <c r="E204" s="919">
        <v>0</v>
      </c>
      <c r="F204" s="919">
        <v>-10.035812916999999</v>
      </c>
      <c r="G204" s="919">
        <v>0.14308231616317801</v>
      </c>
      <c r="H204" s="919">
        <v>2.9301375142839801</v>
      </c>
      <c r="I204" s="919">
        <v>17.548546315115999</v>
      </c>
    </row>
    <row r="205" spans="1:9">
      <c r="A205" s="919" t="s">
        <v>188</v>
      </c>
      <c r="B205" s="919">
        <v>2019</v>
      </c>
      <c r="C205" s="919" t="s">
        <v>106</v>
      </c>
      <c r="D205" s="919">
        <v>34.589610315900003</v>
      </c>
      <c r="E205" s="919">
        <v>0</v>
      </c>
      <c r="F205" s="919">
        <v>-19.410142635900002</v>
      </c>
      <c r="G205" s="919">
        <v>0.146389631228241</v>
      </c>
      <c r="H205" s="919">
        <v>5.06356029847315</v>
      </c>
      <c r="I205" s="919">
        <v>29.5260500174269</v>
      </c>
    </row>
    <row r="206" spans="1:9">
      <c r="A206" s="919" t="s">
        <v>188</v>
      </c>
      <c r="B206" s="919">
        <v>2019</v>
      </c>
      <c r="C206" s="919" t="s">
        <v>103</v>
      </c>
      <c r="D206" s="919">
        <v>51.416588531499997</v>
      </c>
      <c r="E206" s="919">
        <v>0</v>
      </c>
      <c r="F206" s="919">
        <v>-25.6266245612</v>
      </c>
      <c r="G206" s="919">
        <v>0.173092266333954</v>
      </c>
      <c r="H206" s="919">
        <v>8.8998138360777403</v>
      </c>
      <c r="I206" s="919">
        <v>42.516774695422299</v>
      </c>
    </row>
    <row r="207" spans="1:9">
      <c r="A207" s="919" t="s">
        <v>188</v>
      </c>
      <c r="B207" s="919">
        <v>2019</v>
      </c>
      <c r="C207" s="919" t="s">
        <v>99</v>
      </c>
      <c r="D207" s="919">
        <v>253.61802143162001</v>
      </c>
      <c r="E207" s="919">
        <v>0</v>
      </c>
      <c r="F207" s="919">
        <v>-125.96647827635</v>
      </c>
      <c r="G207" s="919">
        <v>0.12171419279795</v>
      </c>
      <c r="H207" s="919">
        <v>30.8689127575627</v>
      </c>
      <c r="I207" s="919">
        <v>222.749108674057</v>
      </c>
    </row>
    <row r="208" spans="1:9">
      <c r="A208" s="919" t="s">
        <v>188</v>
      </c>
      <c r="B208" s="919">
        <v>2019</v>
      </c>
      <c r="C208" s="919" t="s">
        <v>101</v>
      </c>
      <c r="D208" s="919">
        <v>28.607672855000001</v>
      </c>
      <c r="E208" s="919">
        <v>0</v>
      </c>
      <c r="F208" s="919">
        <v>-17.814076269000001</v>
      </c>
      <c r="G208" s="919">
        <v>0.25806876404823997</v>
      </c>
      <c r="H208" s="919">
        <v>7.3827467759862397</v>
      </c>
      <c r="I208" s="919">
        <v>21.224926079013802</v>
      </c>
    </row>
    <row r="209" spans="1:9">
      <c r="A209" s="919" t="s">
        <v>188</v>
      </c>
      <c r="B209" s="919">
        <v>2019</v>
      </c>
      <c r="C209" s="919" t="s">
        <v>98</v>
      </c>
      <c r="D209" s="919">
        <v>18.156394356</v>
      </c>
      <c r="E209" s="919">
        <v>0</v>
      </c>
      <c r="F209" s="919">
        <v>-11.317652388000001</v>
      </c>
      <c r="G209" s="919">
        <v>0.247441167273661</v>
      </c>
      <c r="H209" s="919">
        <v>4.4926394129295399</v>
      </c>
      <c r="I209" s="919">
        <v>13.663754943070501</v>
      </c>
    </row>
    <row r="210" spans="1:9">
      <c r="A210" s="919" t="s">
        <v>188</v>
      </c>
      <c r="B210" s="919">
        <v>2019</v>
      </c>
      <c r="C210" s="919" t="s">
        <v>100</v>
      </c>
      <c r="D210" s="919">
        <v>34.344698461</v>
      </c>
      <c r="E210" s="919">
        <v>0</v>
      </c>
      <c r="F210" s="919">
        <v>-21.589822731000002</v>
      </c>
      <c r="G210" s="919">
        <v>0.17312579693989799</v>
      </c>
      <c r="H210" s="919">
        <v>5.9459532917211302</v>
      </c>
      <c r="I210" s="919">
        <v>28.3987451692789</v>
      </c>
    </row>
    <row r="211" spans="1:9">
      <c r="A211" s="919" t="s">
        <v>188</v>
      </c>
      <c r="B211" s="919">
        <v>2020</v>
      </c>
      <c r="C211" s="919" t="s">
        <v>107</v>
      </c>
      <c r="D211" s="919">
        <v>14.004200769100001</v>
      </c>
      <c r="E211" s="919">
        <v>0</v>
      </c>
      <c r="F211" s="919">
        <v>-9.1922539200000006</v>
      </c>
      <c r="G211" s="919">
        <v>0.13359941613430801</v>
      </c>
      <c r="H211" s="919">
        <v>1.87095304617939</v>
      </c>
      <c r="I211" s="919">
        <v>12.133247722920601</v>
      </c>
    </row>
    <row r="212" spans="1:9">
      <c r="A212" s="919" t="s">
        <v>188</v>
      </c>
      <c r="B212" s="919">
        <v>2020</v>
      </c>
      <c r="C212" s="919" t="s">
        <v>106</v>
      </c>
      <c r="D212" s="919">
        <v>23.548247165900001</v>
      </c>
      <c r="E212" s="919">
        <v>0</v>
      </c>
      <c r="F212" s="919">
        <v>-17.564268622699998</v>
      </c>
      <c r="G212" s="919">
        <v>0.14352011072409401</v>
      </c>
      <c r="H212" s="919">
        <v>3.3796470406082899</v>
      </c>
      <c r="I212" s="919">
        <v>20.1686001252917</v>
      </c>
    </row>
    <row r="213" spans="1:9">
      <c r="A213" s="919" t="s">
        <v>188</v>
      </c>
      <c r="B213" s="919">
        <v>2020</v>
      </c>
      <c r="C213" s="919" t="s">
        <v>103</v>
      </c>
      <c r="D213" s="919">
        <v>33.422761986499999</v>
      </c>
      <c r="E213" s="919">
        <v>0</v>
      </c>
      <c r="F213" s="919">
        <v>-23.382186284500001</v>
      </c>
      <c r="G213" s="919">
        <v>0.17799222766928999</v>
      </c>
      <c r="H213" s="919">
        <v>5.9489918608376096</v>
      </c>
      <c r="I213" s="919">
        <v>27.473770125662401</v>
      </c>
    </row>
    <row r="214" spans="1:9">
      <c r="A214" s="919" t="s">
        <v>188</v>
      </c>
      <c r="B214" s="919">
        <v>2020</v>
      </c>
      <c r="C214" s="919" t="s">
        <v>99</v>
      </c>
      <c r="D214" s="919">
        <v>163.02981345789999</v>
      </c>
      <c r="E214" s="919">
        <v>0</v>
      </c>
      <c r="F214" s="919">
        <v>-114.33510408165</v>
      </c>
      <c r="G214" s="919">
        <v>0.116793413794648</v>
      </c>
      <c r="H214" s="919">
        <v>19.040808464052699</v>
      </c>
      <c r="I214" s="919">
        <v>143.989004993847</v>
      </c>
    </row>
    <row r="215" spans="1:9">
      <c r="A215" s="919" t="s">
        <v>188</v>
      </c>
      <c r="B215" s="919">
        <v>2020</v>
      </c>
      <c r="C215" s="919" t="s">
        <v>101</v>
      </c>
      <c r="D215" s="919">
        <v>23.250194047000001</v>
      </c>
      <c r="E215" s="919">
        <v>0</v>
      </c>
      <c r="F215" s="919">
        <v>-15.756675371</v>
      </c>
      <c r="G215" s="919">
        <v>0.254778857118036</v>
      </c>
      <c r="H215" s="919">
        <v>5.92365786706723</v>
      </c>
      <c r="I215" s="919">
        <v>17.326536179932798</v>
      </c>
    </row>
    <row r="216" spans="1:9">
      <c r="A216" s="919" t="s">
        <v>188</v>
      </c>
      <c r="B216" s="919">
        <v>2020</v>
      </c>
      <c r="C216" s="919" t="s">
        <v>98</v>
      </c>
      <c r="D216" s="919">
        <v>14.649683637000001</v>
      </c>
      <c r="E216" s="919">
        <v>0</v>
      </c>
      <c r="F216" s="919">
        <v>-10.010206473</v>
      </c>
      <c r="G216" s="919">
        <v>0.24447526912746401</v>
      </c>
      <c r="H216" s="919">
        <v>3.5814853497877799</v>
      </c>
      <c r="I216" s="919">
        <v>11.0681982872122</v>
      </c>
    </row>
    <row r="217" spans="1:9">
      <c r="A217" s="919" t="s">
        <v>188</v>
      </c>
      <c r="B217" s="919">
        <v>2020</v>
      </c>
      <c r="C217" s="919" t="s">
        <v>100</v>
      </c>
      <c r="D217" s="919">
        <v>26.3945409335</v>
      </c>
      <c r="E217" s="919">
        <v>0</v>
      </c>
      <c r="F217" s="919">
        <v>-19.051081547500001</v>
      </c>
      <c r="G217" s="919">
        <v>0.17249110178135399</v>
      </c>
      <c r="H217" s="919">
        <v>4.5528234466324502</v>
      </c>
      <c r="I217" s="919">
        <v>21.841717486867498</v>
      </c>
    </row>
    <row r="218" spans="1:9">
      <c r="A218" s="919" t="s">
        <v>188</v>
      </c>
      <c r="B218" s="919">
        <v>2021</v>
      </c>
      <c r="C218" s="919" t="s">
        <v>107</v>
      </c>
      <c r="D218" s="919">
        <v>16.4695848235</v>
      </c>
      <c r="E218" s="919">
        <v>0</v>
      </c>
      <c r="F218" s="919">
        <v>-10.636048544499999</v>
      </c>
      <c r="G218" s="919">
        <v>0.124792751229843</v>
      </c>
      <c r="H218" s="919">
        <v>2.05528480173784</v>
      </c>
      <c r="I218" s="919">
        <v>14.4143000217622</v>
      </c>
    </row>
    <row r="219" spans="1:9">
      <c r="A219" s="919" t="s">
        <v>188</v>
      </c>
      <c r="B219" s="919">
        <v>2021</v>
      </c>
      <c r="C219" s="919" t="s">
        <v>106</v>
      </c>
      <c r="D219" s="919">
        <v>26.274806135399999</v>
      </c>
      <c r="E219" s="919">
        <v>0</v>
      </c>
      <c r="F219" s="919">
        <v>-20.329976089599999</v>
      </c>
      <c r="G219" s="919">
        <v>0.14531114621819499</v>
      </c>
      <c r="H219" s="919">
        <v>3.8180221961958298</v>
      </c>
      <c r="I219" s="919">
        <v>22.4567839392042</v>
      </c>
    </row>
    <row r="220" spans="1:9">
      <c r="A220" s="919" t="s">
        <v>188</v>
      </c>
      <c r="B220" s="919">
        <v>2021</v>
      </c>
      <c r="C220" s="919" t="s">
        <v>103</v>
      </c>
      <c r="D220" s="919">
        <v>38.761562530299997</v>
      </c>
      <c r="E220" s="919">
        <v>0</v>
      </c>
      <c r="F220" s="919">
        <v>-28.759489510200002</v>
      </c>
      <c r="G220" s="919">
        <v>0.166264237511387</v>
      </c>
      <c r="H220" s="919">
        <v>6.4446616388502802</v>
      </c>
      <c r="I220" s="919">
        <v>32.316900891449698</v>
      </c>
    </row>
    <row r="221" spans="1:9">
      <c r="A221" s="919" t="s">
        <v>188</v>
      </c>
      <c r="B221" s="919">
        <v>2021</v>
      </c>
      <c r="C221" s="919" t="s">
        <v>99</v>
      </c>
      <c r="D221" s="919">
        <v>187.64849845892999</v>
      </c>
      <c r="E221" s="919">
        <v>0</v>
      </c>
      <c r="F221" s="919">
        <v>-136.05926291</v>
      </c>
      <c r="G221" s="919">
        <v>0.12097917479603799</v>
      </c>
      <c r="H221" s="919">
        <v>22.701560495277</v>
      </c>
      <c r="I221" s="919">
        <v>164.946937963653</v>
      </c>
    </row>
    <row r="222" spans="1:9">
      <c r="A222" s="919" t="s">
        <v>188</v>
      </c>
      <c r="B222" s="919">
        <v>2021</v>
      </c>
      <c r="C222" s="919" t="s">
        <v>101</v>
      </c>
      <c r="D222" s="919">
        <v>25.725602012</v>
      </c>
      <c r="E222" s="919">
        <v>0</v>
      </c>
      <c r="F222" s="919">
        <v>-17.910293412000001</v>
      </c>
      <c r="G222" s="919">
        <v>0.308430696717507</v>
      </c>
      <c r="H222" s="919">
        <v>7.9345653520384598</v>
      </c>
      <c r="I222" s="919">
        <v>17.791036659961499</v>
      </c>
    </row>
    <row r="223" spans="1:9">
      <c r="A223" s="919" t="s">
        <v>188</v>
      </c>
      <c r="B223" s="919">
        <v>2021</v>
      </c>
      <c r="C223" s="919" t="s">
        <v>98</v>
      </c>
      <c r="D223" s="919">
        <v>16.189200393</v>
      </c>
      <c r="E223" s="919">
        <v>0</v>
      </c>
      <c r="F223" s="919">
        <v>-11.319748389000001</v>
      </c>
      <c r="G223" s="919">
        <v>0.29491740469162597</v>
      </c>
      <c r="H223" s="919">
        <v>4.7744769639362197</v>
      </c>
      <c r="I223" s="919">
        <v>11.4147234290638</v>
      </c>
    </row>
    <row r="224" spans="1:9">
      <c r="A224" s="919" t="s">
        <v>188</v>
      </c>
      <c r="B224" s="919">
        <v>2021</v>
      </c>
      <c r="C224" s="919" t="s">
        <v>100</v>
      </c>
      <c r="D224" s="919">
        <v>29.037861188499999</v>
      </c>
      <c r="E224" s="919">
        <v>0</v>
      </c>
      <c r="F224" s="919">
        <v>-20.844253018500002</v>
      </c>
      <c r="G224" s="919">
        <v>0.199085120714101</v>
      </c>
      <c r="H224" s="919">
        <v>5.7810060999918296</v>
      </c>
      <c r="I224" s="919">
        <v>23.2568550885082</v>
      </c>
    </row>
    <row r="225" spans="1:9">
      <c r="A225" s="919" t="s">
        <v>188</v>
      </c>
      <c r="B225" s="919">
        <v>2022</v>
      </c>
      <c r="C225" s="919" t="s">
        <v>107</v>
      </c>
      <c r="D225" s="919">
        <v>23.055756381999998</v>
      </c>
      <c r="E225" s="919">
        <v>0</v>
      </c>
      <c r="F225" s="919">
        <v>-13.0806856805</v>
      </c>
      <c r="G225" s="919">
        <v>0.110359406602675</v>
      </c>
      <c r="H225" s="919">
        <v>2.5444195930933602</v>
      </c>
      <c r="I225" s="919">
        <v>20.511336788906601</v>
      </c>
    </row>
    <row r="226" spans="1:9">
      <c r="A226" s="919" t="s">
        <v>188</v>
      </c>
      <c r="B226" s="919">
        <v>2022</v>
      </c>
      <c r="C226" s="919" t="s">
        <v>106</v>
      </c>
      <c r="D226" s="919">
        <v>36.216158841999999</v>
      </c>
      <c r="E226" s="919">
        <v>0</v>
      </c>
      <c r="F226" s="919">
        <v>-22.262128409799999</v>
      </c>
      <c r="G226" s="919">
        <v>0.127920273543286</v>
      </c>
      <c r="H226" s="919">
        <v>4.6327809457557301</v>
      </c>
      <c r="I226" s="919">
        <v>31.583377896244301</v>
      </c>
    </row>
    <row r="227" spans="1:9">
      <c r="A227" s="919" t="s">
        <v>188</v>
      </c>
      <c r="B227" s="919">
        <v>2022</v>
      </c>
      <c r="C227" s="919" t="s">
        <v>103</v>
      </c>
      <c r="D227" s="919">
        <v>53.731260502700003</v>
      </c>
      <c r="E227" s="919">
        <v>0</v>
      </c>
      <c r="F227" s="919">
        <v>-32.628676583699999</v>
      </c>
      <c r="G227" s="919">
        <v>0.13655657910142499</v>
      </c>
      <c r="H227" s="919">
        <v>7.3373571250562497</v>
      </c>
      <c r="I227" s="919">
        <v>46.393903377643802</v>
      </c>
    </row>
    <row r="228" spans="1:9">
      <c r="A228" s="919" t="s">
        <v>188</v>
      </c>
      <c r="B228" s="919">
        <v>2022</v>
      </c>
      <c r="C228" s="919" t="s">
        <v>99</v>
      </c>
      <c r="D228" s="919">
        <v>253.1395521691</v>
      </c>
      <c r="E228" s="919">
        <v>0</v>
      </c>
      <c r="F228" s="919">
        <v>-150.56898782939001</v>
      </c>
      <c r="G228" s="919">
        <v>9.9035238375914297E-2</v>
      </c>
      <c r="H228" s="919">
        <v>25.069735891438999</v>
      </c>
      <c r="I228" s="919">
        <v>228.069816277661</v>
      </c>
    </row>
    <row r="229" spans="1:9">
      <c r="A229" s="919" t="s">
        <v>188</v>
      </c>
      <c r="B229" s="919">
        <v>2022</v>
      </c>
      <c r="C229" s="919" t="s">
        <v>101</v>
      </c>
      <c r="D229" s="919">
        <v>31.356310977</v>
      </c>
      <c r="E229" s="919">
        <v>0</v>
      </c>
      <c r="F229" s="919">
        <v>-20.634706928</v>
      </c>
      <c r="G229" s="919">
        <v>0.23084942559234001</v>
      </c>
      <c r="H229" s="919">
        <v>7.2385863777352402</v>
      </c>
      <c r="I229" s="919">
        <v>24.1177245992648</v>
      </c>
    </row>
    <row r="230" spans="1:9">
      <c r="A230" s="919" t="s">
        <v>188</v>
      </c>
      <c r="B230" s="919">
        <v>2022</v>
      </c>
      <c r="C230" s="919" t="s">
        <v>98</v>
      </c>
      <c r="D230" s="919">
        <v>19.858273325999999</v>
      </c>
      <c r="E230" s="919">
        <v>0</v>
      </c>
      <c r="F230" s="919">
        <v>-13.020417069000001</v>
      </c>
      <c r="G230" s="919">
        <v>0.22123839778653301</v>
      </c>
      <c r="H230" s="919">
        <v>4.3934125734512799</v>
      </c>
      <c r="I230" s="919">
        <v>15.464860752548701</v>
      </c>
    </row>
    <row r="231" spans="1:9">
      <c r="A231" s="919" t="s">
        <v>188</v>
      </c>
      <c r="B231" s="919">
        <v>2022</v>
      </c>
      <c r="C231" s="919" t="s">
        <v>100</v>
      </c>
      <c r="D231" s="919">
        <v>36.963882359999999</v>
      </c>
      <c r="E231" s="919">
        <v>0</v>
      </c>
      <c r="F231" s="919">
        <v>-23.736616922500001</v>
      </c>
      <c r="G231" s="919">
        <v>0.154465616145639</v>
      </c>
      <c r="H231" s="919">
        <v>5.7096488638723102</v>
      </c>
      <c r="I231" s="919">
        <v>31.2542334961277</v>
      </c>
    </row>
    <row r="232" spans="1:9">
      <c r="A232" s="919" t="s">
        <v>188</v>
      </c>
      <c r="B232" s="919">
        <v>2023</v>
      </c>
      <c r="C232" s="919" t="s">
        <v>107</v>
      </c>
      <c r="D232" s="919">
        <v>18.9813925676</v>
      </c>
      <c r="E232" s="919">
        <v>0</v>
      </c>
      <c r="F232" s="919">
        <v>-12.819170842</v>
      </c>
      <c r="G232" s="919">
        <v>0.12892503292864399</v>
      </c>
      <c r="H232" s="919">
        <v>2.4471766618093498</v>
      </c>
      <c r="I232" s="919">
        <v>16.534215905790699</v>
      </c>
    </row>
    <row r="233" spans="1:9">
      <c r="A233" s="919" t="s">
        <v>188</v>
      </c>
      <c r="B233" s="919">
        <v>2023</v>
      </c>
      <c r="C233" s="919" t="s">
        <v>106</v>
      </c>
      <c r="D233" s="919">
        <v>31.995816515800001</v>
      </c>
      <c r="E233" s="919">
        <v>0</v>
      </c>
      <c r="F233" s="919">
        <v>-130.2396363853</v>
      </c>
      <c r="G233" s="919">
        <v>0.13638161844142799</v>
      </c>
      <c r="H233" s="919">
        <v>4.3636412397797804</v>
      </c>
      <c r="I233" s="919">
        <v>27.632175276020199</v>
      </c>
    </row>
    <row r="234" spans="1:9">
      <c r="A234" s="919" t="s">
        <v>188</v>
      </c>
      <c r="B234" s="919">
        <v>2023</v>
      </c>
      <c r="C234" s="919" t="s">
        <v>103</v>
      </c>
      <c r="D234" s="919">
        <v>45.783159365099998</v>
      </c>
      <c r="E234" s="919">
        <v>0</v>
      </c>
      <c r="F234" s="919">
        <v>-32.381560002100002</v>
      </c>
      <c r="G234" s="919">
        <v>0.163799437069307</v>
      </c>
      <c r="H234" s="919">
        <v>7.4992557312577697</v>
      </c>
      <c r="I234" s="919">
        <v>38.283903633842201</v>
      </c>
    </row>
    <row r="235" spans="1:9">
      <c r="A235" s="919" t="s">
        <v>188</v>
      </c>
      <c r="B235" s="919">
        <v>2023</v>
      </c>
      <c r="C235" s="919" t="s">
        <v>99</v>
      </c>
      <c r="D235" s="919">
        <v>220.11038811482999</v>
      </c>
      <c r="E235" s="919">
        <v>0</v>
      </c>
      <c r="F235" s="919">
        <v>-163.32000014101999</v>
      </c>
      <c r="G235" s="919">
        <v>0.12432596599545</v>
      </c>
      <c r="H235" s="919">
        <v>27.365436628009601</v>
      </c>
      <c r="I235" s="919">
        <v>192.74495148682001</v>
      </c>
    </row>
    <row r="236" spans="1:9">
      <c r="A236" s="919" t="s">
        <v>188</v>
      </c>
      <c r="B236" s="919">
        <v>2023</v>
      </c>
      <c r="C236" s="919" t="s">
        <v>101</v>
      </c>
      <c r="D236" s="919">
        <v>29.654058293999999</v>
      </c>
      <c r="E236" s="919">
        <v>0</v>
      </c>
      <c r="F236" s="919">
        <v>-50.992487861000001</v>
      </c>
      <c r="G236" s="919">
        <v>0.35608707902297698</v>
      </c>
      <c r="H236" s="919">
        <v>10.559426999087499</v>
      </c>
      <c r="I236" s="919">
        <v>19.094631294912499</v>
      </c>
    </row>
    <row r="237" spans="1:9">
      <c r="A237" s="919" t="s">
        <v>188</v>
      </c>
      <c r="B237" s="919">
        <v>2023</v>
      </c>
      <c r="C237" s="919" t="s">
        <v>98</v>
      </c>
      <c r="D237" s="919">
        <v>18.744070005000001</v>
      </c>
      <c r="E237" s="919">
        <v>0</v>
      </c>
      <c r="F237" s="919">
        <v>-35.863357641</v>
      </c>
      <c r="G237" s="919">
        <v>0.339212881174973</v>
      </c>
      <c r="H237" s="919">
        <v>6.3582299913414397</v>
      </c>
      <c r="I237" s="919">
        <v>12.3858400136586</v>
      </c>
    </row>
    <row r="238" spans="1:9">
      <c r="A238" s="919" t="s">
        <v>188</v>
      </c>
      <c r="B238" s="919">
        <v>2023</v>
      </c>
      <c r="C238" s="919" t="s">
        <v>100</v>
      </c>
      <c r="D238" s="919">
        <v>34.477172860499998</v>
      </c>
      <c r="E238" s="919">
        <v>0</v>
      </c>
      <c r="F238" s="919">
        <v>-96.6587991655</v>
      </c>
      <c r="G238" s="919">
        <v>0.215591547140222</v>
      </c>
      <c r="H238" s="919">
        <v>7.4329870380160701</v>
      </c>
      <c r="I238" s="919">
        <v>27.0441858224839</v>
      </c>
    </row>
  </sheetData>
  <mergeCells count="3">
    <mergeCell ref="A145:XFD146"/>
    <mergeCell ref="A109:XFD110"/>
    <mergeCell ref="A1:XFD2"/>
  </mergeCells>
  <phoneticPr fontId="22" type="noConversion"/>
  <conditionalFormatting sqref="E147">
    <cfRule type="cellIs" dxfId="140" priority="1" operator="greaterThan">
      <formula>0</formula>
    </cfRule>
    <cfRule type="cellIs" dxfId="139" priority="2" operator="equal">
      <formula>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3EEBD-FF8C-4BD2-A1BB-F38347D62643}">
  <sheetPr>
    <tabColor theme="8"/>
  </sheetPr>
  <dimension ref="A1:AO505"/>
  <sheetViews>
    <sheetView topLeftCell="A354" zoomScale="80" zoomScaleNormal="80" workbookViewId="0">
      <selection activeCell="A363" sqref="A363"/>
    </sheetView>
  </sheetViews>
  <sheetFormatPr defaultRowHeight="15"/>
  <cols>
    <col min="1" max="1" width="36.85546875" customWidth="1"/>
    <col min="2" max="2" width="34.5703125" customWidth="1"/>
    <col min="3" max="3" width="21.85546875" customWidth="1"/>
    <col min="5" max="5" width="10.85546875" customWidth="1"/>
    <col min="7" max="7" width="17.5703125" customWidth="1"/>
    <col min="8" max="8" width="14.28515625" customWidth="1"/>
    <col min="9" max="9" width="9.85546875" customWidth="1"/>
    <col min="10" max="10" width="8.42578125" customWidth="1"/>
    <col min="11" max="11" width="9.28515625" customWidth="1"/>
    <col min="12" max="12" width="9" customWidth="1"/>
    <col min="13" max="13" width="8.85546875" customWidth="1"/>
    <col min="14" max="14" width="8.28515625" customWidth="1"/>
    <col min="15" max="15" width="8.85546875" customWidth="1"/>
    <col min="16" max="16" width="27.7109375" customWidth="1"/>
    <col min="17" max="17" width="15.140625" customWidth="1"/>
    <col min="22" max="22" width="9.85546875" bestFit="1" customWidth="1"/>
    <col min="23" max="23" width="10.7109375" bestFit="1" customWidth="1"/>
    <col min="24" max="24" width="12.5703125" bestFit="1" customWidth="1"/>
    <col min="26" max="26" width="9.5703125" customWidth="1"/>
    <col min="32" max="32" width="34.140625" customWidth="1"/>
    <col min="33" max="33" width="21.42578125" customWidth="1"/>
    <col min="34" max="34" width="110" customWidth="1"/>
    <col min="35" max="35" width="8" customWidth="1"/>
    <col min="36" max="36" width="9.140625" hidden="1" customWidth="1"/>
    <col min="37" max="37" width="10.85546875" hidden="1" customWidth="1"/>
    <col min="38" max="41" width="9.140625" hidden="1" customWidth="1"/>
    <col min="44" max="44" width="80.140625" bestFit="1" customWidth="1"/>
  </cols>
  <sheetData>
    <row r="1" spans="1:32" s="663" customFormat="1" ht="15" customHeight="1"/>
    <row r="2" spans="1:32" s="663" customFormat="1" ht="26.25">
      <c r="A2" s="809" t="s">
        <v>635</v>
      </c>
    </row>
    <row r="3" spans="1:32" s="661" customFormat="1" ht="15" customHeight="1">
      <c r="A3" s="959" t="s">
        <v>188</v>
      </c>
      <c r="B3" s="959"/>
      <c r="C3" s="959"/>
      <c r="D3" s="959"/>
      <c r="E3" s="959"/>
      <c r="F3" s="959"/>
      <c r="G3" s="959"/>
      <c r="H3" s="959"/>
      <c r="I3" s="959"/>
      <c r="J3" s="959"/>
      <c r="K3" s="959"/>
      <c r="L3" s="959"/>
      <c r="M3" s="959"/>
      <c r="N3" s="959"/>
      <c r="O3" s="959"/>
      <c r="P3" s="959"/>
      <c r="Q3" s="960" t="s">
        <v>190</v>
      </c>
      <c r="R3" s="960"/>
      <c r="S3" s="960"/>
      <c r="T3" s="960"/>
      <c r="U3" s="960"/>
      <c r="V3" s="960"/>
      <c r="W3" s="960"/>
      <c r="X3" s="960"/>
      <c r="Y3" s="960"/>
      <c r="Z3" s="960"/>
      <c r="AA3" s="960"/>
      <c r="AB3" s="960"/>
      <c r="AC3" s="960"/>
      <c r="AD3" s="960"/>
      <c r="AE3" s="960"/>
      <c r="AF3" s="960"/>
    </row>
    <row r="4" spans="1:32" ht="15" customHeight="1" thickBot="1">
      <c r="A4" s="959"/>
      <c r="B4" s="959"/>
      <c r="C4" s="959"/>
      <c r="D4" s="959"/>
      <c r="E4" s="959"/>
      <c r="F4" s="959"/>
      <c r="G4" s="959"/>
      <c r="H4" s="959"/>
      <c r="I4" s="959"/>
      <c r="J4" s="959"/>
      <c r="K4" s="959"/>
      <c r="L4" s="959"/>
      <c r="M4" s="959"/>
      <c r="N4" s="959"/>
      <c r="O4" s="959"/>
      <c r="P4" s="959"/>
      <c r="Q4" s="960"/>
      <c r="R4" s="960"/>
      <c r="S4" s="960"/>
      <c r="T4" s="960"/>
      <c r="U4" s="960"/>
      <c r="V4" s="960"/>
      <c r="W4" s="960"/>
      <c r="X4" s="960"/>
      <c r="Y4" s="960"/>
      <c r="Z4" s="960"/>
      <c r="AA4" s="960"/>
      <c r="AB4" s="960"/>
      <c r="AC4" s="960"/>
      <c r="AD4" s="960"/>
      <c r="AE4" s="960"/>
      <c r="AF4" s="960"/>
    </row>
    <row r="5" spans="1:32" ht="15.75" thickBot="1">
      <c r="A5" s="107" t="s">
        <v>109</v>
      </c>
      <c r="B5" s="664" t="s">
        <v>636</v>
      </c>
      <c r="C5" s="108" t="s">
        <v>110</v>
      </c>
      <c r="D5" s="664" t="s">
        <v>637</v>
      </c>
      <c r="E5" s="664" t="s">
        <v>258</v>
      </c>
      <c r="F5" s="664" t="s">
        <v>638</v>
      </c>
      <c r="G5" s="664" t="s">
        <v>639</v>
      </c>
      <c r="H5" s="664" t="s">
        <v>640</v>
      </c>
      <c r="I5" s="108" t="s">
        <v>112</v>
      </c>
      <c r="J5" s="425" t="s">
        <v>113</v>
      </c>
      <c r="K5" s="426" t="s">
        <v>69</v>
      </c>
      <c r="L5" s="426" t="s">
        <v>75</v>
      </c>
      <c r="M5" s="426" t="s">
        <v>81</v>
      </c>
      <c r="N5" s="427" t="s">
        <v>87</v>
      </c>
      <c r="O5" s="428" t="s">
        <v>114</v>
      </c>
      <c r="P5" s="429" t="s">
        <v>115</v>
      </c>
      <c r="Q5" s="107" t="s">
        <v>109</v>
      </c>
      <c r="R5" s="662" t="s">
        <v>636</v>
      </c>
      <c r="S5" s="108" t="s">
        <v>110</v>
      </c>
      <c r="T5" s="662" t="s">
        <v>637</v>
      </c>
      <c r="U5" s="662" t="s">
        <v>258</v>
      </c>
      <c r="V5" s="662" t="s">
        <v>638</v>
      </c>
      <c r="W5" s="662" t="s">
        <v>639</v>
      </c>
      <c r="X5" s="662" t="s">
        <v>640</v>
      </c>
      <c r="Y5" s="110" t="s">
        <v>112</v>
      </c>
      <c r="Z5" s="45" t="s">
        <v>113</v>
      </c>
      <c r="AA5" s="46" t="s">
        <v>69</v>
      </c>
      <c r="AB5" s="46" t="s">
        <v>75</v>
      </c>
      <c r="AC5" s="46" t="s">
        <v>81</v>
      </c>
      <c r="AD5" s="47" t="s">
        <v>87</v>
      </c>
      <c r="AE5" s="50" t="s">
        <v>114</v>
      </c>
      <c r="AF5" s="49" t="s">
        <v>132</v>
      </c>
    </row>
    <row r="6" spans="1:32">
      <c r="A6" s="227">
        <v>1995</v>
      </c>
      <c r="B6" s="227">
        <v>1435</v>
      </c>
      <c r="C6" s="227" t="s">
        <v>93</v>
      </c>
      <c r="D6" s="227">
        <v>415</v>
      </c>
      <c r="E6" s="227">
        <v>1675</v>
      </c>
      <c r="F6" s="227">
        <v>175</v>
      </c>
      <c r="G6" s="227">
        <v>0.90540540540540537</v>
      </c>
      <c r="H6" s="227">
        <v>9.4594594594594628E-2</v>
      </c>
      <c r="I6" s="312" t="s">
        <v>119</v>
      </c>
      <c r="J6" s="29">
        <v>1</v>
      </c>
      <c r="K6" s="9">
        <v>1</v>
      </c>
      <c r="L6" s="9">
        <v>1</v>
      </c>
      <c r="M6" s="9">
        <v>2</v>
      </c>
      <c r="N6" s="43">
        <v>2</v>
      </c>
      <c r="O6" s="265">
        <f t="shared" ref="O6" si="0">IF( OR( ISBLANK(J6),ISBLANK(K6), ISBLANK(L6), ISBLANK(M6), ISBLANK(N6) ), "", 1.5*SQRT(   EXP(2.21*(J6-1)) + EXP(2.21*(K6-1)) + EXP(2.21*(L6-1)) + EXP(2.21*(M6-1)) + EXP(2.21*N6)   )/100*2.45 )</f>
        <v>0.35859414261160716</v>
      </c>
      <c r="P6" s="164" t="s">
        <v>120</v>
      </c>
      <c r="Q6" s="227">
        <v>2003</v>
      </c>
      <c r="R6" s="227">
        <v>12268</v>
      </c>
      <c r="S6" s="227" t="s">
        <v>93</v>
      </c>
      <c r="T6" s="227">
        <v>3879</v>
      </c>
      <c r="U6" s="227">
        <v>2517</v>
      </c>
      <c r="V6" s="227">
        <v>13630</v>
      </c>
      <c r="W6" s="227">
        <v>0.15588034929089001</v>
      </c>
      <c r="X6" s="227">
        <v>0.84411965070910999</v>
      </c>
      <c r="Y6" s="100" t="s">
        <v>135</v>
      </c>
      <c r="Z6" s="29">
        <v>1</v>
      </c>
      <c r="AA6" s="9">
        <v>1</v>
      </c>
      <c r="AB6" s="9">
        <v>1</v>
      </c>
      <c r="AC6" s="9">
        <v>2</v>
      </c>
      <c r="AD6" s="43">
        <v>2</v>
      </c>
      <c r="AE6" s="55">
        <v>0.35859414261160716</v>
      </c>
      <c r="AF6" s="52" t="s">
        <v>120</v>
      </c>
    </row>
    <row r="7" spans="1:32">
      <c r="A7" s="227">
        <v>1995</v>
      </c>
      <c r="B7" s="227">
        <v>290</v>
      </c>
      <c r="C7" s="227" t="s">
        <v>94</v>
      </c>
      <c r="D7" s="227">
        <v>130</v>
      </c>
      <c r="E7" s="227">
        <v>311</v>
      </c>
      <c r="F7" s="227">
        <v>109</v>
      </c>
      <c r="G7" s="227">
        <v>0.74047619047619051</v>
      </c>
      <c r="H7" s="227">
        <v>0.25952380952380949</v>
      </c>
      <c r="I7" s="312" t="s">
        <v>119</v>
      </c>
      <c r="J7" s="29">
        <v>1</v>
      </c>
      <c r="K7" s="9">
        <v>1</v>
      </c>
      <c r="L7" s="9">
        <v>1</v>
      </c>
      <c r="M7" s="9">
        <v>2</v>
      </c>
      <c r="N7" s="43">
        <v>2</v>
      </c>
      <c r="O7" s="265">
        <f t="shared" ref="O7:O70" si="1">IF( OR( ISBLANK(J7),ISBLANK(K7), ISBLANK(L7), ISBLANK(M7), ISBLANK(N7) ), "", 1.5*SQRT(   EXP(2.21*(J7-1)) + EXP(2.21*(K7-1)) + EXP(2.21*(L7-1)) + EXP(2.21*(M7-1)) + EXP(2.21*N7)   )/100*2.45 )</f>
        <v>0.35859414261160716</v>
      </c>
      <c r="P7" s="164" t="s">
        <v>120</v>
      </c>
      <c r="Q7" s="227">
        <v>2003</v>
      </c>
      <c r="R7" s="227">
        <v>5967</v>
      </c>
      <c r="S7" s="227" t="s">
        <v>94</v>
      </c>
      <c r="T7" s="227">
        <v>1318</v>
      </c>
      <c r="U7" s="227">
        <v>1137</v>
      </c>
      <c r="V7" s="227">
        <v>6148</v>
      </c>
      <c r="W7" s="227">
        <v>0.1560741249142073</v>
      </c>
      <c r="X7" s="227">
        <v>0.84392587508579275</v>
      </c>
      <c r="Y7" s="100" t="s">
        <v>135</v>
      </c>
      <c r="Z7" s="29">
        <v>1</v>
      </c>
      <c r="AA7" s="9">
        <v>1</v>
      </c>
      <c r="AB7" s="9">
        <v>1</v>
      </c>
      <c r="AC7" s="9">
        <v>2</v>
      </c>
      <c r="AD7" s="43">
        <v>2</v>
      </c>
      <c r="AE7" s="55">
        <v>0.35859414261160716</v>
      </c>
      <c r="AF7" s="52" t="s">
        <v>120</v>
      </c>
    </row>
    <row r="8" spans="1:32">
      <c r="A8" s="227">
        <v>1995</v>
      </c>
      <c r="B8" s="227">
        <v>852</v>
      </c>
      <c r="C8" s="227" t="s">
        <v>95</v>
      </c>
      <c r="D8" s="227">
        <v>145</v>
      </c>
      <c r="E8" s="227">
        <v>511</v>
      </c>
      <c r="F8" s="227">
        <v>486</v>
      </c>
      <c r="G8" s="227">
        <v>0.51253761283851551</v>
      </c>
      <c r="H8" s="227">
        <v>0.48746238716148449</v>
      </c>
      <c r="I8" s="312" t="s">
        <v>119</v>
      </c>
      <c r="J8" s="29">
        <v>1</v>
      </c>
      <c r="K8" s="9">
        <v>1</v>
      </c>
      <c r="L8" s="9">
        <v>1</v>
      </c>
      <c r="M8" s="9">
        <v>2</v>
      </c>
      <c r="N8" s="43">
        <v>2</v>
      </c>
      <c r="O8" s="265">
        <f t="shared" si="1"/>
        <v>0.35859414261160716</v>
      </c>
      <c r="P8" s="164" t="s">
        <v>120</v>
      </c>
      <c r="Q8" s="227">
        <v>2003</v>
      </c>
      <c r="R8" s="227">
        <v>8573</v>
      </c>
      <c r="S8" s="227" t="s">
        <v>95</v>
      </c>
      <c r="T8" s="227">
        <v>900</v>
      </c>
      <c r="U8" s="227">
        <v>1064</v>
      </c>
      <c r="V8" s="227">
        <v>8409</v>
      </c>
      <c r="W8" s="227">
        <v>0.1123192230549984</v>
      </c>
      <c r="X8" s="227">
        <v>0.88768077694500158</v>
      </c>
      <c r="Y8" s="100" t="s">
        <v>135</v>
      </c>
      <c r="Z8" s="29">
        <v>1</v>
      </c>
      <c r="AA8" s="9">
        <v>1</v>
      </c>
      <c r="AB8" s="9">
        <v>1</v>
      </c>
      <c r="AC8" s="9">
        <v>2</v>
      </c>
      <c r="AD8" s="43">
        <v>2</v>
      </c>
      <c r="AE8" s="55">
        <v>0.35859414261160716</v>
      </c>
      <c r="AF8" s="52" t="s">
        <v>120</v>
      </c>
    </row>
    <row r="9" spans="1:32">
      <c r="A9" s="227">
        <v>1995</v>
      </c>
      <c r="B9" s="227">
        <v>4</v>
      </c>
      <c r="C9" s="227" t="s">
        <v>96</v>
      </c>
      <c r="D9" s="227">
        <v>103</v>
      </c>
      <c r="E9" s="227">
        <v>81</v>
      </c>
      <c r="F9" s="227">
        <v>26</v>
      </c>
      <c r="G9" s="227">
        <v>0.7570093457943925</v>
      </c>
      <c r="H9" s="227">
        <v>0.2429906542056075</v>
      </c>
      <c r="I9" s="312" t="s">
        <v>119</v>
      </c>
      <c r="J9" s="29">
        <v>1</v>
      </c>
      <c r="K9" s="9">
        <v>1</v>
      </c>
      <c r="L9" s="9">
        <v>1</v>
      </c>
      <c r="M9" s="9">
        <v>2</v>
      </c>
      <c r="N9" s="43">
        <v>2</v>
      </c>
      <c r="O9" s="265">
        <f t="shared" si="1"/>
        <v>0.35859414261160716</v>
      </c>
      <c r="P9" s="164" t="s">
        <v>120</v>
      </c>
      <c r="Q9" s="227">
        <v>2003</v>
      </c>
      <c r="R9" s="227">
        <v>1922</v>
      </c>
      <c r="S9" s="227" t="s">
        <v>96</v>
      </c>
      <c r="T9" s="227">
        <v>92</v>
      </c>
      <c r="U9" s="227">
        <v>266</v>
      </c>
      <c r="V9" s="227">
        <v>1748</v>
      </c>
      <c r="W9" s="227">
        <v>0.13207547169811321</v>
      </c>
      <c r="X9" s="227">
        <v>0.86792452830188682</v>
      </c>
      <c r="Y9" s="100" t="s">
        <v>135</v>
      </c>
      <c r="Z9" s="29">
        <v>1</v>
      </c>
      <c r="AA9" s="9">
        <v>1</v>
      </c>
      <c r="AB9" s="9">
        <v>1</v>
      </c>
      <c r="AC9" s="9">
        <v>2</v>
      </c>
      <c r="AD9" s="43">
        <v>2</v>
      </c>
      <c r="AE9" s="55">
        <v>0.35859414261160716</v>
      </c>
      <c r="AF9" s="52" t="s">
        <v>120</v>
      </c>
    </row>
    <row r="10" spans="1:32">
      <c r="A10" s="227">
        <v>1995</v>
      </c>
      <c r="B10" s="227">
        <v>191</v>
      </c>
      <c r="C10" s="227" t="s">
        <v>97</v>
      </c>
      <c r="D10" s="227">
        <v>29</v>
      </c>
      <c r="E10" s="227">
        <v>69</v>
      </c>
      <c r="F10" s="227">
        <v>151</v>
      </c>
      <c r="G10" s="227">
        <v>0.31363636363636371</v>
      </c>
      <c r="H10" s="227">
        <v>0.68636363636363629</v>
      </c>
      <c r="I10" s="312" t="s">
        <v>119</v>
      </c>
      <c r="J10" s="29">
        <v>1</v>
      </c>
      <c r="K10" s="9">
        <v>1</v>
      </c>
      <c r="L10" s="9">
        <v>1</v>
      </c>
      <c r="M10" s="9">
        <v>2</v>
      </c>
      <c r="N10" s="43">
        <v>2</v>
      </c>
      <c r="O10" s="265">
        <f t="shared" si="1"/>
        <v>0.35859414261160716</v>
      </c>
      <c r="P10" s="164" t="s">
        <v>120</v>
      </c>
      <c r="Q10" s="227">
        <v>2003</v>
      </c>
      <c r="R10" s="227">
        <v>1482</v>
      </c>
      <c r="S10" s="227" t="s">
        <v>97</v>
      </c>
      <c r="T10" s="227">
        <v>40</v>
      </c>
      <c r="U10" s="227">
        <v>162</v>
      </c>
      <c r="V10" s="227">
        <v>1360</v>
      </c>
      <c r="W10" s="227">
        <v>0.1064388961892247</v>
      </c>
      <c r="X10" s="227">
        <v>0.89356110381077525</v>
      </c>
      <c r="Y10" s="100" t="s">
        <v>135</v>
      </c>
      <c r="Z10" s="29">
        <v>1</v>
      </c>
      <c r="AA10" s="9">
        <v>1</v>
      </c>
      <c r="AB10" s="9">
        <v>1</v>
      </c>
      <c r="AC10" s="9">
        <v>2</v>
      </c>
      <c r="AD10" s="43">
        <v>2</v>
      </c>
      <c r="AE10" s="55">
        <v>0.35859414261160716</v>
      </c>
      <c r="AF10" s="52" t="s">
        <v>120</v>
      </c>
    </row>
    <row r="11" spans="1:32">
      <c r="A11" s="227">
        <v>1995</v>
      </c>
      <c r="B11" s="227">
        <v>610</v>
      </c>
      <c r="C11" s="227" t="s">
        <v>98</v>
      </c>
      <c r="D11" s="227">
        <v>213</v>
      </c>
      <c r="E11" s="227">
        <v>389</v>
      </c>
      <c r="F11" s="227">
        <v>434</v>
      </c>
      <c r="G11" s="227">
        <v>0.47266099635479952</v>
      </c>
      <c r="H11" s="227">
        <v>0.52733900364520048</v>
      </c>
      <c r="I11" s="312" t="s">
        <v>119</v>
      </c>
      <c r="J11" s="29">
        <v>1</v>
      </c>
      <c r="K11" s="9">
        <v>1</v>
      </c>
      <c r="L11" s="9">
        <v>1</v>
      </c>
      <c r="M11" s="9">
        <v>2</v>
      </c>
      <c r="N11" s="43">
        <v>2</v>
      </c>
      <c r="O11" s="265">
        <f t="shared" si="1"/>
        <v>0.35859414261160716</v>
      </c>
      <c r="P11" s="164" t="s">
        <v>120</v>
      </c>
      <c r="Q11" s="227">
        <v>2003</v>
      </c>
      <c r="R11" s="227">
        <v>6604</v>
      </c>
      <c r="S11" s="227" t="s">
        <v>98</v>
      </c>
      <c r="T11" s="227">
        <v>323</v>
      </c>
      <c r="U11" s="227">
        <v>1354</v>
      </c>
      <c r="V11" s="227">
        <v>5573</v>
      </c>
      <c r="W11" s="227">
        <v>0.19546701313700021</v>
      </c>
      <c r="X11" s="227">
        <v>0.80453298686299979</v>
      </c>
      <c r="Y11" s="100" t="s">
        <v>135</v>
      </c>
      <c r="Z11" s="29">
        <v>1</v>
      </c>
      <c r="AA11" s="9">
        <v>1</v>
      </c>
      <c r="AB11" s="9">
        <v>1</v>
      </c>
      <c r="AC11" s="9">
        <v>2</v>
      </c>
      <c r="AD11" s="43">
        <v>2</v>
      </c>
      <c r="AE11" s="55">
        <v>0.35859414261160716</v>
      </c>
      <c r="AF11" s="52" t="s">
        <v>120</v>
      </c>
    </row>
    <row r="12" spans="1:32">
      <c r="A12" s="227">
        <v>1995</v>
      </c>
      <c r="B12" s="227">
        <v>0</v>
      </c>
      <c r="C12" s="227" t="s">
        <v>99</v>
      </c>
      <c r="D12" s="227">
        <v>0</v>
      </c>
      <c r="E12" s="227">
        <v>0</v>
      </c>
      <c r="F12" s="227">
        <v>0</v>
      </c>
      <c r="G12" s="227"/>
      <c r="H12" s="227"/>
      <c r="I12" s="312" t="s">
        <v>119</v>
      </c>
      <c r="J12" s="29">
        <v>1</v>
      </c>
      <c r="K12" s="9">
        <v>1</v>
      </c>
      <c r="L12" s="9">
        <v>1</v>
      </c>
      <c r="M12" s="9">
        <v>2</v>
      </c>
      <c r="N12" s="43">
        <v>2</v>
      </c>
      <c r="O12" s="265">
        <f t="shared" si="1"/>
        <v>0.35859414261160716</v>
      </c>
      <c r="P12" s="164" t="s">
        <v>120</v>
      </c>
      <c r="Q12" s="227">
        <v>2003</v>
      </c>
      <c r="R12" s="227">
        <v>2697</v>
      </c>
      <c r="S12" s="227" t="s">
        <v>99</v>
      </c>
      <c r="T12" s="227">
        <v>863</v>
      </c>
      <c r="U12" s="227">
        <v>297</v>
      </c>
      <c r="V12" s="227">
        <v>3263</v>
      </c>
      <c r="W12" s="227">
        <v>8.3426966292134835E-2</v>
      </c>
      <c r="X12" s="227">
        <v>0.91657303370786514</v>
      </c>
      <c r="Y12" s="100" t="s">
        <v>135</v>
      </c>
      <c r="Z12" s="29">
        <v>1</v>
      </c>
      <c r="AA12" s="9">
        <v>1</v>
      </c>
      <c r="AB12" s="9">
        <v>1</v>
      </c>
      <c r="AC12" s="9">
        <v>2</v>
      </c>
      <c r="AD12" s="43">
        <v>2</v>
      </c>
      <c r="AE12" s="55">
        <v>0.35859414261160716</v>
      </c>
      <c r="AF12" s="52" t="s">
        <v>120</v>
      </c>
    </row>
    <row r="13" spans="1:32">
      <c r="A13" s="227">
        <v>1995</v>
      </c>
      <c r="B13" s="227">
        <v>144</v>
      </c>
      <c r="C13" s="227" t="s">
        <v>102</v>
      </c>
      <c r="D13" s="227">
        <v>17</v>
      </c>
      <c r="E13" s="227">
        <v>161</v>
      </c>
      <c r="F13" s="227">
        <v>0</v>
      </c>
      <c r="G13" s="227">
        <v>1</v>
      </c>
      <c r="H13" s="227">
        <v>0</v>
      </c>
      <c r="I13" s="312" t="s">
        <v>119</v>
      </c>
      <c r="J13" s="29">
        <v>1</v>
      </c>
      <c r="K13" s="9">
        <v>1</v>
      </c>
      <c r="L13" s="9">
        <v>1</v>
      </c>
      <c r="M13" s="9">
        <v>2</v>
      </c>
      <c r="N13" s="43">
        <v>2</v>
      </c>
      <c r="O13" s="265">
        <f t="shared" si="1"/>
        <v>0.35859414261160716</v>
      </c>
      <c r="P13" s="164" t="s">
        <v>120</v>
      </c>
      <c r="Q13" s="227">
        <v>2003</v>
      </c>
      <c r="R13" s="227">
        <v>613</v>
      </c>
      <c r="S13" s="227" t="s">
        <v>102</v>
      </c>
      <c r="T13" s="227">
        <v>157</v>
      </c>
      <c r="U13" s="227">
        <v>122</v>
      </c>
      <c r="V13" s="227">
        <v>648</v>
      </c>
      <c r="W13" s="227">
        <v>0.15844155844155841</v>
      </c>
      <c r="X13" s="227">
        <v>0.84155844155844162</v>
      </c>
      <c r="Y13" s="100" t="s">
        <v>135</v>
      </c>
      <c r="Z13" s="29">
        <v>1</v>
      </c>
      <c r="AA13" s="9">
        <v>1</v>
      </c>
      <c r="AB13" s="9">
        <v>1</v>
      </c>
      <c r="AC13" s="9">
        <v>2</v>
      </c>
      <c r="AD13" s="43">
        <v>2</v>
      </c>
      <c r="AE13" s="55">
        <v>0.35859414261160716</v>
      </c>
      <c r="AF13" s="52" t="s">
        <v>120</v>
      </c>
    </row>
    <row r="14" spans="1:32">
      <c r="A14" s="227">
        <v>1995</v>
      </c>
      <c r="B14" s="227">
        <v>337</v>
      </c>
      <c r="C14" s="227" t="s">
        <v>104</v>
      </c>
      <c r="D14" s="227">
        <v>38</v>
      </c>
      <c r="E14" s="227">
        <v>110</v>
      </c>
      <c r="F14" s="227">
        <v>265</v>
      </c>
      <c r="G14" s="227">
        <v>0.29333333333333328</v>
      </c>
      <c r="H14" s="227">
        <v>0.70666666666666667</v>
      </c>
      <c r="I14" s="312" t="s">
        <v>119</v>
      </c>
      <c r="J14" s="29">
        <v>1</v>
      </c>
      <c r="K14" s="9">
        <v>1</v>
      </c>
      <c r="L14" s="9">
        <v>1</v>
      </c>
      <c r="M14" s="9">
        <v>2</v>
      </c>
      <c r="N14" s="43">
        <v>2</v>
      </c>
      <c r="O14" s="265">
        <f t="shared" si="1"/>
        <v>0.35859414261160716</v>
      </c>
      <c r="P14" s="164" t="s">
        <v>120</v>
      </c>
      <c r="Q14" s="227">
        <v>2003</v>
      </c>
      <c r="R14" s="227">
        <v>1330</v>
      </c>
      <c r="S14" s="227" t="s">
        <v>104</v>
      </c>
      <c r="T14" s="227">
        <v>85</v>
      </c>
      <c r="U14" s="227">
        <v>130</v>
      </c>
      <c r="V14" s="227">
        <v>1285</v>
      </c>
      <c r="W14" s="227">
        <v>9.187279151943463E-2</v>
      </c>
      <c r="X14" s="227">
        <v>0.90812720848056538</v>
      </c>
      <c r="Y14" s="100" t="s">
        <v>135</v>
      </c>
      <c r="Z14" s="29">
        <v>1</v>
      </c>
      <c r="AA14" s="9">
        <v>1</v>
      </c>
      <c r="AB14" s="9">
        <v>1</v>
      </c>
      <c r="AC14" s="9">
        <v>2</v>
      </c>
      <c r="AD14" s="43">
        <v>2</v>
      </c>
      <c r="AE14" s="55">
        <v>0.35859414261160716</v>
      </c>
      <c r="AF14" s="52" t="s">
        <v>120</v>
      </c>
    </row>
    <row r="15" spans="1:32">
      <c r="A15" s="227">
        <v>1995</v>
      </c>
      <c r="B15" s="227">
        <v>233</v>
      </c>
      <c r="C15" s="227" t="s">
        <v>105</v>
      </c>
      <c r="D15" s="227">
        <v>84</v>
      </c>
      <c r="E15" s="227">
        <v>116</v>
      </c>
      <c r="F15" s="227">
        <v>201</v>
      </c>
      <c r="G15" s="227">
        <v>0.36593059936908517</v>
      </c>
      <c r="H15" s="227">
        <v>0.63406940063091488</v>
      </c>
      <c r="I15" s="312" t="s">
        <v>119</v>
      </c>
      <c r="J15" s="29">
        <v>1</v>
      </c>
      <c r="K15" s="9">
        <v>1</v>
      </c>
      <c r="L15" s="9">
        <v>1</v>
      </c>
      <c r="M15" s="9">
        <v>2</v>
      </c>
      <c r="N15" s="43">
        <v>2</v>
      </c>
      <c r="O15" s="265">
        <f t="shared" si="1"/>
        <v>0.35859414261160716</v>
      </c>
      <c r="P15" s="164" t="s">
        <v>120</v>
      </c>
      <c r="Q15" s="227">
        <v>2003</v>
      </c>
      <c r="R15" s="227">
        <v>3121</v>
      </c>
      <c r="S15" s="227" t="s">
        <v>105</v>
      </c>
      <c r="T15" s="227">
        <v>316</v>
      </c>
      <c r="U15" s="227">
        <v>614</v>
      </c>
      <c r="V15" s="227">
        <v>2823</v>
      </c>
      <c r="W15" s="227">
        <v>0.17864416642420719</v>
      </c>
      <c r="X15" s="227">
        <v>0.82135583357579289</v>
      </c>
      <c r="Y15" s="100" t="s">
        <v>135</v>
      </c>
      <c r="Z15" s="29">
        <v>1</v>
      </c>
      <c r="AA15" s="9">
        <v>1</v>
      </c>
      <c r="AB15" s="9">
        <v>1</v>
      </c>
      <c r="AC15" s="9">
        <v>2</v>
      </c>
      <c r="AD15" s="43">
        <v>2</v>
      </c>
      <c r="AE15" s="55">
        <v>0.35859414261160716</v>
      </c>
      <c r="AF15" s="52" t="s">
        <v>120</v>
      </c>
    </row>
    <row r="16" spans="1:32">
      <c r="A16" s="227">
        <v>1995</v>
      </c>
      <c r="B16" s="227">
        <v>200</v>
      </c>
      <c r="C16" s="227" t="s">
        <v>103</v>
      </c>
      <c r="D16" s="227">
        <v>142</v>
      </c>
      <c r="E16" s="227">
        <v>187</v>
      </c>
      <c r="F16" s="227">
        <v>155</v>
      </c>
      <c r="G16" s="227">
        <v>0.54678362573099415</v>
      </c>
      <c r="H16" s="227">
        <v>0.45321637426900591</v>
      </c>
      <c r="I16" s="312" t="s">
        <v>119</v>
      </c>
      <c r="J16" s="29">
        <v>1</v>
      </c>
      <c r="K16" s="9">
        <v>1</v>
      </c>
      <c r="L16" s="9">
        <v>1</v>
      </c>
      <c r="M16" s="9">
        <v>2</v>
      </c>
      <c r="N16" s="43">
        <v>2</v>
      </c>
      <c r="O16" s="265">
        <f t="shared" si="1"/>
        <v>0.35859414261160716</v>
      </c>
      <c r="P16" s="164" t="s">
        <v>120</v>
      </c>
      <c r="Q16" s="227">
        <v>2003</v>
      </c>
      <c r="R16" s="227">
        <v>2162</v>
      </c>
      <c r="S16" s="227" t="s">
        <v>103</v>
      </c>
      <c r="T16" s="227">
        <v>263</v>
      </c>
      <c r="U16" s="227">
        <v>180</v>
      </c>
      <c r="V16" s="227">
        <v>2245</v>
      </c>
      <c r="W16" s="227">
        <v>7.422680412371134E-2</v>
      </c>
      <c r="X16" s="227">
        <v>0.9257731958762887</v>
      </c>
      <c r="Y16" s="100" t="s">
        <v>135</v>
      </c>
      <c r="Z16" s="29">
        <v>1</v>
      </c>
      <c r="AA16" s="9">
        <v>1</v>
      </c>
      <c r="AB16" s="9">
        <v>1</v>
      </c>
      <c r="AC16" s="9">
        <v>2</v>
      </c>
      <c r="AD16" s="43">
        <v>2</v>
      </c>
      <c r="AE16" s="55">
        <v>0.35859414261160716</v>
      </c>
      <c r="AF16" s="52" t="s">
        <v>120</v>
      </c>
    </row>
    <row r="17" spans="1:32">
      <c r="A17" s="227">
        <v>1995</v>
      </c>
      <c r="B17" s="227">
        <v>98</v>
      </c>
      <c r="C17" s="227" t="s">
        <v>101</v>
      </c>
      <c r="D17" s="227">
        <v>19</v>
      </c>
      <c r="E17" s="227">
        <v>27</v>
      </c>
      <c r="F17" s="227">
        <v>90</v>
      </c>
      <c r="G17" s="227">
        <v>0.23076923076923081</v>
      </c>
      <c r="H17" s="227">
        <v>0.76923076923076916</v>
      </c>
      <c r="I17" s="312" t="s">
        <v>119</v>
      </c>
      <c r="J17" s="29">
        <v>1</v>
      </c>
      <c r="K17" s="9">
        <v>1</v>
      </c>
      <c r="L17" s="9">
        <v>1</v>
      </c>
      <c r="M17" s="9">
        <v>2</v>
      </c>
      <c r="N17" s="43">
        <v>2</v>
      </c>
      <c r="O17" s="265">
        <f t="shared" si="1"/>
        <v>0.35859414261160716</v>
      </c>
      <c r="P17" s="164" t="s">
        <v>120</v>
      </c>
      <c r="Q17" s="227">
        <v>2003</v>
      </c>
      <c r="R17" s="227">
        <v>3056</v>
      </c>
      <c r="S17" s="227" t="s">
        <v>101</v>
      </c>
      <c r="T17" s="227">
        <v>60</v>
      </c>
      <c r="U17" s="227">
        <v>289</v>
      </c>
      <c r="V17" s="227">
        <v>2827</v>
      </c>
      <c r="W17" s="227">
        <v>9.2747111681643138E-2</v>
      </c>
      <c r="X17" s="227">
        <v>0.90725288831835682</v>
      </c>
      <c r="Y17" s="100" t="s">
        <v>135</v>
      </c>
      <c r="Z17" s="29">
        <v>1</v>
      </c>
      <c r="AA17" s="9">
        <v>1</v>
      </c>
      <c r="AB17" s="9">
        <v>1</v>
      </c>
      <c r="AC17" s="9">
        <v>2</v>
      </c>
      <c r="AD17" s="43">
        <v>2</v>
      </c>
      <c r="AE17" s="55">
        <v>0.35859414261160716</v>
      </c>
      <c r="AF17" s="52" t="s">
        <v>120</v>
      </c>
    </row>
    <row r="18" spans="1:32">
      <c r="A18" s="227">
        <v>1995</v>
      </c>
      <c r="B18" s="227">
        <v>1106</v>
      </c>
      <c r="C18" s="227" t="s">
        <v>106</v>
      </c>
      <c r="D18" s="227">
        <v>540</v>
      </c>
      <c r="E18" s="227">
        <v>1187</v>
      </c>
      <c r="F18" s="227">
        <v>459</v>
      </c>
      <c r="G18" s="227">
        <v>0.72114216281895505</v>
      </c>
      <c r="H18" s="227">
        <v>0.27885783718104501</v>
      </c>
      <c r="I18" s="312" t="s">
        <v>119</v>
      </c>
      <c r="J18" s="29">
        <v>1</v>
      </c>
      <c r="K18" s="9">
        <v>1</v>
      </c>
      <c r="L18" s="9">
        <v>1</v>
      </c>
      <c r="M18" s="9">
        <v>2</v>
      </c>
      <c r="N18" s="43">
        <v>2</v>
      </c>
      <c r="O18" s="265">
        <f t="shared" si="1"/>
        <v>0.35859414261160716</v>
      </c>
      <c r="P18" s="164" t="s">
        <v>120</v>
      </c>
      <c r="Q18" s="227">
        <v>2003</v>
      </c>
      <c r="R18" s="227">
        <v>13324</v>
      </c>
      <c r="S18" s="227" t="s">
        <v>106</v>
      </c>
      <c r="T18" s="227">
        <v>2016</v>
      </c>
      <c r="U18" s="227">
        <v>3207</v>
      </c>
      <c r="V18" s="227">
        <v>12133</v>
      </c>
      <c r="W18" s="227">
        <v>0.20906127770534549</v>
      </c>
      <c r="X18" s="227">
        <v>0.79093872229465445</v>
      </c>
      <c r="Y18" s="100" t="s">
        <v>135</v>
      </c>
      <c r="Z18" s="29">
        <v>1</v>
      </c>
      <c r="AA18" s="9">
        <v>1</v>
      </c>
      <c r="AB18" s="9">
        <v>1</v>
      </c>
      <c r="AC18" s="9">
        <v>2</v>
      </c>
      <c r="AD18" s="43">
        <v>2</v>
      </c>
      <c r="AE18" s="55">
        <v>0.35859414261160716</v>
      </c>
      <c r="AF18" s="52" t="s">
        <v>120</v>
      </c>
    </row>
    <row r="19" spans="1:32">
      <c r="A19" s="227">
        <v>1996</v>
      </c>
      <c r="B19" s="227">
        <v>1435</v>
      </c>
      <c r="C19" s="227" t="s">
        <v>93</v>
      </c>
      <c r="D19" s="227">
        <v>368</v>
      </c>
      <c r="E19" s="227">
        <v>1653</v>
      </c>
      <c r="F19" s="227">
        <v>150</v>
      </c>
      <c r="G19" s="227">
        <v>0.91680532445923457</v>
      </c>
      <c r="H19" s="227">
        <v>8.3194675540765428E-2</v>
      </c>
      <c r="I19" s="312" t="s">
        <v>119</v>
      </c>
      <c r="J19" s="29">
        <v>1</v>
      </c>
      <c r="K19" s="9">
        <v>1</v>
      </c>
      <c r="L19" s="9">
        <v>1</v>
      </c>
      <c r="M19" s="9">
        <v>2</v>
      </c>
      <c r="N19" s="43">
        <v>2</v>
      </c>
      <c r="O19" s="265">
        <f t="shared" si="1"/>
        <v>0.35859414261160716</v>
      </c>
      <c r="P19" s="164" t="s">
        <v>120</v>
      </c>
      <c r="Q19" s="227">
        <v>2004</v>
      </c>
      <c r="R19" s="227">
        <v>12405</v>
      </c>
      <c r="S19" s="227" t="s">
        <v>93</v>
      </c>
      <c r="T19" s="227">
        <v>3129</v>
      </c>
      <c r="U19" s="227">
        <v>2739</v>
      </c>
      <c r="V19" s="227">
        <v>12795</v>
      </c>
      <c r="W19" s="227">
        <v>0.17632290459636929</v>
      </c>
      <c r="X19" s="227">
        <v>0.82367709540363077</v>
      </c>
      <c r="Y19" s="100" t="s">
        <v>135</v>
      </c>
      <c r="Z19" s="29">
        <v>1</v>
      </c>
      <c r="AA19" s="9">
        <v>1</v>
      </c>
      <c r="AB19" s="9">
        <v>1</v>
      </c>
      <c r="AC19" s="9">
        <v>2</v>
      </c>
      <c r="AD19" s="43">
        <v>2</v>
      </c>
      <c r="AE19" s="55">
        <v>0.35859414261160716</v>
      </c>
      <c r="AF19" s="52" t="s">
        <v>120</v>
      </c>
    </row>
    <row r="20" spans="1:32">
      <c r="A20" s="227">
        <v>1996</v>
      </c>
      <c r="B20" s="227">
        <v>290</v>
      </c>
      <c r="C20" s="227" t="s">
        <v>94</v>
      </c>
      <c r="D20" s="227">
        <v>134</v>
      </c>
      <c r="E20" s="227">
        <v>321</v>
      </c>
      <c r="F20" s="227">
        <v>103</v>
      </c>
      <c r="G20" s="227">
        <v>0.75707547169811318</v>
      </c>
      <c r="H20" s="227">
        <v>0.24292452830188679</v>
      </c>
      <c r="I20" s="312" t="s">
        <v>119</v>
      </c>
      <c r="J20" s="29">
        <v>1</v>
      </c>
      <c r="K20" s="9">
        <v>1</v>
      </c>
      <c r="L20" s="9">
        <v>1</v>
      </c>
      <c r="M20" s="9">
        <v>2</v>
      </c>
      <c r="N20" s="43">
        <v>2</v>
      </c>
      <c r="O20" s="265">
        <f t="shared" si="1"/>
        <v>0.35859414261160716</v>
      </c>
      <c r="P20" s="164" t="s">
        <v>120</v>
      </c>
      <c r="Q20" s="227">
        <v>2004</v>
      </c>
      <c r="R20" s="227">
        <v>5842</v>
      </c>
      <c r="S20" s="227" t="s">
        <v>94</v>
      </c>
      <c r="T20" s="227">
        <v>1188</v>
      </c>
      <c r="U20" s="227">
        <v>1213</v>
      </c>
      <c r="V20" s="227">
        <v>5817</v>
      </c>
      <c r="W20" s="227">
        <v>0.17254623044096731</v>
      </c>
      <c r="X20" s="227">
        <v>0.82745376955903271</v>
      </c>
      <c r="Y20" s="100" t="s">
        <v>135</v>
      </c>
      <c r="Z20" s="29">
        <v>1</v>
      </c>
      <c r="AA20" s="9">
        <v>1</v>
      </c>
      <c r="AB20" s="9">
        <v>1</v>
      </c>
      <c r="AC20" s="9">
        <v>2</v>
      </c>
      <c r="AD20" s="43">
        <v>2</v>
      </c>
      <c r="AE20" s="55">
        <v>0.35859414261160716</v>
      </c>
      <c r="AF20" s="52" t="s">
        <v>120</v>
      </c>
    </row>
    <row r="21" spans="1:32">
      <c r="A21" s="227">
        <v>1996</v>
      </c>
      <c r="B21" s="227">
        <v>852</v>
      </c>
      <c r="C21" s="227" t="s">
        <v>95</v>
      </c>
      <c r="D21" s="227">
        <v>168</v>
      </c>
      <c r="E21" s="227">
        <v>537</v>
      </c>
      <c r="F21" s="227">
        <v>483</v>
      </c>
      <c r="G21" s="227">
        <v>0.52647058823529413</v>
      </c>
      <c r="H21" s="227">
        <v>0.47352941176470592</v>
      </c>
      <c r="I21" s="312" t="s">
        <v>119</v>
      </c>
      <c r="J21" s="29">
        <v>1</v>
      </c>
      <c r="K21" s="9">
        <v>1</v>
      </c>
      <c r="L21" s="9">
        <v>1</v>
      </c>
      <c r="M21" s="9">
        <v>2</v>
      </c>
      <c r="N21" s="43">
        <v>2</v>
      </c>
      <c r="O21" s="265">
        <f t="shared" si="1"/>
        <v>0.35859414261160716</v>
      </c>
      <c r="P21" s="164" t="s">
        <v>120</v>
      </c>
      <c r="Q21" s="227">
        <v>2004</v>
      </c>
      <c r="R21" s="227">
        <v>9177</v>
      </c>
      <c r="S21" s="227" t="s">
        <v>95</v>
      </c>
      <c r="T21" s="227">
        <v>909</v>
      </c>
      <c r="U21" s="227">
        <v>1168</v>
      </c>
      <c r="V21" s="227">
        <v>8918</v>
      </c>
      <c r="W21" s="227">
        <v>0.11580408487011699</v>
      </c>
      <c r="X21" s="227">
        <v>0.88419591512988305</v>
      </c>
      <c r="Y21" s="100" t="s">
        <v>135</v>
      </c>
      <c r="Z21" s="29">
        <v>1</v>
      </c>
      <c r="AA21" s="9">
        <v>1</v>
      </c>
      <c r="AB21" s="9">
        <v>1</v>
      </c>
      <c r="AC21" s="9">
        <v>2</v>
      </c>
      <c r="AD21" s="43">
        <v>2</v>
      </c>
      <c r="AE21" s="55">
        <v>0.35859414261160716</v>
      </c>
      <c r="AF21" s="52" t="s">
        <v>120</v>
      </c>
    </row>
    <row r="22" spans="1:32">
      <c r="A22" s="227">
        <v>1996</v>
      </c>
      <c r="B22" s="227">
        <v>4</v>
      </c>
      <c r="C22" s="227" t="s">
        <v>96</v>
      </c>
      <c r="D22" s="227">
        <v>113</v>
      </c>
      <c r="E22" s="227">
        <v>106</v>
      </c>
      <c r="F22" s="227">
        <v>11</v>
      </c>
      <c r="G22" s="227">
        <v>0.90598290598290598</v>
      </c>
      <c r="H22" s="227">
        <v>9.4017094017094016E-2</v>
      </c>
      <c r="I22" s="312" t="s">
        <v>119</v>
      </c>
      <c r="J22" s="29">
        <v>1</v>
      </c>
      <c r="K22" s="9">
        <v>1</v>
      </c>
      <c r="L22" s="9">
        <v>1</v>
      </c>
      <c r="M22" s="9">
        <v>2</v>
      </c>
      <c r="N22" s="43">
        <v>2</v>
      </c>
      <c r="O22" s="265">
        <f t="shared" si="1"/>
        <v>0.35859414261160716</v>
      </c>
      <c r="P22" s="164" t="s">
        <v>120</v>
      </c>
      <c r="Q22" s="227">
        <v>2004</v>
      </c>
      <c r="R22" s="227">
        <v>1637</v>
      </c>
      <c r="S22" s="227" t="s">
        <v>96</v>
      </c>
      <c r="T22" s="227">
        <v>166</v>
      </c>
      <c r="U22" s="227">
        <v>291</v>
      </c>
      <c r="V22" s="227">
        <v>1512</v>
      </c>
      <c r="W22" s="227">
        <v>0.16139767054908491</v>
      </c>
      <c r="X22" s="227">
        <v>0.83860232945091517</v>
      </c>
      <c r="Y22" s="100" t="s">
        <v>135</v>
      </c>
      <c r="Z22" s="29">
        <v>1</v>
      </c>
      <c r="AA22" s="9">
        <v>1</v>
      </c>
      <c r="AB22" s="9">
        <v>1</v>
      </c>
      <c r="AC22" s="9">
        <v>2</v>
      </c>
      <c r="AD22" s="43">
        <v>2</v>
      </c>
      <c r="AE22" s="55">
        <v>0.35859414261160716</v>
      </c>
      <c r="AF22" s="52" t="s">
        <v>120</v>
      </c>
    </row>
    <row r="23" spans="1:32">
      <c r="A23" s="227">
        <v>1996</v>
      </c>
      <c r="B23" s="227">
        <v>191</v>
      </c>
      <c r="C23" s="227" t="s">
        <v>97</v>
      </c>
      <c r="D23" s="227">
        <v>45</v>
      </c>
      <c r="E23" s="227">
        <v>49</v>
      </c>
      <c r="F23" s="227">
        <v>187</v>
      </c>
      <c r="G23" s="227">
        <v>0.2076271186440678</v>
      </c>
      <c r="H23" s="227">
        <v>0.7923728813559322</v>
      </c>
      <c r="I23" s="312" t="s">
        <v>119</v>
      </c>
      <c r="J23" s="29">
        <v>1</v>
      </c>
      <c r="K23" s="9">
        <v>1</v>
      </c>
      <c r="L23" s="9">
        <v>1</v>
      </c>
      <c r="M23" s="9">
        <v>2</v>
      </c>
      <c r="N23" s="43">
        <v>2</v>
      </c>
      <c r="O23" s="265">
        <f t="shared" si="1"/>
        <v>0.35859414261160716</v>
      </c>
      <c r="P23" s="164" t="s">
        <v>120</v>
      </c>
      <c r="Q23" s="227">
        <v>2004</v>
      </c>
      <c r="R23" s="227">
        <v>1334</v>
      </c>
      <c r="S23" s="227" t="s">
        <v>97</v>
      </c>
      <c r="T23" s="227">
        <v>50</v>
      </c>
      <c r="U23" s="227">
        <v>134</v>
      </c>
      <c r="V23" s="227">
        <v>1250</v>
      </c>
      <c r="W23" s="227">
        <v>9.6820809248554907E-2</v>
      </c>
      <c r="X23" s="227">
        <v>0.90317919075144504</v>
      </c>
      <c r="Y23" s="100" t="s">
        <v>135</v>
      </c>
      <c r="Z23" s="29">
        <v>1</v>
      </c>
      <c r="AA23" s="9">
        <v>1</v>
      </c>
      <c r="AB23" s="9">
        <v>1</v>
      </c>
      <c r="AC23" s="9">
        <v>2</v>
      </c>
      <c r="AD23" s="43">
        <v>2</v>
      </c>
      <c r="AE23" s="55">
        <v>0.35859414261160716</v>
      </c>
      <c r="AF23" s="52" t="s">
        <v>120</v>
      </c>
    </row>
    <row r="24" spans="1:32">
      <c r="A24" s="227">
        <v>1996</v>
      </c>
      <c r="B24" s="227">
        <v>610</v>
      </c>
      <c r="C24" s="227" t="s">
        <v>98</v>
      </c>
      <c r="D24" s="227">
        <v>287</v>
      </c>
      <c r="E24" s="227">
        <v>433</v>
      </c>
      <c r="F24" s="227">
        <v>464</v>
      </c>
      <c r="G24" s="227">
        <v>0.48272017837235232</v>
      </c>
      <c r="H24" s="227">
        <v>0.51727982162764774</v>
      </c>
      <c r="I24" s="312" t="s">
        <v>119</v>
      </c>
      <c r="J24" s="29">
        <v>1</v>
      </c>
      <c r="K24" s="9">
        <v>1</v>
      </c>
      <c r="L24" s="9">
        <v>1</v>
      </c>
      <c r="M24" s="9">
        <v>2</v>
      </c>
      <c r="N24" s="43">
        <v>2</v>
      </c>
      <c r="O24" s="265">
        <f t="shared" si="1"/>
        <v>0.35859414261160716</v>
      </c>
      <c r="P24" s="164" t="s">
        <v>120</v>
      </c>
      <c r="Q24" s="227">
        <v>2004</v>
      </c>
      <c r="R24" s="227">
        <v>6777</v>
      </c>
      <c r="S24" s="227" t="s">
        <v>98</v>
      </c>
      <c r="T24" s="227">
        <v>409</v>
      </c>
      <c r="U24" s="227">
        <v>1430</v>
      </c>
      <c r="V24" s="227">
        <v>5756</v>
      </c>
      <c r="W24" s="227">
        <v>0.19899805176732541</v>
      </c>
      <c r="X24" s="227">
        <v>0.80100194823267468</v>
      </c>
      <c r="Y24" s="100" t="s">
        <v>135</v>
      </c>
      <c r="Z24" s="29">
        <v>1</v>
      </c>
      <c r="AA24" s="9">
        <v>1</v>
      </c>
      <c r="AB24" s="9">
        <v>1</v>
      </c>
      <c r="AC24" s="9">
        <v>2</v>
      </c>
      <c r="AD24" s="43">
        <v>2</v>
      </c>
      <c r="AE24" s="55">
        <v>0.35859414261160716</v>
      </c>
      <c r="AF24" s="52" t="s">
        <v>120</v>
      </c>
    </row>
    <row r="25" spans="1:32">
      <c r="A25" s="227">
        <v>1996</v>
      </c>
      <c r="B25" s="227">
        <v>0</v>
      </c>
      <c r="C25" s="227" t="s">
        <v>99</v>
      </c>
      <c r="D25" s="227">
        <v>0</v>
      </c>
      <c r="E25" s="227">
        <v>0</v>
      </c>
      <c r="F25" s="227">
        <v>0</v>
      </c>
      <c r="G25" s="227"/>
      <c r="H25" s="227"/>
      <c r="I25" s="312" t="s">
        <v>119</v>
      </c>
      <c r="J25" s="29">
        <v>1</v>
      </c>
      <c r="K25" s="9">
        <v>1</v>
      </c>
      <c r="L25" s="9">
        <v>1</v>
      </c>
      <c r="M25" s="9">
        <v>2</v>
      </c>
      <c r="N25" s="43">
        <v>2</v>
      </c>
      <c r="O25" s="265">
        <f t="shared" si="1"/>
        <v>0.35859414261160716</v>
      </c>
      <c r="P25" s="164" t="s">
        <v>120</v>
      </c>
      <c r="Q25" s="227">
        <v>2004</v>
      </c>
      <c r="R25" s="227">
        <v>2786</v>
      </c>
      <c r="S25" s="227" t="s">
        <v>99</v>
      </c>
      <c r="T25" s="227">
        <v>991</v>
      </c>
      <c r="U25" s="227">
        <v>296</v>
      </c>
      <c r="V25" s="227">
        <v>3481</v>
      </c>
      <c r="W25" s="227">
        <v>7.8369075986232453E-2</v>
      </c>
      <c r="X25" s="227">
        <v>0.92163092401376756</v>
      </c>
      <c r="Y25" s="100" t="s">
        <v>135</v>
      </c>
      <c r="Z25" s="29">
        <v>1</v>
      </c>
      <c r="AA25" s="9">
        <v>1</v>
      </c>
      <c r="AB25" s="9">
        <v>1</v>
      </c>
      <c r="AC25" s="9">
        <v>2</v>
      </c>
      <c r="AD25" s="43">
        <v>2</v>
      </c>
      <c r="AE25" s="55">
        <v>0.35859414261160716</v>
      </c>
      <c r="AF25" s="52" t="s">
        <v>120</v>
      </c>
    </row>
    <row r="26" spans="1:32">
      <c r="A26" s="227">
        <v>1996</v>
      </c>
      <c r="B26" s="227">
        <v>149</v>
      </c>
      <c r="C26" s="227" t="s">
        <v>102</v>
      </c>
      <c r="D26" s="227">
        <v>17</v>
      </c>
      <c r="E26" s="227">
        <v>166</v>
      </c>
      <c r="F26" s="227">
        <v>0</v>
      </c>
      <c r="G26" s="227">
        <v>1</v>
      </c>
      <c r="H26" s="227">
        <v>0</v>
      </c>
      <c r="I26" s="312" t="s">
        <v>119</v>
      </c>
      <c r="J26" s="29">
        <v>1</v>
      </c>
      <c r="K26" s="9">
        <v>1</v>
      </c>
      <c r="L26" s="9">
        <v>1</v>
      </c>
      <c r="M26" s="9">
        <v>2</v>
      </c>
      <c r="N26" s="43">
        <v>2</v>
      </c>
      <c r="O26" s="265">
        <f t="shared" si="1"/>
        <v>0.35859414261160716</v>
      </c>
      <c r="P26" s="164" t="s">
        <v>120</v>
      </c>
      <c r="Q26" s="227">
        <v>2004</v>
      </c>
      <c r="R26" s="227">
        <v>724</v>
      </c>
      <c r="S26" s="227" t="s">
        <v>102</v>
      </c>
      <c r="T26" s="227">
        <v>178</v>
      </c>
      <c r="U26" s="227">
        <v>141</v>
      </c>
      <c r="V26" s="227">
        <v>761</v>
      </c>
      <c r="W26" s="227">
        <v>0.15631929046563189</v>
      </c>
      <c r="X26" s="227">
        <v>0.84368070953436813</v>
      </c>
      <c r="Y26" s="100" t="s">
        <v>135</v>
      </c>
      <c r="Z26" s="29">
        <v>1</v>
      </c>
      <c r="AA26" s="9">
        <v>1</v>
      </c>
      <c r="AB26" s="9">
        <v>1</v>
      </c>
      <c r="AC26" s="9">
        <v>2</v>
      </c>
      <c r="AD26" s="43">
        <v>2</v>
      </c>
      <c r="AE26" s="55">
        <v>0.35859414261160716</v>
      </c>
      <c r="AF26" s="52" t="s">
        <v>120</v>
      </c>
    </row>
    <row r="27" spans="1:32">
      <c r="A27" s="227">
        <v>1996</v>
      </c>
      <c r="B27" s="227">
        <v>337</v>
      </c>
      <c r="C27" s="227" t="s">
        <v>104</v>
      </c>
      <c r="D27" s="227">
        <v>47</v>
      </c>
      <c r="E27" s="227">
        <v>142</v>
      </c>
      <c r="F27" s="227">
        <v>242</v>
      </c>
      <c r="G27" s="227">
        <v>0.36979166666666669</v>
      </c>
      <c r="H27" s="227">
        <v>0.63020833333333326</v>
      </c>
      <c r="I27" s="312" t="s">
        <v>119</v>
      </c>
      <c r="J27" s="29">
        <v>1</v>
      </c>
      <c r="K27" s="9">
        <v>1</v>
      </c>
      <c r="L27" s="9">
        <v>1</v>
      </c>
      <c r="M27" s="9">
        <v>2</v>
      </c>
      <c r="N27" s="43">
        <v>2</v>
      </c>
      <c r="O27" s="265">
        <f t="shared" si="1"/>
        <v>0.35859414261160716</v>
      </c>
      <c r="P27" s="164" t="s">
        <v>120</v>
      </c>
      <c r="Q27" s="227">
        <v>2004</v>
      </c>
      <c r="R27" s="227">
        <v>1138</v>
      </c>
      <c r="S27" s="227" t="s">
        <v>104</v>
      </c>
      <c r="T27" s="227">
        <v>84</v>
      </c>
      <c r="U27" s="227">
        <v>186</v>
      </c>
      <c r="V27" s="227">
        <v>1036</v>
      </c>
      <c r="W27" s="227">
        <v>0.15220949263502459</v>
      </c>
      <c r="X27" s="227">
        <v>0.84779050736497541</v>
      </c>
      <c r="Y27" s="100" t="s">
        <v>135</v>
      </c>
      <c r="Z27" s="29">
        <v>1</v>
      </c>
      <c r="AA27" s="9">
        <v>1</v>
      </c>
      <c r="AB27" s="9">
        <v>1</v>
      </c>
      <c r="AC27" s="9">
        <v>2</v>
      </c>
      <c r="AD27" s="43">
        <v>2</v>
      </c>
      <c r="AE27" s="55">
        <v>0.35859414261160716</v>
      </c>
      <c r="AF27" s="52" t="s">
        <v>120</v>
      </c>
    </row>
    <row r="28" spans="1:32">
      <c r="A28" s="227">
        <v>1996</v>
      </c>
      <c r="B28" s="227">
        <v>233</v>
      </c>
      <c r="C28" s="227" t="s">
        <v>105</v>
      </c>
      <c r="D28" s="227">
        <v>86</v>
      </c>
      <c r="E28" s="227">
        <v>114</v>
      </c>
      <c r="F28" s="227">
        <v>205</v>
      </c>
      <c r="G28" s="227">
        <v>0.35736677115987459</v>
      </c>
      <c r="H28" s="227">
        <v>0.64263322884012541</v>
      </c>
      <c r="I28" s="312" t="s">
        <v>119</v>
      </c>
      <c r="J28" s="29">
        <v>1</v>
      </c>
      <c r="K28" s="9">
        <v>1</v>
      </c>
      <c r="L28" s="9">
        <v>1</v>
      </c>
      <c r="M28" s="9">
        <v>2</v>
      </c>
      <c r="N28" s="43">
        <v>2</v>
      </c>
      <c r="O28" s="265">
        <f t="shared" si="1"/>
        <v>0.35859414261160716</v>
      </c>
      <c r="P28" s="164" t="s">
        <v>120</v>
      </c>
      <c r="Q28" s="227">
        <v>2004</v>
      </c>
      <c r="R28" s="227">
        <v>2951</v>
      </c>
      <c r="S28" s="227" t="s">
        <v>105</v>
      </c>
      <c r="T28" s="227">
        <v>353</v>
      </c>
      <c r="U28" s="227">
        <v>695</v>
      </c>
      <c r="V28" s="227">
        <v>2609</v>
      </c>
      <c r="W28" s="227">
        <v>0.2103510895883777</v>
      </c>
      <c r="X28" s="227">
        <v>0.78964891041162222</v>
      </c>
      <c r="Y28" s="100" t="s">
        <v>135</v>
      </c>
      <c r="Z28" s="29">
        <v>1</v>
      </c>
      <c r="AA28" s="9">
        <v>1</v>
      </c>
      <c r="AB28" s="9">
        <v>1</v>
      </c>
      <c r="AC28" s="9">
        <v>2</v>
      </c>
      <c r="AD28" s="43">
        <v>2</v>
      </c>
      <c r="AE28" s="55">
        <v>0.35859414261160716</v>
      </c>
      <c r="AF28" s="52" t="s">
        <v>120</v>
      </c>
    </row>
    <row r="29" spans="1:32">
      <c r="A29" s="227">
        <v>1996</v>
      </c>
      <c r="B29" s="227">
        <v>200</v>
      </c>
      <c r="C29" s="227" t="s">
        <v>103</v>
      </c>
      <c r="D29" s="227">
        <v>138</v>
      </c>
      <c r="E29" s="227">
        <v>200</v>
      </c>
      <c r="F29" s="227">
        <v>138</v>
      </c>
      <c r="G29" s="227">
        <v>0.59171597633136097</v>
      </c>
      <c r="H29" s="227">
        <v>0.40828402366863897</v>
      </c>
      <c r="I29" s="312" t="s">
        <v>119</v>
      </c>
      <c r="J29" s="29">
        <v>1</v>
      </c>
      <c r="K29" s="9">
        <v>1</v>
      </c>
      <c r="L29" s="9">
        <v>1</v>
      </c>
      <c r="M29" s="9">
        <v>2</v>
      </c>
      <c r="N29" s="43">
        <v>2</v>
      </c>
      <c r="O29" s="265">
        <f t="shared" si="1"/>
        <v>0.35859414261160716</v>
      </c>
      <c r="P29" s="164" t="s">
        <v>120</v>
      </c>
      <c r="Q29" s="227">
        <v>2004</v>
      </c>
      <c r="R29" s="227">
        <v>2007</v>
      </c>
      <c r="S29" s="227" t="s">
        <v>103</v>
      </c>
      <c r="T29" s="227">
        <v>283</v>
      </c>
      <c r="U29" s="227">
        <v>243</v>
      </c>
      <c r="V29" s="227">
        <v>2047</v>
      </c>
      <c r="W29" s="227">
        <v>0.1061135371179039</v>
      </c>
      <c r="X29" s="227">
        <v>0.89388646288209606</v>
      </c>
      <c r="Y29" s="100" t="s">
        <v>135</v>
      </c>
      <c r="Z29" s="29">
        <v>1</v>
      </c>
      <c r="AA29" s="9">
        <v>1</v>
      </c>
      <c r="AB29" s="9">
        <v>1</v>
      </c>
      <c r="AC29" s="9">
        <v>2</v>
      </c>
      <c r="AD29" s="43">
        <v>2</v>
      </c>
      <c r="AE29" s="55">
        <v>0.35859414261160716</v>
      </c>
      <c r="AF29" s="52" t="s">
        <v>120</v>
      </c>
    </row>
    <row r="30" spans="1:32">
      <c r="A30" s="227">
        <v>1996</v>
      </c>
      <c r="B30" s="227">
        <v>98</v>
      </c>
      <c r="C30" s="227" t="s">
        <v>101</v>
      </c>
      <c r="D30" s="227">
        <v>20</v>
      </c>
      <c r="E30" s="227">
        <v>28</v>
      </c>
      <c r="F30" s="227">
        <v>90</v>
      </c>
      <c r="G30" s="227">
        <v>0.23728813559322029</v>
      </c>
      <c r="H30" s="227">
        <v>0.76271186440677963</v>
      </c>
      <c r="I30" s="312" t="s">
        <v>119</v>
      </c>
      <c r="J30" s="29">
        <v>1</v>
      </c>
      <c r="K30" s="9">
        <v>1</v>
      </c>
      <c r="L30" s="9">
        <v>1</v>
      </c>
      <c r="M30" s="9">
        <v>2</v>
      </c>
      <c r="N30" s="43">
        <v>2</v>
      </c>
      <c r="O30" s="265">
        <f t="shared" si="1"/>
        <v>0.35859414261160716</v>
      </c>
      <c r="P30" s="164" t="s">
        <v>120</v>
      </c>
      <c r="Q30" s="227">
        <v>2004</v>
      </c>
      <c r="R30" s="227">
        <v>3101</v>
      </c>
      <c r="S30" s="227" t="s">
        <v>101</v>
      </c>
      <c r="T30" s="227">
        <v>66</v>
      </c>
      <c r="U30" s="227">
        <v>329</v>
      </c>
      <c r="V30" s="227">
        <v>2838</v>
      </c>
      <c r="W30" s="227">
        <v>0.1038838017050837</v>
      </c>
      <c r="X30" s="227">
        <v>0.89611619829491629</v>
      </c>
      <c r="Y30" s="100" t="s">
        <v>135</v>
      </c>
      <c r="Z30" s="29">
        <v>1</v>
      </c>
      <c r="AA30" s="9">
        <v>1</v>
      </c>
      <c r="AB30" s="9">
        <v>1</v>
      </c>
      <c r="AC30" s="9">
        <v>2</v>
      </c>
      <c r="AD30" s="43">
        <v>2</v>
      </c>
      <c r="AE30" s="55">
        <v>0.35859414261160716</v>
      </c>
      <c r="AF30" s="52" t="s">
        <v>120</v>
      </c>
    </row>
    <row r="31" spans="1:32">
      <c r="A31" s="227">
        <v>1996</v>
      </c>
      <c r="B31" s="227">
        <v>1106</v>
      </c>
      <c r="C31" s="227" t="s">
        <v>106</v>
      </c>
      <c r="D31" s="227">
        <v>502</v>
      </c>
      <c r="E31" s="227">
        <v>1469</v>
      </c>
      <c r="F31" s="227">
        <v>139</v>
      </c>
      <c r="G31" s="227">
        <v>0.91355721393034828</v>
      </c>
      <c r="H31" s="227">
        <v>8.6442786069651723E-2</v>
      </c>
      <c r="I31" s="312" t="s">
        <v>119</v>
      </c>
      <c r="J31" s="29">
        <v>1</v>
      </c>
      <c r="K31" s="9">
        <v>1</v>
      </c>
      <c r="L31" s="9">
        <v>1</v>
      </c>
      <c r="M31" s="9">
        <v>2</v>
      </c>
      <c r="N31" s="43">
        <v>2</v>
      </c>
      <c r="O31" s="265">
        <f t="shared" si="1"/>
        <v>0.35859414261160716</v>
      </c>
      <c r="P31" s="164" t="s">
        <v>120</v>
      </c>
      <c r="Q31" s="227">
        <v>2004</v>
      </c>
      <c r="R31" s="227">
        <v>12742</v>
      </c>
      <c r="S31" s="227" t="s">
        <v>106</v>
      </c>
      <c r="T31" s="227">
        <v>2264</v>
      </c>
      <c r="U31" s="227">
        <v>3673</v>
      </c>
      <c r="V31" s="227">
        <v>11333</v>
      </c>
      <c r="W31" s="227">
        <v>0.2447687591630015</v>
      </c>
      <c r="X31" s="227">
        <v>0.75523124083699855</v>
      </c>
      <c r="Y31" s="100" t="s">
        <v>135</v>
      </c>
      <c r="Z31" s="29">
        <v>1</v>
      </c>
      <c r="AA31" s="9">
        <v>1</v>
      </c>
      <c r="AB31" s="9">
        <v>1</v>
      </c>
      <c r="AC31" s="9">
        <v>2</v>
      </c>
      <c r="AD31" s="43">
        <v>2</v>
      </c>
      <c r="AE31" s="55">
        <v>0.35859414261160716</v>
      </c>
      <c r="AF31" s="52" t="s">
        <v>120</v>
      </c>
    </row>
    <row r="32" spans="1:32">
      <c r="A32" s="227">
        <v>1997</v>
      </c>
      <c r="B32" s="227">
        <v>1435</v>
      </c>
      <c r="C32" s="227" t="s">
        <v>93</v>
      </c>
      <c r="D32" s="227">
        <v>405</v>
      </c>
      <c r="E32" s="227">
        <v>1808</v>
      </c>
      <c r="F32" s="227">
        <v>32</v>
      </c>
      <c r="G32" s="227">
        <v>0.9826086956521739</v>
      </c>
      <c r="H32" s="227">
        <v>1.7391304347826101E-2</v>
      </c>
      <c r="I32" s="312" t="s">
        <v>119</v>
      </c>
      <c r="J32" s="29">
        <v>1</v>
      </c>
      <c r="K32" s="9">
        <v>1</v>
      </c>
      <c r="L32" s="9">
        <v>1</v>
      </c>
      <c r="M32" s="9">
        <v>2</v>
      </c>
      <c r="N32" s="43">
        <v>2</v>
      </c>
      <c r="O32" s="265">
        <f t="shared" si="1"/>
        <v>0.35859414261160716</v>
      </c>
      <c r="P32" s="164" t="s">
        <v>120</v>
      </c>
      <c r="Q32" s="227">
        <v>2005</v>
      </c>
      <c r="R32" s="227">
        <v>12454</v>
      </c>
      <c r="S32" s="227" t="s">
        <v>93</v>
      </c>
      <c r="T32" s="227">
        <v>3634</v>
      </c>
      <c r="U32" s="227">
        <v>2757</v>
      </c>
      <c r="V32" s="227">
        <v>13331</v>
      </c>
      <c r="W32" s="227">
        <v>0.17136996519144701</v>
      </c>
      <c r="X32" s="227">
        <v>0.82863003480855291</v>
      </c>
      <c r="Y32" s="100" t="s">
        <v>135</v>
      </c>
      <c r="Z32" s="29">
        <v>1</v>
      </c>
      <c r="AA32" s="9">
        <v>1</v>
      </c>
      <c r="AB32" s="9">
        <v>1</v>
      </c>
      <c r="AC32" s="9">
        <v>2</v>
      </c>
      <c r="AD32" s="43">
        <v>2</v>
      </c>
      <c r="AE32" s="55">
        <v>0.35859414261160716</v>
      </c>
      <c r="AF32" s="52" t="s">
        <v>120</v>
      </c>
    </row>
    <row r="33" spans="1:32">
      <c r="A33" s="227">
        <v>1997</v>
      </c>
      <c r="B33" s="227">
        <v>290</v>
      </c>
      <c r="C33" s="227" t="s">
        <v>94</v>
      </c>
      <c r="D33" s="227">
        <v>148</v>
      </c>
      <c r="E33" s="227">
        <v>366</v>
      </c>
      <c r="F33" s="227">
        <v>72</v>
      </c>
      <c r="G33" s="227">
        <v>0.83561643835616439</v>
      </c>
      <c r="H33" s="227">
        <v>0.16438356164383561</v>
      </c>
      <c r="I33" s="312" t="s">
        <v>119</v>
      </c>
      <c r="J33" s="29">
        <v>1</v>
      </c>
      <c r="K33" s="9">
        <v>1</v>
      </c>
      <c r="L33" s="9">
        <v>1</v>
      </c>
      <c r="M33" s="9">
        <v>2</v>
      </c>
      <c r="N33" s="43">
        <v>2</v>
      </c>
      <c r="O33" s="265">
        <f t="shared" si="1"/>
        <v>0.35859414261160716</v>
      </c>
      <c r="P33" s="164" t="s">
        <v>120</v>
      </c>
      <c r="Q33" s="227">
        <v>2005</v>
      </c>
      <c r="R33" s="227">
        <v>5841</v>
      </c>
      <c r="S33" s="227" t="s">
        <v>94</v>
      </c>
      <c r="T33" s="227">
        <v>1341</v>
      </c>
      <c r="U33" s="227">
        <v>1366</v>
      </c>
      <c r="V33" s="227">
        <v>5816</v>
      </c>
      <c r="W33" s="227">
        <v>0.190197716513506</v>
      </c>
      <c r="X33" s="227">
        <v>0.80980228348649397</v>
      </c>
      <c r="Y33" s="100" t="s">
        <v>135</v>
      </c>
      <c r="Z33" s="29">
        <v>1</v>
      </c>
      <c r="AA33" s="9">
        <v>1</v>
      </c>
      <c r="AB33" s="9">
        <v>1</v>
      </c>
      <c r="AC33" s="9">
        <v>2</v>
      </c>
      <c r="AD33" s="43">
        <v>2</v>
      </c>
      <c r="AE33" s="55">
        <v>0.35859414261160716</v>
      </c>
      <c r="AF33" s="52" t="s">
        <v>120</v>
      </c>
    </row>
    <row r="34" spans="1:32">
      <c r="A34" s="227">
        <v>1997</v>
      </c>
      <c r="B34" s="227">
        <v>852</v>
      </c>
      <c r="C34" s="227" t="s">
        <v>95</v>
      </c>
      <c r="D34" s="227">
        <v>199</v>
      </c>
      <c r="E34" s="227">
        <v>453</v>
      </c>
      <c r="F34" s="227">
        <v>598</v>
      </c>
      <c r="G34" s="227">
        <v>0.43101807802093239</v>
      </c>
      <c r="H34" s="227">
        <v>0.5689819219790675</v>
      </c>
      <c r="I34" s="312" t="s">
        <v>119</v>
      </c>
      <c r="J34" s="29">
        <v>1</v>
      </c>
      <c r="K34" s="9">
        <v>1</v>
      </c>
      <c r="L34" s="9">
        <v>1</v>
      </c>
      <c r="M34" s="9">
        <v>2</v>
      </c>
      <c r="N34" s="43">
        <v>2</v>
      </c>
      <c r="O34" s="265">
        <f t="shared" si="1"/>
        <v>0.35859414261160716</v>
      </c>
      <c r="P34" s="164" t="s">
        <v>120</v>
      </c>
      <c r="Q34" s="227">
        <v>2005</v>
      </c>
      <c r="R34" s="227">
        <v>9359</v>
      </c>
      <c r="S34" s="227" t="s">
        <v>95</v>
      </c>
      <c r="T34" s="227">
        <v>1094</v>
      </c>
      <c r="U34" s="227">
        <v>1077</v>
      </c>
      <c r="V34" s="227">
        <v>9376</v>
      </c>
      <c r="W34" s="227">
        <v>0.10303262221371851</v>
      </c>
      <c r="X34" s="227">
        <v>0.89696737778628144</v>
      </c>
      <c r="Y34" s="100" t="s">
        <v>135</v>
      </c>
      <c r="Z34" s="29">
        <v>1</v>
      </c>
      <c r="AA34" s="9">
        <v>1</v>
      </c>
      <c r="AB34" s="9">
        <v>1</v>
      </c>
      <c r="AC34" s="9">
        <v>2</v>
      </c>
      <c r="AD34" s="43">
        <v>2</v>
      </c>
      <c r="AE34" s="55">
        <v>0.35859414261160716</v>
      </c>
      <c r="AF34" s="52" t="s">
        <v>120</v>
      </c>
    </row>
    <row r="35" spans="1:32">
      <c r="A35" s="227">
        <v>1997</v>
      </c>
      <c r="B35" s="227">
        <v>38</v>
      </c>
      <c r="C35" s="227" t="s">
        <v>96</v>
      </c>
      <c r="D35" s="227">
        <v>77</v>
      </c>
      <c r="E35" s="227">
        <v>115</v>
      </c>
      <c r="F35" s="227">
        <v>0</v>
      </c>
      <c r="G35" s="227">
        <v>1</v>
      </c>
      <c r="H35" s="227">
        <v>0</v>
      </c>
      <c r="I35" s="312" t="s">
        <v>119</v>
      </c>
      <c r="J35" s="29">
        <v>1</v>
      </c>
      <c r="K35" s="9">
        <v>1</v>
      </c>
      <c r="L35" s="9">
        <v>1</v>
      </c>
      <c r="M35" s="9">
        <v>2</v>
      </c>
      <c r="N35" s="43">
        <v>2</v>
      </c>
      <c r="O35" s="265">
        <f t="shared" si="1"/>
        <v>0.35859414261160716</v>
      </c>
      <c r="P35" s="164" t="s">
        <v>120</v>
      </c>
      <c r="Q35" s="227">
        <v>2005</v>
      </c>
      <c r="R35" s="227">
        <v>1714</v>
      </c>
      <c r="S35" s="227" t="s">
        <v>96</v>
      </c>
      <c r="T35" s="227">
        <v>126</v>
      </c>
      <c r="U35" s="227">
        <v>306</v>
      </c>
      <c r="V35" s="227">
        <v>1534</v>
      </c>
      <c r="W35" s="227">
        <v>0.166304347826087</v>
      </c>
      <c r="X35" s="227">
        <v>0.83369565217391306</v>
      </c>
      <c r="Y35" s="100" t="s">
        <v>135</v>
      </c>
      <c r="Z35" s="29">
        <v>1</v>
      </c>
      <c r="AA35" s="9">
        <v>1</v>
      </c>
      <c r="AB35" s="9">
        <v>1</v>
      </c>
      <c r="AC35" s="9">
        <v>2</v>
      </c>
      <c r="AD35" s="43">
        <v>2</v>
      </c>
      <c r="AE35" s="55">
        <v>0.35859414261160716</v>
      </c>
      <c r="AF35" s="52" t="s">
        <v>120</v>
      </c>
    </row>
    <row r="36" spans="1:32">
      <c r="A36" s="227">
        <v>1997</v>
      </c>
      <c r="B36" s="227">
        <v>191</v>
      </c>
      <c r="C36" s="227" t="s">
        <v>97</v>
      </c>
      <c r="D36" s="227">
        <v>43</v>
      </c>
      <c r="E36" s="227">
        <v>45</v>
      </c>
      <c r="F36" s="227">
        <v>189</v>
      </c>
      <c r="G36" s="227">
        <v>0.19230769230769229</v>
      </c>
      <c r="H36" s="227">
        <v>0.80769230769230771</v>
      </c>
      <c r="I36" s="312" t="s">
        <v>119</v>
      </c>
      <c r="J36" s="29">
        <v>1</v>
      </c>
      <c r="K36" s="9">
        <v>1</v>
      </c>
      <c r="L36" s="9">
        <v>1</v>
      </c>
      <c r="M36" s="9">
        <v>2</v>
      </c>
      <c r="N36" s="43">
        <v>2</v>
      </c>
      <c r="O36" s="265">
        <f t="shared" si="1"/>
        <v>0.35859414261160716</v>
      </c>
      <c r="P36" s="164" t="s">
        <v>120</v>
      </c>
      <c r="Q36" s="227">
        <v>2005</v>
      </c>
      <c r="R36" s="227">
        <v>1178</v>
      </c>
      <c r="S36" s="227" t="s">
        <v>97</v>
      </c>
      <c r="T36" s="227">
        <v>51</v>
      </c>
      <c r="U36" s="227">
        <v>116</v>
      </c>
      <c r="V36" s="227">
        <v>1113</v>
      </c>
      <c r="W36" s="227">
        <v>9.4385679414157847E-2</v>
      </c>
      <c r="X36" s="227">
        <v>0.90561432058584213</v>
      </c>
      <c r="Y36" s="100" t="s">
        <v>135</v>
      </c>
      <c r="Z36" s="29">
        <v>1</v>
      </c>
      <c r="AA36" s="9">
        <v>1</v>
      </c>
      <c r="AB36" s="9">
        <v>1</v>
      </c>
      <c r="AC36" s="9">
        <v>2</v>
      </c>
      <c r="AD36" s="43">
        <v>2</v>
      </c>
      <c r="AE36" s="55">
        <v>0.35859414261160716</v>
      </c>
      <c r="AF36" s="52" t="s">
        <v>120</v>
      </c>
    </row>
    <row r="37" spans="1:32">
      <c r="A37" s="227">
        <v>1997</v>
      </c>
      <c r="B37" s="227">
        <v>610</v>
      </c>
      <c r="C37" s="227" t="s">
        <v>98</v>
      </c>
      <c r="D37" s="227">
        <v>210</v>
      </c>
      <c r="E37" s="227">
        <v>414</v>
      </c>
      <c r="F37" s="227">
        <v>406</v>
      </c>
      <c r="G37" s="227">
        <v>0.50487804878048781</v>
      </c>
      <c r="H37" s="227">
        <v>0.49512195121951219</v>
      </c>
      <c r="I37" s="312" t="s">
        <v>119</v>
      </c>
      <c r="J37" s="29">
        <v>1</v>
      </c>
      <c r="K37" s="9">
        <v>1</v>
      </c>
      <c r="L37" s="9">
        <v>1</v>
      </c>
      <c r="M37" s="9">
        <v>2</v>
      </c>
      <c r="N37" s="43">
        <v>2</v>
      </c>
      <c r="O37" s="265">
        <f t="shared" si="1"/>
        <v>0.35859414261160716</v>
      </c>
      <c r="P37" s="164" t="s">
        <v>120</v>
      </c>
      <c r="Q37" s="227">
        <v>2005</v>
      </c>
      <c r="R37" s="227">
        <v>6608</v>
      </c>
      <c r="S37" s="227" t="s">
        <v>98</v>
      </c>
      <c r="T37" s="227">
        <v>420</v>
      </c>
      <c r="U37" s="227">
        <v>1529</v>
      </c>
      <c r="V37" s="227">
        <v>5499</v>
      </c>
      <c r="W37" s="227">
        <v>0.2175583380762664</v>
      </c>
      <c r="X37" s="227">
        <v>0.78244166192373366</v>
      </c>
      <c r="Y37" s="100" t="s">
        <v>135</v>
      </c>
      <c r="Z37" s="29">
        <v>1</v>
      </c>
      <c r="AA37" s="9">
        <v>1</v>
      </c>
      <c r="AB37" s="9">
        <v>1</v>
      </c>
      <c r="AC37" s="9">
        <v>2</v>
      </c>
      <c r="AD37" s="43">
        <v>2</v>
      </c>
      <c r="AE37" s="55">
        <v>0.35859414261160716</v>
      </c>
      <c r="AF37" s="52" t="s">
        <v>120</v>
      </c>
    </row>
    <row r="38" spans="1:32">
      <c r="A38" s="227">
        <v>1997</v>
      </c>
      <c r="B38" s="227">
        <v>0</v>
      </c>
      <c r="C38" s="227" t="s">
        <v>99</v>
      </c>
      <c r="D38" s="227">
        <v>0</v>
      </c>
      <c r="E38" s="227">
        <v>0</v>
      </c>
      <c r="F38" s="227">
        <v>0</v>
      </c>
      <c r="G38" s="227"/>
      <c r="H38" s="227"/>
      <c r="I38" s="312" t="s">
        <v>119</v>
      </c>
      <c r="J38" s="29">
        <v>1</v>
      </c>
      <c r="K38" s="9">
        <v>1</v>
      </c>
      <c r="L38" s="9">
        <v>1</v>
      </c>
      <c r="M38" s="9">
        <v>2</v>
      </c>
      <c r="N38" s="43">
        <v>2</v>
      </c>
      <c r="O38" s="265">
        <f t="shared" si="1"/>
        <v>0.35859414261160716</v>
      </c>
      <c r="P38" s="164" t="s">
        <v>120</v>
      </c>
      <c r="Q38" s="227">
        <v>2005</v>
      </c>
      <c r="R38" s="227">
        <v>4447</v>
      </c>
      <c r="S38" s="227" t="s">
        <v>99</v>
      </c>
      <c r="T38" s="227">
        <v>895</v>
      </c>
      <c r="U38" s="227">
        <v>321</v>
      </c>
      <c r="V38" s="227">
        <v>5021</v>
      </c>
      <c r="W38" s="227">
        <v>6.0089853987270687E-2</v>
      </c>
      <c r="X38" s="227">
        <v>0.93991014601272926</v>
      </c>
      <c r="Y38" s="100" t="s">
        <v>135</v>
      </c>
      <c r="Z38" s="29">
        <v>1</v>
      </c>
      <c r="AA38" s="9">
        <v>1</v>
      </c>
      <c r="AB38" s="9">
        <v>1</v>
      </c>
      <c r="AC38" s="9">
        <v>2</v>
      </c>
      <c r="AD38" s="43">
        <v>2</v>
      </c>
      <c r="AE38" s="55">
        <v>0.35859414261160716</v>
      </c>
      <c r="AF38" s="52" t="s">
        <v>120</v>
      </c>
    </row>
    <row r="39" spans="1:32">
      <c r="A39" s="227">
        <v>1997</v>
      </c>
      <c r="B39" s="227">
        <v>155</v>
      </c>
      <c r="C39" s="227" t="s">
        <v>102</v>
      </c>
      <c r="D39" s="227">
        <v>28</v>
      </c>
      <c r="E39" s="227">
        <v>183</v>
      </c>
      <c r="F39" s="227">
        <v>0</v>
      </c>
      <c r="G39" s="227">
        <v>1</v>
      </c>
      <c r="H39" s="227">
        <v>0</v>
      </c>
      <c r="I39" s="312" t="s">
        <v>119</v>
      </c>
      <c r="J39" s="29">
        <v>1</v>
      </c>
      <c r="K39" s="9">
        <v>1</v>
      </c>
      <c r="L39" s="9">
        <v>1</v>
      </c>
      <c r="M39" s="9">
        <v>2</v>
      </c>
      <c r="N39" s="43">
        <v>2</v>
      </c>
      <c r="O39" s="265">
        <f t="shared" si="1"/>
        <v>0.35859414261160716</v>
      </c>
      <c r="P39" s="164" t="s">
        <v>120</v>
      </c>
      <c r="Q39" s="227">
        <v>2005</v>
      </c>
      <c r="R39" s="227">
        <v>702</v>
      </c>
      <c r="S39" s="227" t="s">
        <v>102</v>
      </c>
      <c r="T39" s="227">
        <v>207</v>
      </c>
      <c r="U39" s="227">
        <v>176</v>
      </c>
      <c r="V39" s="227">
        <v>733</v>
      </c>
      <c r="W39" s="227">
        <v>0.19361936193619361</v>
      </c>
      <c r="X39" s="227">
        <v>0.80638063806380633</v>
      </c>
      <c r="Y39" s="100" t="s">
        <v>135</v>
      </c>
      <c r="Z39" s="29">
        <v>1</v>
      </c>
      <c r="AA39" s="9">
        <v>1</v>
      </c>
      <c r="AB39" s="9">
        <v>1</v>
      </c>
      <c r="AC39" s="9">
        <v>2</v>
      </c>
      <c r="AD39" s="43">
        <v>2</v>
      </c>
      <c r="AE39" s="55">
        <v>0.35859414261160716</v>
      </c>
      <c r="AF39" s="52" t="s">
        <v>120</v>
      </c>
    </row>
    <row r="40" spans="1:32">
      <c r="A40" s="227">
        <v>1997</v>
      </c>
      <c r="B40" s="227">
        <v>337</v>
      </c>
      <c r="C40" s="227" t="s">
        <v>104</v>
      </c>
      <c r="D40" s="227">
        <v>47</v>
      </c>
      <c r="E40" s="227">
        <v>193</v>
      </c>
      <c r="F40" s="227">
        <v>191</v>
      </c>
      <c r="G40" s="227">
        <v>0.50260416666666663</v>
      </c>
      <c r="H40" s="227">
        <v>0.49739583333333343</v>
      </c>
      <c r="I40" s="312" t="s">
        <v>119</v>
      </c>
      <c r="J40" s="29">
        <v>1</v>
      </c>
      <c r="K40" s="9">
        <v>1</v>
      </c>
      <c r="L40" s="9">
        <v>1</v>
      </c>
      <c r="M40" s="9">
        <v>2</v>
      </c>
      <c r="N40" s="43">
        <v>2</v>
      </c>
      <c r="O40" s="265">
        <f t="shared" si="1"/>
        <v>0.35859414261160716</v>
      </c>
      <c r="P40" s="164" t="s">
        <v>120</v>
      </c>
      <c r="Q40" s="227">
        <v>2005</v>
      </c>
      <c r="R40" s="227">
        <v>1194</v>
      </c>
      <c r="S40" s="227" t="s">
        <v>104</v>
      </c>
      <c r="T40" s="227">
        <v>92</v>
      </c>
      <c r="U40" s="227">
        <v>266</v>
      </c>
      <c r="V40" s="227">
        <v>1020</v>
      </c>
      <c r="W40" s="227">
        <v>0.20684292379471231</v>
      </c>
      <c r="X40" s="227">
        <v>0.79315707620528775</v>
      </c>
      <c r="Y40" s="100" t="s">
        <v>135</v>
      </c>
      <c r="Z40" s="29">
        <v>1</v>
      </c>
      <c r="AA40" s="9">
        <v>1</v>
      </c>
      <c r="AB40" s="9">
        <v>1</v>
      </c>
      <c r="AC40" s="9">
        <v>2</v>
      </c>
      <c r="AD40" s="43">
        <v>2</v>
      </c>
      <c r="AE40" s="55">
        <v>0.35859414261160716</v>
      </c>
      <c r="AF40" s="52" t="s">
        <v>120</v>
      </c>
    </row>
    <row r="41" spans="1:32">
      <c r="A41" s="227">
        <v>1997</v>
      </c>
      <c r="B41" s="227">
        <v>233</v>
      </c>
      <c r="C41" s="227" t="s">
        <v>105</v>
      </c>
      <c r="D41" s="227">
        <v>104</v>
      </c>
      <c r="E41" s="227">
        <v>148</v>
      </c>
      <c r="F41" s="227">
        <v>189</v>
      </c>
      <c r="G41" s="227">
        <v>0.43916913946587538</v>
      </c>
      <c r="H41" s="227">
        <v>0.56083086053412456</v>
      </c>
      <c r="I41" s="312" t="s">
        <v>119</v>
      </c>
      <c r="J41" s="29">
        <v>1</v>
      </c>
      <c r="K41" s="9">
        <v>1</v>
      </c>
      <c r="L41" s="9">
        <v>1</v>
      </c>
      <c r="M41" s="9">
        <v>2</v>
      </c>
      <c r="N41" s="43">
        <v>2</v>
      </c>
      <c r="O41" s="265">
        <f t="shared" si="1"/>
        <v>0.35859414261160716</v>
      </c>
      <c r="P41" s="164" t="s">
        <v>120</v>
      </c>
      <c r="Q41" s="227">
        <v>2005</v>
      </c>
      <c r="R41" s="227">
        <v>3495</v>
      </c>
      <c r="S41" s="227" t="s">
        <v>105</v>
      </c>
      <c r="T41" s="227">
        <v>358</v>
      </c>
      <c r="U41" s="227">
        <v>902</v>
      </c>
      <c r="V41" s="227">
        <v>2951</v>
      </c>
      <c r="W41" s="227">
        <v>0.2341032961328835</v>
      </c>
      <c r="X41" s="227">
        <v>0.7658967038671165</v>
      </c>
      <c r="Y41" s="100" t="s">
        <v>135</v>
      </c>
      <c r="Z41" s="29">
        <v>1</v>
      </c>
      <c r="AA41" s="9">
        <v>1</v>
      </c>
      <c r="AB41" s="9">
        <v>1</v>
      </c>
      <c r="AC41" s="9">
        <v>2</v>
      </c>
      <c r="AD41" s="43">
        <v>2</v>
      </c>
      <c r="AE41" s="55">
        <v>0.35859414261160716</v>
      </c>
      <c r="AF41" s="52" t="s">
        <v>120</v>
      </c>
    </row>
    <row r="42" spans="1:32">
      <c r="A42" s="227">
        <v>1997</v>
      </c>
      <c r="B42" s="227">
        <v>200</v>
      </c>
      <c r="C42" s="227" t="s">
        <v>103</v>
      </c>
      <c r="D42" s="227">
        <v>135</v>
      </c>
      <c r="E42" s="227">
        <v>203</v>
      </c>
      <c r="F42" s="227">
        <v>132</v>
      </c>
      <c r="G42" s="227">
        <v>0.60597014925373138</v>
      </c>
      <c r="H42" s="227">
        <v>0.39402985074626862</v>
      </c>
      <c r="I42" s="312" t="s">
        <v>119</v>
      </c>
      <c r="J42" s="29">
        <v>1</v>
      </c>
      <c r="K42" s="9">
        <v>1</v>
      </c>
      <c r="L42" s="9">
        <v>1</v>
      </c>
      <c r="M42" s="9">
        <v>2</v>
      </c>
      <c r="N42" s="43">
        <v>2</v>
      </c>
      <c r="O42" s="265">
        <f t="shared" si="1"/>
        <v>0.35859414261160716</v>
      </c>
      <c r="P42" s="164" t="s">
        <v>120</v>
      </c>
      <c r="Q42" s="227">
        <v>2005</v>
      </c>
      <c r="R42" s="227">
        <v>2366</v>
      </c>
      <c r="S42" s="227" t="s">
        <v>103</v>
      </c>
      <c r="T42" s="227">
        <v>289</v>
      </c>
      <c r="U42" s="227">
        <v>517</v>
      </c>
      <c r="V42" s="227">
        <v>2138</v>
      </c>
      <c r="W42" s="227">
        <v>0.19472693032015059</v>
      </c>
      <c r="X42" s="227">
        <v>0.80527306967984935</v>
      </c>
      <c r="Y42" s="100" t="s">
        <v>135</v>
      </c>
      <c r="Z42" s="29">
        <v>1</v>
      </c>
      <c r="AA42" s="9">
        <v>1</v>
      </c>
      <c r="AB42" s="9">
        <v>1</v>
      </c>
      <c r="AC42" s="9">
        <v>2</v>
      </c>
      <c r="AD42" s="43">
        <v>2</v>
      </c>
      <c r="AE42" s="55">
        <v>0.35859414261160716</v>
      </c>
      <c r="AF42" s="52" t="s">
        <v>120</v>
      </c>
    </row>
    <row r="43" spans="1:32">
      <c r="A43" s="227">
        <v>1997</v>
      </c>
      <c r="B43" s="227">
        <v>98</v>
      </c>
      <c r="C43" s="227" t="s">
        <v>101</v>
      </c>
      <c r="D43" s="227">
        <v>17</v>
      </c>
      <c r="E43" s="227">
        <v>31</v>
      </c>
      <c r="F43" s="227">
        <v>84</v>
      </c>
      <c r="G43" s="227">
        <v>0.26956521739130429</v>
      </c>
      <c r="H43" s="227">
        <v>0.73043478260869565</v>
      </c>
      <c r="I43" s="312" t="s">
        <v>119</v>
      </c>
      <c r="J43" s="29">
        <v>1</v>
      </c>
      <c r="K43" s="9">
        <v>1</v>
      </c>
      <c r="L43" s="9">
        <v>1</v>
      </c>
      <c r="M43" s="9">
        <v>2</v>
      </c>
      <c r="N43" s="43">
        <v>2</v>
      </c>
      <c r="O43" s="265">
        <f t="shared" si="1"/>
        <v>0.35859414261160716</v>
      </c>
      <c r="P43" s="164" t="s">
        <v>120</v>
      </c>
      <c r="Q43" s="227">
        <v>2005</v>
      </c>
      <c r="R43" s="227">
        <v>3361</v>
      </c>
      <c r="S43" s="227" t="s">
        <v>101</v>
      </c>
      <c r="T43" s="227">
        <v>69</v>
      </c>
      <c r="U43" s="227">
        <v>420</v>
      </c>
      <c r="V43" s="227">
        <v>3010</v>
      </c>
      <c r="W43" s="227">
        <v>0.1224489795918367</v>
      </c>
      <c r="X43" s="227">
        <v>0.87755102040816324</v>
      </c>
      <c r="Y43" s="100" t="s">
        <v>135</v>
      </c>
      <c r="Z43" s="29">
        <v>1</v>
      </c>
      <c r="AA43" s="9">
        <v>1</v>
      </c>
      <c r="AB43" s="9">
        <v>1</v>
      </c>
      <c r="AC43" s="9">
        <v>2</v>
      </c>
      <c r="AD43" s="43">
        <v>2</v>
      </c>
      <c r="AE43" s="55">
        <v>0.35859414261160716</v>
      </c>
      <c r="AF43" s="52" t="s">
        <v>120</v>
      </c>
    </row>
    <row r="44" spans="1:32">
      <c r="A44" s="227">
        <v>1997</v>
      </c>
      <c r="B44" s="227">
        <v>1233</v>
      </c>
      <c r="C44" s="227" t="s">
        <v>106</v>
      </c>
      <c r="D44" s="227">
        <v>556</v>
      </c>
      <c r="E44" s="227">
        <v>1789</v>
      </c>
      <c r="F44" s="227">
        <v>0</v>
      </c>
      <c r="G44" s="227">
        <v>1</v>
      </c>
      <c r="H44" s="227">
        <v>0</v>
      </c>
      <c r="I44" s="312" t="s">
        <v>119</v>
      </c>
      <c r="J44" s="29">
        <v>1</v>
      </c>
      <c r="K44" s="9">
        <v>1</v>
      </c>
      <c r="L44" s="9">
        <v>1</v>
      </c>
      <c r="M44" s="9">
        <v>2</v>
      </c>
      <c r="N44" s="43">
        <v>2</v>
      </c>
      <c r="O44" s="265">
        <f t="shared" si="1"/>
        <v>0.35859414261160716</v>
      </c>
      <c r="P44" s="164" t="s">
        <v>120</v>
      </c>
      <c r="Q44" s="227">
        <v>2005</v>
      </c>
      <c r="R44" s="227">
        <v>14639</v>
      </c>
      <c r="S44" s="227" t="s">
        <v>106</v>
      </c>
      <c r="T44" s="227">
        <v>2432</v>
      </c>
      <c r="U44" s="227">
        <v>4742</v>
      </c>
      <c r="V44" s="227">
        <v>12329</v>
      </c>
      <c r="W44" s="227">
        <v>0.27778103215980321</v>
      </c>
      <c r="X44" s="227">
        <v>0.7222189678401969</v>
      </c>
      <c r="Y44" s="100" t="s">
        <v>135</v>
      </c>
      <c r="Z44" s="29">
        <v>1</v>
      </c>
      <c r="AA44" s="9">
        <v>1</v>
      </c>
      <c r="AB44" s="9">
        <v>1</v>
      </c>
      <c r="AC44" s="9">
        <v>2</v>
      </c>
      <c r="AD44" s="43">
        <v>2</v>
      </c>
      <c r="AE44" s="55">
        <v>0.35859414261160716</v>
      </c>
      <c r="AF44" s="52" t="s">
        <v>120</v>
      </c>
    </row>
    <row r="45" spans="1:32">
      <c r="A45" s="227">
        <v>1998</v>
      </c>
      <c r="B45" s="227">
        <v>1435</v>
      </c>
      <c r="C45" s="227" t="s">
        <v>93</v>
      </c>
      <c r="D45" s="227">
        <v>403</v>
      </c>
      <c r="E45" s="227">
        <v>1601</v>
      </c>
      <c r="F45" s="227">
        <v>237</v>
      </c>
      <c r="G45" s="227">
        <v>0.87105549510337321</v>
      </c>
      <c r="H45" s="227">
        <v>0.12894450489662679</v>
      </c>
      <c r="I45" s="312" t="s">
        <v>119</v>
      </c>
      <c r="J45" s="29">
        <v>1</v>
      </c>
      <c r="K45" s="9">
        <v>1</v>
      </c>
      <c r="L45" s="9">
        <v>1</v>
      </c>
      <c r="M45" s="9">
        <v>2</v>
      </c>
      <c r="N45" s="43">
        <v>2</v>
      </c>
      <c r="O45" s="265">
        <f t="shared" si="1"/>
        <v>0.35859414261160716</v>
      </c>
      <c r="P45" s="164" t="s">
        <v>120</v>
      </c>
      <c r="Q45" s="227">
        <v>2006</v>
      </c>
      <c r="R45" s="227">
        <v>12651</v>
      </c>
      <c r="S45" s="227" t="s">
        <v>93</v>
      </c>
      <c r="T45" s="227">
        <v>4450</v>
      </c>
      <c r="U45" s="227">
        <v>2736</v>
      </c>
      <c r="V45" s="227">
        <v>14365</v>
      </c>
      <c r="W45" s="227">
        <v>0.15999064382199871</v>
      </c>
      <c r="X45" s="227">
        <v>0.84000935617800132</v>
      </c>
      <c r="Y45" s="100" t="s">
        <v>135</v>
      </c>
      <c r="Z45" s="29">
        <v>1</v>
      </c>
      <c r="AA45" s="9">
        <v>1</v>
      </c>
      <c r="AB45" s="9">
        <v>1</v>
      </c>
      <c r="AC45" s="9">
        <v>2</v>
      </c>
      <c r="AD45" s="43">
        <v>2</v>
      </c>
      <c r="AE45" s="55">
        <v>0.35859414261160716</v>
      </c>
      <c r="AF45" s="52" t="s">
        <v>120</v>
      </c>
    </row>
    <row r="46" spans="1:32">
      <c r="A46" s="227">
        <v>1998</v>
      </c>
      <c r="B46" s="227">
        <v>290</v>
      </c>
      <c r="C46" s="227" t="s">
        <v>94</v>
      </c>
      <c r="D46" s="227">
        <v>195</v>
      </c>
      <c r="E46" s="227">
        <v>424</v>
      </c>
      <c r="F46" s="227">
        <v>61</v>
      </c>
      <c r="G46" s="227">
        <v>0.87422680412371134</v>
      </c>
      <c r="H46" s="227">
        <v>0.12577319587628871</v>
      </c>
      <c r="I46" s="312" t="s">
        <v>119</v>
      </c>
      <c r="J46" s="29">
        <v>1</v>
      </c>
      <c r="K46" s="9">
        <v>1</v>
      </c>
      <c r="L46" s="9">
        <v>1</v>
      </c>
      <c r="M46" s="9">
        <v>2</v>
      </c>
      <c r="N46" s="43">
        <v>2</v>
      </c>
      <c r="O46" s="265">
        <f t="shared" si="1"/>
        <v>0.35859414261160716</v>
      </c>
      <c r="P46" s="164" t="s">
        <v>120</v>
      </c>
      <c r="Q46" s="227">
        <v>2006</v>
      </c>
      <c r="R46" s="227">
        <v>5682</v>
      </c>
      <c r="S46" s="227" t="s">
        <v>94</v>
      </c>
      <c r="T46" s="227">
        <v>1652</v>
      </c>
      <c r="U46" s="227">
        <v>1342</v>
      </c>
      <c r="V46" s="227">
        <v>5992</v>
      </c>
      <c r="W46" s="227">
        <v>0.18298336514862279</v>
      </c>
      <c r="X46" s="227">
        <v>0.81701663485137721</v>
      </c>
      <c r="Y46" s="100" t="s">
        <v>135</v>
      </c>
      <c r="Z46" s="29">
        <v>1</v>
      </c>
      <c r="AA46" s="9">
        <v>1</v>
      </c>
      <c r="AB46" s="9">
        <v>1</v>
      </c>
      <c r="AC46" s="9">
        <v>2</v>
      </c>
      <c r="AD46" s="43">
        <v>2</v>
      </c>
      <c r="AE46" s="55">
        <v>0.35859414261160716</v>
      </c>
      <c r="AF46" s="52" t="s">
        <v>120</v>
      </c>
    </row>
    <row r="47" spans="1:32">
      <c r="A47" s="227">
        <v>1998</v>
      </c>
      <c r="B47" s="227">
        <v>852</v>
      </c>
      <c r="C47" s="227" t="s">
        <v>95</v>
      </c>
      <c r="D47" s="227">
        <v>167</v>
      </c>
      <c r="E47" s="227">
        <v>432</v>
      </c>
      <c r="F47" s="227">
        <v>587</v>
      </c>
      <c r="G47" s="227">
        <v>0.42394504416094209</v>
      </c>
      <c r="H47" s="227">
        <v>0.57605495583905797</v>
      </c>
      <c r="I47" s="312" t="s">
        <v>119</v>
      </c>
      <c r="J47" s="29">
        <v>1</v>
      </c>
      <c r="K47" s="9">
        <v>1</v>
      </c>
      <c r="L47" s="9">
        <v>1</v>
      </c>
      <c r="M47" s="9">
        <v>2</v>
      </c>
      <c r="N47" s="43">
        <v>2</v>
      </c>
      <c r="O47" s="265">
        <f t="shared" si="1"/>
        <v>0.35859414261160716</v>
      </c>
      <c r="P47" s="164" t="s">
        <v>120</v>
      </c>
      <c r="Q47" s="227">
        <v>2006</v>
      </c>
      <c r="R47" s="227">
        <v>9780</v>
      </c>
      <c r="S47" s="227" t="s">
        <v>95</v>
      </c>
      <c r="T47" s="227">
        <v>1293</v>
      </c>
      <c r="U47" s="227">
        <v>1286</v>
      </c>
      <c r="V47" s="227">
        <v>9787</v>
      </c>
      <c r="W47" s="227">
        <v>0.1161383545561275</v>
      </c>
      <c r="X47" s="227">
        <v>0.88386164544387247</v>
      </c>
      <c r="Y47" s="100" t="s">
        <v>135</v>
      </c>
      <c r="Z47" s="29">
        <v>1</v>
      </c>
      <c r="AA47" s="9">
        <v>1</v>
      </c>
      <c r="AB47" s="9">
        <v>1</v>
      </c>
      <c r="AC47" s="9">
        <v>2</v>
      </c>
      <c r="AD47" s="43">
        <v>2</v>
      </c>
      <c r="AE47" s="55">
        <v>0.35859414261160716</v>
      </c>
      <c r="AF47" s="52" t="s">
        <v>120</v>
      </c>
    </row>
    <row r="48" spans="1:32">
      <c r="A48" s="227">
        <v>1998</v>
      </c>
      <c r="B48" s="227">
        <v>33</v>
      </c>
      <c r="C48" s="227" t="s">
        <v>96</v>
      </c>
      <c r="D48" s="227">
        <v>79</v>
      </c>
      <c r="E48" s="227">
        <v>112</v>
      </c>
      <c r="F48" s="227">
        <v>0</v>
      </c>
      <c r="G48" s="227">
        <v>1</v>
      </c>
      <c r="H48" s="227">
        <v>0</v>
      </c>
      <c r="I48" s="312" t="s">
        <v>119</v>
      </c>
      <c r="J48" s="29">
        <v>1</v>
      </c>
      <c r="K48" s="9">
        <v>1</v>
      </c>
      <c r="L48" s="9">
        <v>1</v>
      </c>
      <c r="M48" s="9">
        <v>2</v>
      </c>
      <c r="N48" s="43">
        <v>2</v>
      </c>
      <c r="O48" s="265">
        <f t="shared" si="1"/>
        <v>0.35859414261160716</v>
      </c>
      <c r="P48" s="164" t="s">
        <v>120</v>
      </c>
      <c r="Q48" s="227">
        <v>2006</v>
      </c>
      <c r="R48" s="227">
        <v>2239</v>
      </c>
      <c r="S48" s="227" t="s">
        <v>96</v>
      </c>
      <c r="T48" s="227">
        <v>158</v>
      </c>
      <c r="U48" s="227">
        <v>293</v>
      </c>
      <c r="V48" s="227">
        <v>2104</v>
      </c>
      <c r="W48" s="227">
        <v>0.1222361284939508</v>
      </c>
      <c r="X48" s="227">
        <v>0.87776387150604918</v>
      </c>
      <c r="Y48" s="100" t="s">
        <v>135</v>
      </c>
      <c r="Z48" s="29">
        <v>1</v>
      </c>
      <c r="AA48" s="9">
        <v>1</v>
      </c>
      <c r="AB48" s="9">
        <v>1</v>
      </c>
      <c r="AC48" s="9">
        <v>2</v>
      </c>
      <c r="AD48" s="43">
        <v>2</v>
      </c>
      <c r="AE48" s="55">
        <v>0.35859414261160716</v>
      </c>
      <c r="AF48" s="52" t="s">
        <v>120</v>
      </c>
    </row>
    <row r="49" spans="1:32">
      <c r="A49" s="227">
        <v>1998</v>
      </c>
      <c r="B49" s="227">
        <v>191</v>
      </c>
      <c r="C49" s="227" t="s">
        <v>97</v>
      </c>
      <c r="D49" s="227">
        <v>36</v>
      </c>
      <c r="E49" s="227">
        <v>46</v>
      </c>
      <c r="F49" s="227">
        <v>181</v>
      </c>
      <c r="G49" s="227">
        <v>0.20264317180616739</v>
      </c>
      <c r="H49" s="227">
        <v>0.79735682819383258</v>
      </c>
      <c r="I49" s="312" t="s">
        <v>119</v>
      </c>
      <c r="J49" s="29">
        <v>1</v>
      </c>
      <c r="K49" s="9">
        <v>1</v>
      </c>
      <c r="L49" s="9">
        <v>1</v>
      </c>
      <c r="M49" s="9">
        <v>2</v>
      </c>
      <c r="N49" s="43">
        <v>2</v>
      </c>
      <c r="O49" s="265">
        <f t="shared" si="1"/>
        <v>0.35859414261160716</v>
      </c>
      <c r="P49" s="164" t="s">
        <v>120</v>
      </c>
      <c r="Q49" s="227">
        <v>2006</v>
      </c>
      <c r="R49" s="227">
        <v>1225</v>
      </c>
      <c r="S49" s="227" t="s">
        <v>97</v>
      </c>
      <c r="T49" s="227">
        <v>41</v>
      </c>
      <c r="U49" s="227">
        <v>125</v>
      </c>
      <c r="V49" s="227">
        <v>1141</v>
      </c>
      <c r="W49" s="227">
        <v>9.873617693522907E-2</v>
      </c>
      <c r="X49" s="227">
        <v>0.90126382306477093</v>
      </c>
      <c r="Y49" s="100" t="s">
        <v>135</v>
      </c>
      <c r="Z49" s="29">
        <v>1</v>
      </c>
      <c r="AA49" s="9">
        <v>1</v>
      </c>
      <c r="AB49" s="9">
        <v>1</v>
      </c>
      <c r="AC49" s="9">
        <v>2</v>
      </c>
      <c r="AD49" s="43">
        <v>2</v>
      </c>
      <c r="AE49" s="55">
        <v>0.35859414261160716</v>
      </c>
      <c r="AF49" s="52" t="s">
        <v>120</v>
      </c>
    </row>
    <row r="50" spans="1:32">
      <c r="A50" s="227">
        <v>1998</v>
      </c>
      <c r="B50" s="227">
        <v>610</v>
      </c>
      <c r="C50" s="227" t="s">
        <v>98</v>
      </c>
      <c r="D50" s="227">
        <v>219</v>
      </c>
      <c r="E50" s="227">
        <v>398</v>
      </c>
      <c r="F50" s="227">
        <v>431</v>
      </c>
      <c r="G50" s="227">
        <v>0.48009650180940888</v>
      </c>
      <c r="H50" s="227">
        <v>0.51990349819059101</v>
      </c>
      <c r="I50" s="312" t="s">
        <v>119</v>
      </c>
      <c r="J50" s="29">
        <v>1</v>
      </c>
      <c r="K50" s="9">
        <v>1</v>
      </c>
      <c r="L50" s="9">
        <v>1</v>
      </c>
      <c r="M50" s="9">
        <v>2</v>
      </c>
      <c r="N50" s="43">
        <v>2</v>
      </c>
      <c r="O50" s="265">
        <f t="shared" si="1"/>
        <v>0.35859414261160716</v>
      </c>
      <c r="P50" s="164" t="s">
        <v>120</v>
      </c>
      <c r="Q50" s="227">
        <v>2006</v>
      </c>
      <c r="R50" s="227">
        <v>6599</v>
      </c>
      <c r="S50" s="227" t="s">
        <v>98</v>
      </c>
      <c r="T50" s="227">
        <v>551</v>
      </c>
      <c r="U50" s="227">
        <v>1275</v>
      </c>
      <c r="V50" s="227">
        <v>5875</v>
      </c>
      <c r="W50" s="227">
        <v>0.17832167832167831</v>
      </c>
      <c r="X50" s="227">
        <v>0.82167832167832167</v>
      </c>
      <c r="Y50" s="100" t="s">
        <v>135</v>
      </c>
      <c r="Z50" s="29">
        <v>1</v>
      </c>
      <c r="AA50" s="9">
        <v>1</v>
      </c>
      <c r="AB50" s="9">
        <v>1</v>
      </c>
      <c r="AC50" s="9">
        <v>2</v>
      </c>
      <c r="AD50" s="43">
        <v>2</v>
      </c>
      <c r="AE50" s="55">
        <v>0.35859414261160716</v>
      </c>
      <c r="AF50" s="52" t="s">
        <v>120</v>
      </c>
    </row>
    <row r="51" spans="1:32">
      <c r="A51" s="227">
        <v>1998</v>
      </c>
      <c r="B51" s="227">
        <v>0</v>
      </c>
      <c r="C51" s="227" t="s">
        <v>99</v>
      </c>
      <c r="D51" s="227">
        <v>0</v>
      </c>
      <c r="E51" s="227">
        <v>0</v>
      </c>
      <c r="F51" s="227">
        <v>0</v>
      </c>
      <c r="G51" s="227"/>
      <c r="H51" s="227"/>
      <c r="I51" s="312" t="s">
        <v>119</v>
      </c>
      <c r="J51" s="29">
        <v>1</v>
      </c>
      <c r="K51" s="9">
        <v>1</v>
      </c>
      <c r="L51" s="9">
        <v>1</v>
      </c>
      <c r="M51" s="9">
        <v>2</v>
      </c>
      <c r="N51" s="43">
        <v>2</v>
      </c>
      <c r="O51" s="265">
        <f t="shared" si="1"/>
        <v>0.35859414261160716</v>
      </c>
      <c r="P51" s="164" t="s">
        <v>120</v>
      </c>
      <c r="Q51" s="227">
        <v>2006</v>
      </c>
      <c r="R51" s="227">
        <v>2931</v>
      </c>
      <c r="S51" s="227" t="s">
        <v>99</v>
      </c>
      <c r="T51" s="227">
        <v>988</v>
      </c>
      <c r="U51" s="227">
        <v>334</v>
      </c>
      <c r="V51" s="227">
        <v>3585</v>
      </c>
      <c r="W51" s="227">
        <v>8.5225822914008681E-2</v>
      </c>
      <c r="X51" s="227">
        <v>0.91477417708599129</v>
      </c>
      <c r="Y51" s="100" t="s">
        <v>135</v>
      </c>
      <c r="Z51" s="29">
        <v>1</v>
      </c>
      <c r="AA51" s="9">
        <v>1</v>
      </c>
      <c r="AB51" s="9">
        <v>1</v>
      </c>
      <c r="AC51" s="9">
        <v>2</v>
      </c>
      <c r="AD51" s="43">
        <v>2</v>
      </c>
      <c r="AE51" s="55">
        <v>0.35859414261160716</v>
      </c>
      <c r="AF51" s="52" t="s">
        <v>120</v>
      </c>
    </row>
    <row r="52" spans="1:32">
      <c r="A52" s="227">
        <v>1998</v>
      </c>
      <c r="B52" s="227">
        <v>144</v>
      </c>
      <c r="C52" s="227" t="s">
        <v>102</v>
      </c>
      <c r="D52" s="227">
        <v>20</v>
      </c>
      <c r="E52" s="227">
        <v>164</v>
      </c>
      <c r="F52" s="227">
        <v>0</v>
      </c>
      <c r="G52" s="227">
        <v>1</v>
      </c>
      <c r="H52" s="227">
        <v>0</v>
      </c>
      <c r="I52" s="312" t="s">
        <v>119</v>
      </c>
      <c r="J52" s="29">
        <v>1</v>
      </c>
      <c r="K52" s="9">
        <v>1</v>
      </c>
      <c r="L52" s="9">
        <v>1</v>
      </c>
      <c r="M52" s="9">
        <v>2</v>
      </c>
      <c r="N52" s="43">
        <v>2</v>
      </c>
      <c r="O52" s="265">
        <f t="shared" si="1"/>
        <v>0.35859414261160716</v>
      </c>
      <c r="P52" s="164" t="s">
        <v>120</v>
      </c>
      <c r="Q52" s="227">
        <v>2006</v>
      </c>
      <c r="R52" s="227">
        <v>736</v>
      </c>
      <c r="S52" s="227" t="s">
        <v>102</v>
      </c>
      <c r="T52" s="227">
        <v>243</v>
      </c>
      <c r="U52" s="227">
        <v>165</v>
      </c>
      <c r="V52" s="227">
        <v>814</v>
      </c>
      <c r="W52" s="227">
        <v>0.1685393258426966</v>
      </c>
      <c r="X52" s="227">
        <v>0.8314606741573034</v>
      </c>
      <c r="Y52" s="100" t="s">
        <v>135</v>
      </c>
      <c r="Z52" s="29">
        <v>1</v>
      </c>
      <c r="AA52" s="9">
        <v>1</v>
      </c>
      <c r="AB52" s="9">
        <v>1</v>
      </c>
      <c r="AC52" s="9">
        <v>2</v>
      </c>
      <c r="AD52" s="43">
        <v>2</v>
      </c>
      <c r="AE52" s="55">
        <v>0.35859414261160716</v>
      </c>
      <c r="AF52" s="52" t="s">
        <v>120</v>
      </c>
    </row>
    <row r="53" spans="1:32">
      <c r="A53" s="227">
        <v>1998</v>
      </c>
      <c r="B53" s="227">
        <v>337</v>
      </c>
      <c r="C53" s="227" t="s">
        <v>104</v>
      </c>
      <c r="D53" s="227">
        <v>67</v>
      </c>
      <c r="E53" s="227">
        <v>210</v>
      </c>
      <c r="F53" s="227">
        <v>194</v>
      </c>
      <c r="G53" s="227">
        <v>0.51980198019801982</v>
      </c>
      <c r="H53" s="227">
        <v>0.48019801980198018</v>
      </c>
      <c r="I53" s="312" t="s">
        <v>119</v>
      </c>
      <c r="J53" s="29">
        <v>1</v>
      </c>
      <c r="K53" s="9">
        <v>1</v>
      </c>
      <c r="L53" s="9">
        <v>1</v>
      </c>
      <c r="M53" s="9">
        <v>2</v>
      </c>
      <c r="N53" s="43">
        <v>2</v>
      </c>
      <c r="O53" s="265">
        <f t="shared" si="1"/>
        <v>0.35859414261160716</v>
      </c>
      <c r="P53" s="164" t="s">
        <v>120</v>
      </c>
      <c r="Q53" s="227">
        <v>2006</v>
      </c>
      <c r="R53" s="227">
        <v>1135</v>
      </c>
      <c r="S53" s="227" t="s">
        <v>104</v>
      </c>
      <c r="T53" s="227">
        <v>92</v>
      </c>
      <c r="U53" s="227">
        <v>286</v>
      </c>
      <c r="V53" s="227">
        <v>941</v>
      </c>
      <c r="W53" s="227">
        <v>0.23308883455582721</v>
      </c>
      <c r="X53" s="227">
        <v>0.76691116544417282</v>
      </c>
      <c r="Y53" s="100" t="s">
        <v>135</v>
      </c>
      <c r="Z53" s="29">
        <v>1</v>
      </c>
      <c r="AA53" s="9">
        <v>1</v>
      </c>
      <c r="AB53" s="9">
        <v>1</v>
      </c>
      <c r="AC53" s="9">
        <v>2</v>
      </c>
      <c r="AD53" s="43">
        <v>2</v>
      </c>
      <c r="AE53" s="55">
        <v>0.35859414261160716</v>
      </c>
      <c r="AF53" s="52" t="s">
        <v>120</v>
      </c>
    </row>
    <row r="54" spans="1:32">
      <c r="A54" s="227">
        <v>1998</v>
      </c>
      <c r="B54" s="227">
        <v>233</v>
      </c>
      <c r="C54" s="227" t="s">
        <v>105</v>
      </c>
      <c r="D54" s="227">
        <v>96</v>
      </c>
      <c r="E54" s="227">
        <v>145</v>
      </c>
      <c r="F54" s="227">
        <v>184</v>
      </c>
      <c r="G54" s="227">
        <v>0.44072948328267469</v>
      </c>
      <c r="H54" s="227">
        <v>0.55927051671732531</v>
      </c>
      <c r="I54" s="312" t="s">
        <v>119</v>
      </c>
      <c r="J54" s="29">
        <v>1</v>
      </c>
      <c r="K54" s="9">
        <v>1</v>
      </c>
      <c r="L54" s="9">
        <v>1</v>
      </c>
      <c r="M54" s="9">
        <v>2</v>
      </c>
      <c r="N54" s="43">
        <v>2</v>
      </c>
      <c r="O54" s="265">
        <f t="shared" si="1"/>
        <v>0.35859414261160716</v>
      </c>
      <c r="P54" s="164" t="s">
        <v>120</v>
      </c>
      <c r="Q54" s="227">
        <v>2006</v>
      </c>
      <c r="R54" s="227">
        <v>3259</v>
      </c>
      <c r="S54" s="227" t="s">
        <v>105</v>
      </c>
      <c r="T54" s="227">
        <v>414</v>
      </c>
      <c r="U54" s="227">
        <v>764</v>
      </c>
      <c r="V54" s="227">
        <v>2909</v>
      </c>
      <c r="W54" s="227">
        <v>0.20800435611216991</v>
      </c>
      <c r="X54" s="227">
        <v>0.79199564388783017</v>
      </c>
      <c r="Y54" s="100" t="s">
        <v>135</v>
      </c>
      <c r="Z54" s="29">
        <v>1</v>
      </c>
      <c r="AA54" s="9">
        <v>1</v>
      </c>
      <c r="AB54" s="9">
        <v>1</v>
      </c>
      <c r="AC54" s="9">
        <v>2</v>
      </c>
      <c r="AD54" s="43">
        <v>2</v>
      </c>
      <c r="AE54" s="55">
        <v>0.35859414261160716</v>
      </c>
      <c r="AF54" s="52" t="s">
        <v>120</v>
      </c>
    </row>
    <row r="55" spans="1:32">
      <c r="A55" s="227">
        <v>1998</v>
      </c>
      <c r="B55" s="227">
        <v>200</v>
      </c>
      <c r="C55" s="227" t="s">
        <v>103</v>
      </c>
      <c r="D55" s="227">
        <v>141</v>
      </c>
      <c r="E55" s="227">
        <v>180</v>
      </c>
      <c r="F55" s="227">
        <v>161</v>
      </c>
      <c r="G55" s="227">
        <v>0.52785923753665687</v>
      </c>
      <c r="H55" s="227">
        <v>0.47214076246334308</v>
      </c>
      <c r="I55" s="312" t="s">
        <v>119</v>
      </c>
      <c r="J55" s="29">
        <v>1</v>
      </c>
      <c r="K55" s="9">
        <v>1</v>
      </c>
      <c r="L55" s="9">
        <v>1</v>
      </c>
      <c r="M55" s="9">
        <v>2</v>
      </c>
      <c r="N55" s="43">
        <v>2</v>
      </c>
      <c r="O55" s="265">
        <f t="shared" si="1"/>
        <v>0.35859414261160716</v>
      </c>
      <c r="P55" s="164" t="s">
        <v>120</v>
      </c>
      <c r="Q55" s="227">
        <v>2006</v>
      </c>
      <c r="R55" s="227">
        <v>2440</v>
      </c>
      <c r="S55" s="227" t="s">
        <v>103</v>
      </c>
      <c r="T55" s="227">
        <v>307</v>
      </c>
      <c r="U55" s="227">
        <v>341</v>
      </c>
      <c r="V55" s="227">
        <v>2406</v>
      </c>
      <c r="W55" s="227">
        <v>0.1241354204586822</v>
      </c>
      <c r="X55" s="227">
        <v>0.8758645795413178</v>
      </c>
      <c r="Y55" s="100" t="s">
        <v>135</v>
      </c>
      <c r="Z55" s="29">
        <v>1</v>
      </c>
      <c r="AA55" s="9">
        <v>1</v>
      </c>
      <c r="AB55" s="9">
        <v>1</v>
      </c>
      <c r="AC55" s="9">
        <v>2</v>
      </c>
      <c r="AD55" s="43">
        <v>2</v>
      </c>
      <c r="AE55" s="55">
        <v>0.35859414261160716</v>
      </c>
      <c r="AF55" s="52" t="s">
        <v>120</v>
      </c>
    </row>
    <row r="56" spans="1:32">
      <c r="A56" s="227">
        <v>1998</v>
      </c>
      <c r="B56" s="227">
        <v>98</v>
      </c>
      <c r="C56" s="227" t="s">
        <v>101</v>
      </c>
      <c r="D56" s="227">
        <v>16</v>
      </c>
      <c r="E56" s="227">
        <v>33</v>
      </c>
      <c r="F56" s="227">
        <v>81</v>
      </c>
      <c r="G56" s="227">
        <v>0.28947368421052633</v>
      </c>
      <c r="H56" s="227">
        <v>0.71052631578947367</v>
      </c>
      <c r="I56" s="312" t="s">
        <v>119</v>
      </c>
      <c r="J56" s="29">
        <v>1</v>
      </c>
      <c r="K56" s="9">
        <v>1</v>
      </c>
      <c r="L56" s="9">
        <v>1</v>
      </c>
      <c r="M56" s="9">
        <v>2</v>
      </c>
      <c r="N56" s="43">
        <v>2</v>
      </c>
      <c r="O56" s="265">
        <f t="shared" si="1"/>
        <v>0.35859414261160716</v>
      </c>
      <c r="P56" s="164" t="s">
        <v>120</v>
      </c>
      <c r="Q56" s="227">
        <v>2006</v>
      </c>
      <c r="R56" s="227">
        <v>3363</v>
      </c>
      <c r="S56" s="227" t="s">
        <v>101</v>
      </c>
      <c r="T56" s="227">
        <v>65</v>
      </c>
      <c r="U56" s="227">
        <v>369</v>
      </c>
      <c r="V56" s="227">
        <v>3059</v>
      </c>
      <c r="W56" s="227">
        <v>0.1076429404900817</v>
      </c>
      <c r="X56" s="227">
        <v>0.89235705950991828</v>
      </c>
      <c r="Y56" s="100" t="s">
        <v>135</v>
      </c>
      <c r="Z56" s="29">
        <v>1</v>
      </c>
      <c r="AA56" s="9">
        <v>1</v>
      </c>
      <c r="AB56" s="9">
        <v>1</v>
      </c>
      <c r="AC56" s="9">
        <v>2</v>
      </c>
      <c r="AD56" s="43">
        <v>2</v>
      </c>
      <c r="AE56" s="55">
        <v>0.35859414261160716</v>
      </c>
      <c r="AF56" s="52" t="s">
        <v>120</v>
      </c>
    </row>
    <row r="57" spans="1:32">
      <c r="A57" s="227">
        <v>1998</v>
      </c>
      <c r="B57" s="227">
        <v>1521</v>
      </c>
      <c r="C57" s="227" t="s">
        <v>106</v>
      </c>
      <c r="D57" s="227">
        <v>544</v>
      </c>
      <c r="E57" s="227">
        <v>2065</v>
      </c>
      <c r="F57" s="227">
        <v>0</v>
      </c>
      <c r="G57" s="227">
        <v>1</v>
      </c>
      <c r="H57" s="227">
        <v>0</v>
      </c>
      <c r="I57" s="312" t="s">
        <v>119</v>
      </c>
      <c r="J57" s="29">
        <v>1</v>
      </c>
      <c r="K57" s="9">
        <v>1</v>
      </c>
      <c r="L57" s="9">
        <v>1</v>
      </c>
      <c r="M57" s="9">
        <v>2</v>
      </c>
      <c r="N57" s="43">
        <v>2</v>
      </c>
      <c r="O57" s="265">
        <f t="shared" si="1"/>
        <v>0.35859414261160716</v>
      </c>
      <c r="P57" s="164" t="s">
        <v>120</v>
      </c>
      <c r="Q57" s="227">
        <v>2006</v>
      </c>
      <c r="R57" s="227">
        <v>16073</v>
      </c>
      <c r="S57" s="227" t="s">
        <v>106</v>
      </c>
      <c r="T57" s="227">
        <v>2561</v>
      </c>
      <c r="U57" s="227">
        <v>3795</v>
      </c>
      <c r="V57" s="227">
        <v>14839</v>
      </c>
      <c r="W57" s="227">
        <v>0.20365997638724909</v>
      </c>
      <c r="X57" s="227">
        <v>0.79634002361275091</v>
      </c>
      <c r="Y57" s="100" t="s">
        <v>135</v>
      </c>
      <c r="Z57" s="29">
        <v>1</v>
      </c>
      <c r="AA57" s="9">
        <v>1</v>
      </c>
      <c r="AB57" s="9">
        <v>1</v>
      </c>
      <c r="AC57" s="9">
        <v>2</v>
      </c>
      <c r="AD57" s="43">
        <v>2</v>
      </c>
      <c r="AE57" s="55">
        <v>0.35859414261160716</v>
      </c>
      <c r="AF57" s="52" t="s">
        <v>120</v>
      </c>
    </row>
    <row r="58" spans="1:32">
      <c r="A58" s="227">
        <v>1999</v>
      </c>
      <c r="B58" s="227">
        <v>1435</v>
      </c>
      <c r="C58" s="227" t="s">
        <v>93</v>
      </c>
      <c r="D58" s="227">
        <v>379</v>
      </c>
      <c r="E58" s="227">
        <v>1573</v>
      </c>
      <c r="F58" s="227">
        <v>241</v>
      </c>
      <c r="G58" s="227">
        <v>0.86714443219404636</v>
      </c>
      <c r="H58" s="227">
        <v>0.13285556780595359</v>
      </c>
      <c r="I58" s="312" t="s">
        <v>119</v>
      </c>
      <c r="J58" s="29">
        <v>1</v>
      </c>
      <c r="K58" s="9">
        <v>1</v>
      </c>
      <c r="L58" s="9">
        <v>1</v>
      </c>
      <c r="M58" s="9">
        <v>2</v>
      </c>
      <c r="N58" s="43">
        <v>2</v>
      </c>
      <c r="O58" s="265">
        <f t="shared" si="1"/>
        <v>0.35859414261160716</v>
      </c>
      <c r="P58" s="164" t="s">
        <v>120</v>
      </c>
      <c r="Q58" s="227">
        <v>2007</v>
      </c>
      <c r="R58" s="227">
        <v>15972</v>
      </c>
      <c r="S58" s="227" t="s">
        <v>93</v>
      </c>
      <c r="T58" s="227">
        <v>4175</v>
      </c>
      <c r="U58" s="227">
        <v>2969</v>
      </c>
      <c r="V58" s="227">
        <v>17178</v>
      </c>
      <c r="W58" s="227">
        <v>0.14736685362585</v>
      </c>
      <c r="X58" s="227">
        <v>0.85263314637415</v>
      </c>
      <c r="Y58" s="100" t="s">
        <v>135</v>
      </c>
      <c r="Z58" s="29">
        <v>1</v>
      </c>
      <c r="AA58" s="9">
        <v>1</v>
      </c>
      <c r="AB58" s="9">
        <v>1</v>
      </c>
      <c r="AC58" s="9">
        <v>2</v>
      </c>
      <c r="AD58" s="43">
        <v>2</v>
      </c>
      <c r="AE58" s="55">
        <v>0.35859414261160716</v>
      </c>
      <c r="AF58" s="52" t="s">
        <v>120</v>
      </c>
    </row>
    <row r="59" spans="1:32">
      <c r="A59" s="227">
        <v>1999</v>
      </c>
      <c r="B59" s="227">
        <v>290</v>
      </c>
      <c r="C59" s="227" t="s">
        <v>94</v>
      </c>
      <c r="D59" s="227">
        <v>170</v>
      </c>
      <c r="E59" s="227">
        <v>390</v>
      </c>
      <c r="F59" s="227">
        <v>70</v>
      </c>
      <c r="G59" s="227">
        <v>0.84782608695652173</v>
      </c>
      <c r="H59" s="227">
        <v>0.1521739130434783</v>
      </c>
      <c r="I59" s="312" t="s">
        <v>119</v>
      </c>
      <c r="J59" s="29">
        <v>1</v>
      </c>
      <c r="K59" s="9">
        <v>1</v>
      </c>
      <c r="L59" s="9">
        <v>1</v>
      </c>
      <c r="M59" s="9">
        <v>2</v>
      </c>
      <c r="N59" s="43">
        <v>2</v>
      </c>
      <c r="O59" s="265">
        <f t="shared" si="1"/>
        <v>0.35859414261160716</v>
      </c>
      <c r="P59" s="164" t="s">
        <v>120</v>
      </c>
      <c r="Q59" s="227">
        <v>2007</v>
      </c>
      <c r="R59" s="227">
        <v>6232</v>
      </c>
      <c r="S59" s="227" t="s">
        <v>94</v>
      </c>
      <c r="T59" s="227">
        <v>1552</v>
      </c>
      <c r="U59" s="227">
        <v>1402</v>
      </c>
      <c r="V59" s="227">
        <v>6382</v>
      </c>
      <c r="W59" s="227">
        <v>0.18011305241521069</v>
      </c>
      <c r="X59" s="227">
        <v>0.81988694758478931</v>
      </c>
      <c r="Y59" s="100" t="s">
        <v>135</v>
      </c>
      <c r="Z59" s="29">
        <v>1</v>
      </c>
      <c r="AA59" s="9">
        <v>1</v>
      </c>
      <c r="AB59" s="9">
        <v>1</v>
      </c>
      <c r="AC59" s="9">
        <v>2</v>
      </c>
      <c r="AD59" s="43">
        <v>2</v>
      </c>
      <c r="AE59" s="55">
        <v>0.35859414261160716</v>
      </c>
      <c r="AF59" s="52" t="s">
        <v>120</v>
      </c>
    </row>
    <row r="60" spans="1:32">
      <c r="A60" s="227">
        <v>1999</v>
      </c>
      <c r="B60" s="227">
        <v>852</v>
      </c>
      <c r="C60" s="227" t="s">
        <v>95</v>
      </c>
      <c r="D60" s="227">
        <v>180</v>
      </c>
      <c r="E60" s="227">
        <v>390</v>
      </c>
      <c r="F60" s="227">
        <v>642</v>
      </c>
      <c r="G60" s="227">
        <v>0.37790697674418611</v>
      </c>
      <c r="H60" s="227">
        <v>0.62209302325581395</v>
      </c>
      <c r="I60" s="312" t="s">
        <v>119</v>
      </c>
      <c r="J60" s="29">
        <v>1</v>
      </c>
      <c r="K60" s="9">
        <v>1</v>
      </c>
      <c r="L60" s="9">
        <v>1</v>
      </c>
      <c r="M60" s="9">
        <v>2</v>
      </c>
      <c r="N60" s="43">
        <v>2</v>
      </c>
      <c r="O60" s="265">
        <f t="shared" si="1"/>
        <v>0.35859414261160716</v>
      </c>
      <c r="P60" s="164" t="s">
        <v>120</v>
      </c>
      <c r="Q60" s="227">
        <v>2007</v>
      </c>
      <c r="R60" s="227">
        <v>11254</v>
      </c>
      <c r="S60" s="227" t="s">
        <v>95</v>
      </c>
      <c r="T60" s="227">
        <v>1332</v>
      </c>
      <c r="U60" s="227">
        <v>1039</v>
      </c>
      <c r="V60" s="227">
        <v>11547</v>
      </c>
      <c r="W60" s="227">
        <v>8.2552041951374541E-2</v>
      </c>
      <c r="X60" s="227">
        <v>0.91744795804862544</v>
      </c>
      <c r="Y60" s="100" t="s">
        <v>135</v>
      </c>
      <c r="Z60" s="29">
        <v>1</v>
      </c>
      <c r="AA60" s="9">
        <v>1</v>
      </c>
      <c r="AB60" s="9">
        <v>1</v>
      </c>
      <c r="AC60" s="9">
        <v>2</v>
      </c>
      <c r="AD60" s="43">
        <v>2</v>
      </c>
      <c r="AE60" s="55">
        <v>0.35859414261160716</v>
      </c>
      <c r="AF60" s="52" t="s">
        <v>120</v>
      </c>
    </row>
    <row r="61" spans="1:32">
      <c r="A61" s="227">
        <v>1999</v>
      </c>
      <c r="B61" s="227">
        <v>38</v>
      </c>
      <c r="C61" s="227" t="s">
        <v>96</v>
      </c>
      <c r="D61" s="227">
        <v>80</v>
      </c>
      <c r="E61" s="227">
        <v>118</v>
      </c>
      <c r="F61" s="227">
        <v>0</v>
      </c>
      <c r="G61" s="227">
        <v>1</v>
      </c>
      <c r="H61" s="227">
        <v>0</v>
      </c>
      <c r="I61" s="312" t="s">
        <v>119</v>
      </c>
      <c r="J61" s="29">
        <v>1</v>
      </c>
      <c r="K61" s="9">
        <v>1</v>
      </c>
      <c r="L61" s="9">
        <v>1</v>
      </c>
      <c r="M61" s="9">
        <v>2</v>
      </c>
      <c r="N61" s="43">
        <v>2</v>
      </c>
      <c r="O61" s="265">
        <f t="shared" si="1"/>
        <v>0.35859414261160716</v>
      </c>
      <c r="P61" s="164" t="s">
        <v>120</v>
      </c>
      <c r="Q61" s="227">
        <v>2007</v>
      </c>
      <c r="R61" s="227">
        <v>1934</v>
      </c>
      <c r="S61" s="227" t="s">
        <v>96</v>
      </c>
      <c r="T61" s="227">
        <v>125</v>
      </c>
      <c r="U61" s="227">
        <v>341</v>
      </c>
      <c r="V61" s="227">
        <v>1718</v>
      </c>
      <c r="W61" s="227">
        <v>0.16561437591063621</v>
      </c>
      <c r="X61" s="227">
        <v>0.83438562408936379</v>
      </c>
      <c r="Y61" s="100" t="s">
        <v>135</v>
      </c>
      <c r="Z61" s="29">
        <v>1</v>
      </c>
      <c r="AA61" s="9">
        <v>1</v>
      </c>
      <c r="AB61" s="9">
        <v>1</v>
      </c>
      <c r="AC61" s="9">
        <v>2</v>
      </c>
      <c r="AD61" s="43">
        <v>2</v>
      </c>
      <c r="AE61" s="55">
        <v>0.35859414261160716</v>
      </c>
      <c r="AF61" s="52" t="s">
        <v>120</v>
      </c>
    </row>
    <row r="62" spans="1:32">
      <c r="A62" s="227">
        <v>1999</v>
      </c>
      <c r="B62" s="227">
        <v>191</v>
      </c>
      <c r="C62" s="227" t="s">
        <v>97</v>
      </c>
      <c r="D62" s="227">
        <v>26</v>
      </c>
      <c r="E62" s="227">
        <v>102</v>
      </c>
      <c r="F62" s="227">
        <v>115</v>
      </c>
      <c r="G62" s="227">
        <v>0.47004608294930877</v>
      </c>
      <c r="H62" s="227">
        <v>0.52995391705069128</v>
      </c>
      <c r="I62" s="312" t="s">
        <v>119</v>
      </c>
      <c r="J62" s="29">
        <v>1</v>
      </c>
      <c r="K62" s="9">
        <v>1</v>
      </c>
      <c r="L62" s="9">
        <v>1</v>
      </c>
      <c r="M62" s="9">
        <v>2</v>
      </c>
      <c r="N62" s="43">
        <v>2</v>
      </c>
      <c r="O62" s="265">
        <f t="shared" si="1"/>
        <v>0.35859414261160716</v>
      </c>
      <c r="P62" s="164" t="s">
        <v>120</v>
      </c>
      <c r="Q62" s="227">
        <v>2007</v>
      </c>
      <c r="R62" s="227">
        <v>1527</v>
      </c>
      <c r="S62" s="227" t="s">
        <v>97</v>
      </c>
      <c r="T62" s="227">
        <v>45</v>
      </c>
      <c r="U62" s="227">
        <v>109</v>
      </c>
      <c r="V62" s="227">
        <v>1463</v>
      </c>
      <c r="W62" s="227">
        <v>6.9338422391857502E-2</v>
      </c>
      <c r="X62" s="227">
        <v>0.9306615776081425</v>
      </c>
      <c r="Y62" s="100" t="s">
        <v>135</v>
      </c>
      <c r="Z62" s="29">
        <v>1</v>
      </c>
      <c r="AA62" s="9">
        <v>1</v>
      </c>
      <c r="AB62" s="9">
        <v>1</v>
      </c>
      <c r="AC62" s="9">
        <v>2</v>
      </c>
      <c r="AD62" s="43">
        <v>2</v>
      </c>
      <c r="AE62" s="55">
        <v>0.35859414261160716</v>
      </c>
      <c r="AF62" s="52" t="s">
        <v>120</v>
      </c>
    </row>
    <row r="63" spans="1:32">
      <c r="A63" s="227">
        <v>1999</v>
      </c>
      <c r="B63" s="227">
        <v>610</v>
      </c>
      <c r="C63" s="227" t="s">
        <v>98</v>
      </c>
      <c r="D63" s="227">
        <v>245</v>
      </c>
      <c r="E63" s="227">
        <v>464</v>
      </c>
      <c r="F63" s="227">
        <v>391</v>
      </c>
      <c r="G63" s="227">
        <v>0.54269005847953211</v>
      </c>
      <c r="H63" s="227">
        <v>0.45730994152046789</v>
      </c>
      <c r="I63" s="312" t="s">
        <v>119</v>
      </c>
      <c r="J63" s="29">
        <v>1</v>
      </c>
      <c r="K63" s="9">
        <v>1</v>
      </c>
      <c r="L63" s="9">
        <v>1</v>
      </c>
      <c r="M63" s="9">
        <v>2</v>
      </c>
      <c r="N63" s="43">
        <v>2</v>
      </c>
      <c r="O63" s="265">
        <f t="shared" si="1"/>
        <v>0.35859414261160716</v>
      </c>
      <c r="P63" s="164" t="s">
        <v>120</v>
      </c>
      <c r="Q63" s="227">
        <v>2007</v>
      </c>
      <c r="R63" s="227">
        <v>6337</v>
      </c>
      <c r="S63" s="227" t="s">
        <v>98</v>
      </c>
      <c r="T63" s="227">
        <v>553</v>
      </c>
      <c r="U63" s="227">
        <v>1271</v>
      </c>
      <c r="V63" s="227">
        <v>5619</v>
      </c>
      <c r="W63" s="227">
        <v>0.18447024673439771</v>
      </c>
      <c r="X63" s="227">
        <v>0.81552975326560229</v>
      </c>
      <c r="Y63" s="100" t="s">
        <v>135</v>
      </c>
      <c r="Z63" s="29">
        <v>1</v>
      </c>
      <c r="AA63" s="9">
        <v>1</v>
      </c>
      <c r="AB63" s="9">
        <v>1</v>
      </c>
      <c r="AC63" s="9">
        <v>2</v>
      </c>
      <c r="AD63" s="43">
        <v>2</v>
      </c>
      <c r="AE63" s="55">
        <v>0.35859414261160716</v>
      </c>
      <c r="AF63" s="52" t="s">
        <v>120</v>
      </c>
    </row>
    <row r="64" spans="1:32">
      <c r="A64" s="227">
        <v>1999</v>
      </c>
      <c r="B64" s="227">
        <v>0</v>
      </c>
      <c r="C64" s="227" t="s">
        <v>99</v>
      </c>
      <c r="D64" s="227">
        <v>0</v>
      </c>
      <c r="E64" s="227">
        <v>0</v>
      </c>
      <c r="F64" s="227">
        <v>0</v>
      </c>
      <c r="G64" s="227"/>
      <c r="H64" s="227"/>
      <c r="I64" s="312" t="s">
        <v>119</v>
      </c>
      <c r="J64" s="29">
        <v>1</v>
      </c>
      <c r="K64" s="9">
        <v>1</v>
      </c>
      <c r="L64" s="9">
        <v>1</v>
      </c>
      <c r="M64" s="9">
        <v>2</v>
      </c>
      <c r="N64" s="43">
        <v>2</v>
      </c>
      <c r="O64" s="265">
        <f t="shared" si="1"/>
        <v>0.35859414261160716</v>
      </c>
      <c r="P64" s="164" t="s">
        <v>120</v>
      </c>
      <c r="Q64" s="227">
        <v>2007</v>
      </c>
      <c r="R64" s="227">
        <v>2864</v>
      </c>
      <c r="S64" s="227" t="s">
        <v>99</v>
      </c>
      <c r="T64" s="227">
        <v>1108</v>
      </c>
      <c r="U64" s="227">
        <v>324</v>
      </c>
      <c r="V64" s="227">
        <v>3648</v>
      </c>
      <c r="W64" s="227">
        <v>8.1570996978851965E-2</v>
      </c>
      <c r="X64" s="227">
        <v>0.91842900302114805</v>
      </c>
      <c r="Y64" s="100" t="s">
        <v>135</v>
      </c>
      <c r="Z64" s="29">
        <v>1</v>
      </c>
      <c r="AA64" s="9">
        <v>1</v>
      </c>
      <c r="AB64" s="9">
        <v>1</v>
      </c>
      <c r="AC64" s="9">
        <v>2</v>
      </c>
      <c r="AD64" s="43">
        <v>2</v>
      </c>
      <c r="AE64" s="55">
        <v>0.35859414261160716</v>
      </c>
      <c r="AF64" s="52" t="s">
        <v>120</v>
      </c>
    </row>
    <row r="65" spans="1:32">
      <c r="A65" s="227">
        <v>1999</v>
      </c>
      <c r="B65" s="227">
        <v>108</v>
      </c>
      <c r="C65" s="227" t="s">
        <v>102</v>
      </c>
      <c r="D65" s="227">
        <v>15</v>
      </c>
      <c r="E65" s="227">
        <v>123</v>
      </c>
      <c r="F65" s="227">
        <v>0</v>
      </c>
      <c r="G65" s="227">
        <v>1</v>
      </c>
      <c r="H65" s="227">
        <v>0</v>
      </c>
      <c r="I65" s="312" t="s">
        <v>119</v>
      </c>
      <c r="J65" s="29">
        <v>1</v>
      </c>
      <c r="K65" s="9">
        <v>1</v>
      </c>
      <c r="L65" s="9">
        <v>1</v>
      </c>
      <c r="M65" s="9">
        <v>2</v>
      </c>
      <c r="N65" s="43">
        <v>2</v>
      </c>
      <c r="O65" s="265">
        <f t="shared" si="1"/>
        <v>0.35859414261160716</v>
      </c>
      <c r="P65" s="164" t="s">
        <v>120</v>
      </c>
      <c r="Q65" s="227">
        <v>2007</v>
      </c>
      <c r="R65" s="227">
        <v>969</v>
      </c>
      <c r="S65" s="227" t="s">
        <v>102</v>
      </c>
      <c r="T65" s="227">
        <v>245</v>
      </c>
      <c r="U65" s="227">
        <v>167</v>
      </c>
      <c r="V65" s="227">
        <v>1047</v>
      </c>
      <c r="W65" s="227">
        <v>0.13756177924217461</v>
      </c>
      <c r="X65" s="227">
        <v>0.86243822075782539</v>
      </c>
      <c r="Y65" s="100" t="s">
        <v>135</v>
      </c>
      <c r="Z65" s="29">
        <v>1</v>
      </c>
      <c r="AA65" s="9">
        <v>1</v>
      </c>
      <c r="AB65" s="9">
        <v>1</v>
      </c>
      <c r="AC65" s="9">
        <v>2</v>
      </c>
      <c r="AD65" s="43">
        <v>2</v>
      </c>
      <c r="AE65" s="55">
        <v>0.35859414261160716</v>
      </c>
      <c r="AF65" s="52" t="s">
        <v>120</v>
      </c>
    </row>
    <row r="66" spans="1:32">
      <c r="A66" s="227">
        <v>1999</v>
      </c>
      <c r="B66" s="227">
        <v>337</v>
      </c>
      <c r="C66" s="227" t="s">
        <v>104</v>
      </c>
      <c r="D66" s="227">
        <v>39</v>
      </c>
      <c r="E66" s="227">
        <v>152</v>
      </c>
      <c r="F66" s="227">
        <v>224</v>
      </c>
      <c r="G66" s="227">
        <v>0.40425531914893609</v>
      </c>
      <c r="H66" s="227">
        <v>0.5957446808510638</v>
      </c>
      <c r="I66" s="312" t="s">
        <v>119</v>
      </c>
      <c r="J66" s="29">
        <v>1</v>
      </c>
      <c r="K66" s="9">
        <v>1</v>
      </c>
      <c r="L66" s="9">
        <v>1</v>
      </c>
      <c r="M66" s="9">
        <v>2</v>
      </c>
      <c r="N66" s="43">
        <v>2</v>
      </c>
      <c r="O66" s="265">
        <f t="shared" si="1"/>
        <v>0.35859414261160716</v>
      </c>
      <c r="P66" s="164" t="s">
        <v>120</v>
      </c>
      <c r="Q66" s="227">
        <v>2007</v>
      </c>
      <c r="R66" s="227">
        <v>1461</v>
      </c>
      <c r="S66" s="227" t="s">
        <v>104</v>
      </c>
      <c r="T66" s="227">
        <v>83</v>
      </c>
      <c r="U66" s="227">
        <v>288</v>
      </c>
      <c r="V66" s="227">
        <v>1256</v>
      </c>
      <c r="W66" s="227">
        <v>0.18652849740932639</v>
      </c>
      <c r="X66" s="227">
        <v>0.81347150259067358</v>
      </c>
      <c r="Y66" s="100" t="s">
        <v>135</v>
      </c>
      <c r="Z66" s="29">
        <v>1</v>
      </c>
      <c r="AA66" s="9">
        <v>1</v>
      </c>
      <c r="AB66" s="9">
        <v>1</v>
      </c>
      <c r="AC66" s="9">
        <v>2</v>
      </c>
      <c r="AD66" s="43">
        <v>2</v>
      </c>
      <c r="AE66" s="55">
        <v>0.35859414261160716</v>
      </c>
      <c r="AF66" s="52" t="s">
        <v>120</v>
      </c>
    </row>
    <row r="67" spans="1:32">
      <c r="A67" s="227">
        <v>1999</v>
      </c>
      <c r="B67" s="227">
        <v>233</v>
      </c>
      <c r="C67" s="227" t="s">
        <v>105</v>
      </c>
      <c r="D67" s="227">
        <v>117</v>
      </c>
      <c r="E67" s="227">
        <v>164</v>
      </c>
      <c r="F67" s="227">
        <v>186</v>
      </c>
      <c r="G67" s="227">
        <v>0.46857142857142858</v>
      </c>
      <c r="H67" s="227">
        <v>0.53142857142857136</v>
      </c>
      <c r="I67" s="312" t="s">
        <v>119</v>
      </c>
      <c r="J67" s="29">
        <v>1</v>
      </c>
      <c r="K67" s="9">
        <v>1</v>
      </c>
      <c r="L67" s="9">
        <v>1</v>
      </c>
      <c r="M67" s="9">
        <v>2</v>
      </c>
      <c r="N67" s="43">
        <v>2</v>
      </c>
      <c r="O67" s="265">
        <f t="shared" si="1"/>
        <v>0.35859414261160716</v>
      </c>
      <c r="P67" s="164" t="s">
        <v>120</v>
      </c>
      <c r="Q67" s="227">
        <v>2007</v>
      </c>
      <c r="R67" s="227">
        <v>3778</v>
      </c>
      <c r="S67" s="227" t="s">
        <v>105</v>
      </c>
      <c r="T67" s="227">
        <v>451</v>
      </c>
      <c r="U67" s="227">
        <v>791</v>
      </c>
      <c r="V67" s="227">
        <v>3438</v>
      </c>
      <c r="W67" s="227">
        <v>0.18704185386616221</v>
      </c>
      <c r="X67" s="227">
        <v>0.81295814613383777</v>
      </c>
      <c r="Y67" s="100" t="s">
        <v>135</v>
      </c>
      <c r="Z67" s="29">
        <v>1</v>
      </c>
      <c r="AA67" s="9">
        <v>1</v>
      </c>
      <c r="AB67" s="9">
        <v>1</v>
      </c>
      <c r="AC67" s="9">
        <v>2</v>
      </c>
      <c r="AD67" s="43">
        <v>2</v>
      </c>
      <c r="AE67" s="55">
        <v>0.35859414261160716</v>
      </c>
      <c r="AF67" s="52" t="s">
        <v>120</v>
      </c>
    </row>
    <row r="68" spans="1:32">
      <c r="A68" s="227">
        <v>1999</v>
      </c>
      <c r="B68" s="227">
        <v>200</v>
      </c>
      <c r="C68" s="227" t="s">
        <v>103</v>
      </c>
      <c r="D68" s="227">
        <v>58</v>
      </c>
      <c r="E68" s="227">
        <v>188</v>
      </c>
      <c r="F68" s="227">
        <v>70</v>
      </c>
      <c r="G68" s="227">
        <v>0.72868217054263562</v>
      </c>
      <c r="H68" s="227">
        <v>0.27131782945736438</v>
      </c>
      <c r="I68" s="312" t="s">
        <v>119</v>
      </c>
      <c r="J68" s="29">
        <v>1</v>
      </c>
      <c r="K68" s="9">
        <v>1</v>
      </c>
      <c r="L68" s="9">
        <v>1</v>
      </c>
      <c r="M68" s="9">
        <v>2</v>
      </c>
      <c r="N68" s="43">
        <v>2</v>
      </c>
      <c r="O68" s="265">
        <f t="shared" si="1"/>
        <v>0.35859414261160716</v>
      </c>
      <c r="P68" s="164" t="s">
        <v>120</v>
      </c>
      <c r="Q68" s="227">
        <v>2007</v>
      </c>
      <c r="R68" s="227">
        <v>2709</v>
      </c>
      <c r="S68" s="227" t="s">
        <v>103</v>
      </c>
      <c r="T68" s="227">
        <v>342</v>
      </c>
      <c r="U68" s="227">
        <v>342</v>
      </c>
      <c r="V68" s="227">
        <v>2709</v>
      </c>
      <c r="W68" s="227">
        <v>0.112094395280236</v>
      </c>
      <c r="X68" s="227">
        <v>0.88790560471976399</v>
      </c>
      <c r="Y68" s="100" t="s">
        <v>135</v>
      </c>
      <c r="Z68" s="29">
        <v>1</v>
      </c>
      <c r="AA68" s="9">
        <v>1</v>
      </c>
      <c r="AB68" s="9">
        <v>1</v>
      </c>
      <c r="AC68" s="9">
        <v>2</v>
      </c>
      <c r="AD68" s="43">
        <v>2</v>
      </c>
      <c r="AE68" s="55">
        <v>0.35859414261160716</v>
      </c>
      <c r="AF68" s="52" t="s">
        <v>120</v>
      </c>
    </row>
    <row r="69" spans="1:32">
      <c r="A69" s="227">
        <v>1999</v>
      </c>
      <c r="B69" s="227">
        <v>98</v>
      </c>
      <c r="C69" s="227" t="s">
        <v>101</v>
      </c>
      <c r="D69" s="227">
        <v>20</v>
      </c>
      <c r="E69" s="227">
        <v>36</v>
      </c>
      <c r="F69" s="227">
        <v>82</v>
      </c>
      <c r="G69" s="227">
        <v>0.30508474576271188</v>
      </c>
      <c r="H69" s="227">
        <v>0.69491525423728806</v>
      </c>
      <c r="I69" s="312" t="s">
        <v>119</v>
      </c>
      <c r="J69" s="29">
        <v>1</v>
      </c>
      <c r="K69" s="9">
        <v>1</v>
      </c>
      <c r="L69" s="9">
        <v>1</v>
      </c>
      <c r="M69" s="9">
        <v>2</v>
      </c>
      <c r="N69" s="43">
        <v>2</v>
      </c>
      <c r="O69" s="265">
        <f t="shared" si="1"/>
        <v>0.35859414261160716</v>
      </c>
      <c r="P69" s="164" t="s">
        <v>120</v>
      </c>
      <c r="Q69" s="227">
        <v>2007</v>
      </c>
      <c r="R69" s="227">
        <v>2550</v>
      </c>
      <c r="S69" s="227" t="s">
        <v>101</v>
      </c>
      <c r="T69" s="227">
        <v>76</v>
      </c>
      <c r="U69" s="227">
        <v>393</v>
      </c>
      <c r="V69" s="227">
        <v>2233</v>
      </c>
      <c r="W69" s="227">
        <v>0.14965727341964971</v>
      </c>
      <c r="X69" s="227">
        <v>0.85034272658035037</v>
      </c>
      <c r="Y69" s="100" t="s">
        <v>135</v>
      </c>
      <c r="Z69" s="29">
        <v>1</v>
      </c>
      <c r="AA69" s="9">
        <v>1</v>
      </c>
      <c r="AB69" s="9">
        <v>1</v>
      </c>
      <c r="AC69" s="9">
        <v>2</v>
      </c>
      <c r="AD69" s="43">
        <v>2</v>
      </c>
      <c r="AE69" s="55">
        <v>0.35859414261160716</v>
      </c>
      <c r="AF69" s="52" t="s">
        <v>120</v>
      </c>
    </row>
    <row r="70" spans="1:32">
      <c r="A70" s="227">
        <v>1999</v>
      </c>
      <c r="B70" s="227">
        <v>1633</v>
      </c>
      <c r="C70" s="227" t="s">
        <v>106</v>
      </c>
      <c r="D70" s="227">
        <v>511</v>
      </c>
      <c r="E70" s="227">
        <v>2144</v>
      </c>
      <c r="F70" s="227">
        <v>0</v>
      </c>
      <c r="G70" s="227">
        <v>1</v>
      </c>
      <c r="H70" s="227">
        <v>0</v>
      </c>
      <c r="I70" s="312" t="s">
        <v>119</v>
      </c>
      <c r="J70" s="29">
        <v>1</v>
      </c>
      <c r="K70" s="9">
        <v>1</v>
      </c>
      <c r="L70" s="9">
        <v>1</v>
      </c>
      <c r="M70" s="9">
        <v>2</v>
      </c>
      <c r="N70" s="43">
        <v>2</v>
      </c>
      <c r="O70" s="265">
        <f t="shared" si="1"/>
        <v>0.35859414261160716</v>
      </c>
      <c r="P70" s="164" t="s">
        <v>120</v>
      </c>
      <c r="Q70" s="227">
        <v>2007</v>
      </c>
      <c r="R70" s="227">
        <v>15706</v>
      </c>
      <c r="S70" s="227" t="s">
        <v>106</v>
      </c>
      <c r="T70" s="227">
        <v>2912</v>
      </c>
      <c r="U70" s="227">
        <v>4025</v>
      </c>
      <c r="V70" s="227">
        <v>14593</v>
      </c>
      <c r="W70" s="227">
        <v>0.21618863465463531</v>
      </c>
      <c r="X70" s="227">
        <v>0.78381136534536466</v>
      </c>
      <c r="Y70" s="100" t="s">
        <v>135</v>
      </c>
      <c r="Z70" s="29">
        <v>1</v>
      </c>
      <c r="AA70" s="9">
        <v>1</v>
      </c>
      <c r="AB70" s="9">
        <v>1</v>
      </c>
      <c r="AC70" s="9">
        <v>2</v>
      </c>
      <c r="AD70" s="43">
        <v>2</v>
      </c>
      <c r="AE70" s="55">
        <v>0.35859414261160716</v>
      </c>
      <c r="AF70" s="52" t="s">
        <v>120</v>
      </c>
    </row>
    <row r="71" spans="1:32">
      <c r="A71" s="227">
        <v>2000</v>
      </c>
      <c r="B71" s="227">
        <v>1435</v>
      </c>
      <c r="C71" s="227" t="s">
        <v>93</v>
      </c>
      <c r="D71" s="227">
        <v>388</v>
      </c>
      <c r="E71" s="227">
        <v>1012</v>
      </c>
      <c r="F71" s="227">
        <v>811</v>
      </c>
      <c r="G71" s="227">
        <v>0.55512890839275919</v>
      </c>
      <c r="H71" s="227">
        <v>0.44487109160724081</v>
      </c>
      <c r="I71" s="312" t="s">
        <v>119</v>
      </c>
      <c r="J71" s="29">
        <v>1</v>
      </c>
      <c r="K71" s="9">
        <v>1</v>
      </c>
      <c r="L71" s="9">
        <v>1</v>
      </c>
      <c r="M71" s="9">
        <v>2</v>
      </c>
      <c r="N71" s="43">
        <v>2</v>
      </c>
      <c r="O71" s="265">
        <f t="shared" ref="O71:O134" si="2">IF( OR( ISBLANK(J71),ISBLANK(K71), ISBLANK(L71), ISBLANK(M71), ISBLANK(N71) ), "", 1.5*SQRT(   EXP(2.21*(J71-1)) + EXP(2.21*(K71-1)) + EXP(2.21*(L71-1)) + EXP(2.21*(M71-1)) + EXP(2.21*N71)   )/100*2.45 )</f>
        <v>0.35859414261160716</v>
      </c>
      <c r="P71" s="164" t="s">
        <v>120</v>
      </c>
      <c r="Q71" s="227">
        <v>2008</v>
      </c>
      <c r="R71" s="227">
        <v>12855</v>
      </c>
      <c r="S71" s="227" t="s">
        <v>93</v>
      </c>
      <c r="T71" s="227">
        <v>3692</v>
      </c>
      <c r="U71" s="227">
        <v>2777</v>
      </c>
      <c r="V71" s="227">
        <v>13770</v>
      </c>
      <c r="W71" s="227">
        <v>0.1678249833806732</v>
      </c>
      <c r="X71" s="227">
        <v>0.8321750166193268</v>
      </c>
      <c r="Y71" s="100" t="s">
        <v>135</v>
      </c>
      <c r="Z71" s="29">
        <v>1</v>
      </c>
      <c r="AA71" s="9">
        <v>1</v>
      </c>
      <c r="AB71" s="9">
        <v>1</v>
      </c>
      <c r="AC71" s="9">
        <v>2</v>
      </c>
      <c r="AD71" s="43">
        <v>2</v>
      </c>
      <c r="AE71" s="55">
        <v>0.35859414261160716</v>
      </c>
      <c r="AF71" s="52" t="s">
        <v>120</v>
      </c>
    </row>
    <row r="72" spans="1:32">
      <c r="A72" s="227">
        <v>2000</v>
      </c>
      <c r="B72" s="227">
        <v>290</v>
      </c>
      <c r="C72" s="227" t="s">
        <v>94</v>
      </c>
      <c r="D72" s="227">
        <v>167</v>
      </c>
      <c r="E72" s="227">
        <v>278</v>
      </c>
      <c r="F72" s="227">
        <v>179</v>
      </c>
      <c r="G72" s="227">
        <v>0.60831509846827136</v>
      </c>
      <c r="H72" s="227">
        <v>0.39168490153172858</v>
      </c>
      <c r="I72" s="312" t="s">
        <v>119</v>
      </c>
      <c r="J72" s="29">
        <v>1</v>
      </c>
      <c r="K72" s="9">
        <v>1</v>
      </c>
      <c r="L72" s="9">
        <v>1</v>
      </c>
      <c r="M72" s="9">
        <v>2</v>
      </c>
      <c r="N72" s="43">
        <v>2</v>
      </c>
      <c r="O72" s="265">
        <f t="shared" si="2"/>
        <v>0.35859414261160716</v>
      </c>
      <c r="P72" s="164" t="s">
        <v>120</v>
      </c>
      <c r="Q72" s="227">
        <v>2008</v>
      </c>
      <c r="R72" s="227">
        <v>5693</v>
      </c>
      <c r="S72" s="227" t="s">
        <v>94</v>
      </c>
      <c r="T72" s="227">
        <v>1598</v>
      </c>
      <c r="U72" s="227">
        <v>1363</v>
      </c>
      <c r="V72" s="227">
        <v>5928</v>
      </c>
      <c r="W72" s="227">
        <v>0.18694280619942391</v>
      </c>
      <c r="X72" s="227">
        <v>0.81305719380057606</v>
      </c>
      <c r="Y72" s="100" t="s">
        <v>135</v>
      </c>
      <c r="Z72" s="29">
        <v>1</v>
      </c>
      <c r="AA72" s="9">
        <v>1</v>
      </c>
      <c r="AB72" s="9">
        <v>1</v>
      </c>
      <c r="AC72" s="9">
        <v>2</v>
      </c>
      <c r="AD72" s="43">
        <v>2</v>
      </c>
      <c r="AE72" s="55">
        <v>0.35859414261160716</v>
      </c>
      <c r="AF72" s="52" t="s">
        <v>120</v>
      </c>
    </row>
    <row r="73" spans="1:32">
      <c r="A73" s="227">
        <v>2000</v>
      </c>
      <c r="B73" s="227">
        <v>852</v>
      </c>
      <c r="C73" s="227" t="s">
        <v>95</v>
      </c>
      <c r="D73" s="227">
        <v>176</v>
      </c>
      <c r="E73" s="227">
        <v>396</v>
      </c>
      <c r="F73" s="227">
        <v>632</v>
      </c>
      <c r="G73" s="227">
        <v>0.38521400778210119</v>
      </c>
      <c r="H73" s="227">
        <v>0.61478599221789887</v>
      </c>
      <c r="I73" s="312" t="s">
        <v>119</v>
      </c>
      <c r="J73" s="29">
        <v>1</v>
      </c>
      <c r="K73" s="9">
        <v>1</v>
      </c>
      <c r="L73" s="9">
        <v>1</v>
      </c>
      <c r="M73" s="9">
        <v>2</v>
      </c>
      <c r="N73" s="43">
        <v>2</v>
      </c>
      <c r="O73" s="265">
        <f t="shared" si="2"/>
        <v>0.35859414261160716</v>
      </c>
      <c r="P73" s="164" t="s">
        <v>120</v>
      </c>
      <c r="Q73" s="227">
        <v>2008</v>
      </c>
      <c r="R73" s="227">
        <v>9960</v>
      </c>
      <c r="S73" s="227" t="s">
        <v>95</v>
      </c>
      <c r="T73" s="227">
        <v>1292</v>
      </c>
      <c r="U73" s="227">
        <v>1062</v>
      </c>
      <c r="V73" s="227">
        <v>10190</v>
      </c>
      <c r="W73" s="227">
        <v>9.4383220760753644E-2</v>
      </c>
      <c r="X73" s="227">
        <v>0.90561677923924633</v>
      </c>
      <c r="Y73" s="100" t="s">
        <v>135</v>
      </c>
      <c r="Z73" s="29">
        <v>1</v>
      </c>
      <c r="AA73" s="9">
        <v>1</v>
      </c>
      <c r="AB73" s="9">
        <v>1</v>
      </c>
      <c r="AC73" s="9">
        <v>2</v>
      </c>
      <c r="AD73" s="43">
        <v>2</v>
      </c>
      <c r="AE73" s="55">
        <v>0.35859414261160716</v>
      </c>
      <c r="AF73" s="52" t="s">
        <v>120</v>
      </c>
    </row>
    <row r="74" spans="1:32">
      <c r="A74" s="227">
        <v>2000</v>
      </c>
      <c r="B74" s="227">
        <v>18</v>
      </c>
      <c r="C74" s="227" t="s">
        <v>96</v>
      </c>
      <c r="D74" s="227">
        <v>76</v>
      </c>
      <c r="E74" s="227">
        <v>94</v>
      </c>
      <c r="F74" s="227">
        <v>0</v>
      </c>
      <c r="G74" s="227">
        <v>1</v>
      </c>
      <c r="H74" s="227">
        <v>0</v>
      </c>
      <c r="I74" s="312" t="s">
        <v>119</v>
      </c>
      <c r="J74" s="29">
        <v>1</v>
      </c>
      <c r="K74" s="9">
        <v>1</v>
      </c>
      <c r="L74" s="9">
        <v>1</v>
      </c>
      <c r="M74" s="9">
        <v>2</v>
      </c>
      <c r="N74" s="43">
        <v>2</v>
      </c>
      <c r="O74" s="265">
        <f t="shared" si="2"/>
        <v>0.35859414261160716</v>
      </c>
      <c r="P74" s="164" t="s">
        <v>120</v>
      </c>
      <c r="Q74" s="227">
        <v>2008</v>
      </c>
      <c r="R74" s="227">
        <v>1783</v>
      </c>
      <c r="S74" s="227" t="s">
        <v>96</v>
      </c>
      <c r="T74" s="227">
        <v>114</v>
      </c>
      <c r="U74" s="227">
        <v>282</v>
      </c>
      <c r="V74" s="227">
        <v>1615</v>
      </c>
      <c r="W74" s="227">
        <v>0.14865577227200841</v>
      </c>
      <c r="X74" s="227">
        <v>0.85134422772799156</v>
      </c>
      <c r="Y74" s="100" t="s">
        <v>135</v>
      </c>
      <c r="Z74" s="29">
        <v>1</v>
      </c>
      <c r="AA74" s="9">
        <v>1</v>
      </c>
      <c r="AB74" s="9">
        <v>1</v>
      </c>
      <c r="AC74" s="9">
        <v>2</v>
      </c>
      <c r="AD74" s="43">
        <v>2</v>
      </c>
      <c r="AE74" s="55">
        <v>0.35859414261160716</v>
      </c>
      <c r="AF74" s="52" t="s">
        <v>120</v>
      </c>
    </row>
    <row r="75" spans="1:32">
      <c r="A75" s="227">
        <v>2000</v>
      </c>
      <c r="B75" s="227">
        <v>191</v>
      </c>
      <c r="C75" s="227" t="s">
        <v>97</v>
      </c>
      <c r="D75" s="227">
        <v>17</v>
      </c>
      <c r="E75" s="227">
        <v>69</v>
      </c>
      <c r="F75" s="227">
        <v>139</v>
      </c>
      <c r="G75" s="227">
        <v>0.33173076923076922</v>
      </c>
      <c r="H75" s="227">
        <v>0.66826923076923084</v>
      </c>
      <c r="I75" s="312" t="s">
        <v>119</v>
      </c>
      <c r="J75" s="29">
        <v>1</v>
      </c>
      <c r="K75" s="9">
        <v>1</v>
      </c>
      <c r="L75" s="9">
        <v>1</v>
      </c>
      <c r="M75" s="9">
        <v>2</v>
      </c>
      <c r="N75" s="43">
        <v>2</v>
      </c>
      <c r="O75" s="265">
        <f t="shared" si="2"/>
        <v>0.35859414261160716</v>
      </c>
      <c r="P75" s="164" t="s">
        <v>120</v>
      </c>
      <c r="Q75" s="227">
        <v>2008</v>
      </c>
      <c r="R75" s="227">
        <v>1487</v>
      </c>
      <c r="S75" s="227" t="s">
        <v>97</v>
      </c>
      <c r="T75" s="227">
        <v>84</v>
      </c>
      <c r="U75" s="227">
        <v>105</v>
      </c>
      <c r="V75" s="227">
        <v>1466</v>
      </c>
      <c r="W75" s="227">
        <v>6.6836409929980897E-2</v>
      </c>
      <c r="X75" s="227">
        <v>0.93316359007001914</v>
      </c>
      <c r="Y75" s="100" t="s">
        <v>135</v>
      </c>
      <c r="Z75" s="29">
        <v>1</v>
      </c>
      <c r="AA75" s="9">
        <v>1</v>
      </c>
      <c r="AB75" s="9">
        <v>1</v>
      </c>
      <c r="AC75" s="9">
        <v>2</v>
      </c>
      <c r="AD75" s="43">
        <v>2</v>
      </c>
      <c r="AE75" s="55">
        <v>0.35859414261160716</v>
      </c>
      <c r="AF75" s="52" t="s">
        <v>120</v>
      </c>
    </row>
    <row r="76" spans="1:32">
      <c r="A76" s="227">
        <v>2000</v>
      </c>
      <c r="B76" s="227">
        <v>610</v>
      </c>
      <c r="C76" s="227" t="s">
        <v>98</v>
      </c>
      <c r="D76" s="227">
        <v>204</v>
      </c>
      <c r="E76" s="227">
        <v>472</v>
      </c>
      <c r="F76" s="227">
        <v>342</v>
      </c>
      <c r="G76" s="227">
        <v>0.57985257985257987</v>
      </c>
      <c r="H76" s="227">
        <v>0.42014742014742013</v>
      </c>
      <c r="I76" s="312" t="s">
        <v>119</v>
      </c>
      <c r="J76" s="29">
        <v>1</v>
      </c>
      <c r="K76" s="9">
        <v>1</v>
      </c>
      <c r="L76" s="9">
        <v>1</v>
      </c>
      <c r="M76" s="9">
        <v>2</v>
      </c>
      <c r="N76" s="43">
        <v>2</v>
      </c>
      <c r="O76" s="265">
        <f t="shared" si="2"/>
        <v>0.35859414261160716</v>
      </c>
      <c r="P76" s="164" t="s">
        <v>120</v>
      </c>
      <c r="Q76" s="227">
        <v>2008</v>
      </c>
      <c r="R76" s="227">
        <v>5913</v>
      </c>
      <c r="S76" s="227" t="s">
        <v>98</v>
      </c>
      <c r="T76" s="227">
        <v>669</v>
      </c>
      <c r="U76" s="227">
        <v>1369</v>
      </c>
      <c r="V76" s="227">
        <v>5213</v>
      </c>
      <c r="W76" s="227">
        <v>0.20799149194773631</v>
      </c>
      <c r="X76" s="227">
        <v>0.79200850805226375</v>
      </c>
      <c r="Y76" s="100" t="s">
        <v>135</v>
      </c>
      <c r="Z76" s="29">
        <v>1</v>
      </c>
      <c r="AA76" s="9">
        <v>1</v>
      </c>
      <c r="AB76" s="9">
        <v>1</v>
      </c>
      <c r="AC76" s="9">
        <v>2</v>
      </c>
      <c r="AD76" s="43">
        <v>2</v>
      </c>
      <c r="AE76" s="55">
        <v>0.35859414261160716</v>
      </c>
      <c r="AF76" s="52" t="s">
        <v>120</v>
      </c>
    </row>
    <row r="77" spans="1:32">
      <c r="A77" s="227">
        <v>2000</v>
      </c>
      <c r="B77" s="227">
        <v>149</v>
      </c>
      <c r="C77" s="227" t="s">
        <v>99</v>
      </c>
      <c r="D77" s="227">
        <v>115</v>
      </c>
      <c r="E77" s="227">
        <v>264</v>
      </c>
      <c r="F77" s="227">
        <v>0</v>
      </c>
      <c r="G77" s="227">
        <v>1</v>
      </c>
      <c r="H77" s="227">
        <v>0</v>
      </c>
      <c r="I77" s="312" t="s">
        <v>119</v>
      </c>
      <c r="J77" s="29">
        <v>1</v>
      </c>
      <c r="K77" s="9">
        <v>1</v>
      </c>
      <c r="L77" s="9">
        <v>1</v>
      </c>
      <c r="M77" s="9">
        <v>2</v>
      </c>
      <c r="N77" s="43">
        <v>2</v>
      </c>
      <c r="O77" s="265">
        <f t="shared" si="2"/>
        <v>0.35859414261160716</v>
      </c>
      <c r="P77" s="164" t="s">
        <v>120</v>
      </c>
      <c r="Q77" s="227">
        <v>2008</v>
      </c>
      <c r="R77" s="227">
        <v>3018</v>
      </c>
      <c r="S77" s="227" t="s">
        <v>99</v>
      </c>
      <c r="T77" s="227">
        <v>1161</v>
      </c>
      <c r="U77" s="227">
        <v>292</v>
      </c>
      <c r="V77" s="227">
        <v>3887</v>
      </c>
      <c r="W77" s="227">
        <v>6.9873175400813586E-2</v>
      </c>
      <c r="X77" s="227">
        <v>0.93012682459918639</v>
      </c>
      <c r="Y77" s="100" t="s">
        <v>135</v>
      </c>
      <c r="Z77" s="29">
        <v>1</v>
      </c>
      <c r="AA77" s="9">
        <v>1</v>
      </c>
      <c r="AB77" s="9">
        <v>1</v>
      </c>
      <c r="AC77" s="9">
        <v>2</v>
      </c>
      <c r="AD77" s="43">
        <v>2</v>
      </c>
      <c r="AE77" s="55">
        <v>0.35859414261160716</v>
      </c>
      <c r="AF77" s="52" t="s">
        <v>120</v>
      </c>
    </row>
    <row r="78" spans="1:32">
      <c r="A78" s="227">
        <v>2000</v>
      </c>
      <c r="B78" s="227">
        <v>109</v>
      </c>
      <c r="C78" s="227" t="s">
        <v>102</v>
      </c>
      <c r="D78" s="227">
        <v>16</v>
      </c>
      <c r="E78" s="227">
        <v>125</v>
      </c>
      <c r="F78" s="227">
        <v>0</v>
      </c>
      <c r="G78" s="227">
        <v>1</v>
      </c>
      <c r="H78" s="227">
        <v>0</v>
      </c>
      <c r="I78" s="312" t="s">
        <v>119</v>
      </c>
      <c r="J78" s="29">
        <v>1</v>
      </c>
      <c r="K78" s="9">
        <v>1</v>
      </c>
      <c r="L78" s="9">
        <v>1</v>
      </c>
      <c r="M78" s="9">
        <v>2</v>
      </c>
      <c r="N78" s="43">
        <v>2</v>
      </c>
      <c r="O78" s="265">
        <f t="shared" si="2"/>
        <v>0.35859414261160716</v>
      </c>
      <c r="P78" s="164" t="s">
        <v>120</v>
      </c>
      <c r="Q78" s="227">
        <v>2008</v>
      </c>
      <c r="R78" s="227">
        <v>860</v>
      </c>
      <c r="S78" s="227" t="s">
        <v>102</v>
      </c>
      <c r="T78" s="227">
        <v>257</v>
      </c>
      <c r="U78" s="227">
        <v>148</v>
      </c>
      <c r="V78" s="227">
        <v>969</v>
      </c>
      <c r="W78" s="227">
        <v>0.13249776186213069</v>
      </c>
      <c r="X78" s="227">
        <v>0.86750223813786931</v>
      </c>
      <c r="Y78" s="100" t="s">
        <v>135</v>
      </c>
      <c r="Z78" s="29">
        <v>1</v>
      </c>
      <c r="AA78" s="9">
        <v>1</v>
      </c>
      <c r="AB78" s="9">
        <v>1</v>
      </c>
      <c r="AC78" s="9">
        <v>2</v>
      </c>
      <c r="AD78" s="43">
        <v>2</v>
      </c>
      <c r="AE78" s="55">
        <v>0.35859414261160716</v>
      </c>
      <c r="AF78" s="52" t="s">
        <v>120</v>
      </c>
    </row>
    <row r="79" spans="1:32">
      <c r="A79" s="227">
        <v>2000</v>
      </c>
      <c r="B79" s="227">
        <v>337</v>
      </c>
      <c r="C79" s="227" t="s">
        <v>104</v>
      </c>
      <c r="D79" s="227">
        <v>49</v>
      </c>
      <c r="E79" s="227">
        <v>186</v>
      </c>
      <c r="F79" s="227">
        <v>200</v>
      </c>
      <c r="G79" s="227">
        <v>0.48186528497409331</v>
      </c>
      <c r="H79" s="227">
        <v>0.5181347150259068</v>
      </c>
      <c r="I79" s="312" t="s">
        <v>119</v>
      </c>
      <c r="J79" s="29">
        <v>1</v>
      </c>
      <c r="K79" s="9">
        <v>1</v>
      </c>
      <c r="L79" s="9">
        <v>1</v>
      </c>
      <c r="M79" s="9">
        <v>2</v>
      </c>
      <c r="N79" s="43">
        <v>2</v>
      </c>
      <c r="O79" s="265">
        <f t="shared" si="2"/>
        <v>0.35859414261160716</v>
      </c>
      <c r="P79" s="164" t="s">
        <v>120</v>
      </c>
      <c r="Q79" s="227">
        <v>2008</v>
      </c>
      <c r="R79" s="227">
        <v>1425</v>
      </c>
      <c r="S79" s="227" t="s">
        <v>104</v>
      </c>
      <c r="T79" s="227">
        <v>86</v>
      </c>
      <c r="U79" s="227">
        <v>275</v>
      </c>
      <c r="V79" s="227">
        <v>1236</v>
      </c>
      <c r="W79" s="227">
        <v>0.18199867637326281</v>
      </c>
      <c r="X79" s="227">
        <v>0.81800132362673728</v>
      </c>
      <c r="Y79" s="100" t="s">
        <v>135</v>
      </c>
      <c r="Z79" s="29">
        <v>1</v>
      </c>
      <c r="AA79" s="9">
        <v>1</v>
      </c>
      <c r="AB79" s="9">
        <v>1</v>
      </c>
      <c r="AC79" s="9">
        <v>2</v>
      </c>
      <c r="AD79" s="43">
        <v>2</v>
      </c>
      <c r="AE79" s="55">
        <v>0.35859414261160716</v>
      </c>
      <c r="AF79" s="52" t="s">
        <v>120</v>
      </c>
    </row>
    <row r="80" spans="1:32">
      <c r="A80" s="227">
        <v>2000</v>
      </c>
      <c r="B80" s="227">
        <v>233</v>
      </c>
      <c r="C80" s="227" t="s">
        <v>105</v>
      </c>
      <c r="D80" s="227">
        <v>116</v>
      </c>
      <c r="E80" s="227">
        <v>183</v>
      </c>
      <c r="F80" s="227">
        <v>166</v>
      </c>
      <c r="G80" s="227">
        <v>0.52435530085959881</v>
      </c>
      <c r="H80" s="227">
        <v>0.47564469914040119</v>
      </c>
      <c r="I80" s="312" t="s">
        <v>119</v>
      </c>
      <c r="J80" s="29">
        <v>1</v>
      </c>
      <c r="K80" s="9">
        <v>1</v>
      </c>
      <c r="L80" s="9">
        <v>1</v>
      </c>
      <c r="M80" s="9">
        <v>2</v>
      </c>
      <c r="N80" s="43">
        <v>2</v>
      </c>
      <c r="O80" s="265">
        <f t="shared" si="2"/>
        <v>0.35859414261160716</v>
      </c>
      <c r="P80" s="164" t="s">
        <v>120</v>
      </c>
      <c r="Q80" s="227">
        <v>2008</v>
      </c>
      <c r="R80" s="227">
        <v>4175</v>
      </c>
      <c r="S80" s="227" t="s">
        <v>105</v>
      </c>
      <c r="T80" s="227">
        <v>444</v>
      </c>
      <c r="U80" s="227">
        <v>786</v>
      </c>
      <c r="V80" s="227">
        <v>3833</v>
      </c>
      <c r="W80" s="227">
        <v>0.1701667027495129</v>
      </c>
      <c r="X80" s="227">
        <v>0.82983329725048716</v>
      </c>
      <c r="Y80" s="100" t="s">
        <v>135</v>
      </c>
      <c r="Z80" s="29">
        <v>1</v>
      </c>
      <c r="AA80" s="9">
        <v>1</v>
      </c>
      <c r="AB80" s="9">
        <v>1</v>
      </c>
      <c r="AC80" s="9">
        <v>2</v>
      </c>
      <c r="AD80" s="43">
        <v>2</v>
      </c>
      <c r="AE80" s="55">
        <v>0.35859414261160716</v>
      </c>
      <c r="AF80" s="52" t="s">
        <v>120</v>
      </c>
    </row>
    <row r="81" spans="1:32">
      <c r="A81" s="227">
        <v>2000</v>
      </c>
      <c r="B81" s="227">
        <v>200</v>
      </c>
      <c r="C81" s="227" t="s">
        <v>103</v>
      </c>
      <c r="D81" s="227">
        <v>57</v>
      </c>
      <c r="E81" s="227">
        <v>195</v>
      </c>
      <c r="F81" s="227">
        <v>62</v>
      </c>
      <c r="G81" s="227">
        <v>0.75875486381322954</v>
      </c>
      <c r="H81" s="227">
        <v>0.24124513618677049</v>
      </c>
      <c r="I81" s="312" t="s">
        <v>119</v>
      </c>
      <c r="J81" s="29">
        <v>1</v>
      </c>
      <c r="K81" s="9">
        <v>1</v>
      </c>
      <c r="L81" s="9">
        <v>1</v>
      </c>
      <c r="M81" s="9">
        <v>2</v>
      </c>
      <c r="N81" s="43">
        <v>2</v>
      </c>
      <c r="O81" s="265">
        <f t="shared" si="2"/>
        <v>0.35859414261160716</v>
      </c>
      <c r="P81" s="164" t="s">
        <v>120</v>
      </c>
      <c r="Q81" s="227">
        <v>2008</v>
      </c>
      <c r="R81" s="227">
        <v>2497</v>
      </c>
      <c r="S81" s="227" t="s">
        <v>103</v>
      </c>
      <c r="T81" s="227">
        <v>361</v>
      </c>
      <c r="U81" s="227">
        <v>304</v>
      </c>
      <c r="V81" s="227">
        <v>2554</v>
      </c>
      <c r="W81" s="227">
        <v>0.1063680895731281</v>
      </c>
      <c r="X81" s="227">
        <v>0.89363191042687196</v>
      </c>
      <c r="Y81" s="100" t="s">
        <v>135</v>
      </c>
      <c r="Z81" s="29">
        <v>1</v>
      </c>
      <c r="AA81" s="9">
        <v>1</v>
      </c>
      <c r="AB81" s="9">
        <v>1</v>
      </c>
      <c r="AC81" s="9">
        <v>2</v>
      </c>
      <c r="AD81" s="43">
        <v>2</v>
      </c>
      <c r="AE81" s="55">
        <v>0.35859414261160716</v>
      </c>
      <c r="AF81" s="52" t="s">
        <v>120</v>
      </c>
    </row>
    <row r="82" spans="1:32">
      <c r="A82" s="227">
        <v>2000</v>
      </c>
      <c r="B82" s="227">
        <v>98</v>
      </c>
      <c r="C82" s="227" t="s">
        <v>101</v>
      </c>
      <c r="D82" s="227">
        <v>26</v>
      </c>
      <c r="E82" s="227">
        <v>38</v>
      </c>
      <c r="F82" s="227">
        <v>86</v>
      </c>
      <c r="G82" s="227">
        <v>0.30645161290322581</v>
      </c>
      <c r="H82" s="227">
        <v>0.69354838709677424</v>
      </c>
      <c r="I82" s="312" t="s">
        <v>119</v>
      </c>
      <c r="J82" s="29">
        <v>1</v>
      </c>
      <c r="K82" s="9">
        <v>1</v>
      </c>
      <c r="L82" s="9">
        <v>1</v>
      </c>
      <c r="M82" s="9">
        <v>2</v>
      </c>
      <c r="N82" s="43">
        <v>2</v>
      </c>
      <c r="O82" s="265">
        <f t="shared" si="2"/>
        <v>0.35859414261160716</v>
      </c>
      <c r="P82" s="164" t="s">
        <v>120</v>
      </c>
      <c r="Q82" s="227">
        <v>2008</v>
      </c>
      <c r="R82" s="227">
        <v>2860</v>
      </c>
      <c r="S82" s="227" t="s">
        <v>101</v>
      </c>
      <c r="T82" s="227">
        <v>80</v>
      </c>
      <c r="U82" s="227">
        <v>399</v>
      </c>
      <c r="V82" s="227">
        <v>2541</v>
      </c>
      <c r="W82" s="227">
        <v>0.1357142857142857</v>
      </c>
      <c r="X82" s="227">
        <v>0.86428571428571432</v>
      </c>
      <c r="Y82" s="100" t="s">
        <v>135</v>
      </c>
      <c r="Z82" s="29">
        <v>1</v>
      </c>
      <c r="AA82" s="9">
        <v>1</v>
      </c>
      <c r="AB82" s="9">
        <v>1</v>
      </c>
      <c r="AC82" s="9">
        <v>2</v>
      </c>
      <c r="AD82" s="43">
        <v>2</v>
      </c>
      <c r="AE82" s="55">
        <v>0.35859414261160716</v>
      </c>
      <c r="AF82" s="52" t="s">
        <v>120</v>
      </c>
    </row>
    <row r="83" spans="1:32">
      <c r="A83" s="227">
        <v>2000</v>
      </c>
      <c r="B83" s="227">
        <v>1381</v>
      </c>
      <c r="C83" s="227" t="s">
        <v>106</v>
      </c>
      <c r="D83" s="227">
        <v>546</v>
      </c>
      <c r="E83" s="227">
        <v>1927</v>
      </c>
      <c r="F83" s="227">
        <v>0</v>
      </c>
      <c r="G83" s="227">
        <v>1</v>
      </c>
      <c r="H83" s="227">
        <v>0</v>
      </c>
      <c r="I83" s="312" t="s">
        <v>119</v>
      </c>
      <c r="J83" s="29">
        <v>1</v>
      </c>
      <c r="K83" s="9">
        <v>1</v>
      </c>
      <c r="L83" s="9">
        <v>1</v>
      </c>
      <c r="M83" s="9">
        <v>2</v>
      </c>
      <c r="N83" s="43">
        <v>2</v>
      </c>
      <c r="O83" s="265">
        <f t="shared" si="2"/>
        <v>0.35859414261160716</v>
      </c>
      <c r="P83" s="164" t="s">
        <v>120</v>
      </c>
      <c r="Q83" s="227">
        <v>2008</v>
      </c>
      <c r="R83" s="227">
        <v>15108</v>
      </c>
      <c r="S83" s="227" t="s">
        <v>106</v>
      </c>
      <c r="T83" s="227">
        <v>3399</v>
      </c>
      <c r="U83" s="227">
        <v>3914</v>
      </c>
      <c r="V83" s="227">
        <v>14593</v>
      </c>
      <c r="W83" s="227">
        <v>0.21148754525314739</v>
      </c>
      <c r="X83" s="227">
        <v>0.7885124547468525</v>
      </c>
      <c r="Y83" s="100" t="s">
        <v>135</v>
      </c>
      <c r="Z83" s="29">
        <v>1</v>
      </c>
      <c r="AA83" s="9">
        <v>1</v>
      </c>
      <c r="AB83" s="9">
        <v>1</v>
      </c>
      <c r="AC83" s="9">
        <v>2</v>
      </c>
      <c r="AD83" s="43">
        <v>2</v>
      </c>
      <c r="AE83" s="55">
        <v>0.35859414261160716</v>
      </c>
      <c r="AF83" s="52" t="s">
        <v>120</v>
      </c>
    </row>
    <row r="84" spans="1:32">
      <c r="A84" s="227">
        <v>2001</v>
      </c>
      <c r="B84" s="227">
        <v>1435</v>
      </c>
      <c r="C84" s="227" t="s">
        <v>93</v>
      </c>
      <c r="D84" s="227">
        <v>404</v>
      </c>
      <c r="E84" s="227">
        <v>1563</v>
      </c>
      <c r="F84" s="227">
        <v>276</v>
      </c>
      <c r="G84" s="227">
        <v>0.84991843393148447</v>
      </c>
      <c r="H84" s="227">
        <v>0.1500815660685155</v>
      </c>
      <c r="I84" s="312" t="s">
        <v>119</v>
      </c>
      <c r="J84" s="29">
        <v>1</v>
      </c>
      <c r="K84" s="9">
        <v>1</v>
      </c>
      <c r="L84" s="9">
        <v>1</v>
      </c>
      <c r="M84" s="9">
        <v>2</v>
      </c>
      <c r="N84" s="43">
        <v>2</v>
      </c>
      <c r="O84" s="265">
        <f t="shared" si="2"/>
        <v>0.35859414261160716</v>
      </c>
      <c r="P84" s="164" t="s">
        <v>120</v>
      </c>
      <c r="Q84" s="227">
        <v>2009</v>
      </c>
      <c r="R84" s="227">
        <v>11289</v>
      </c>
      <c r="S84" s="227" t="s">
        <v>93</v>
      </c>
      <c r="T84" s="227">
        <v>3276</v>
      </c>
      <c r="U84" s="227">
        <v>3152</v>
      </c>
      <c r="V84" s="227">
        <v>11413</v>
      </c>
      <c r="W84" s="227">
        <v>0.21640920013731549</v>
      </c>
      <c r="X84" s="227">
        <v>0.78359079986268454</v>
      </c>
      <c r="Y84" s="100" t="s">
        <v>135</v>
      </c>
      <c r="Z84" s="29">
        <v>1</v>
      </c>
      <c r="AA84" s="9">
        <v>1</v>
      </c>
      <c r="AB84" s="9">
        <v>1</v>
      </c>
      <c r="AC84" s="9">
        <v>2</v>
      </c>
      <c r="AD84" s="43">
        <v>2</v>
      </c>
      <c r="AE84" s="55">
        <v>0.35859414261160716</v>
      </c>
      <c r="AF84" s="52" t="s">
        <v>120</v>
      </c>
    </row>
    <row r="85" spans="1:32">
      <c r="A85" s="227">
        <v>2001</v>
      </c>
      <c r="B85" s="227">
        <v>290</v>
      </c>
      <c r="C85" s="227" t="s">
        <v>94</v>
      </c>
      <c r="D85" s="227">
        <v>135</v>
      </c>
      <c r="E85" s="227">
        <v>351</v>
      </c>
      <c r="F85" s="227">
        <v>74</v>
      </c>
      <c r="G85" s="227">
        <v>0.82588235294117651</v>
      </c>
      <c r="H85" s="227">
        <v>0.17411764705882349</v>
      </c>
      <c r="I85" s="312" t="s">
        <v>119</v>
      </c>
      <c r="J85" s="29">
        <v>1</v>
      </c>
      <c r="K85" s="9">
        <v>1</v>
      </c>
      <c r="L85" s="9">
        <v>1</v>
      </c>
      <c r="M85" s="9">
        <v>2</v>
      </c>
      <c r="N85" s="43">
        <v>2</v>
      </c>
      <c r="O85" s="265">
        <f t="shared" si="2"/>
        <v>0.35859414261160716</v>
      </c>
      <c r="P85" s="164" t="s">
        <v>120</v>
      </c>
      <c r="Q85" s="227">
        <v>2009</v>
      </c>
      <c r="R85" s="227">
        <v>5551</v>
      </c>
      <c r="S85" s="227" t="s">
        <v>94</v>
      </c>
      <c r="T85" s="227">
        <v>1953</v>
      </c>
      <c r="U85" s="227">
        <v>1625</v>
      </c>
      <c r="V85" s="227">
        <v>5879</v>
      </c>
      <c r="W85" s="227">
        <v>0.21655117270788909</v>
      </c>
      <c r="X85" s="227">
        <v>0.78344882729211085</v>
      </c>
      <c r="Y85" s="100" t="s">
        <v>135</v>
      </c>
      <c r="Z85" s="29">
        <v>1</v>
      </c>
      <c r="AA85" s="9">
        <v>1</v>
      </c>
      <c r="AB85" s="9">
        <v>1</v>
      </c>
      <c r="AC85" s="9">
        <v>2</v>
      </c>
      <c r="AD85" s="43">
        <v>2</v>
      </c>
      <c r="AE85" s="55">
        <v>0.35859414261160716</v>
      </c>
      <c r="AF85" s="52" t="s">
        <v>120</v>
      </c>
    </row>
    <row r="86" spans="1:32">
      <c r="A86" s="227">
        <v>2001</v>
      </c>
      <c r="B86" s="227">
        <v>852</v>
      </c>
      <c r="C86" s="227" t="s">
        <v>95</v>
      </c>
      <c r="D86" s="227">
        <v>169</v>
      </c>
      <c r="E86" s="227">
        <v>307</v>
      </c>
      <c r="F86" s="227">
        <v>714</v>
      </c>
      <c r="G86" s="227">
        <v>0.30068560235063663</v>
      </c>
      <c r="H86" s="227">
        <v>0.69931439764936343</v>
      </c>
      <c r="I86" s="312" t="s">
        <v>119</v>
      </c>
      <c r="J86" s="29">
        <v>1</v>
      </c>
      <c r="K86" s="9">
        <v>1</v>
      </c>
      <c r="L86" s="9">
        <v>1</v>
      </c>
      <c r="M86" s="9">
        <v>2</v>
      </c>
      <c r="N86" s="43">
        <v>2</v>
      </c>
      <c r="O86" s="265">
        <f t="shared" si="2"/>
        <v>0.35859414261160716</v>
      </c>
      <c r="P86" s="164" t="s">
        <v>120</v>
      </c>
      <c r="Q86" s="227">
        <v>2009</v>
      </c>
      <c r="R86" s="227">
        <v>9674</v>
      </c>
      <c r="S86" s="227" t="s">
        <v>95</v>
      </c>
      <c r="T86" s="227">
        <v>1367</v>
      </c>
      <c r="U86" s="227">
        <v>1369</v>
      </c>
      <c r="V86" s="227">
        <v>9672</v>
      </c>
      <c r="W86" s="227">
        <v>0.12399239199347881</v>
      </c>
      <c r="X86" s="227">
        <v>0.87600760800652111</v>
      </c>
      <c r="Y86" s="100" t="s">
        <v>135</v>
      </c>
      <c r="Z86" s="29">
        <v>1</v>
      </c>
      <c r="AA86" s="9">
        <v>1</v>
      </c>
      <c r="AB86" s="9">
        <v>1</v>
      </c>
      <c r="AC86" s="9">
        <v>2</v>
      </c>
      <c r="AD86" s="43">
        <v>2</v>
      </c>
      <c r="AE86" s="55">
        <v>0.35859414261160716</v>
      </c>
      <c r="AF86" s="52" t="s">
        <v>120</v>
      </c>
    </row>
    <row r="87" spans="1:32">
      <c r="A87" s="227">
        <v>2001</v>
      </c>
      <c r="B87" s="227">
        <v>4</v>
      </c>
      <c r="C87" s="227" t="s">
        <v>96</v>
      </c>
      <c r="D87" s="227">
        <v>75</v>
      </c>
      <c r="E87" s="227">
        <v>36</v>
      </c>
      <c r="F87" s="227">
        <v>43</v>
      </c>
      <c r="G87" s="227">
        <v>0.45569620253164561</v>
      </c>
      <c r="H87" s="227">
        <v>0.54430379746835444</v>
      </c>
      <c r="I87" s="312" t="s">
        <v>119</v>
      </c>
      <c r="J87" s="29">
        <v>1</v>
      </c>
      <c r="K87" s="9">
        <v>1</v>
      </c>
      <c r="L87" s="9">
        <v>1</v>
      </c>
      <c r="M87" s="9">
        <v>2</v>
      </c>
      <c r="N87" s="43">
        <v>2</v>
      </c>
      <c r="O87" s="265">
        <f t="shared" si="2"/>
        <v>0.35859414261160716</v>
      </c>
      <c r="P87" s="164" t="s">
        <v>120</v>
      </c>
      <c r="Q87" s="227">
        <v>2009</v>
      </c>
      <c r="R87" s="227">
        <v>1738</v>
      </c>
      <c r="S87" s="227" t="s">
        <v>96</v>
      </c>
      <c r="T87" s="227">
        <v>199</v>
      </c>
      <c r="U87" s="227">
        <v>332</v>
      </c>
      <c r="V87" s="227">
        <v>1605</v>
      </c>
      <c r="W87" s="227">
        <v>0.17139907072792979</v>
      </c>
      <c r="X87" s="227">
        <v>0.82860092927207019</v>
      </c>
      <c r="Y87" s="100" t="s">
        <v>135</v>
      </c>
      <c r="Z87" s="29">
        <v>1</v>
      </c>
      <c r="AA87" s="9">
        <v>1</v>
      </c>
      <c r="AB87" s="9">
        <v>1</v>
      </c>
      <c r="AC87" s="9">
        <v>2</v>
      </c>
      <c r="AD87" s="43">
        <v>2</v>
      </c>
      <c r="AE87" s="55">
        <v>0.35859414261160716</v>
      </c>
      <c r="AF87" s="52" t="s">
        <v>120</v>
      </c>
    </row>
    <row r="88" spans="1:32">
      <c r="A88" s="227">
        <v>2001</v>
      </c>
      <c r="B88" s="227">
        <v>191</v>
      </c>
      <c r="C88" s="227" t="s">
        <v>97</v>
      </c>
      <c r="D88" s="227">
        <v>27</v>
      </c>
      <c r="E88" s="227">
        <v>82</v>
      </c>
      <c r="F88" s="227">
        <v>136</v>
      </c>
      <c r="G88" s="227">
        <v>0.37614678899082571</v>
      </c>
      <c r="H88" s="227">
        <v>0.62385321100917435</v>
      </c>
      <c r="I88" s="312" t="s">
        <v>119</v>
      </c>
      <c r="J88" s="29">
        <v>1</v>
      </c>
      <c r="K88" s="9">
        <v>1</v>
      </c>
      <c r="L88" s="9">
        <v>1</v>
      </c>
      <c r="M88" s="9">
        <v>2</v>
      </c>
      <c r="N88" s="43">
        <v>2</v>
      </c>
      <c r="O88" s="265">
        <f t="shared" si="2"/>
        <v>0.35859414261160716</v>
      </c>
      <c r="P88" s="164" t="s">
        <v>120</v>
      </c>
      <c r="Q88" s="227">
        <v>2009</v>
      </c>
      <c r="R88" s="227">
        <v>1646</v>
      </c>
      <c r="S88" s="227" t="s">
        <v>97</v>
      </c>
      <c r="T88" s="227">
        <v>101</v>
      </c>
      <c r="U88" s="227">
        <v>115</v>
      </c>
      <c r="V88" s="227">
        <v>1632</v>
      </c>
      <c r="W88" s="227">
        <v>6.5827132226674301E-2</v>
      </c>
      <c r="X88" s="227">
        <v>0.93417286777332564</v>
      </c>
      <c r="Y88" s="100" t="s">
        <v>135</v>
      </c>
      <c r="Z88" s="29">
        <v>1</v>
      </c>
      <c r="AA88" s="9">
        <v>1</v>
      </c>
      <c r="AB88" s="9">
        <v>1</v>
      </c>
      <c r="AC88" s="9">
        <v>2</v>
      </c>
      <c r="AD88" s="43">
        <v>2</v>
      </c>
      <c r="AE88" s="55">
        <v>0.35859414261160716</v>
      </c>
      <c r="AF88" s="52" t="s">
        <v>120</v>
      </c>
    </row>
    <row r="89" spans="1:32">
      <c r="A89" s="227">
        <v>2001</v>
      </c>
      <c r="B89" s="227">
        <v>610</v>
      </c>
      <c r="C89" s="227" t="s">
        <v>98</v>
      </c>
      <c r="D89" s="227">
        <v>198</v>
      </c>
      <c r="E89" s="227">
        <v>449</v>
      </c>
      <c r="F89" s="227">
        <v>359</v>
      </c>
      <c r="G89" s="227">
        <v>0.55569306930693074</v>
      </c>
      <c r="H89" s="227">
        <v>0.44430693069306931</v>
      </c>
      <c r="I89" s="312" t="s">
        <v>119</v>
      </c>
      <c r="J89" s="29">
        <v>1</v>
      </c>
      <c r="K89" s="9">
        <v>1</v>
      </c>
      <c r="L89" s="9">
        <v>1</v>
      </c>
      <c r="M89" s="9">
        <v>2</v>
      </c>
      <c r="N89" s="43">
        <v>2</v>
      </c>
      <c r="O89" s="265">
        <f t="shared" si="2"/>
        <v>0.35859414261160716</v>
      </c>
      <c r="P89" s="164" t="s">
        <v>120</v>
      </c>
      <c r="Q89" s="227">
        <v>2009</v>
      </c>
      <c r="R89" s="227">
        <v>6033</v>
      </c>
      <c r="S89" s="227" t="s">
        <v>98</v>
      </c>
      <c r="T89" s="227">
        <v>580</v>
      </c>
      <c r="U89" s="227">
        <v>1284</v>
      </c>
      <c r="V89" s="227">
        <v>5329</v>
      </c>
      <c r="W89" s="227">
        <v>0.19416301224860119</v>
      </c>
      <c r="X89" s="227">
        <v>0.80583698775139878</v>
      </c>
      <c r="Y89" s="100" t="s">
        <v>135</v>
      </c>
      <c r="Z89" s="29">
        <v>1</v>
      </c>
      <c r="AA89" s="9">
        <v>1</v>
      </c>
      <c r="AB89" s="9">
        <v>1</v>
      </c>
      <c r="AC89" s="9">
        <v>2</v>
      </c>
      <c r="AD89" s="43">
        <v>2</v>
      </c>
      <c r="AE89" s="55">
        <v>0.35859414261160716</v>
      </c>
      <c r="AF89" s="52" t="s">
        <v>120</v>
      </c>
    </row>
    <row r="90" spans="1:32">
      <c r="A90" s="227">
        <v>2001</v>
      </c>
      <c r="B90" s="227">
        <v>129</v>
      </c>
      <c r="C90" s="227" t="s">
        <v>99</v>
      </c>
      <c r="D90" s="227">
        <v>126</v>
      </c>
      <c r="E90" s="227">
        <v>255</v>
      </c>
      <c r="F90" s="227">
        <v>0</v>
      </c>
      <c r="G90" s="227">
        <v>1</v>
      </c>
      <c r="H90" s="227">
        <v>0</v>
      </c>
      <c r="I90" s="312" t="s">
        <v>119</v>
      </c>
      <c r="J90" s="29">
        <v>1</v>
      </c>
      <c r="K90" s="9">
        <v>1</v>
      </c>
      <c r="L90" s="9">
        <v>1</v>
      </c>
      <c r="M90" s="9">
        <v>2</v>
      </c>
      <c r="N90" s="43">
        <v>2</v>
      </c>
      <c r="O90" s="265">
        <f t="shared" si="2"/>
        <v>0.35859414261160716</v>
      </c>
      <c r="P90" s="164" t="s">
        <v>120</v>
      </c>
      <c r="Q90" s="227">
        <v>2009</v>
      </c>
      <c r="R90" s="227">
        <v>2917</v>
      </c>
      <c r="S90" s="227" t="s">
        <v>99</v>
      </c>
      <c r="T90" s="227">
        <v>1397</v>
      </c>
      <c r="U90" s="227">
        <v>339</v>
      </c>
      <c r="V90" s="227">
        <v>3975</v>
      </c>
      <c r="W90" s="227">
        <v>7.8581363004172455E-2</v>
      </c>
      <c r="X90" s="227">
        <v>0.92141863699582749</v>
      </c>
      <c r="Y90" s="100" t="s">
        <v>135</v>
      </c>
      <c r="Z90" s="29">
        <v>1</v>
      </c>
      <c r="AA90" s="9">
        <v>1</v>
      </c>
      <c r="AB90" s="9">
        <v>1</v>
      </c>
      <c r="AC90" s="9">
        <v>2</v>
      </c>
      <c r="AD90" s="43">
        <v>2</v>
      </c>
      <c r="AE90" s="55">
        <v>0.35859414261160716</v>
      </c>
      <c r="AF90" s="52" t="s">
        <v>120</v>
      </c>
    </row>
    <row r="91" spans="1:32">
      <c r="A91" s="227">
        <v>2001</v>
      </c>
      <c r="B91" s="227">
        <v>88</v>
      </c>
      <c r="C91" s="227" t="s">
        <v>102</v>
      </c>
      <c r="D91" s="227">
        <v>19</v>
      </c>
      <c r="E91" s="227">
        <v>107</v>
      </c>
      <c r="F91" s="227">
        <v>0</v>
      </c>
      <c r="G91" s="227">
        <v>1</v>
      </c>
      <c r="H91" s="227">
        <v>0</v>
      </c>
      <c r="I91" s="312" t="s">
        <v>119</v>
      </c>
      <c r="J91" s="29">
        <v>1</v>
      </c>
      <c r="K91" s="9">
        <v>1</v>
      </c>
      <c r="L91" s="9">
        <v>1</v>
      </c>
      <c r="M91" s="9">
        <v>2</v>
      </c>
      <c r="N91" s="43">
        <v>2</v>
      </c>
      <c r="O91" s="265">
        <f t="shared" si="2"/>
        <v>0.35859414261160716</v>
      </c>
      <c r="P91" s="164" t="s">
        <v>120</v>
      </c>
      <c r="Q91" s="227">
        <v>2009</v>
      </c>
      <c r="R91" s="227">
        <v>698</v>
      </c>
      <c r="S91" s="227" t="s">
        <v>102</v>
      </c>
      <c r="T91" s="227">
        <v>238</v>
      </c>
      <c r="U91" s="227">
        <v>173</v>
      </c>
      <c r="V91" s="227">
        <v>763</v>
      </c>
      <c r="W91" s="227">
        <v>0.18482905982905981</v>
      </c>
      <c r="X91" s="227">
        <v>0.81517094017094016</v>
      </c>
      <c r="Y91" s="100" t="s">
        <v>135</v>
      </c>
      <c r="Z91" s="29">
        <v>1</v>
      </c>
      <c r="AA91" s="9">
        <v>1</v>
      </c>
      <c r="AB91" s="9">
        <v>1</v>
      </c>
      <c r="AC91" s="9">
        <v>2</v>
      </c>
      <c r="AD91" s="43">
        <v>2</v>
      </c>
      <c r="AE91" s="55">
        <v>0.35859414261160716</v>
      </c>
      <c r="AF91" s="52" t="s">
        <v>120</v>
      </c>
    </row>
    <row r="92" spans="1:32">
      <c r="A92" s="227">
        <v>2001</v>
      </c>
      <c r="B92" s="227">
        <v>337</v>
      </c>
      <c r="C92" s="227" t="s">
        <v>104</v>
      </c>
      <c r="D92" s="227">
        <v>54</v>
      </c>
      <c r="E92" s="227">
        <v>162</v>
      </c>
      <c r="F92" s="227">
        <v>229</v>
      </c>
      <c r="G92" s="227">
        <v>0.41432225063938621</v>
      </c>
      <c r="H92" s="227">
        <v>0.58567774936061379</v>
      </c>
      <c r="I92" s="312" t="s">
        <v>119</v>
      </c>
      <c r="J92" s="29">
        <v>1</v>
      </c>
      <c r="K92" s="9">
        <v>1</v>
      </c>
      <c r="L92" s="9">
        <v>1</v>
      </c>
      <c r="M92" s="9">
        <v>2</v>
      </c>
      <c r="N92" s="43">
        <v>2</v>
      </c>
      <c r="O92" s="265">
        <f t="shared" si="2"/>
        <v>0.35859414261160716</v>
      </c>
      <c r="P92" s="164" t="s">
        <v>120</v>
      </c>
      <c r="Q92" s="227">
        <v>2009</v>
      </c>
      <c r="R92" s="227">
        <v>1344</v>
      </c>
      <c r="S92" s="227" t="s">
        <v>104</v>
      </c>
      <c r="T92" s="227">
        <v>91</v>
      </c>
      <c r="U92" s="227">
        <v>352</v>
      </c>
      <c r="V92" s="227">
        <v>1083</v>
      </c>
      <c r="W92" s="227">
        <v>0.24529616724738679</v>
      </c>
      <c r="X92" s="227">
        <v>0.75470383275261321</v>
      </c>
      <c r="Y92" s="100" t="s">
        <v>135</v>
      </c>
      <c r="Z92" s="29">
        <v>1</v>
      </c>
      <c r="AA92" s="9">
        <v>1</v>
      </c>
      <c r="AB92" s="9">
        <v>1</v>
      </c>
      <c r="AC92" s="9">
        <v>2</v>
      </c>
      <c r="AD92" s="43">
        <v>2</v>
      </c>
      <c r="AE92" s="55">
        <v>0.35859414261160716</v>
      </c>
      <c r="AF92" s="52" t="s">
        <v>120</v>
      </c>
    </row>
    <row r="93" spans="1:32">
      <c r="A93" s="227">
        <v>2001</v>
      </c>
      <c r="B93" s="227">
        <v>233</v>
      </c>
      <c r="C93" s="227" t="s">
        <v>105</v>
      </c>
      <c r="D93" s="227">
        <v>102</v>
      </c>
      <c r="E93" s="227">
        <v>180</v>
      </c>
      <c r="F93" s="227">
        <v>155</v>
      </c>
      <c r="G93" s="227">
        <v>0.53731343283582089</v>
      </c>
      <c r="H93" s="227">
        <v>0.46268656716417911</v>
      </c>
      <c r="I93" s="312" t="s">
        <v>119</v>
      </c>
      <c r="J93" s="29">
        <v>1</v>
      </c>
      <c r="K93" s="9">
        <v>1</v>
      </c>
      <c r="L93" s="9">
        <v>1</v>
      </c>
      <c r="M93" s="9">
        <v>2</v>
      </c>
      <c r="N93" s="43">
        <v>2</v>
      </c>
      <c r="O93" s="265">
        <f t="shared" si="2"/>
        <v>0.35859414261160716</v>
      </c>
      <c r="P93" s="164" t="s">
        <v>120</v>
      </c>
      <c r="Q93" s="227">
        <v>2009</v>
      </c>
      <c r="R93" s="227">
        <v>3427</v>
      </c>
      <c r="S93" s="227" t="s">
        <v>105</v>
      </c>
      <c r="T93" s="227">
        <v>464</v>
      </c>
      <c r="U93" s="227">
        <v>734</v>
      </c>
      <c r="V93" s="227">
        <v>3157</v>
      </c>
      <c r="W93" s="227">
        <v>0.1886404523258802</v>
      </c>
      <c r="X93" s="227">
        <v>0.81135954767411977</v>
      </c>
      <c r="Y93" s="100" t="s">
        <v>135</v>
      </c>
      <c r="Z93" s="29">
        <v>1</v>
      </c>
      <c r="AA93" s="9">
        <v>1</v>
      </c>
      <c r="AB93" s="9">
        <v>1</v>
      </c>
      <c r="AC93" s="9">
        <v>2</v>
      </c>
      <c r="AD93" s="43">
        <v>2</v>
      </c>
      <c r="AE93" s="55">
        <v>0.35859414261160716</v>
      </c>
      <c r="AF93" s="52" t="s">
        <v>120</v>
      </c>
    </row>
    <row r="94" spans="1:32">
      <c r="A94" s="227">
        <v>2001</v>
      </c>
      <c r="B94" s="227">
        <v>200</v>
      </c>
      <c r="C94" s="227" t="s">
        <v>103</v>
      </c>
      <c r="D94" s="227">
        <v>43</v>
      </c>
      <c r="E94" s="227">
        <v>176</v>
      </c>
      <c r="F94" s="227">
        <v>67</v>
      </c>
      <c r="G94" s="227">
        <v>0.72427983539094654</v>
      </c>
      <c r="H94" s="227">
        <v>0.27572016460905352</v>
      </c>
      <c r="I94" s="312" t="s">
        <v>119</v>
      </c>
      <c r="J94" s="29">
        <v>1</v>
      </c>
      <c r="K94" s="9">
        <v>1</v>
      </c>
      <c r="L94" s="9">
        <v>1</v>
      </c>
      <c r="M94" s="9">
        <v>2</v>
      </c>
      <c r="N94" s="43">
        <v>2</v>
      </c>
      <c r="O94" s="265">
        <f t="shared" si="2"/>
        <v>0.35859414261160716</v>
      </c>
      <c r="P94" s="164" t="s">
        <v>120</v>
      </c>
      <c r="Q94" s="227">
        <v>2009</v>
      </c>
      <c r="R94" s="227">
        <v>2127</v>
      </c>
      <c r="S94" s="227" t="s">
        <v>103</v>
      </c>
      <c r="T94" s="227">
        <v>325</v>
      </c>
      <c r="U94" s="227">
        <v>535</v>
      </c>
      <c r="V94" s="227">
        <v>1917</v>
      </c>
      <c r="W94" s="227">
        <v>0.21818923327895601</v>
      </c>
      <c r="X94" s="227">
        <v>0.7818107667210441</v>
      </c>
      <c r="Y94" s="100" t="s">
        <v>135</v>
      </c>
      <c r="Z94" s="29">
        <v>1</v>
      </c>
      <c r="AA94" s="9">
        <v>1</v>
      </c>
      <c r="AB94" s="9">
        <v>1</v>
      </c>
      <c r="AC94" s="9">
        <v>2</v>
      </c>
      <c r="AD94" s="43">
        <v>2</v>
      </c>
      <c r="AE94" s="55">
        <v>0.35859414261160716</v>
      </c>
      <c r="AF94" s="52" t="s">
        <v>120</v>
      </c>
    </row>
    <row r="95" spans="1:32">
      <c r="A95" s="227">
        <v>2001</v>
      </c>
      <c r="B95" s="227">
        <v>98</v>
      </c>
      <c r="C95" s="227" t="s">
        <v>101</v>
      </c>
      <c r="D95" s="227">
        <v>23</v>
      </c>
      <c r="E95" s="227">
        <v>38</v>
      </c>
      <c r="F95" s="227">
        <v>83</v>
      </c>
      <c r="G95" s="227">
        <v>0.31404958677685951</v>
      </c>
      <c r="H95" s="227">
        <v>0.68595041322314043</v>
      </c>
      <c r="I95" s="312" t="s">
        <v>119</v>
      </c>
      <c r="J95" s="29">
        <v>1</v>
      </c>
      <c r="K95" s="9">
        <v>1</v>
      </c>
      <c r="L95" s="9">
        <v>1</v>
      </c>
      <c r="M95" s="9">
        <v>2</v>
      </c>
      <c r="N95" s="43">
        <v>2</v>
      </c>
      <c r="O95" s="265">
        <f t="shared" si="2"/>
        <v>0.35859414261160716</v>
      </c>
      <c r="P95" s="164" t="s">
        <v>120</v>
      </c>
      <c r="Q95" s="227">
        <v>2009</v>
      </c>
      <c r="R95" s="227">
        <v>2344</v>
      </c>
      <c r="S95" s="227" t="s">
        <v>101</v>
      </c>
      <c r="T95" s="227">
        <v>82</v>
      </c>
      <c r="U95" s="227">
        <v>345</v>
      </c>
      <c r="V95" s="227">
        <v>2081</v>
      </c>
      <c r="W95" s="227">
        <v>0.14220939818631489</v>
      </c>
      <c r="X95" s="227">
        <v>0.85779060181368505</v>
      </c>
      <c r="Y95" s="100" t="s">
        <v>135</v>
      </c>
      <c r="Z95" s="29">
        <v>1</v>
      </c>
      <c r="AA95" s="9">
        <v>1</v>
      </c>
      <c r="AB95" s="9">
        <v>1</v>
      </c>
      <c r="AC95" s="9">
        <v>2</v>
      </c>
      <c r="AD95" s="43">
        <v>2</v>
      </c>
      <c r="AE95" s="55">
        <v>0.35859414261160716</v>
      </c>
      <c r="AF95" s="52" t="s">
        <v>120</v>
      </c>
    </row>
    <row r="96" spans="1:32">
      <c r="A96" s="227">
        <v>2001</v>
      </c>
      <c r="B96" s="227">
        <v>1473</v>
      </c>
      <c r="C96" s="227" t="s">
        <v>106</v>
      </c>
      <c r="D96" s="227">
        <v>600</v>
      </c>
      <c r="E96" s="227">
        <v>2073</v>
      </c>
      <c r="F96" s="227">
        <v>0</v>
      </c>
      <c r="G96" s="227">
        <v>1</v>
      </c>
      <c r="H96" s="227">
        <v>0</v>
      </c>
      <c r="I96" s="312" t="s">
        <v>119</v>
      </c>
      <c r="J96" s="29">
        <v>1</v>
      </c>
      <c r="K96" s="9">
        <v>1</v>
      </c>
      <c r="L96" s="9">
        <v>1</v>
      </c>
      <c r="M96" s="9">
        <v>2</v>
      </c>
      <c r="N96" s="43">
        <v>2</v>
      </c>
      <c r="O96" s="265">
        <f t="shared" si="2"/>
        <v>0.35859414261160716</v>
      </c>
      <c r="P96" s="164" t="s">
        <v>120</v>
      </c>
      <c r="Q96" s="227">
        <v>2009</v>
      </c>
      <c r="R96" s="227">
        <v>15165</v>
      </c>
      <c r="S96" s="227" t="s">
        <v>106</v>
      </c>
      <c r="T96" s="227">
        <v>3768</v>
      </c>
      <c r="U96" s="227">
        <v>4126</v>
      </c>
      <c r="V96" s="227">
        <v>14807</v>
      </c>
      <c r="W96" s="227">
        <v>0.217926371943168</v>
      </c>
      <c r="X96" s="227">
        <v>0.782073628056832</v>
      </c>
      <c r="Y96" s="100" t="s">
        <v>135</v>
      </c>
      <c r="Z96" s="29">
        <v>1</v>
      </c>
      <c r="AA96" s="9">
        <v>1</v>
      </c>
      <c r="AB96" s="9">
        <v>1</v>
      </c>
      <c r="AC96" s="9">
        <v>2</v>
      </c>
      <c r="AD96" s="43">
        <v>2</v>
      </c>
      <c r="AE96" s="55">
        <v>0.35859414261160716</v>
      </c>
      <c r="AF96" s="52" t="s">
        <v>120</v>
      </c>
    </row>
    <row r="97" spans="1:32">
      <c r="A97" s="227">
        <v>2002</v>
      </c>
      <c r="B97" s="227">
        <v>1435</v>
      </c>
      <c r="C97" s="227" t="s">
        <v>93</v>
      </c>
      <c r="D97" s="227">
        <v>494</v>
      </c>
      <c r="E97" s="227">
        <v>1580</v>
      </c>
      <c r="F97" s="227">
        <v>349</v>
      </c>
      <c r="G97" s="227">
        <v>0.8190772420943494</v>
      </c>
      <c r="H97" s="227">
        <v>0.1809227579056506</v>
      </c>
      <c r="I97" s="312" t="s">
        <v>119</v>
      </c>
      <c r="J97" s="29">
        <v>1</v>
      </c>
      <c r="K97" s="9">
        <v>1</v>
      </c>
      <c r="L97" s="9">
        <v>1</v>
      </c>
      <c r="M97" s="9">
        <v>2</v>
      </c>
      <c r="N97" s="43">
        <v>2</v>
      </c>
      <c r="O97" s="265">
        <f t="shared" si="2"/>
        <v>0.35859414261160716</v>
      </c>
      <c r="P97" s="164" t="s">
        <v>120</v>
      </c>
      <c r="Q97" s="227">
        <v>2010</v>
      </c>
      <c r="R97" s="227">
        <v>12078</v>
      </c>
      <c r="S97" s="227" t="s">
        <v>93</v>
      </c>
      <c r="T97" s="227">
        <v>2773</v>
      </c>
      <c r="U97" s="227">
        <v>3048</v>
      </c>
      <c r="V97" s="227">
        <v>11803</v>
      </c>
      <c r="W97" s="227">
        <v>0.20523870446434581</v>
      </c>
      <c r="X97" s="227">
        <v>0.79476129553565422</v>
      </c>
      <c r="Y97" s="100" t="s">
        <v>135</v>
      </c>
      <c r="Z97" s="29">
        <v>1</v>
      </c>
      <c r="AA97" s="9">
        <v>1</v>
      </c>
      <c r="AB97" s="9">
        <v>1</v>
      </c>
      <c r="AC97" s="9">
        <v>2</v>
      </c>
      <c r="AD97" s="43">
        <v>2</v>
      </c>
      <c r="AE97" s="55">
        <v>0.35859414261160716</v>
      </c>
      <c r="AF97" s="52" t="s">
        <v>120</v>
      </c>
    </row>
    <row r="98" spans="1:32">
      <c r="A98" s="227">
        <v>2002</v>
      </c>
      <c r="B98" s="227">
        <v>290</v>
      </c>
      <c r="C98" s="227" t="s">
        <v>94</v>
      </c>
      <c r="D98" s="227">
        <v>146</v>
      </c>
      <c r="E98" s="227">
        <v>322</v>
      </c>
      <c r="F98" s="227">
        <v>114</v>
      </c>
      <c r="G98" s="227">
        <v>0.73853211009174313</v>
      </c>
      <c r="H98" s="227">
        <v>0.26146788990825692</v>
      </c>
      <c r="I98" s="312" t="s">
        <v>119</v>
      </c>
      <c r="J98" s="29">
        <v>1</v>
      </c>
      <c r="K98" s="9">
        <v>1</v>
      </c>
      <c r="L98" s="9">
        <v>1</v>
      </c>
      <c r="M98" s="9">
        <v>2</v>
      </c>
      <c r="N98" s="43">
        <v>2</v>
      </c>
      <c r="O98" s="265">
        <f t="shared" si="2"/>
        <v>0.35859414261160716</v>
      </c>
      <c r="P98" s="164" t="s">
        <v>120</v>
      </c>
      <c r="Q98" s="227">
        <v>2010</v>
      </c>
      <c r="R98" s="227">
        <v>5687</v>
      </c>
      <c r="S98" s="227" t="s">
        <v>94</v>
      </c>
      <c r="T98" s="227">
        <v>1804</v>
      </c>
      <c r="U98" s="227">
        <v>1572</v>
      </c>
      <c r="V98" s="227">
        <v>5919</v>
      </c>
      <c r="W98" s="227">
        <v>0.20985182218662399</v>
      </c>
      <c r="X98" s="227">
        <v>0.7901481778133761</v>
      </c>
      <c r="Y98" s="100" t="s">
        <v>135</v>
      </c>
      <c r="Z98" s="29">
        <v>1</v>
      </c>
      <c r="AA98" s="9">
        <v>1</v>
      </c>
      <c r="AB98" s="9">
        <v>1</v>
      </c>
      <c r="AC98" s="9">
        <v>2</v>
      </c>
      <c r="AD98" s="43">
        <v>2</v>
      </c>
      <c r="AE98" s="55">
        <v>0.35859414261160716</v>
      </c>
      <c r="AF98" s="52" t="s">
        <v>120</v>
      </c>
    </row>
    <row r="99" spans="1:32">
      <c r="A99" s="227">
        <v>2002</v>
      </c>
      <c r="B99" s="227">
        <v>852</v>
      </c>
      <c r="C99" s="227" t="s">
        <v>95</v>
      </c>
      <c r="D99" s="227">
        <v>243</v>
      </c>
      <c r="E99" s="227">
        <v>470</v>
      </c>
      <c r="F99" s="227">
        <v>625</v>
      </c>
      <c r="G99" s="227">
        <v>0.42922374429223742</v>
      </c>
      <c r="H99" s="227">
        <v>0.57077625570776258</v>
      </c>
      <c r="I99" s="312" t="s">
        <v>119</v>
      </c>
      <c r="J99" s="29">
        <v>1</v>
      </c>
      <c r="K99" s="9">
        <v>1</v>
      </c>
      <c r="L99" s="9">
        <v>1</v>
      </c>
      <c r="M99" s="9">
        <v>2</v>
      </c>
      <c r="N99" s="43">
        <v>2</v>
      </c>
      <c r="O99" s="265">
        <f t="shared" si="2"/>
        <v>0.35859414261160716</v>
      </c>
      <c r="P99" s="164" t="s">
        <v>120</v>
      </c>
      <c r="Q99" s="227">
        <v>2010</v>
      </c>
      <c r="R99" s="227">
        <v>9333</v>
      </c>
      <c r="S99" s="227" t="s">
        <v>95</v>
      </c>
      <c r="T99" s="227">
        <v>1342</v>
      </c>
      <c r="U99" s="227">
        <v>976</v>
      </c>
      <c r="V99" s="227">
        <v>9699</v>
      </c>
      <c r="W99" s="227">
        <v>9.1428571428571428E-2</v>
      </c>
      <c r="X99" s="227">
        <v>0.90857142857142859</v>
      </c>
      <c r="Y99" s="100" t="s">
        <v>135</v>
      </c>
      <c r="Z99" s="29">
        <v>1</v>
      </c>
      <c r="AA99" s="9">
        <v>1</v>
      </c>
      <c r="AB99" s="9">
        <v>1</v>
      </c>
      <c r="AC99" s="9">
        <v>2</v>
      </c>
      <c r="AD99" s="43">
        <v>2</v>
      </c>
      <c r="AE99" s="55">
        <v>0.35859414261160716</v>
      </c>
      <c r="AF99" s="52" t="s">
        <v>120</v>
      </c>
    </row>
    <row r="100" spans="1:32">
      <c r="A100" s="227">
        <v>2002</v>
      </c>
      <c r="B100" s="227">
        <v>19</v>
      </c>
      <c r="C100" s="227" t="s">
        <v>96</v>
      </c>
      <c r="D100" s="227">
        <v>73</v>
      </c>
      <c r="E100" s="227">
        <v>92</v>
      </c>
      <c r="F100" s="227">
        <v>0</v>
      </c>
      <c r="G100" s="227">
        <v>1</v>
      </c>
      <c r="H100" s="227">
        <v>0</v>
      </c>
      <c r="I100" s="312" t="s">
        <v>119</v>
      </c>
      <c r="J100" s="29">
        <v>1</v>
      </c>
      <c r="K100" s="9">
        <v>1</v>
      </c>
      <c r="L100" s="9">
        <v>1</v>
      </c>
      <c r="M100" s="9">
        <v>2</v>
      </c>
      <c r="N100" s="43">
        <v>2</v>
      </c>
      <c r="O100" s="265">
        <f t="shared" si="2"/>
        <v>0.35859414261160716</v>
      </c>
      <c r="P100" s="164" t="s">
        <v>120</v>
      </c>
      <c r="Q100" s="227">
        <v>2010</v>
      </c>
      <c r="R100" s="227">
        <v>1567</v>
      </c>
      <c r="S100" s="227" t="s">
        <v>96</v>
      </c>
      <c r="T100" s="227">
        <v>93</v>
      </c>
      <c r="U100" s="227">
        <v>321</v>
      </c>
      <c r="V100" s="227">
        <v>1339</v>
      </c>
      <c r="W100" s="227">
        <v>0.19337349397590359</v>
      </c>
      <c r="X100" s="227">
        <v>0.80662650602409636</v>
      </c>
      <c r="Y100" s="100" t="s">
        <v>135</v>
      </c>
      <c r="Z100" s="29">
        <v>1</v>
      </c>
      <c r="AA100" s="9">
        <v>1</v>
      </c>
      <c r="AB100" s="9">
        <v>1</v>
      </c>
      <c r="AC100" s="9">
        <v>2</v>
      </c>
      <c r="AD100" s="43">
        <v>2</v>
      </c>
      <c r="AE100" s="55">
        <v>0.35859414261160716</v>
      </c>
      <c r="AF100" s="52" t="s">
        <v>120</v>
      </c>
    </row>
    <row r="101" spans="1:32">
      <c r="A101" s="227">
        <v>2002</v>
      </c>
      <c r="B101" s="227">
        <v>191</v>
      </c>
      <c r="C101" s="227" t="s">
        <v>97</v>
      </c>
      <c r="D101" s="227">
        <v>30</v>
      </c>
      <c r="E101" s="227">
        <v>131</v>
      </c>
      <c r="F101" s="227">
        <v>90</v>
      </c>
      <c r="G101" s="227">
        <v>0.59276018099547512</v>
      </c>
      <c r="H101" s="227">
        <v>0.40723981900452488</v>
      </c>
      <c r="I101" s="312" t="s">
        <v>119</v>
      </c>
      <c r="J101" s="29">
        <v>1</v>
      </c>
      <c r="K101" s="9">
        <v>1</v>
      </c>
      <c r="L101" s="9">
        <v>1</v>
      </c>
      <c r="M101" s="9">
        <v>2</v>
      </c>
      <c r="N101" s="43">
        <v>2</v>
      </c>
      <c r="O101" s="265">
        <f t="shared" si="2"/>
        <v>0.35859414261160716</v>
      </c>
      <c r="P101" s="164" t="s">
        <v>120</v>
      </c>
      <c r="Q101" s="227">
        <v>2010</v>
      </c>
      <c r="R101" s="227">
        <v>1634</v>
      </c>
      <c r="S101" s="227" t="s">
        <v>97</v>
      </c>
      <c r="T101" s="227">
        <v>112</v>
      </c>
      <c r="U101" s="227">
        <v>126</v>
      </c>
      <c r="V101" s="227">
        <v>1620</v>
      </c>
      <c r="W101" s="227">
        <v>7.2164948453608241E-2</v>
      </c>
      <c r="X101" s="227">
        <v>0.92783505154639179</v>
      </c>
      <c r="Y101" s="100" t="s">
        <v>135</v>
      </c>
      <c r="Z101" s="29">
        <v>1</v>
      </c>
      <c r="AA101" s="9">
        <v>1</v>
      </c>
      <c r="AB101" s="9">
        <v>1</v>
      </c>
      <c r="AC101" s="9">
        <v>2</v>
      </c>
      <c r="AD101" s="43">
        <v>2</v>
      </c>
      <c r="AE101" s="55">
        <v>0.35859414261160716</v>
      </c>
      <c r="AF101" s="52" t="s">
        <v>120</v>
      </c>
    </row>
    <row r="102" spans="1:32">
      <c r="A102" s="227">
        <v>2002</v>
      </c>
      <c r="B102" s="227">
        <v>610</v>
      </c>
      <c r="C102" s="227" t="s">
        <v>98</v>
      </c>
      <c r="D102" s="227">
        <v>197</v>
      </c>
      <c r="E102" s="227">
        <v>474</v>
      </c>
      <c r="F102" s="227">
        <v>333</v>
      </c>
      <c r="G102" s="227">
        <v>0.58736059479553904</v>
      </c>
      <c r="H102" s="227">
        <v>0.41263940520446102</v>
      </c>
      <c r="I102" s="312" t="s">
        <v>119</v>
      </c>
      <c r="J102" s="29">
        <v>1</v>
      </c>
      <c r="K102" s="9">
        <v>1</v>
      </c>
      <c r="L102" s="9">
        <v>1</v>
      </c>
      <c r="M102" s="9">
        <v>2</v>
      </c>
      <c r="N102" s="43">
        <v>2</v>
      </c>
      <c r="O102" s="265">
        <f t="shared" si="2"/>
        <v>0.35859414261160716</v>
      </c>
      <c r="P102" s="164" t="s">
        <v>120</v>
      </c>
      <c r="Q102" s="227">
        <v>2010</v>
      </c>
      <c r="R102" s="227">
        <v>5949</v>
      </c>
      <c r="S102" s="227" t="s">
        <v>98</v>
      </c>
      <c r="T102" s="227">
        <v>444</v>
      </c>
      <c r="U102" s="227">
        <v>1461</v>
      </c>
      <c r="V102" s="227">
        <v>4932</v>
      </c>
      <c r="W102" s="227">
        <v>0.2285312060065697</v>
      </c>
      <c r="X102" s="227">
        <v>0.77146879399343038</v>
      </c>
      <c r="Y102" s="100" t="s">
        <v>135</v>
      </c>
      <c r="Z102" s="29">
        <v>1</v>
      </c>
      <c r="AA102" s="9">
        <v>1</v>
      </c>
      <c r="AB102" s="9">
        <v>1</v>
      </c>
      <c r="AC102" s="9">
        <v>2</v>
      </c>
      <c r="AD102" s="43">
        <v>2</v>
      </c>
      <c r="AE102" s="55">
        <v>0.35859414261160716</v>
      </c>
      <c r="AF102" s="52" t="s">
        <v>120</v>
      </c>
    </row>
    <row r="103" spans="1:32">
      <c r="A103" s="227">
        <v>2002</v>
      </c>
      <c r="B103" s="227">
        <v>144</v>
      </c>
      <c r="C103" s="227" t="s">
        <v>99</v>
      </c>
      <c r="D103" s="227">
        <v>118</v>
      </c>
      <c r="E103" s="227">
        <v>262</v>
      </c>
      <c r="F103" s="227">
        <v>0</v>
      </c>
      <c r="G103" s="227">
        <v>1</v>
      </c>
      <c r="H103" s="227">
        <v>0</v>
      </c>
      <c r="I103" s="312" t="s">
        <v>119</v>
      </c>
      <c r="J103" s="29">
        <v>1</v>
      </c>
      <c r="K103" s="9">
        <v>1</v>
      </c>
      <c r="L103" s="9">
        <v>1</v>
      </c>
      <c r="M103" s="9">
        <v>2</v>
      </c>
      <c r="N103" s="43">
        <v>2</v>
      </c>
      <c r="O103" s="265">
        <f t="shared" si="2"/>
        <v>0.35859414261160716</v>
      </c>
      <c r="P103" s="164" t="s">
        <v>120</v>
      </c>
      <c r="Q103" s="227">
        <v>2010</v>
      </c>
      <c r="R103" s="227">
        <v>3001</v>
      </c>
      <c r="S103" s="227" t="s">
        <v>99</v>
      </c>
      <c r="T103" s="227">
        <v>1193</v>
      </c>
      <c r="U103" s="227">
        <v>382</v>
      </c>
      <c r="V103" s="227">
        <v>3812</v>
      </c>
      <c r="W103" s="227">
        <v>9.1082498807820697E-2</v>
      </c>
      <c r="X103" s="227">
        <v>0.90891750119217929</v>
      </c>
      <c r="Y103" s="100" t="s">
        <v>135</v>
      </c>
      <c r="Z103" s="29">
        <v>1</v>
      </c>
      <c r="AA103" s="9">
        <v>1</v>
      </c>
      <c r="AB103" s="9">
        <v>1</v>
      </c>
      <c r="AC103" s="9">
        <v>2</v>
      </c>
      <c r="AD103" s="43">
        <v>2</v>
      </c>
      <c r="AE103" s="55">
        <v>0.35859414261160716</v>
      </c>
      <c r="AF103" s="52" t="s">
        <v>120</v>
      </c>
    </row>
    <row r="104" spans="1:32">
      <c r="A104" s="227">
        <v>2002</v>
      </c>
      <c r="B104" s="227">
        <v>68</v>
      </c>
      <c r="C104" s="227" t="s">
        <v>102</v>
      </c>
      <c r="D104" s="227">
        <v>30</v>
      </c>
      <c r="E104" s="227">
        <v>98</v>
      </c>
      <c r="F104" s="227">
        <v>0</v>
      </c>
      <c r="G104" s="227">
        <v>1</v>
      </c>
      <c r="H104" s="227">
        <v>0</v>
      </c>
      <c r="I104" s="312" t="s">
        <v>119</v>
      </c>
      <c r="J104" s="29">
        <v>1</v>
      </c>
      <c r="K104" s="9">
        <v>1</v>
      </c>
      <c r="L104" s="9">
        <v>1</v>
      </c>
      <c r="M104" s="9">
        <v>2</v>
      </c>
      <c r="N104" s="43">
        <v>2</v>
      </c>
      <c r="O104" s="265">
        <f t="shared" si="2"/>
        <v>0.35859414261160716</v>
      </c>
      <c r="P104" s="164" t="s">
        <v>120</v>
      </c>
      <c r="Q104" s="227">
        <v>2010</v>
      </c>
      <c r="R104" s="227">
        <v>691</v>
      </c>
      <c r="S104" s="227" t="s">
        <v>102</v>
      </c>
      <c r="T104" s="227">
        <v>182</v>
      </c>
      <c r="U104" s="227">
        <v>197</v>
      </c>
      <c r="V104" s="227">
        <v>676</v>
      </c>
      <c r="W104" s="227">
        <v>0.22565864833906071</v>
      </c>
      <c r="X104" s="227">
        <v>0.77434135166093931</v>
      </c>
      <c r="Y104" s="100" t="s">
        <v>135</v>
      </c>
      <c r="Z104" s="29">
        <v>1</v>
      </c>
      <c r="AA104" s="9">
        <v>1</v>
      </c>
      <c r="AB104" s="9">
        <v>1</v>
      </c>
      <c r="AC104" s="9">
        <v>2</v>
      </c>
      <c r="AD104" s="43">
        <v>2</v>
      </c>
      <c r="AE104" s="55">
        <v>0.35859414261160716</v>
      </c>
      <c r="AF104" s="52" t="s">
        <v>120</v>
      </c>
    </row>
    <row r="105" spans="1:32">
      <c r="A105" s="227">
        <v>2002</v>
      </c>
      <c r="B105" s="227">
        <v>337</v>
      </c>
      <c r="C105" s="227" t="s">
        <v>104</v>
      </c>
      <c r="D105" s="227">
        <v>62</v>
      </c>
      <c r="E105" s="227">
        <v>211</v>
      </c>
      <c r="F105" s="227">
        <v>188</v>
      </c>
      <c r="G105" s="227">
        <v>0.52882205513784464</v>
      </c>
      <c r="H105" s="227">
        <v>0.47117794486215542</v>
      </c>
      <c r="I105" s="312" t="s">
        <v>119</v>
      </c>
      <c r="J105" s="29">
        <v>1</v>
      </c>
      <c r="K105" s="9">
        <v>1</v>
      </c>
      <c r="L105" s="9">
        <v>1</v>
      </c>
      <c r="M105" s="9">
        <v>2</v>
      </c>
      <c r="N105" s="43">
        <v>2</v>
      </c>
      <c r="O105" s="265">
        <f t="shared" si="2"/>
        <v>0.35859414261160716</v>
      </c>
      <c r="P105" s="164" t="s">
        <v>120</v>
      </c>
      <c r="Q105" s="227">
        <v>2010</v>
      </c>
      <c r="R105" s="227">
        <v>1317</v>
      </c>
      <c r="S105" s="227" t="s">
        <v>104</v>
      </c>
      <c r="T105" s="227">
        <v>102</v>
      </c>
      <c r="U105" s="227">
        <v>335</v>
      </c>
      <c r="V105" s="227">
        <v>1084</v>
      </c>
      <c r="W105" s="227">
        <v>0.2360817477096547</v>
      </c>
      <c r="X105" s="227">
        <v>0.76391825229034538</v>
      </c>
      <c r="Y105" s="100" t="s">
        <v>135</v>
      </c>
      <c r="Z105" s="29">
        <v>1</v>
      </c>
      <c r="AA105" s="9">
        <v>1</v>
      </c>
      <c r="AB105" s="9">
        <v>1</v>
      </c>
      <c r="AC105" s="9">
        <v>2</v>
      </c>
      <c r="AD105" s="43">
        <v>2</v>
      </c>
      <c r="AE105" s="55">
        <v>0.35859414261160716</v>
      </c>
      <c r="AF105" s="52" t="s">
        <v>120</v>
      </c>
    </row>
    <row r="106" spans="1:32">
      <c r="A106" s="227">
        <v>2002</v>
      </c>
      <c r="B106" s="227">
        <v>233</v>
      </c>
      <c r="C106" s="227" t="s">
        <v>105</v>
      </c>
      <c r="D106" s="227">
        <v>179</v>
      </c>
      <c r="E106" s="227">
        <v>200</v>
      </c>
      <c r="F106" s="227">
        <v>212</v>
      </c>
      <c r="G106" s="227">
        <v>0.4854368932038835</v>
      </c>
      <c r="H106" s="227">
        <v>0.5145631067961165</v>
      </c>
      <c r="I106" s="312" t="s">
        <v>119</v>
      </c>
      <c r="J106" s="29">
        <v>1</v>
      </c>
      <c r="K106" s="9">
        <v>1</v>
      </c>
      <c r="L106" s="9">
        <v>1</v>
      </c>
      <c r="M106" s="9">
        <v>2</v>
      </c>
      <c r="N106" s="43">
        <v>2</v>
      </c>
      <c r="O106" s="265">
        <f t="shared" si="2"/>
        <v>0.35859414261160716</v>
      </c>
      <c r="P106" s="164" t="s">
        <v>120</v>
      </c>
      <c r="Q106" s="227">
        <v>2010</v>
      </c>
      <c r="R106" s="227">
        <v>3357</v>
      </c>
      <c r="S106" s="227" t="s">
        <v>105</v>
      </c>
      <c r="T106" s="227">
        <v>525</v>
      </c>
      <c r="U106" s="227">
        <v>916</v>
      </c>
      <c r="V106" s="227">
        <v>2966</v>
      </c>
      <c r="W106" s="227">
        <v>0.2359608449252962</v>
      </c>
      <c r="X106" s="227">
        <v>0.76403915507470377</v>
      </c>
      <c r="Y106" s="100" t="s">
        <v>135</v>
      </c>
      <c r="Z106" s="29">
        <v>1</v>
      </c>
      <c r="AA106" s="9">
        <v>1</v>
      </c>
      <c r="AB106" s="9">
        <v>1</v>
      </c>
      <c r="AC106" s="9">
        <v>2</v>
      </c>
      <c r="AD106" s="43">
        <v>2</v>
      </c>
      <c r="AE106" s="55">
        <v>0.35859414261160716</v>
      </c>
      <c r="AF106" s="52" t="s">
        <v>120</v>
      </c>
    </row>
    <row r="107" spans="1:32">
      <c r="A107" s="227">
        <v>2002</v>
      </c>
      <c r="B107" s="227">
        <v>200</v>
      </c>
      <c r="C107" s="227" t="s">
        <v>103</v>
      </c>
      <c r="D107" s="227">
        <v>44</v>
      </c>
      <c r="E107" s="227">
        <v>187</v>
      </c>
      <c r="F107" s="227">
        <v>57</v>
      </c>
      <c r="G107" s="227">
        <v>0.76639344262295084</v>
      </c>
      <c r="H107" s="227">
        <v>0.23360655737704919</v>
      </c>
      <c r="I107" s="312" t="s">
        <v>119</v>
      </c>
      <c r="J107" s="29">
        <v>1</v>
      </c>
      <c r="K107" s="9">
        <v>1</v>
      </c>
      <c r="L107" s="9">
        <v>1</v>
      </c>
      <c r="M107" s="9">
        <v>2</v>
      </c>
      <c r="N107" s="43">
        <v>2</v>
      </c>
      <c r="O107" s="265">
        <f t="shared" si="2"/>
        <v>0.35859414261160716</v>
      </c>
      <c r="P107" s="164" t="s">
        <v>120</v>
      </c>
      <c r="Q107" s="227">
        <v>2010</v>
      </c>
      <c r="R107" s="227">
        <v>2566</v>
      </c>
      <c r="S107" s="227" t="s">
        <v>103</v>
      </c>
      <c r="T107" s="227">
        <v>286</v>
      </c>
      <c r="U107" s="227">
        <v>639</v>
      </c>
      <c r="V107" s="227">
        <v>2213</v>
      </c>
      <c r="W107" s="227">
        <v>0.22405329593267881</v>
      </c>
      <c r="X107" s="227">
        <v>0.77594670406732114</v>
      </c>
      <c r="Y107" s="100" t="s">
        <v>135</v>
      </c>
      <c r="Z107" s="29">
        <v>1</v>
      </c>
      <c r="AA107" s="9">
        <v>1</v>
      </c>
      <c r="AB107" s="9">
        <v>1</v>
      </c>
      <c r="AC107" s="9">
        <v>2</v>
      </c>
      <c r="AD107" s="43">
        <v>2</v>
      </c>
      <c r="AE107" s="55">
        <v>0.35859414261160716</v>
      </c>
      <c r="AF107" s="52" t="s">
        <v>120</v>
      </c>
    </row>
    <row r="108" spans="1:32">
      <c r="A108" s="227">
        <v>2002</v>
      </c>
      <c r="B108" s="227">
        <v>98</v>
      </c>
      <c r="C108" s="227" t="s">
        <v>101</v>
      </c>
      <c r="D108" s="227">
        <v>20</v>
      </c>
      <c r="E108" s="227">
        <v>39</v>
      </c>
      <c r="F108" s="227">
        <v>79</v>
      </c>
      <c r="G108" s="227">
        <v>0.33050847457627119</v>
      </c>
      <c r="H108" s="227">
        <v>0.66949152542372881</v>
      </c>
      <c r="I108" s="312" t="s">
        <v>119</v>
      </c>
      <c r="J108" s="29">
        <v>1</v>
      </c>
      <c r="K108" s="9">
        <v>1</v>
      </c>
      <c r="L108" s="9">
        <v>1</v>
      </c>
      <c r="M108" s="9">
        <v>2</v>
      </c>
      <c r="N108" s="43">
        <v>2</v>
      </c>
      <c r="O108" s="265">
        <f t="shared" si="2"/>
        <v>0.35859414261160716</v>
      </c>
      <c r="P108" s="164" t="s">
        <v>120</v>
      </c>
      <c r="Q108" s="227">
        <v>2010</v>
      </c>
      <c r="R108" s="227">
        <v>2100</v>
      </c>
      <c r="S108" s="227" t="s">
        <v>101</v>
      </c>
      <c r="T108" s="227">
        <v>77</v>
      </c>
      <c r="U108" s="227">
        <v>424</v>
      </c>
      <c r="V108" s="227">
        <v>1753</v>
      </c>
      <c r="W108" s="227">
        <v>0.19476343592099221</v>
      </c>
      <c r="X108" s="227">
        <v>0.80523656407900779</v>
      </c>
      <c r="Y108" s="100" t="s">
        <v>135</v>
      </c>
      <c r="Z108" s="29">
        <v>1</v>
      </c>
      <c r="AA108" s="9">
        <v>1</v>
      </c>
      <c r="AB108" s="9">
        <v>1</v>
      </c>
      <c r="AC108" s="9">
        <v>2</v>
      </c>
      <c r="AD108" s="43">
        <v>2</v>
      </c>
      <c r="AE108" s="55">
        <v>0.35859414261160716</v>
      </c>
      <c r="AF108" s="52" t="s">
        <v>120</v>
      </c>
    </row>
    <row r="109" spans="1:32">
      <c r="A109" s="227">
        <v>2002</v>
      </c>
      <c r="B109" s="227">
        <v>1400</v>
      </c>
      <c r="C109" s="227" t="s">
        <v>106</v>
      </c>
      <c r="D109" s="227">
        <v>723</v>
      </c>
      <c r="E109" s="227">
        <v>2123</v>
      </c>
      <c r="F109" s="227">
        <v>0</v>
      </c>
      <c r="G109" s="227">
        <v>1</v>
      </c>
      <c r="H109" s="227">
        <v>0</v>
      </c>
      <c r="I109" s="312" t="s">
        <v>119</v>
      </c>
      <c r="J109" s="29">
        <v>1</v>
      </c>
      <c r="K109" s="9">
        <v>1</v>
      </c>
      <c r="L109" s="9">
        <v>1</v>
      </c>
      <c r="M109" s="9">
        <v>2</v>
      </c>
      <c r="N109" s="43">
        <v>2</v>
      </c>
      <c r="O109" s="265">
        <f t="shared" si="2"/>
        <v>0.35859414261160716</v>
      </c>
      <c r="P109" s="164" t="s">
        <v>120</v>
      </c>
      <c r="Q109" s="227">
        <v>2010</v>
      </c>
      <c r="R109" s="227">
        <v>14402</v>
      </c>
      <c r="S109" s="227" t="s">
        <v>106</v>
      </c>
      <c r="T109" s="227">
        <v>3675</v>
      </c>
      <c r="U109" s="227">
        <v>4621</v>
      </c>
      <c r="V109" s="227">
        <v>13456</v>
      </c>
      <c r="W109" s="227">
        <v>0.25562869945234268</v>
      </c>
      <c r="X109" s="227">
        <v>0.74437130054765732</v>
      </c>
      <c r="Y109" s="100" t="s">
        <v>135</v>
      </c>
      <c r="Z109" s="29">
        <v>1</v>
      </c>
      <c r="AA109" s="9">
        <v>1</v>
      </c>
      <c r="AB109" s="9">
        <v>1</v>
      </c>
      <c r="AC109" s="9">
        <v>2</v>
      </c>
      <c r="AD109" s="43">
        <v>2</v>
      </c>
      <c r="AE109" s="55">
        <v>0.35859414261160716</v>
      </c>
      <c r="AF109" s="52" t="s">
        <v>120</v>
      </c>
    </row>
    <row r="110" spans="1:32">
      <c r="A110" s="227">
        <v>2003</v>
      </c>
      <c r="B110" s="227">
        <v>1435</v>
      </c>
      <c r="C110" s="227" t="s">
        <v>93</v>
      </c>
      <c r="D110" s="227">
        <v>534</v>
      </c>
      <c r="E110" s="227">
        <v>1680</v>
      </c>
      <c r="F110" s="227">
        <v>289</v>
      </c>
      <c r="G110" s="227">
        <v>0.85322498730319962</v>
      </c>
      <c r="H110" s="227">
        <v>0.14677501269680041</v>
      </c>
      <c r="I110" s="312" t="s">
        <v>119</v>
      </c>
      <c r="J110" s="29">
        <v>1</v>
      </c>
      <c r="K110" s="9">
        <v>1</v>
      </c>
      <c r="L110" s="9">
        <v>1</v>
      </c>
      <c r="M110" s="9">
        <v>2</v>
      </c>
      <c r="N110" s="43">
        <v>2</v>
      </c>
      <c r="O110" s="265">
        <f t="shared" si="2"/>
        <v>0.35859414261160716</v>
      </c>
      <c r="P110" s="164" t="s">
        <v>120</v>
      </c>
      <c r="Q110" s="227">
        <v>2011</v>
      </c>
      <c r="R110" s="227">
        <v>12709</v>
      </c>
      <c r="S110" s="227" t="s">
        <v>93</v>
      </c>
      <c r="T110" s="227">
        <v>3130</v>
      </c>
      <c r="U110" s="227">
        <v>2773</v>
      </c>
      <c r="V110" s="227">
        <v>13066</v>
      </c>
      <c r="W110" s="227">
        <v>0.17507418397626109</v>
      </c>
      <c r="X110" s="227">
        <v>0.82492581602373893</v>
      </c>
      <c r="Y110" s="100" t="s">
        <v>135</v>
      </c>
      <c r="Z110" s="29">
        <v>1</v>
      </c>
      <c r="AA110" s="9">
        <v>1</v>
      </c>
      <c r="AB110" s="9">
        <v>1</v>
      </c>
      <c r="AC110" s="9">
        <v>2</v>
      </c>
      <c r="AD110" s="43">
        <v>2</v>
      </c>
      <c r="AE110" s="55">
        <v>0.35859414261160716</v>
      </c>
      <c r="AF110" s="52" t="s">
        <v>120</v>
      </c>
    </row>
    <row r="111" spans="1:32">
      <c r="A111" s="227">
        <v>2003</v>
      </c>
      <c r="B111" s="227">
        <v>290</v>
      </c>
      <c r="C111" s="227" t="s">
        <v>94</v>
      </c>
      <c r="D111" s="227">
        <v>157</v>
      </c>
      <c r="E111" s="227">
        <v>344</v>
      </c>
      <c r="F111" s="227">
        <v>103</v>
      </c>
      <c r="G111" s="227">
        <v>0.76957494407158833</v>
      </c>
      <c r="H111" s="227">
        <v>0.2304250559284117</v>
      </c>
      <c r="I111" s="312" t="s">
        <v>119</v>
      </c>
      <c r="J111" s="29">
        <v>1</v>
      </c>
      <c r="K111" s="9">
        <v>1</v>
      </c>
      <c r="L111" s="9">
        <v>1</v>
      </c>
      <c r="M111" s="9">
        <v>2</v>
      </c>
      <c r="N111" s="43">
        <v>2</v>
      </c>
      <c r="O111" s="265">
        <f t="shared" si="2"/>
        <v>0.35859414261160716</v>
      </c>
      <c r="P111" s="164" t="s">
        <v>120</v>
      </c>
      <c r="Q111" s="227">
        <v>2011</v>
      </c>
      <c r="R111" s="227">
        <v>5883</v>
      </c>
      <c r="S111" s="227" t="s">
        <v>94</v>
      </c>
      <c r="T111" s="227">
        <v>1771</v>
      </c>
      <c r="U111" s="227">
        <v>1337</v>
      </c>
      <c r="V111" s="227">
        <v>6317</v>
      </c>
      <c r="W111" s="227">
        <v>0.17467990593153909</v>
      </c>
      <c r="X111" s="227">
        <v>0.82532009406846096</v>
      </c>
      <c r="Y111" s="100" t="s">
        <v>135</v>
      </c>
      <c r="Z111" s="29">
        <v>1</v>
      </c>
      <c r="AA111" s="9">
        <v>1</v>
      </c>
      <c r="AB111" s="9">
        <v>1</v>
      </c>
      <c r="AC111" s="9">
        <v>2</v>
      </c>
      <c r="AD111" s="43">
        <v>2</v>
      </c>
      <c r="AE111" s="55">
        <v>0.35859414261160716</v>
      </c>
      <c r="AF111" s="52" t="s">
        <v>120</v>
      </c>
    </row>
    <row r="112" spans="1:32">
      <c r="A112" s="227">
        <v>2003</v>
      </c>
      <c r="B112" s="227">
        <v>852</v>
      </c>
      <c r="C112" s="227" t="s">
        <v>95</v>
      </c>
      <c r="D112" s="227">
        <v>190</v>
      </c>
      <c r="E112" s="227">
        <v>389</v>
      </c>
      <c r="F112" s="227">
        <v>653</v>
      </c>
      <c r="G112" s="227">
        <v>0.37332053742802301</v>
      </c>
      <c r="H112" s="227">
        <v>0.62667946257197693</v>
      </c>
      <c r="I112" s="312" t="s">
        <v>119</v>
      </c>
      <c r="J112" s="29">
        <v>1</v>
      </c>
      <c r="K112" s="9">
        <v>1</v>
      </c>
      <c r="L112" s="9">
        <v>1</v>
      </c>
      <c r="M112" s="9">
        <v>2</v>
      </c>
      <c r="N112" s="43">
        <v>2</v>
      </c>
      <c r="O112" s="265">
        <f t="shared" si="2"/>
        <v>0.35859414261160716</v>
      </c>
      <c r="P112" s="164" t="s">
        <v>120</v>
      </c>
      <c r="Q112" s="227">
        <v>2011</v>
      </c>
      <c r="R112" s="227">
        <v>10120</v>
      </c>
      <c r="S112" s="227" t="s">
        <v>95</v>
      </c>
      <c r="T112" s="227">
        <v>1720</v>
      </c>
      <c r="U112" s="227">
        <v>918</v>
      </c>
      <c r="V112" s="227">
        <v>10922</v>
      </c>
      <c r="W112" s="227">
        <v>7.7533783783783783E-2</v>
      </c>
      <c r="X112" s="227">
        <v>0.92246621621621627</v>
      </c>
      <c r="Y112" s="100" t="s">
        <v>135</v>
      </c>
      <c r="Z112" s="29">
        <v>1</v>
      </c>
      <c r="AA112" s="9">
        <v>1</v>
      </c>
      <c r="AB112" s="9">
        <v>1</v>
      </c>
      <c r="AC112" s="9">
        <v>2</v>
      </c>
      <c r="AD112" s="43">
        <v>2</v>
      </c>
      <c r="AE112" s="55">
        <v>0.35859414261160716</v>
      </c>
      <c r="AF112" s="52" t="s">
        <v>120</v>
      </c>
    </row>
    <row r="113" spans="1:32">
      <c r="A113" s="227">
        <v>2003</v>
      </c>
      <c r="B113" s="227">
        <v>4</v>
      </c>
      <c r="C113" s="227" t="s">
        <v>96</v>
      </c>
      <c r="D113" s="227">
        <v>68</v>
      </c>
      <c r="E113" s="227">
        <v>53</v>
      </c>
      <c r="F113" s="227">
        <v>19</v>
      </c>
      <c r="G113" s="227">
        <v>0.73611111111111116</v>
      </c>
      <c r="H113" s="227">
        <v>0.26388888888888878</v>
      </c>
      <c r="I113" s="312" t="s">
        <v>119</v>
      </c>
      <c r="J113" s="29">
        <v>1</v>
      </c>
      <c r="K113" s="9">
        <v>1</v>
      </c>
      <c r="L113" s="9">
        <v>1</v>
      </c>
      <c r="M113" s="9">
        <v>2</v>
      </c>
      <c r="N113" s="43">
        <v>2</v>
      </c>
      <c r="O113" s="265">
        <f t="shared" si="2"/>
        <v>0.35859414261160716</v>
      </c>
      <c r="P113" s="164" t="s">
        <v>120</v>
      </c>
      <c r="Q113" s="227">
        <v>2011</v>
      </c>
      <c r="R113" s="227">
        <v>1771</v>
      </c>
      <c r="S113" s="227" t="s">
        <v>96</v>
      </c>
      <c r="T113" s="227">
        <v>83</v>
      </c>
      <c r="U113" s="227">
        <v>283</v>
      </c>
      <c r="V113" s="227">
        <v>1571</v>
      </c>
      <c r="W113" s="227">
        <v>0.15264293419633229</v>
      </c>
      <c r="X113" s="227">
        <v>0.84735706580366776</v>
      </c>
      <c r="Y113" s="100" t="s">
        <v>135</v>
      </c>
      <c r="Z113" s="29">
        <v>1</v>
      </c>
      <c r="AA113" s="9">
        <v>1</v>
      </c>
      <c r="AB113" s="9">
        <v>1</v>
      </c>
      <c r="AC113" s="9">
        <v>2</v>
      </c>
      <c r="AD113" s="43">
        <v>2</v>
      </c>
      <c r="AE113" s="55">
        <v>0.35859414261160716</v>
      </c>
      <c r="AF113" s="52" t="s">
        <v>120</v>
      </c>
    </row>
    <row r="114" spans="1:32">
      <c r="A114" s="227">
        <v>2003</v>
      </c>
      <c r="B114" s="227">
        <v>191</v>
      </c>
      <c r="C114" s="227" t="s">
        <v>97</v>
      </c>
      <c r="D114" s="227">
        <v>34</v>
      </c>
      <c r="E114" s="227">
        <v>134</v>
      </c>
      <c r="F114" s="227">
        <v>91</v>
      </c>
      <c r="G114" s="227">
        <v>0.5955555555555555</v>
      </c>
      <c r="H114" s="227">
        <v>0.4044444444444445</v>
      </c>
      <c r="I114" s="312" t="s">
        <v>119</v>
      </c>
      <c r="J114" s="29">
        <v>1</v>
      </c>
      <c r="K114" s="9">
        <v>1</v>
      </c>
      <c r="L114" s="9">
        <v>1</v>
      </c>
      <c r="M114" s="9">
        <v>2</v>
      </c>
      <c r="N114" s="43">
        <v>2</v>
      </c>
      <c r="O114" s="265">
        <f t="shared" si="2"/>
        <v>0.35859414261160716</v>
      </c>
      <c r="P114" s="164" t="s">
        <v>120</v>
      </c>
      <c r="Q114" s="227">
        <v>2011</v>
      </c>
      <c r="R114" s="227">
        <v>1540</v>
      </c>
      <c r="S114" s="227" t="s">
        <v>97</v>
      </c>
      <c r="T114" s="227">
        <v>173</v>
      </c>
      <c r="U114" s="227">
        <v>107</v>
      </c>
      <c r="V114" s="227">
        <v>1606</v>
      </c>
      <c r="W114" s="227">
        <v>6.2463514302393462E-2</v>
      </c>
      <c r="X114" s="227">
        <v>0.9375364856976065</v>
      </c>
      <c r="Y114" s="100" t="s">
        <v>135</v>
      </c>
      <c r="Z114" s="29">
        <v>1</v>
      </c>
      <c r="AA114" s="9">
        <v>1</v>
      </c>
      <c r="AB114" s="9">
        <v>1</v>
      </c>
      <c r="AC114" s="9">
        <v>2</v>
      </c>
      <c r="AD114" s="43">
        <v>2</v>
      </c>
      <c r="AE114" s="55">
        <v>0.35859414261160716</v>
      </c>
      <c r="AF114" s="52" t="s">
        <v>120</v>
      </c>
    </row>
    <row r="115" spans="1:32">
      <c r="A115" s="227">
        <v>2003</v>
      </c>
      <c r="B115" s="227">
        <v>610</v>
      </c>
      <c r="C115" s="227" t="s">
        <v>98</v>
      </c>
      <c r="D115" s="227">
        <v>151</v>
      </c>
      <c r="E115" s="227">
        <v>517</v>
      </c>
      <c r="F115" s="227">
        <v>244</v>
      </c>
      <c r="G115" s="227">
        <v>0.67936925098554535</v>
      </c>
      <c r="H115" s="227">
        <v>0.32063074901445471</v>
      </c>
      <c r="I115" s="312" t="s">
        <v>119</v>
      </c>
      <c r="J115" s="29">
        <v>1</v>
      </c>
      <c r="K115" s="9">
        <v>1</v>
      </c>
      <c r="L115" s="9">
        <v>1</v>
      </c>
      <c r="M115" s="9">
        <v>2</v>
      </c>
      <c r="N115" s="43">
        <v>2</v>
      </c>
      <c r="O115" s="265">
        <f t="shared" si="2"/>
        <v>0.35859414261160716</v>
      </c>
      <c r="P115" s="164" t="s">
        <v>120</v>
      </c>
      <c r="Q115" s="227">
        <v>2011</v>
      </c>
      <c r="R115" s="227">
        <v>6241</v>
      </c>
      <c r="S115" s="227" t="s">
        <v>98</v>
      </c>
      <c r="T115" s="227">
        <v>599</v>
      </c>
      <c r="U115" s="227">
        <v>1652</v>
      </c>
      <c r="V115" s="227">
        <v>5188</v>
      </c>
      <c r="W115" s="227">
        <v>0.2415204678362573</v>
      </c>
      <c r="X115" s="227">
        <v>0.75847953216374275</v>
      </c>
      <c r="Y115" s="100" t="s">
        <v>135</v>
      </c>
      <c r="Z115" s="29">
        <v>1</v>
      </c>
      <c r="AA115" s="9">
        <v>1</v>
      </c>
      <c r="AB115" s="9">
        <v>1</v>
      </c>
      <c r="AC115" s="9">
        <v>2</v>
      </c>
      <c r="AD115" s="43">
        <v>2</v>
      </c>
      <c r="AE115" s="55">
        <v>0.35859414261160716</v>
      </c>
      <c r="AF115" s="52" t="s">
        <v>120</v>
      </c>
    </row>
    <row r="116" spans="1:32">
      <c r="A116" s="227">
        <v>2003</v>
      </c>
      <c r="B116" s="227">
        <v>167</v>
      </c>
      <c r="C116" s="227" t="s">
        <v>99</v>
      </c>
      <c r="D116" s="227">
        <v>119</v>
      </c>
      <c r="E116" s="227">
        <v>286</v>
      </c>
      <c r="F116" s="227">
        <v>0</v>
      </c>
      <c r="G116" s="227">
        <v>1</v>
      </c>
      <c r="H116" s="227">
        <v>0</v>
      </c>
      <c r="I116" s="312" t="s">
        <v>119</v>
      </c>
      <c r="J116" s="29">
        <v>1</v>
      </c>
      <c r="K116" s="9">
        <v>1</v>
      </c>
      <c r="L116" s="9">
        <v>1</v>
      </c>
      <c r="M116" s="9">
        <v>2</v>
      </c>
      <c r="N116" s="43">
        <v>2</v>
      </c>
      <c r="O116" s="265">
        <f t="shared" si="2"/>
        <v>0.35859414261160716</v>
      </c>
      <c r="P116" s="164" t="s">
        <v>120</v>
      </c>
      <c r="Q116" s="227">
        <v>2011</v>
      </c>
      <c r="R116" s="227">
        <v>2968</v>
      </c>
      <c r="S116" s="227" t="s">
        <v>99</v>
      </c>
      <c r="T116" s="227">
        <v>1095</v>
      </c>
      <c r="U116" s="227">
        <v>279</v>
      </c>
      <c r="V116" s="227">
        <v>3784</v>
      </c>
      <c r="W116" s="227">
        <v>6.8668471572729511E-2</v>
      </c>
      <c r="X116" s="227">
        <v>0.93133152842727052</v>
      </c>
      <c r="Y116" s="100" t="s">
        <v>135</v>
      </c>
      <c r="Z116" s="29">
        <v>1</v>
      </c>
      <c r="AA116" s="9">
        <v>1</v>
      </c>
      <c r="AB116" s="9">
        <v>1</v>
      </c>
      <c r="AC116" s="9">
        <v>2</v>
      </c>
      <c r="AD116" s="43">
        <v>2</v>
      </c>
      <c r="AE116" s="55">
        <v>0.35859414261160716</v>
      </c>
      <c r="AF116" s="52" t="s">
        <v>120</v>
      </c>
    </row>
    <row r="117" spans="1:32">
      <c r="A117" s="227">
        <v>2003</v>
      </c>
      <c r="B117" s="227">
        <v>83</v>
      </c>
      <c r="C117" s="227" t="s">
        <v>102</v>
      </c>
      <c r="D117" s="227">
        <v>31</v>
      </c>
      <c r="E117" s="227">
        <v>114</v>
      </c>
      <c r="F117" s="227">
        <v>0</v>
      </c>
      <c r="G117" s="227">
        <v>1</v>
      </c>
      <c r="H117" s="227">
        <v>0</v>
      </c>
      <c r="I117" s="312" t="s">
        <v>119</v>
      </c>
      <c r="J117" s="29">
        <v>1</v>
      </c>
      <c r="K117" s="9">
        <v>1</v>
      </c>
      <c r="L117" s="9">
        <v>1</v>
      </c>
      <c r="M117" s="9">
        <v>2</v>
      </c>
      <c r="N117" s="43">
        <v>2</v>
      </c>
      <c r="O117" s="265">
        <f t="shared" si="2"/>
        <v>0.35859414261160716</v>
      </c>
      <c r="P117" s="164" t="s">
        <v>120</v>
      </c>
      <c r="Q117" s="227">
        <v>2011</v>
      </c>
      <c r="R117" s="227">
        <v>790</v>
      </c>
      <c r="S117" s="227" t="s">
        <v>102</v>
      </c>
      <c r="T117" s="227">
        <v>225</v>
      </c>
      <c r="U117" s="227">
        <v>191</v>
      </c>
      <c r="V117" s="227">
        <v>824</v>
      </c>
      <c r="W117" s="227">
        <v>0.18817733990147781</v>
      </c>
      <c r="X117" s="227">
        <v>0.81182266009852211</v>
      </c>
      <c r="Y117" s="100" t="s">
        <v>135</v>
      </c>
      <c r="Z117" s="29">
        <v>1</v>
      </c>
      <c r="AA117" s="9">
        <v>1</v>
      </c>
      <c r="AB117" s="9">
        <v>1</v>
      </c>
      <c r="AC117" s="9">
        <v>2</v>
      </c>
      <c r="AD117" s="43">
        <v>2</v>
      </c>
      <c r="AE117" s="55">
        <v>0.35859414261160716</v>
      </c>
      <c r="AF117" s="52" t="s">
        <v>120</v>
      </c>
    </row>
    <row r="118" spans="1:32">
      <c r="A118" s="227">
        <v>2003</v>
      </c>
      <c r="B118" s="227">
        <v>337</v>
      </c>
      <c r="C118" s="227" t="s">
        <v>104</v>
      </c>
      <c r="D118" s="227">
        <v>78</v>
      </c>
      <c r="E118" s="227">
        <v>230</v>
      </c>
      <c r="F118" s="227">
        <v>185</v>
      </c>
      <c r="G118" s="227">
        <v>0.55421686746987953</v>
      </c>
      <c r="H118" s="227">
        <v>0.44578313253012047</v>
      </c>
      <c r="I118" s="312" t="s">
        <v>119</v>
      </c>
      <c r="J118" s="29">
        <v>1</v>
      </c>
      <c r="K118" s="9">
        <v>1</v>
      </c>
      <c r="L118" s="9">
        <v>1</v>
      </c>
      <c r="M118" s="9">
        <v>2</v>
      </c>
      <c r="N118" s="43">
        <v>2</v>
      </c>
      <c r="O118" s="265">
        <f t="shared" si="2"/>
        <v>0.35859414261160716</v>
      </c>
      <c r="P118" s="164" t="s">
        <v>120</v>
      </c>
      <c r="Q118" s="227">
        <v>2011</v>
      </c>
      <c r="R118" s="227">
        <v>1520</v>
      </c>
      <c r="S118" s="227" t="s">
        <v>104</v>
      </c>
      <c r="T118" s="227">
        <v>142</v>
      </c>
      <c r="U118" s="227">
        <v>282</v>
      </c>
      <c r="V118" s="227">
        <v>1380</v>
      </c>
      <c r="W118" s="227">
        <v>0.16967509025270761</v>
      </c>
      <c r="X118" s="227">
        <v>0.83032490974729245</v>
      </c>
      <c r="Y118" s="100" t="s">
        <v>135</v>
      </c>
      <c r="Z118" s="29">
        <v>1</v>
      </c>
      <c r="AA118" s="9">
        <v>1</v>
      </c>
      <c r="AB118" s="9">
        <v>1</v>
      </c>
      <c r="AC118" s="9">
        <v>2</v>
      </c>
      <c r="AD118" s="43">
        <v>2</v>
      </c>
      <c r="AE118" s="55">
        <v>0.35859414261160716</v>
      </c>
      <c r="AF118" s="52" t="s">
        <v>120</v>
      </c>
    </row>
    <row r="119" spans="1:32">
      <c r="A119" s="227">
        <v>2003</v>
      </c>
      <c r="B119" s="227">
        <v>233</v>
      </c>
      <c r="C119" s="227" t="s">
        <v>105</v>
      </c>
      <c r="D119" s="227">
        <v>117</v>
      </c>
      <c r="E119" s="227">
        <v>195</v>
      </c>
      <c r="F119" s="227">
        <v>155</v>
      </c>
      <c r="G119" s="227">
        <v>0.55714285714285716</v>
      </c>
      <c r="H119" s="227">
        <v>0.44285714285714278</v>
      </c>
      <c r="I119" s="312" t="s">
        <v>119</v>
      </c>
      <c r="J119" s="29">
        <v>1</v>
      </c>
      <c r="K119" s="9">
        <v>1</v>
      </c>
      <c r="L119" s="9">
        <v>1</v>
      </c>
      <c r="M119" s="9">
        <v>2</v>
      </c>
      <c r="N119" s="43">
        <v>2</v>
      </c>
      <c r="O119" s="265">
        <f t="shared" si="2"/>
        <v>0.35859414261160716</v>
      </c>
      <c r="P119" s="164" t="s">
        <v>120</v>
      </c>
      <c r="Q119" s="227">
        <v>2011</v>
      </c>
      <c r="R119" s="227">
        <v>3791</v>
      </c>
      <c r="S119" s="227" t="s">
        <v>105</v>
      </c>
      <c r="T119" s="227">
        <v>545</v>
      </c>
      <c r="U119" s="227">
        <v>886</v>
      </c>
      <c r="V119" s="227">
        <v>3450</v>
      </c>
      <c r="W119" s="227">
        <v>0.20433579335793359</v>
      </c>
      <c r="X119" s="227">
        <v>0.79566420664206639</v>
      </c>
      <c r="Y119" s="100" t="s">
        <v>135</v>
      </c>
      <c r="Z119" s="29">
        <v>1</v>
      </c>
      <c r="AA119" s="9">
        <v>1</v>
      </c>
      <c r="AB119" s="9">
        <v>1</v>
      </c>
      <c r="AC119" s="9">
        <v>2</v>
      </c>
      <c r="AD119" s="43">
        <v>2</v>
      </c>
      <c r="AE119" s="55">
        <v>0.35859414261160716</v>
      </c>
      <c r="AF119" s="52" t="s">
        <v>120</v>
      </c>
    </row>
    <row r="120" spans="1:32">
      <c r="A120" s="227">
        <v>2003</v>
      </c>
      <c r="B120" s="227">
        <v>200</v>
      </c>
      <c r="C120" s="227" t="s">
        <v>103</v>
      </c>
      <c r="D120" s="227">
        <v>57</v>
      </c>
      <c r="E120" s="227">
        <v>230</v>
      </c>
      <c r="F120" s="227">
        <v>27</v>
      </c>
      <c r="G120" s="227">
        <v>0.89494163424124518</v>
      </c>
      <c r="H120" s="227">
        <v>0.1050583657587548</v>
      </c>
      <c r="I120" s="312" t="s">
        <v>119</v>
      </c>
      <c r="J120" s="29">
        <v>1</v>
      </c>
      <c r="K120" s="9">
        <v>1</v>
      </c>
      <c r="L120" s="9">
        <v>1</v>
      </c>
      <c r="M120" s="9">
        <v>2</v>
      </c>
      <c r="N120" s="43">
        <v>2</v>
      </c>
      <c r="O120" s="265">
        <f t="shared" si="2"/>
        <v>0.35859414261160716</v>
      </c>
      <c r="P120" s="164" t="s">
        <v>120</v>
      </c>
      <c r="Q120" s="227">
        <v>2011</v>
      </c>
      <c r="R120" s="227">
        <v>2300</v>
      </c>
      <c r="S120" s="227" t="s">
        <v>103</v>
      </c>
      <c r="T120" s="227">
        <v>339</v>
      </c>
      <c r="U120" s="227">
        <v>578</v>
      </c>
      <c r="V120" s="227">
        <v>2061</v>
      </c>
      <c r="W120" s="227">
        <v>0.21902235695339139</v>
      </c>
      <c r="X120" s="227">
        <v>0.78097764304660855</v>
      </c>
      <c r="Y120" s="100" t="s">
        <v>135</v>
      </c>
      <c r="Z120" s="29">
        <v>1</v>
      </c>
      <c r="AA120" s="9">
        <v>1</v>
      </c>
      <c r="AB120" s="9">
        <v>1</v>
      </c>
      <c r="AC120" s="9">
        <v>2</v>
      </c>
      <c r="AD120" s="43">
        <v>2</v>
      </c>
      <c r="AE120" s="55">
        <v>0.35859414261160716</v>
      </c>
      <c r="AF120" s="52" t="s">
        <v>120</v>
      </c>
    </row>
    <row r="121" spans="1:32">
      <c r="A121" s="227">
        <v>2003</v>
      </c>
      <c r="B121" s="227">
        <v>98</v>
      </c>
      <c r="C121" s="227" t="s">
        <v>101</v>
      </c>
      <c r="D121" s="227">
        <v>19</v>
      </c>
      <c r="E121" s="227">
        <v>39</v>
      </c>
      <c r="F121" s="227">
        <v>78</v>
      </c>
      <c r="G121" s="227">
        <v>0.33333333333333331</v>
      </c>
      <c r="H121" s="227">
        <v>0.66666666666666674</v>
      </c>
      <c r="I121" s="312" t="s">
        <v>119</v>
      </c>
      <c r="J121" s="29">
        <v>1</v>
      </c>
      <c r="K121" s="9">
        <v>1</v>
      </c>
      <c r="L121" s="9">
        <v>1</v>
      </c>
      <c r="M121" s="9">
        <v>2</v>
      </c>
      <c r="N121" s="43">
        <v>2</v>
      </c>
      <c r="O121" s="265">
        <f t="shared" si="2"/>
        <v>0.35859414261160716</v>
      </c>
      <c r="P121" s="164" t="s">
        <v>120</v>
      </c>
      <c r="Q121" s="227">
        <v>2011</v>
      </c>
      <c r="R121" s="227">
        <v>2100</v>
      </c>
      <c r="S121" s="227" t="s">
        <v>101</v>
      </c>
      <c r="T121" s="227">
        <v>82</v>
      </c>
      <c r="U121" s="227">
        <v>402</v>
      </c>
      <c r="V121" s="227">
        <v>1780</v>
      </c>
      <c r="W121" s="227">
        <v>0.1842346471127406</v>
      </c>
      <c r="X121" s="227">
        <v>0.81576535288725938</v>
      </c>
      <c r="Y121" s="100" t="s">
        <v>135</v>
      </c>
      <c r="Z121" s="29">
        <v>1</v>
      </c>
      <c r="AA121" s="9">
        <v>1</v>
      </c>
      <c r="AB121" s="9">
        <v>1</v>
      </c>
      <c r="AC121" s="9">
        <v>2</v>
      </c>
      <c r="AD121" s="43">
        <v>2</v>
      </c>
      <c r="AE121" s="55">
        <v>0.35859414261160716</v>
      </c>
      <c r="AF121" s="52" t="s">
        <v>120</v>
      </c>
    </row>
    <row r="122" spans="1:32">
      <c r="A122" s="227">
        <v>2003</v>
      </c>
      <c r="B122" s="227">
        <v>1732</v>
      </c>
      <c r="C122" s="227" t="s">
        <v>106</v>
      </c>
      <c r="D122" s="227">
        <v>698</v>
      </c>
      <c r="E122" s="227">
        <v>2430</v>
      </c>
      <c r="F122" s="227">
        <v>0</v>
      </c>
      <c r="G122" s="227">
        <v>1</v>
      </c>
      <c r="H122" s="227">
        <v>0</v>
      </c>
      <c r="I122" s="312" t="s">
        <v>119</v>
      </c>
      <c r="J122" s="29">
        <v>1</v>
      </c>
      <c r="K122" s="9">
        <v>1</v>
      </c>
      <c r="L122" s="9">
        <v>1</v>
      </c>
      <c r="M122" s="9">
        <v>2</v>
      </c>
      <c r="N122" s="43">
        <v>2</v>
      </c>
      <c r="O122" s="265">
        <f t="shared" si="2"/>
        <v>0.35859414261160716</v>
      </c>
      <c r="P122" s="164" t="s">
        <v>120</v>
      </c>
      <c r="Q122" s="227">
        <v>2011</v>
      </c>
      <c r="R122" s="227">
        <v>14987</v>
      </c>
      <c r="S122" s="227" t="s">
        <v>106</v>
      </c>
      <c r="T122" s="227">
        <v>3989</v>
      </c>
      <c r="U122" s="227">
        <v>4694</v>
      </c>
      <c r="V122" s="227">
        <v>14282</v>
      </c>
      <c r="W122" s="227">
        <v>0.24736509274873519</v>
      </c>
      <c r="X122" s="227">
        <v>0.75263490725126481</v>
      </c>
      <c r="Y122" s="100" t="s">
        <v>135</v>
      </c>
      <c r="Z122" s="29">
        <v>1</v>
      </c>
      <c r="AA122" s="9">
        <v>1</v>
      </c>
      <c r="AB122" s="9">
        <v>1</v>
      </c>
      <c r="AC122" s="9">
        <v>2</v>
      </c>
      <c r="AD122" s="43">
        <v>2</v>
      </c>
      <c r="AE122" s="55">
        <v>0.35859414261160716</v>
      </c>
      <c r="AF122" s="52" t="s">
        <v>120</v>
      </c>
    </row>
    <row r="123" spans="1:32">
      <c r="A123" s="227">
        <v>2004</v>
      </c>
      <c r="B123" s="227">
        <v>1435</v>
      </c>
      <c r="C123" s="227" t="s">
        <v>93</v>
      </c>
      <c r="D123" s="227">
        <v>602</v>
      </c>
      <c r="E123" s="227">
        <v>1968</v>
      </c>
      <c r="F123" s="227">
        <v>69</v>
      </c>
      <c r="G123" s="227">
        <v>0.96612665684830634</v>
      </c>
      <c r="H123" s="227">
        <v>3.3873343151693658E-2</v>
      </c>
      <c r="I123" s="312" t="s">
        <v>119</v>
      </c>
      <c r="J123" s="29">
        <v>1</v>
      </c>
      <c r="K123" s="9">
        <v>1</v>
      </c>
      <c r="L123" s="9">
        <v>1</v>
      </c>
      <c r="M123" s="9">
        <v>2</v>
      </c>
      <c r="N123" s="43">
        <v>2</v>
      </c>
      <c r="O123" s="265">
        <f t="shared" si="2"/>
        <v>0.35859414261160716</v>
      </c>
      <c r="P123" s="164" t="s">
        <v>120</v>
      </c>
      <c r="Q123" s="227">
        <v>2012</v>
      </c>
      <c r="R123" s="227">
        <v>14019</v>
      </c>
      <c r="S123" s="227" t="s">
        <v>93</v>
      </c>
      <c r="T123" s="227">
        <v>2747</v>
      </c>
      <c r="U123" s="227">
        <v>2421</v>
      </c>
      <c r="V123" s="227">
        <v>14345</v>
      </c>
      <c r="W123" s="227">
        <v>0.14439937969700581</v>
      </c>
      <c r="X123" s="227">
        <v>0.85560062030299422</v>
      </c>
      <c r="Y123" s="100" t="s">
        <v>135</v>
      </c>
      <c r="Z123" s="29">
        <v>1</v>
      </c>
      <c r="AA123" s="9">
        <v>1</v>
      </c>
      <c r="AB123" s="9">
        <v>1</v>
      </c>
      <c r="AC123" s="9">
        <v>2</v>
      </c>
      <c r="AD123" s="43">
        <v>2</v>
      </c>
      <c r="AE123" s="55">
        <v>0.35859414261160716</v>
      </c>
      <c r="AF123" s="52" t="s">
        <v>120</v>
      </c>
    </row>
    <row r="124" spans="1:32">
      <c r="A124" s="227">
        <v>2004</v>
      </c>
      <c r="B124" s="227">
        <v>290</v>
      </c>
      <c r="C124" s="227" t="s">
        <v>94</v>
      </c>
      <c r="D124" s="227">
        <v>162</v>
      </c>
      <c r="E124" s="227">
        <v>328</v>
      </c>
      <c r="F124" s="227">
        <v>124</v>
      </c>
      <c r="G124" s="227">
        <v>0.72566371681415931</v>
      </c>
      <c r="H124" s="227">
        <v>0.27433628318584069</v>
      </c>
      <c r="I124" s="312" t="s">
        <v>119</v>
      </c>
      <c r="J124" s="29">
        <v>1</v>
      </c>
      <c r="K124" s="9">
        <v>1</v>
      </c>
      <c r="L124" s="9">
        <v>1</v>
      </c>
      <c r="M124" s="9">
        <v>2</v>
      </c>
      <c r="N124" s="43">
        <v>2</v>
      </c>
      <c r="O124" s="265">
        <f t="shared" si="2"/>
        <v>0.35859414261160716</v>
      </c>
      <c r="P124" s="164" t="s">
        <v>120</v>
      </c>
      <c r="Q124" s="227">
        <v>2012</v>
      </c>
      <c r="R124" s="227">
        <v>6391</v>
      </c>
      <c r="S124" s="227" t="s">
        <v>94</v>
      </c>
      <c r="T124" s="227">
        <v>918</v>
      </c>
      <c r="U124" s="227">
        <v>1412</v>
      </c>
      <c r="V124" s="227">
        <v>5897</v>
      </c>
      <c r="W124" s="227">
        <v>0.19318648241893549</v>
      </c>
      <c r="X124" s="227">
        <v>0.80681351758106445</v>
      </c>
      <c r="Y124" s="100" t="s">
        <v>135</v>
      </c>
      <c r="Z124" s="29">
        <v>1</v>
      </c>
      <c r="AA124" s="9">
        <v>1</v>
      </c>
      <c r="AB124" s="9">
        <v>1</v>
      </c>
      <c r="AC124" s="9">
        <v>2</v>
      </c>
      <c r="AD124" s="43">
        <v>2</v>
      </c>
      <c r="AE124" s="55">
        <v>0.35859414261160716</v>
      </c>
      <c r="AF124" s="52" t="s">
        <v>120</v>
      </c>
    </row>
    <row r="125" spans="1:32">
      <c r="A125" s="227">
        <v>2004</v>
      </c>
      <c r="B125" s="227">
        <v>852</v>
      </c>
      <c r="C125" s="227" t="s">
        <v>95</v>
      </c>
      <c r="D125" s="227">
        <v>190</v>
      </c>
      <c r="E125" s="227">
        <v>423</v>
      </c>
      <c r="F125" s="227">
        <v>619</v>
      </c>
      <c r="G125" s="227">
        <v>0.40595009596928983</v>
      </c>
      <c r="H125" s="227">
        <v>0.59404990403071012</v>
      </c>
      <c r="I125" s="312" t="s">
        <v>119</v>
      </c>
      <c r="J125" s="29">
        <v>1</v>
      </c>
      <c r="K125" s="9">
        <v>1</v>
      </c>
      <c r="L125" s="9">
        <v>1</v>
      </c>
      <c r="M125" s="9">
        <v>2</v>
      </c>
      <c r="N125" s="43">
        <v>2</v>
      </c>
      <c r="O125" s="265">
        <f t="shared" si="2"/>
        <v>0.35859414261160716</v>
      </c>
      <c r="P125" s="164" t="s">
        <v>120</v>
      </c>
      <c r="Q125" s="227">
        <v>2012</v>
      </c>
      <c r="R125" s="227">
        <v>9437</v>
      </c>
      <c r="S125" s="227" t="s">
        <v>95</v>
      </c>
      <c r="T125" s="227">
        <v>571</v>
      </c>
      <c r="U125" s="227">
        <v>993</v>
      </c>
      <c r="V125" s="227">
        <v>9015</v>
      </c>
      <c r="W125" s="227">
        <v>9.9220623501199035E-2</v>
      </c>
      <c r="X125" s="227">
        <v>0.90077937649880102</v>
      </c>
      <c r="Y125" s="100" t="s">
        <v>135</v>
      </c>
      <c r="Z125" s="29">
        <v>1</v>
      </c>
      <c r="AA125" s="9">
        <v>1</v>
      </c>
      <c r="AB125" s="9">
        <v>1</v>
      </c>
      <c r="AC125" s="9">
        <v>2</v>
      </c>
      <c r="AD125" s="43">
        <v>2</v>
      </c>
      <c r="AE125" s="55">
        <v>0.35859414261160716</v>
      </c>
      <c r="AF125" s="52" t="s">
        <v>120</v>
      </c>
    </row>
    <row r="126" spans="1:32">
      <c r="A126" s="227">
        <v>2004</v>
      </c>
      <c r="B126" s="227">
        <v>11</v>
      </c>
      <c r="C126" s="227" t="s">
        <v>96</v>
      </c>
      <c r="D126" s="227">
        <v>69</v>
      </c>
      <c r="E126" s="227">
        <v>80</v>
      </c>
      <c r="F126" s="227">
        <v>0</v>
      </c>
      <c r="G126" s="227">
        <v>1</v>
      </c>
      <c r="H126" s="227">
        <v>0</v>
      </c>
      <c r="I126" s="312" t="s">
        <v>119</v>
      </c>
      <c r="J126" s="29">
        <v>1</v>
      </c>
      <c r="K126" s="9">
        <v>1</v>
      </c>
      <c r="L126" s="9">
        <v>1</v>
      </c>
      <c r="M126" s="9">
        <v>2</v>
      </c>
      <c r="N126" s="43">
        <v>2</v>
      </c>
      <c r="O126" s="265">
        <f t="shared" si="2"/>
        <v>0.35859414261160716</v>
      </c>
      <c r="P126" s="164" t="s">
        <v>120</v>
      </c>
      <c r="Q126" s="227">
        <v>2012</v>
      </c>
      <c r="R126" s="227">
        <v>1864</v>
      </c>
      <c r="S126" s="227" t="s">
        <v>96</v>
      </c>
      <c r="T126" s="227">
        <v>128</v>
      </c>
      <c r="U126" s="227">
        <v>313</v>
      </c>
      <c r="V126" s="227">
        <v>1679</v>
      </c>
      <c r="W126" s="227">
        <v>0.15712851405622491</v>
      </c>
      <c r="X126" s="227">
        <v>0.84287148594377514</v>
      </c>
      <c r="Y126" s="100" t="s">
        <v>135</v>
      </c>
      <c r="Z126" s="29">
        <v>1</v>
      </c>
      <c r="AA126" s="9">
        <v>1</v>
      </c>
      <c r="AB126" s="9">
        <v>1</v>
      </c>
      <c r="AC126" s="9">
        <v>2</v>
      </c>
      <c r="AD126" s="43">
        <v>2</v>
      </c>
      <c r="AE126" s="55">
        <v>0.35859414261160716</v>
      </c>
      <c r="AF126" s="52" t="s">
        <v>120</v>
      </c>
    </row>
    <row r="127" spans="1:32">
      <c r="A127" s="227">
        <v>2004</v>
      </c>
      <c r="B127" s="227">
        <v>191</v>
      </c>
      <c r="C127" s="227" t="s">
        <v>97</v>
      </c>
      <c r="D127" s="227">
        <v>40</v>
      </c>
      <c r="E127" s="227">
        <v>154</v>
      </c>
      <c r="F127" s="227">
        <v>77</v>
      </c>
      <c r="G127" s="227">
        <v>0.66666666666666663</v>
      </c>
      <c r="H127" s="227">
        <v>0.33333333333333343</v>
      </c>
      <c r="I127" s="312" t="s">
        <v>119</v>
      </c>
      <c r="J127" s="29">
        <v>1</v>
      </c>
      <c r="K127" s="9">
        <v>1</v>
      </c>
      <c r="L127" s="9">
        <v>1</v>
      </c>
      <c r="M127" s="9">
        <v>2</v>
      </c>
      <c r="N127" s="43">
        <v>2</v>
      </c>
      <c r="O127" s="265">
        <f t="shared" si="2"/>
        <v>0.35859414261160716</v>
      </c>
      <c r="P127" s="164" t="s">
        <v>120</v>
      </c>
      <c r="Q127" s="227">
        <v>2012</v>
      </c>
      <c r="R127" s="227">
        <v>1872</v>
      </c>
      <c r="S127" s="227" t="s">
        <v>97</v>
      </c>
      <c r="T127" s="227">
        <v>95</v>
      </c>
      <c r="U127" s="227">
        <v>123</v>
      </c>
      <c r="V127" s="227">
        <v>1844</v>
      </c>
      <c r="W127" s="227">
        <v>6.2531774275546514E-2</v>
      </c>
      <c r="X127" s="227">
        <v>0.93746822572445354</v>
      </c>
      <c r="Y127" s="100" t="s">
        <v>135</v>
      </c>
      <c r="Z127" s="29">
        <v>1</v>
      </c>
      <c r="AA127" s="9">
        <v>1</v>
      </c>
      <c r="AB127" s="9">
        <v>1</v>
      </c>
      <c r="AC127" s="9">
        <v>2</v>
      </c>
      <c r="AD127" s="43">
        <v>2</v>
      </c>
      <c r="AE127" s="55">
        <v>0.35859414261160716</v>
      </c>
      <c r="AF127" s="52" t="s">
        <v>120</v>
      </c>
    </row>
    <row r="128" spans="1:32">
      <c r="A128" s="227">
        <v>2004</v>
      </c>
      <c r="B128" s="227">
        <v>610</v>
      </c>
      <c r="C128" s="227" t="s">
        <v>98</v>
      </c>
      <c r="D128" s="227">
        <v>162</v>
      </c>
      <c r="E128" s="227">
        <v>498</v>
      </c>
      <c r="F128" s="227">
        <v>274</v>
      </c>
      <c r="G128" s="227">
        <v>0.64507772020725385</v>
      </c>
      <c r="H128" s="227">
        <v>0.35492227979274621</v>
      </c>
      <c r="I128" s="312" t="s">
        <v>119</v>
      </c>
      <c r="J128" s="29">
        <v>1</v>
      </c>
      <c r="K128" s="9">
        <v>1</v>
      </c>
      <c r="L128" s="9">
        <v>1</v>
      </c>
      <c r="M128" s="9">
        <v>2</v>
      </c>
      <c r="N128" s="43">
        <v>2</v>
      </c>
      <c r="O128" s="265">
        <f t="shared" si="2"/>
        <v>0.35859414261160716</v>
      </c>
      <c r="P128" s="164" t="s">
        <v>120</v>
      </c>
      <c r="Q128" s="227">
        <v>2012</v>
      </c>
      <c r="R128" s="227">
        <v>8310</v>
      </c>
      <c r="S128" s="227" t="s">
        <v>98</v>
      </c>
      <c r="T128" s="227">
        <v>408</v>
      </c>
      <c r="U128" s="227">
        <v>1616</v>
      </c>
      <c r="V128" s="227">
        <v>7102</v>
      </c>
      <c r="W128" s="227">
        <v>0.18536361550814409</v>
      </c>
      <c r="X128" s="227">
        <v>0.81463638449185594</v>
      </c>
      <c r="Y128" s="100" t="s">
        <v>135</v>
      </c>
      <c r="Z128" s="29">
        <v>1</v>
      </c>
      <c r="AA128" s="9">
        <v>1</v>
      </c>
      <c r="AB128" s="9">
        <v>1</v>
      </c>
      <c r="AC128" s="9">
        <v>2</v>
      </c>
      <c r="AD128" s="43">
        <v>2</v>
      </c>
      <c r="AE128" s="55">
        <v>0.35859414261160716</v>
      </c>
      <c r="AF128" s="52" t="s">
        <v>120</v>
      </c>
    </row>
    <row r="129" spans="1:32">
      <c r="A129" s="227">
        <v>2004</v>
      </c>
      <c r="B129" s="227">
        <v>0</v>
      </c>
      <c r="C129" s="227" t="s">
        <v>99</v>
      </c>
      <c r="D129" s="227">
        <v>107</v>
      </c>
      <c r="E129" s="227">
        <v>101</v>
      </c>
      <c r="F129" s="227">
        <v>6</v>
      </c>
      <c r="G129" s="227">
        <v>0.94392523364485981</v>
      </c>
      <c r="H129" s="227">
        <v>5.6074766355140193E-2</v>
      </c>
      <c r="I129" s="312" t="s">
        <v>119</v>
      </c>
      <c r="J129" s="29">
        <v>1</v>
      </c>
      <c r="K129" s="9">
        <v>1</v>
      </c>
      <c r="L129" s="9">
        <v>1</v>
      </c>
      <c r="M129" s="9">
        <v>2</v>
      </c>
      <c r="N129" s="43">
        <v>2</v>
      </c>
      <c r="O129" s="265">
        <f t="shared" si="2"/>
        <v>0.35859414261160716</v>
      </c>
      <c r="P129" s="164" t="s">
        <v>120</v>
      </c>
      <c r="Q129" s="227">
        <v>2012</v>
      </c>
      <c r="R129" s="227">
        <v>2381</v>
      </c>
      <c r="S129" s="227" t="s">
        <v>99</v>
      </c>
      <c r="T129" s="227">
        <v>879</v>
      </c>
      <c r="U129" s="227">
        <v>227</v>
      </c>
      <c r="V129" s="227">
        <v>3033</v>
      </c>
      <c r="W129" s="227">
        <v>6.9631901840490798E-2</v>
      </c>
      <c r="X129" s="227">
        <v>0.93036809815950916</v>
      </c>
      <c r="Y129" s="100" t="s">
        <v>135</v>
      </c>
      <c r="Z129" s="29">
        <v>1</v>
      </c>
      <c r="AA129" s="9">
        <v>1</v>
      </c>
      <c r="AB129" s="9">
        <v>1</v>
      </c>
      <c r="AC129" s="9">
        <v>2</v>
      </c>
      <c r="AD129" s="43">
        <v>2</v>
      </c>
      <c r="AE129" s="55">
        <v>0.35859414261160716</v>
      </c>
      <c r="AF129" s="52" t="s">
        <v>120</v>
      </c>
    </row>
    <row r="130" spans="1:32">
      <c r="A130" s="227">
        <v>2004</v>
      </c>
      <c r="B130" s="227">
        <v>67</v>
      </c>
      <c r="C130" s="227" t="s">
        <v>102</v>
      </c>
      <c r="D130" s="227">
        <v>16</v>
      </c>
      <c r="E130" s="227">
        <v>83</v>
      </c>
      <c r="F130" s="227">
        <v>0</v>
      </c>
      <c r="G130" s="227">
        <v>1</v>
      </c>
      <c r="H130" s="227">
        <v>0</v>
      </c>
      <c r="I130" s="312" t="s">
        <v>119</v>
      </c>
      <c r="J130" s="29">
        <v>1</v>
      </c>
      <c r="K130" s="9">
        <v>1</v>
      </c>
      <c r="L130" s="9">
        <v>1</v>
      </c>
      <c r="M130" s="9">
        <v>2</v>
      </c>
      <c r="N130" s="43">
        <v>2</v>
      </c>
      <c r="O130" s="265">
        <f t="shared" si="2"/>
        <v>0.35859414261160716</v>
      </c>
      <c r="P130" s="164" t="s">
        <v>120</v>
      </c>
      <c r="Q130" s="227">
        <v>2012</v>
      </c>
      <c r="R130" s="227">
        <v>624</v>
      </c>
      <c r="S130" s="227" t="s">
        <v>102</v>
      </c>
      <c r="T130" s="227">
        <v>237</v>
      </c>
      <c r="U130" s="227">
        <v>157</v>
      </c>
      <c r="V130" s="227">
        <v>704</v>
      </c>
      <c r="W130" s="227">
        <v>0.1823461091753775</v>
      </c>
      <c r="X130" s="227">
        <v>0.81765389082462248</v>
      </c>
      <c r="Y130" s="100" t="s">
        <v>135</v>
      </c>
      <c r="Z130" s="29">
        <v>1</v>
      </c>
      <c r="AA130" s="9">
        <v>1</v>
      </c>
      <c r="AB130" s="9">
        <v>1</v>
      </c>
      <c r="AC130" s="9">
        <v>2</v>
      </c>
      <c r="AD130" s="43">
        <v>2</v>
      </c>
      <c r="AE130" s="55">
        <v>0.35859414261160716</v>
      </c>
      <c r="AF130" s="52" t="s">
        <v>120</v>
      </c>
    </row>
    <row r="131" spans="1:32">
      <c r="A131" s="227">
        <v>2004</v>
      </c>
      <c r="B131" s="227">
        <v>337</v>
      </c>
      <c r="C131" s="227" t="s">
        <v>104</v>
      </c>
      <c r="D131" s="227">
        <v>82</v>
      </c>
      <c r="E131" s="227">
        <v>265</v>
      </c>
      <c r="F131" s="227">
        <v>154</v>
      </c>
      <c r="G131" s="227">
        <v>0.63245823389021483</v>
      </c>
      <c r="H131" s="227">
        <v>0.36754176610978517</v>
      </c>
      <c r="I131" s="312" t="s">
        <v>119</v>
      </c>
      <c r="J131" s="29">
        <v>1</v>
      </c>
      <c r="K131" s="9">
        <v>1</v>
      </c>
      <c r="L131" s="9">
        <v>1</v>
      </c>
      <c r="M131" s="9">
        <v>2</v>
      </c>
      <c r="N131" s="43">
        <v>2</v>
      </c>
      <c r="O131" s="265">
        <f t="shared" si="2"/>
        <v>0.35859414261160716</v>
      </c>
      <c r="P131" s="164" t="s">
        <v>120</v>
      </c>
      <c r="Q131" s="227">
        <v>2012</v>
      </c>
      <c r="R131" s="227">
        <v>894</v>
      </c>
      <c r="S131" s="227" t="s">
        <v>104</v>
      </c>
      <c r="T131" s="227">
        <v>109</v>
      </c>
      <c r="U131" s="227">
        <v>296</v>
      </c>
      <c r="V131" s="227">
        <v>707</v>
      </c>
      <c r="W131" s="227">
        <v>0.29511465603190429</v>
      </c>
      <c r="X131" s="227">
        <v>0.70488534396809577</v>
      </c>
      <c r="Y131" s="100" t="s">
        <v>135</v>
      </c>
      <c r="Z131" s="29">
        <v>1</v>
      </c>
      <c r="AA131" s="9">
        <v>1</v>
      </c>
      <c r="AB131" s="9">
        <v>1</v>
      </c>
      <c r="AC131" s="9">
        <v>2</v>
      </c>
      <c r="AD131" s="43">
        <v>2</v>
      </c>
      <c r="AE131" s="55">
        <v>0.35859414261160716</v>
      </c>
      <c r="AF131" s="52" t="s">
        <v>120</v>
      </c>
    </row>
    <row r="132" spans="1:32">
      <c r="A132" s="227">
        <v>2004</v>
      </c>
      <c r="B132" s="227">
        <v>233</v>
      </c>
      <c r="C132" s="227" t="s">
        <v>105</v>
      </c>
      <c r="D132" s="227">
        <v>192</v>
      </c>
      <c r="E132" s="227">
        <v>275</v>
      </c>
      <c r="F132" s="227">
        <v>150</v>
      </c>
      <c r="G132" s="227">
        <v>0.6470588235294118</v>
      </c>
      <c r="H132" s="227">
        <v>0.3529411764705882</v>
      </c>
      <c r="I132" s="312" t="s">
        <v>119</v>
      </c>
      <c r="J132" s="29">
        <v>1</v>
      </c>
      <c r="K132" s="9">
        <v>1</v>
      </c>
      <c r="L132" s="9">
        <v>1</v>
      </c>
      <c r="M132" s="9">
        <v>2</v>
      </c>
      <c r="N132" s="43">
        <v>2</v>
      </c>
      <c r="O132" s="265">
        <f t="shared" si="2"/>
        <v>0.35859414261160716</v>
      </c>
      <c r="P132" s="164" t="s">
        <v>120</v>
      </c>
      <c r="Q132" s="227">
        <v>2012</v>
      </c>
      <c r="R132" s="227">
        <v>2542</v>
      </c>
      <c r="S132" s="227" t="s">
        <v>105</v>
      </c>
      <c r="T132" s="227">
        <v>348</v>
      </c>
      <c r="U132" s="227">
        <v>922</v>
      </c>
      <c r="V132" s="227">
        <v>1968</v>
      </c>
      <c r="W132" s="227">
        <v>0.31903114186851211</v>
      </c>
      <c r="X132" s="227">
        <v>0.68096885813148789</v>
      </c>
      <c r="Y132" s="100" t="s">
        <v>135</v>
      </c>
      <c r="Z132" s="29">
        <v>1</v>
      </c>
      <c r="AA132" s="9">
        <v>1</v>
      </c>
      <c r="AB132" s="9">
        <v>1</v>
      </c>
      <c r="AC132" s="9">
        <v>2</v>
      </c>
      <c r="AD132" s="43">
        <v>2</v>
      </c>
      <c r="AE132" s="55">
        <v>0.35859414261160716</v>
      </c>
      <c r="AF132" s="52" t="s">
        <v>120</v>
      </c>
    </row>
    <row r="133" spans="1:32">
      <c r="A133" s="227">
        <v>2004</v>
      </c>
      <c r="B133" s="227">
        <v>200</v>
      </c>
      <c r="C133" s="227" t="s">
        <v>103</v>
      </c>
      <c r="D133" s="227">
        <v>75</v>
      </c>
      <c r="E133" s="227">
        <v>247</v>
      </c>
      <c r="F133" s="227">
        <v>28</v>
      </c>
      <c r="G133" s="227">
        <v>0.89818181818181819</v>
      </c>
      <c r="H133" s="227">
        <v>0.10181818181818179</v>
      </c>
      <c r="I133" s="312" t="s">
        <v>119</v>
      </c>
      <c r="J133" s="29">
        <v>1</v>
      </c>
      <c r="K133" s="9">
        <v>1</v>
      </c>
      <c r="L133" s="9">
        <v>1</v>
      </c>
      <c r="M133" s="9">
        <v>2</v>
      </c>
      <c r="N133" s="43">
        <v>2</v>
      </c>
      <c r="O133" s="265">
        <f t="shared" si="2"/>
        <v>0.35859414261160716</v>
      </c>
      <c r="P133" s="164" t="s">
        <v>120</v>
      </c>
      <c r="Q133" s="227">
        <v>2012</v>
      </c>
      <c r="R133" s="227">
        <v>1900</v>
      </c>
      <c r="S133" s="227" t="s">
        <v>103</v>
      </c>
      <c r="T133" s="227">
        <v>311</v>
      </c>
      <c r="U133" s="227">
        <v>587</v>
      </c>
      <c r="V133" s="227">
        <v>1624</v>
      </c>
      <c r="W133" s="227">
        <v>0.26549072817729541</v>
      </c>
      <c r="X133" s="227">
        <v>0.73450927182270465</v>
      </c>
      <c r="Y133" s="100" t="s">
        <v>135</v>
      </c>
      <c r="Z133" s="29">
        <v>1</v>
      </c>
      <c r="AA133" s="9">
        <v>1</v>
      </c>
      <c r="AB133" s="9">
        <v>1</v>
      </c>
      <c r="AC133" s="9">
        <v>2</v>
      </c>
      <c r="AD133" s="43">
        <v>2</v>
      </c>
      <c r="AE133" s="55">
        <v>0.35859414261160716</v>
      </c>
      <c r="AF133" s="52" t="s">
        <v>120</v>
      </c>
    </row>
    <row r="134" spans="1:32">
      <c r="A134" s="227">
        <v>2004</v>
      </c>
      <c r="B134" s="227">
        <v>98</v>
      </c>
      <c r="C134" s="227" t="s">
        <v>101</v>
      </c>
      <c r="D134" s="227">
        <v>21</v>
      </c>
      <c r="E134" s="227">
        <v>40</v>
      </c>
      <c r="F134" s="227">
        <v>79</v>
      </c>
      <c r="G134" s="227">
        <v>0.33613445378151258</v>
      </c>
      <c r="H134" s="227">
        <v>0.66386554621848737</v>
      </c>
      <c r="I134" s="312" t="s">
        <v>119</v>
      </c>
      <c r="J134" s="29">
        <v>1</v>
      </c>
      <c r="K134" s="9">
        <v>1</v>
      </c>
      <c r="L134" s="9">
        <v>1</v>
      </c>
      <c r="M134" s="9">
        <v>2</v>
      </c>
      <c r="N134" s="43">
        <v>2</v>
      </c>
      <c r="O134" s="265">
        <f t="shared" si="2"/>
        <v>0.35859414261160716</v>
      </c>
      <c r="P134" s="164" t="s">
        <v>120</v>
      </c>
      <c r="Q134" s="227">
        <v>2012</v>
      </c>
      <c r="R134" s="227">
        <v>3589</v>
      </c>
      <c r="S134" s="227" t="s">
        <v>101</v>
      </c>
      <c r="T134" s="227">
        <v>80</v>
      </c>
      <c r="U134" s="227">
        <v>401</v>
      </c>
      <c r="V134" s="227">
        <v>3268</v>
      </c>
      <c r="W134" s="227">
        <v>0.1092940855819024</v>
      </c>
      <c r="X134" s="227">
        <v>0.89070591441809754</v>
      </c>
      <c r="Y134" s="100" t="s">
        <v>135</v>
      </c>
      <c r="Z134" s="29">
        <v>1</v>
      </c>
      <c r="AA134" s="9">
        <v>1</v>
      </c>
      <c r="AB134" s="9">
        <v>1</v>
      </c>
      <c r="AC134" s="9">
        <v>2</v>
      </c>
      <c r="AD134" s="43">
        <v>2</v>
      </c>
      <c r="AE134" s="55">
        <v>0.35859414261160716</v>
      </c>
      <c r="AF134" s="52" t="s">
        <v>120</v>
      </c>
    </row>
    <row r="135" spans="1:32">
      <c r="A135" s="227">
        <v>2004</v>
      </c>
      <c r="B135" s="227">
        <v>2287</v>
      </c>
      <c r="C135" s="227" t="s">
        <v>106</v>
      </c>
      <c r="D135" s="227">
        <v>802</v>
      </c>
      <c r="E135" s="227">
        <v>3089</v>
      </c>
      <c r="F135" s="227">
        <v>0</v>
      </c>
      <c r="G135" s="227">
        <v>1</v>
      </c>
      <c r="H135" s="227">
        <v>0</v>
      </c>
      <c r="I135" s="312" t="s">
        <v>119</v>
      </c>
      <c r="J135" s="29">
        <v>1</v>
      </c>
      <c r="K135" s="9">
        <v>1</v>
      </c>
      <c r="L135" s="9">
        <v>1</v>
      </c>
      <c r="M135" s="9">
        <v>2</v>
      </c>
      <c r="N135" s="43">
        <v>2</v>
      </c>
      <c r="O135" s="265">
        <f t="shared" ref="O135:O198" si="3">IF( OR( ISBLANK(J135),ISBLANK(K135), ISBLANK(L135), ISBLANK(M135), ISBLANK(N135) ), "", 1.5*SQRT(   EXP(2.21*(J135-1)) + EXP(2.21*(K135-1)) + EXP(2.21*(L135-1)) + EXP(2.21*(M135-1)) + EXP(2.21*N135)   )/100*2.45 )</f>
        <v>0.35859414261160716</v>
      </c>
      <c r="P135" s="164" t="s">
        <v>120</v>
      </c>
      <c r="Q135" s="227">
        <v>2012</v>
      </c>
      <c r="R135" s="227">
        <v>13706</v>
      </c>
      <c r="S135" s="227" t="s">
        <v>106</v>
      </c>
      <c r="T135" s="227">
        <v>1624</v>
      </c>
      <c r="U135" s="227">
        <v>4808</v>
      </c>
      <c r="V135" s="227">
        <v>10522</v>
      </c>
      <c r="W135" s="227">
        <v>0.31363339856490541</v>
      </c>
      <c r="X135" s="227">
        <v>0.68636660143509465</v>
      </c>
      <c r="Y135" s="100" t="s">
        <v>135</v>
      </c>
      <c r="Z135" s="29">
        <v>1</v>
      </c>
      <c r="AA135" s="9">
        <v>1</v>
      </c>
      <c r="AB135" s="9">
        <v>1</v>
      </c>
      <c r="AC135" s="9">
        <v>2</v>
      </c>
      <c r="AD135" s="43">
        <v>2</v>
      </c>
      <c r="AE135" s="55">
        <v>0.35859414261160716</v>
      </c>
      <c r="AF135" s="52" t="s">
        <v>120</v>
      </c>
    </row>
    <row r="136" spans="1:32">
      <c r="A136" s="227">
        <v>2005</v>
      </c>
      <c r="B136" s="227">
        <v>1435</v>
      </c>
      <c r="C136" s="227" t="s">
        <v>93</v>
      </c>
      <c r="D136" s="227">
        <v>700</v>
      </c>
      <c r="E136" s="227">
        <v>2019</v>
      </c>
      <c r="F136" s="227">
        <v>116</v>
      </c>
      <c r="G136" s="227">
        <v>0.94566744730679153</v>
      </c>
      <c r="H136" s="227">
        <v>5.4332552693208469E-2</v>
      </c>
      <c r="I136" s="312" t="s">
        <v>119</v>
      </c>
      <c r="J136" s="29">
        <v>1</v>
      </c>
      <c r="K136" s="9">
        <v>1</v>
      </c>
      <c r="L136" s="9">
        <v>1</v>
      </c>
      <c r="M136" s="9">
        <v>2</v>
      </c>
      <c r="N136" s="43">
        <v>2</v>
      </c>
      <c r="O136" s="265">
        <f t="shared" si="3"/>
        <v>0.35859414261160716</v>
      </c>
      <c r="P136" s="164" t="s">
        <v>120</v>
      </c>
      <c r="Q136" s="227">
        <v>2013</v>
      </c>
      <c r="R136" s="227">
        <v>12784</v>
      </c>
      <c r="S136" s="227" t="s">
        <v>93</v>
      </c>
      <c r="T136" s="227">
        <v>2361</v>
      </c>
      <c r="U136" s="227">
        <v>2472</v>
      </c>
      <c r="V136" s="227">
        <v>12673</v>
      </c>
      <c r="W136" s="227">
        <v>0.1632221855397821</v>
      </c>
      <c r="X136" s="227">
        <v>0.83677781446021793</v>
      </c>
      <c r="Y136" s="100" t="s">
        <v>135</v>
      </c>
      <c r="Z136" s="29">
        <v>1</v>
      </c>
      <c r="AA136" s="9">
        <v>1</v>
      </c>
      <c r="AB136" s="9">
        <v>1</v>
      </c>
      <c r="AC136" s="9">
        <v>2</v>
      </c>
      <c r="AD136" s="43">
        <v>2</v>
      </c>
      <c r="AE136" s="55">
        <v>0.35859414261160716</v>
      </c>
      <c r="AF136" s="52" t="s">
        <v>120</v>
      </c>
    </row>
    <row r="137" spans="1:32">
      <c r="A137" s="227">
        <v>2005</v>
      </c>
      <c r="B137" s="227">
        <v>290</v>
      </c>
      <c r="C137" s="227" t="s">
        <v>94</v>
      </c>
      <c r="D137" s="227">
        <v>172</v>
      </c>
      <c r="E137" s="227">
        <v>360</v>
      </c>
      <c r="F137" s="227">
        <v>102</v>
      </c>
      <c r="G137" s="227">
        <v>0.77922077922077926</v>
      </c>
      <c r="H137" s="227">
        <v>0.22077922077922069</v>
      </c>
      <c r="I137" s="312" t="s">
        <v>119</v>
      </c>
      <c r="J137" s="29">
        <v>1</v>
      </c>
      <c r="K137" s="9">
        <v>1</v>
      </c>
      <c r="L137" s="9">
        <v>1</v>
      </c>
      <c r="M137" s="9">
        <v>2</v>
      </c>
      <c r="N137" s="43">
        <v>2</v>
      </c>
      <c r="O137" s="265">
        <f t="shared" si="3"/>
        <v>0.35859414261160716</v>
      </c>
      <c r="P137" s="164" t="s">
        <v>120</v>
      </c>
      <c r="Q137" s="227">
        <v>2013</v>
      </c>
      <c r="R137" s="227">
        <v>6464</v>
      </c>
      <c r="S137" s="227" t="s">
        <v>94</v>
      </c>
      <c r="T137" s="227">
        <v>998</v>
      </c>
      <c r="U137" s="227">
        <v>1411</v>
      </c>
      <c r="V137" s="227">
        <v>6051</v>
      </c>
      <c r="W137" s="227">
        <v>0.18909139640846959</v>
      </c>
      <c r="X137" s="227">
        <v>0.81090860359153039</v>
      </c>
      <c r="Y137" s="100" t="s">
        <v>135</v>
      </c>
      <c r="Z137" s="29">
        <v>1</v>
      </c>
      <c r="AA137" s="9">
        <v>1</v>
      </c>
      <c r="AB137" s="9">
        <v>1</v>
      </c>
      <c r="AC137" s="9">
        <v>2</v>
      </c>
      <c r="AD137" s="43">
        <v>2</v>
      </c>
      <c r="AE137" s="55">
        <v>0.35859414261160716</v>
      </c>
      <c r="AF137" s="52" t="s">
        <v>120</v>
      </c>
    </row>
    <row r="138" spans="1:32">
      <c r="A138" s="227">
        <v>2005</v>
      </c>
      <c r="B138" s="227">
        <v>852</v>
      </c>
      <c r="C138" s="227" t="s">
        <v>95</v>
      </c>
      <c r="D138" s="227">
        <v>214</v>
      </c>
      <c r="E138" s="227">
        <v>510</v>
      </c>
      <c r="F138" s="227">
        <v>556</v>
      </c>
      <c r="G138" s="227">
        <v>0.47842401500938092</v>
      </c>
      <c r="H138" s="227">
        <v>0.52157598499061919</v>
      </c>
      <c r="I138" s="312" t="s">
        <v>119</v>
      </c>
      <c r="J138" s="29">
        <v>1</v>
      </c>
      <c r="K138" s="9">
        <v>1</v>
      </c>
      <c r="L138" s="9">
        <v>1</v>
      </c>
      <c r="M138" s="9">
        <v>2</v>
      </c>
      <c r="N138" s="43">
        <v>2</v>
      </c>
      <c r="O138" s="265">
        <f t="shared" si="3"/>
        <v>0.35859414261160716</v>
      </c>
      <c r="P138" s="164" t="s">
        <v>120</v>
      </c>
      <c r="Q138" s="227">
        <v>2013</v>
      </c>
      <c r="R138" s="227">
        <v>9631</v>
      </c>
      <c r="S138" s="227" t="s">
        <v>95</v>
      </c>
      <c r="T138" s="227">
        <v>487</v>
      </c>
      <c r="U138" s="227">
        <v>1134</v>
      </c>
      <c r="V138" s="227">
        <v>8984</v>
      </c>
      <c r="W138" s="227">
        <v>0.1120774856691046</v>
      </c>
      <c r="X138" s="227">
        <v>0.88792251433089542</v>
      </c>
      <c r="Y138" s="100" t="s">
        <v>135</v>
      </c>
      <c r="Z138" s="29">
        <v>1</v>
      </c>
      <c r="AA138" s="9">
        <v>1</v>
      </c>
      <c r="AB138" s="9">
        <v>1</v>
      </c>
      <c r="AC138" s="9">
        <v>2</v>
      </c>
      <c r="AD138" s="43">
        <v>2</v>
      </c>
      <c r="AE138" s="55">
        <v>0.35859414261160716</v>
      </c>
      <c r="AF138" s="52" t="s">
        <v>120</v>
      </c>
    </row>
    <row r="139" spans="1:32">
      <c r="A139" s="227">
        <v>2005</v>
      </c>
      <c r="B139" s="227">
        <v>4</v>
      </c>
      <c r="C139" s="227" t="s">
        <v>96</v>
      </c>
      <c r="D139" s="227">
        <v>96</v>
      </c>
      <c r="E139" s="227">
        <v>80</v>
      </c>
      <c r="F139" s="227">
        <v>20</v>
      </c>
      <c r="G139" s="227">
        <v>0.8</v>
      </c>
      <c r="H139" s="227">
        <v>0.2</v>
      </c>
      <c r="I139" s="312" t="s">
        <v>119</v>
      </c>
      <c r="J139" s="29">
        <v>1</v>
      </c>
      <c r="K139" s="9">
        <v>1</v>
      </c>
      <c r="L139" s="9">
        <v>1</v>
      </c>
      <c r="M139" s="9">
        <v>2</v>
      </c>
      <c r="N139" s="43">
        <v>2</v>
      </c>
      <c r="O139" s="265">
        <f t="shared" si="3"/>
        <v>0.35859414261160716</v>
      </c>
      <c r="P139" s="164" t="s">
        <v>120</v>
      </c>
      <c r="Q139" s="227">
        <v>2013</v>
      </c>
      <c r="R139" s="227">
        <v>1752</v>
      </c>
      <c r="S139" s="227" t="s">
        <v>96</v>
      </c>
      <c r="T139" s="227">
        <v>97</v>
      </c>
      <c r="U139" s="227">
        <v>326</v>
      </c>
      <c r="V139" s="227">
        <v>1523</v>
      </c>
      <c r="W139" s="227">
        <v>0.17631151974040021</v>
      </c>
      <c r="X139" s="227">
        <v>0.82368848025959984</v>
      </c>
      <c r="Y139" s="100" t="s">
        <v>135</v>
      </c>
      <c r="Z139" s="29">
        <v>1</v>
      </c>
      <c r="AA139" s="9">
        <v>1</v>
      </c>
      <c r="AB139" s="9">
        <v>1</v>
      </c>
      <c r="AC139" s="9">
        <v>2</v>
      </c>
      <c r="AD139" s="43">
        <v>2</v>
      </c>
      <c r="AE139" s="55">
        <v>0.35859414261160716</v>
      </c>
      <c r="AF139" s="52" t="s">
        <v>120</v>
      </c>
    </row>
    <row r="140" spans="1:32">
      <c r="A140" s="227">
        <v>2005</v>
      </c>
      <c r="B140" s="227">
        <v>191</v>
      </c>
      <c r="C140" s="227" t="s">
        <v>97</v>
      </c>
      <c r="D140" s="227">
        <v>32</v>
      </c>
      <c r="E140" s="227">
        <v>158</v>
      </c>
      <c r="F140" s="227">
        <v>65</v>
      </c>
      <c r="G140" s="227">
        <v>0.70852017937219736</v>
      </c>
      <c r="H140" s="227">
        <v>0.29147982062780259</v>
      </c>
      <c r="I140" s="312" t="s">
        <v>119</v>
      </c>
      <c r="J140" s="29">
        <v>1</v>
      </c>
      <c r="K140" s="9">
        <v>1</v>
      </c>
      <c r="L140" s="9">
        <v>1</v>
      </c>
      <c r="M140" s="9">
        <v>2</v>
      </c>
      <c r="N140" s="43">
        <v>2</v>
      </c>
      <c r="O140" s="265">
        <f t="shared" si="3"/>
        <v>0.35859414261160716</v>
      </c>
      <c r="P140" s="164" t="s">
        <v>120</v>
      </c>
      <c r="Q140" s="227">
        <v>2013</v>
      </c>
      <c r="R140" s="227">
        <v>1875</v>
      </c>
      <c r="S140" s="227" t="s">
        <v>97</v>
      </c>
      <c r="T140" s="227">
        <v>71</v>
      </c>
      <c r="U140" s="227">
        <v>140</v>
      </c>
      <c r="V140" s="227">
        <v>1806</v>
      </c>
      <c r="W140" s="227">
        <v>7.1942446043165464E-2</v>
      </c>
      <c r="X140" s="227">
        <v>0.92805755395683454</v>
      </c>
      <c r="Y140" s="100" t="s">
        <v>135</v>
      </c>
      <c r="Z140" s="29">
        <v>1</v>
      </c>
      <c r="AA140" s="9">
        <v>1</v>
      </c>
      <c r="AB140" s="9">
        <v>1</v>
      </c>
      <c r="AC140" s="9">
        <v>2</v>
      </c>
      <c r="AD140" s="43">
        <v>2</v>
      </c>
      <c r="AE140" s="55">
        <v>0.35859414261160716</v>
      </c>
      <c r="AF140" s="52" t="s">
        <v>120</v>
      </c>
    </row>
    <row r="141" spans="1:32">
      <c r="A141" s="227">
        <v>2005</v>
      </c>
      <c r="B141" s="227">
        <v>610</v>
      </c>
      <c r="C141" s="227" t="s">
        <v>98</v>
      </c>
      <c r="D141" s="227">
        <v>134</v>
      </c>
      <c r="E141" s="227">
        <v>496</v>
      </c>
      <c r="F141" s="227">
        <v>248</v>
      </c>
      <c r="G141" s="227">
        <v>0.66666666666666663</v>
      </c>
      <c r="H141" s="227">
        <v>0.33333333333333343</v>
      </c>
      <c r="I141" s="312" t="s">
        <v>119</v>
      </c>
      <c r="J141" s="29">
        <v>1</v>
      </c>
      <c r="K141" s="9">
        <v>1</v>
      </c>
      <c r="L141" s="9">
        <v>1</v>
      </c>
      <c r="M141" s="9">
        <v>2</v>
      </c>
      <c r="N141" s="43">
        <v>2</v>
      </c>
      <c r="O141" s="265">
        <f t="shared" si="3"/>
        <v>0.35859414261160716</v>
      </c>
      <c r="P141" s="164" t="s">
        <v>120</v>
      </c>
      <c r="Q141" s="227">
        <v>2013</v>
      </c>
      <c r="R141" s="227">
        <v>6758</v>
      </c>
      <c r="S141" s="227" t="s">
        <v>98</v>
      </c>
      <c r="T141" s="227">
        <v>392</v>
      </c>
      <c r="U141" s="227">
        <v>1631</v>
      </c>
      <c r="V141" s="227">
        <v>5519</v>
      </c>
      <c r="W141" s="227">
        <v>0.22811188811188809</v>
      </c>
      <c r="X141" s="227">
        <v>0.77188811188811191</v>
      </c>
      <c r="Y141" s="100" t="s">
        <v>135</v>
      </c>
      <c r="Z141" s="29">
        <v>1</v>
      </c>
      <c r="AA141" s="9">
        <v>1</v>
      </c>
      <c r="AB141" s="9">
        <v>1</v>
      </c>
      <c r="AC141" s="9">
        <v>2</v>
      </c>
      <c r="AD141" s="43">
        <v>2</v>
      </c>
      <c r="AE141" s="55">
        <v>0.35859414261160716</v>
      </c>
      <c r="AF141" s="52" t="s">
        <v>120</v>
      </c>
    </row>
    <row r="142" spans="1:32">
      <c r="A142" s="227">
        <v>2005</v>
      </c>
      <c r="B142" s="227">
        <v>156</v>
      </c>
      <c r="C142" s="227" t="s">
        <v>99</v>
      </c>
      <c r="D142" s="227">
        <v>161</v>
      </c>
      <c r="E142" s="227">
        <v>317</v>
      </c>
      <c r="F142" s="227">
        <v>0</v>
      </c>
      <c r="G142" s="227">
        <v>1</v>
      </c>
      <c r="H142" s="227">
        <v>0</v>
      </c>
      <c r="I142" s="312" t="s">
        <v>119</v>
      </c>
      <c r="J142" s="29">
        <v>1</v>
      </c>
      <c r="K142" s="9">
        <v>1</v>
      </c>
      <c r="L142" s="9">
        <v>1</v>
      </c>
      <c r="M142" s="9">
        <v>2</v>
      </c>
      <c r="N142" s="43">
        <v>2</v>
      </c>
      <c r="O142" s="265">
        <f t="shared" si="3"/>
        <v>0.35859414261160716</v>
      </c>
      <c r="P142" s="164" t="s">
        <v>120</v>
      </c>
      <c r="Q142" s="227">
        <v>2013</v>
      </c>
      <c r="R142" s="227">
        <v>2397</v>
      </c>
      <c r="S142" s="227" t="s">
        <v>99</v>
      </c>
      <c r="T142" s="227">
        <v>1106</v>
      </c>
      <c r="U142" s="227">
        <v>217</v>
      </c>
      <c r="V142" s="227">
        <v>3286</v>
      </c>
      <c r="W142" s="227">
        <v>6.1946902654867263E-2</v>
      </c>
      <c r="X142" s="227">
        <v>0.93805309734513276</v>
      </c>
      <c r="Y142" s="100" t="s">
        <v>135</v>
      </c>
      <c r="Z142" s="29">
        <v>1</v>
      </c>
      <c r="AA142" s="9">
        <v>1</v>
      </c>
      <c r="AB142" s="9">
        <v>1</v>
      </c>
      <c r="AC142" s="9">
        <v>2</v>
      </c>
      <c r="AD142" s="43">
        <v>2</v>
      </c>
      <c r="AE142" s="55">
        <v>0.35859414261160716</v>
      </c>
      <c r="AF142" s="52" t="s">
        <v>120</v>
      </c>
    </row>
    <row r="143" spans="1:32">
      <c r="A143" s="227">
        <v>2005</v>
      </c>
      <c r="B143" s="227">
        <v>78</v>
      </c>
      <c r="C143" s="227" t="s">
        <v>102</v>
      </c>
      <c r="D143" s="227">
        <v>16</v>
      </c>
      <c r="E143" s="227">
        <v>94</v>
      </c>
      <c r="F143" s="227">
        <v>0</v>
      </c>
      <c r="G143" s="227">
        <v>1</v>
      </c>
      <c r="H143" s="227">
        <v>0</v>
      </c>
      <c r="I143" s="312" t="s">
        <v>119</v>
      </c>
      <c r="J143" s="29">
        <v>1</v>
      </c>
      <c r="K143" s="9">
        <v>1</v>
      </c>
      <c r="L143" s="9">
        <v>1</v>
      </c>
      <c r="M143" s="9">
        <v>2</v>
      </c>
      <c r="N143" s="43">
        <v>2</v>
      </c>
      <c r="O143" s="265">
        <f t="shared" si="3"/>
        <v>0.35859414261160716</v>
      </c>
      <c r="P143" s="164" t="s">
        <v>120</v>
      </c>
      <c r="Q143" s="227">
        <v>2013</v>
      </c>
      <c r="R143" s="227">
        <v>468</v>
      </c>
      <c r="S143" s="227" t="s">
        <v>102</v>
      </c>
      <c r="T143" s="227">
        <v>172</v>
      </c>
      <c r="U143" s="227">
        <v>147</v>
      </c>
      <c r="V143" s="227">
        <v>493</v>
      </c>
      <c r="W143" s="227">
        <v>0.22968749999999999</v>
      </c>
      <c r="X143" s="227">
        <v>0.77031249999999996</v>
      </c>
      <c r="Y143" s="100" t="s">
        <v>135</v>
      </c>
      <c r="Z143" s="29">
        <v>1</v>
      </c>
      <c r="AA143" s="9">
        <v>1</v>
      </c>
      <c r="AB143" s="9">
        <v>1</v>
      </c>
      <c r="AC143" s="9">
        <v>2</v>
      </c>
      <c r="AD143" s="43">
        <v>2</v>
      </c>
      <c r="AE143" s="55">
        <v>0.35859414261160716</v>
      </c>
      <c r="AF143" s="52" t="s">
        <v>120</v>
      </c>
    </row>
    <row r="144" spans="1:32">
      <c r="A144" s="227">
        <v>2005</v>
      </c>
      <c r="B144" s="227">
        <v>337</v>
      </c>
      <c r="C144" s="227" t="s">
        <v>104</v>
      </c>
      <c r="D144" s="227">
        <v>84</v>
      </c>
      <c r="E144" s="227">
        <v>211</v>
      </c>
      <c r="F144" s="227">
        <v>210</v>
      </c>
      <c r="G144" s="227">
        <v>0.50118764845605701</v>
      </c>
      <c r="H144" s="227">
        <v>0.49881235154394299</v>
      </c>
      <c r="I144" s="312" t="s">
        <v>119</v>
      </c>
      <c r="J144" s="29">
        <v>1</v>
      </c>
      <c r="K144" s="9">
        <v>1</v>
      </c>
      <c r="L144" s="9">
        <v>1</v>
      </c>
      <c r="M144" s="9">
        <v>2</v>
      </c>
      <c r="N144" s="43">
        <v>2</v>
      </c>
      <c r="O144" s="265">
        <f t="shared" si="3"/>
        <v>0.35859414261160716</v>
      </c>
      <c r="P144" s="164" t="s">
        <v>120</v>
      </c>
      <c r="Q144" s="227">
        <v>2013</v>
      </c>
      <c r="R144" s="227">
        <v>837</v>
      </c>
      <c r="S144" s="227" t="s">
        <v>104</v>
      </c>
      <c r="T144" s="227">
        <v>65</v>
      </c>
      <c r="U144" s="227">
        <v>287</v>
      </c>
      <c r="V144" s="227">
        <v>615</v>
      </c>
      <c r="W144" s="227">
        <v>0.31818181818181818</v>
      </c>
      <c r="X144" s="227">
        <v>0.68181818181818188</v>
      </c>
      <c r="Y144" s="100" t="s">
        <v>135</v>
      </c>
      <c r="Z144" s="29">
        <v>1</v>
      </c>
      <c r="AA144" s="9">
        <v>1</v>
      </c>
      <c r="AB144" s="9">
        <v>1</v>
      </c>
      <c r="AC144" s="9">
        <v>2</v>
      </c>
      <c r="AD144" s="43">
        <v>2</v>
      </c>
      <c r="AE144" s="55">
        <v>0.35859414261160716</v>
      </c>
      <c r="AF144" s="52" t="s">
        <v>120</v>
      </c>
    </row>
    <row r="145" spans="1:32">
      <c r="A145" s="227">
        <v>2005</v>
      </c>
      <c r="B145" s="227">
        <v>233</v>
      </c>
      <c r="C145" s="227" t="s">
        <v>105</v>
      </c>
      <c r="D145" s="227">
        <v>187</v>
      </c>
      <c r="E145" s="227">
        <v>273</v>
      </c>
      <c r="F145" s="227">
        <v>147</v>
      </c>
      <c r="G145" s="227">
        <v>0.65</v>
      </c>
      <c r="H145" s="227">
        <v>0.35</v>
      </c>
      <c r="I145" s="312" t="s">
        <v>119</v>
      </c>
      <c r="J145" s="29">
        <v>1</v>
      </c>
      <c r="K145" s="9">
        <v>1</v>
      </c>
      <c r="L145" s="9">
        <v>1</v>
      </c>
      <c r="M145" s="9">
        <v>2</v>
      </c>
      <c r="N145" s="43">
        <v>2</v>
      </c>
      <c r="O145" s="265">
        <f t="shared" si="3"/>
        <v>0.35859414261160716</v>
      </c>
      <c r="P145" s="164" t="s">
        <v>120</v>
      </c>
      <c r="Q145" s="227">
        <v>2013</v>
      </c>
      <c r="R145" s="227">
        <v>2280</v>
      </c>
      <c r="S145" s="227" t="s">
        <v>105</v>
      </c>
      <c r="T145" s="227">
        <v>285</v>
      </c>
      <c r="U145" s="227">
        <v>944</v>
      </c>
      <c r="V145" s="227">
        <v>1621</v>
      </c>
      <c r="W145" s="227">
        <v>0.36803118908382071</v>
      </c>
      <c r="X145" s="227">
        <v>0.6319688109161794</v>
      </c>
      <c r="Y145" s="100" t="s">
        <v>135</v>
      </c>
      <c r="Z145" s="29">
        <v>1</v>
      </c>
      <c r="AA145" s="9">
        <v>1</v>
      </c>
      <c r="AB145" s="9">
        <v>1</v>
      </c>
      <c r="AC145" s="9">
        <v>2</v>
      </c>
      <c r="AD145" s="43">
        <v>2</v>
      </c>
      <c r="AE145" s="55">
        <v>0.35859414261160716</v>
      </c>
      <c r="AF145" s="52" t="s">
        <v>120</v>
      </c>
    </row>
    <row r="146" spans="1:32">
      <c r="A146" s="227">
        <v>2005</v>
      </c>
      <c r="B146" s="227">
        <v>200</v>
      </c>
      <c r="C146" s="227" t="s">
        <v>103</v>
      </c>
      <c r="D146" s="227">
        <v>111</v>
      </c>
      <c r="E146" s="227">
        <v>240</v>
      </c>
      <c r="F146" s="227">
        <v>71</v>
      </c>
      <c r="G146" s="227">
        <v>0.77170418006430863</v>
      </c>
      <c r="H146" s="227">
        <v>0.2282958199356914</v>
      </c>
      <c r="I146" s="312" t="s">
        <v>119</v>
      </c>
      <c r="J146" s="29">
        <v>1</v>
      </c>
      <c r="K146" s="9">
        <v>1</v>
      </c>
      <c r="L146" s="9">
        <v>1</v>
      </c>
      <c r="M146" s="9">
        <v>2</v>
      </c>
      <c r="N146" s="43">
        <v>2</v>
      </c>
      <c r="O146" s="265">
        <f t="shared" si="3"/>
        <v>0.35859414261160716</v>
      </c>
      <c r="P146" s="164" t="s">
        <v>120</v>
      </c>
      <c r="Q146" s="227">
        <v>2013</v>
      </c>
      <c r="R146" s="227">
        <v>1837</v>
      </c>
      <c r="S146" s="227" t="s">
        <v>103</v>
      </c>
      <c r="T146" s="227">
        <v>169</v>
      </c>
      <c r="U146" s="227">
        <v>549</v>
      </c>
      <c r="V146" s="227">
        <v>1457</v>
      </c>
      <c r="W146" s="227">
        <v>0.27367896311066803</v>
      </c>
      <c r="X146" s="227">
        <v>0.72632103688933203</v>
      </c>
      <c r="Y146" s="100" t="s">
        <v>135</v>
      </c>
      <c r="Z146" s="29">
        <v>1</v>
      </c>
      <c r="AA146" s="9">
        <v>1</v>
      </c>
      <c r="AB146" s="9">
        <v>1</v>
      </c>
      <c r="AC146" s="9">
        <v>2</v>
      </c>
      <c r="AD146" s="43">
        <v>2</v>
      </c>
      <c r="AE146" s="55">
        <v>0.35859414261160716</v>
      </c>
      <c r="AF146" s="52" t="s">
        <v>120</v>
      </c>
    </row>
    <row r="147" spans="1:32">
      <c r="A147" s="227">
        <v>2005</v>
      </c>
      <c r="B147" s="227">
        <v>98</v>
      </c>
      <c r="C147" s="227" t="s">
        <v>101</v>
      </c>
      <c r="D147" s="227">
        <v>65</v>
      </c>
      <c r="E147" s="227">
        <v>35</v>
      </c>
      <c r="F147" s="227">
        <v>128</v>
      </c>
      <c r="G147" s="227">
        <v>0.21472392638036811</v>
      </c>
      <c r="H147" s="227">
        <v>0.78527607361963192</v>
      </c>
      <c r="I147" s="312" t="s">
        <v>119</v>
      </c>
      <c r="J147" s="29">
        <v>1</v>
      </c>
      <c r="K147" s="9">
        <v>1</v>
      </c>
      <c r="L147" s="9">
        <v>1</v>
      </c>
      <c r="M147" s="9">
        <v>2</v>
      </c>
      <c r="N147" s="43">
        <v>2</v>
      </c>
      <c r="O147" s="265">
        <f t="shared" si="3"/>
        <v>0.35859414261160716</v>
      </c>
      <c r="P147" s="164" t="s">
        <v>120</v>
      </c>
      <c r="Q147" s="227">
        <v>2013</v>
      </c>
      <c r="R147" s="227">
        <v>2327</v>
      </c>
      <c r="S147" s="227" t="s">
        <v>101</v>
      </c>
      <c r="T147" s="227">
        <v>61</v>
      </c>
      <c r="U147" s="227">
        <v>404</v>
      </c>
      <c r="V147" s="227">
        <v>1984</v>
      </c>
      <c r="W147" s="227">
        <v>0.16917922948073699</v>
      </c>
      <c r="X147" s="227">
        <v>0.83082077051926295</v>
      </c>
      <c r="Y147" s="100" t="s">
        <v>135</v>
      </c>
      <c r="Z147" s="29">
        <v>1</v>
      </c>
      <c r="AA147" s="9">
        <v>1</v>
      </c>
      <c r="AB147" s="9">
        <v>1</v>
      </c>
      <c r="AC147" s="9">
        <v>2</v>
      </c>
      <c r="AD147" s="43">
        <v>2</v>
      </c>
      <c r="AE147" s="55">
        <v>0.35859414261160716</v>
      </c>
      <c r="AF147" s="52" t="s">
        <v>120</v>
      </c>
    </row>
    <row r="148" spans="1:32">
      <c r="A148" s="227">
        <v>2005</v>
      </c>
      <c r="B148" s="227">
        <v>2309</v>
      </c>
      <c r="C148" s="227" t="s">
        <v>106</v>
      </c>
      <c r="D148" s="227">
        <v>783</v>
      </c>
      <c r="E148" s="227">
        <v>3092</v>
      </c>
      <c r="F148" s="227">
        <v>0</v>
      </c>
      <c r="G148" s="227">
        <v>1</v>
      </c>
      <c r="H148" s="227">
        <v>0</v>
      </c>
      <c r="I148" s="312" t="s">
        <v>119</v>
      </c>
      <c r="J148" s="29">
        <v>1</v>
      </c>
      <c r="K148" s="9">
        <v>1</v>
      </c>
      <c r="L148" s="9">
        <v>1</v>
      </c>
      <c r="M148" s="9">
        <v>2</v>
      </c>
      <c r="N148" s="43">
        <v>2</v>
      </c>
      <c r="O148" s="265">
        <f t="shared" si="3"/>
        <v>0.35859414261160716</v>
      </c>
      <c r="P148" s="164" t="s">
        <v>120</v>
      </c>
      <c r="Q148" s="227">
        <v>2013</v>
      </c>
      <c r="R148" s="227">
        <v>11075</v>
      </c>
      <c r="S148" s="227" t="s">
        <v>106</v>
      </c>
      <c r="T148" s="227">
        <v>1270</v>
      </c>
      <c r="U148" s="227">
        <v>4844</v>
      </c>
      <c r="V148" s="227">
        <v>7501</v>
      </c>
      <c r="W148" s="227">
        <v>0.39238558120696643</v>
      </c>
      <c r="X148" s="227">
        <v>0.60761441879303368</v>
      </c>
      <c r="Y148" s="100" t="s">
        <v>135</v>
      </c>
      <c r="Z148" s="29">
        <v>1</v>
      </c>
      <c r="AA148" s="9">
        <v>1</v>
      </c>
      <c r="AB148" s="9">
        <v>1</v>
      </c>
      <c r="AC148" s="9">
        <v>2</v>
      </c>
      <c r="AD148" s="43">
        <v>2</v>
      </c>
      <c r="AE148" s="55">
        <v>0.35859414261160716</v>
      </c>
      <c r="AF148" s="52" t="s">
        <v>120</v>
      </c>
    </row>
    <row r="149" spans="1:32">
      <c r="A149" s="227">
        <v>2006</v>
      </c>
      <c r="B149" s="227">
        <v>1448</v>
      </c>
      <c r="C149" s="227" t="s">
        <v>93</v>
      </c>
      <c r="D149" s="227">
        <v>601</v>
      </c>
      <c r="E149" s="227">
        <v>2048</v>
      </c>
      <c r="F149" s="227">
        <v>1</v>
      </c>
      <c r="G149" s="227">
        <v>0.99951195705222062</v>
      </c>
      <c r="H149" s="227">
        <v>4.8804294777937679E-4</v>
      </c>
      <c r="I149" s="312" t="s">
        <v>119</v>
      </c>
      <c r="J149" s="29">
        <v>1</v>
      </c>
      <c r="K149" s="9">
        <v>1</v>
      </c>
      <c r="L149" s="9">
        <v>1</v>
      </c>
      <c r="M149" s="9">
        <v>2</v>
      </c>
      <c r="N149" s="43">
        <v>2</v>
      </c>
      <c r="O149" s="265">
        <f t="shared" si="3"/>
        <v>0.35859414261160716</v>
      </c>
      <c r="P149" s="164" t="s">
        <v>120</v>
      </c>
      <c r="Q149" s="227">
        <v>2014</v>
      </c>
      <c r="R149" s="227">
        <v>12281</v>
      </c>
      <c r="S149" s="227" t="s">
        <v>93</v>
      </c>
      <c r="T149" s="227">
        <v>3216</v>
      </c>
      <c r="U149" s="227">
        <v>2757</v>
      </c>
      <c r="V149" s="227">
        <v>12740</v>
      </c>
      <c r="W149" s="227">
        <v>0.17790540104536359</v>
      </c>
      <c r="X149" s="227">
        <v>0.82209459895463644</v>
      </c>
      <c r="Y149" s="100" t="s">
        <v>135</v>
      </c>
      <c r="Z149" s="29">
        <v>1</v>
      </c>
      <c r="AA149" s="9">
        <v>1</v>
      </c>
      <c r="AB149" s="9">
        <v>1</v>
      </c>
      <c r="AC149" s="9">
        <v>2</v>
      </c>
      <c r="AD149" s="43">
        <v>2</v>
      </c>
      <c r="AE149" s="55">
        <v>0.35859414261160716</v>
      </c>
      <c r="AF149" s="52" t="s">
        <v>120</v>
      </c>
    </row>
    <row r="150" spans="1:32">
      <c r="A150" s="227">
        <v>2006</v>
      </c>
      <c r="B150" s="227">
        <v>290</v>
      </c>
      <c r="C150" s="227" t="s">
        <v>94</v>
      </c>
      <c r="D150" s="227">
        <v>161</v>
      </c>
      <c r="E150" s="227">
        <v>351</v>
      </c>
      <c r="F150" s="227">
        <v>100</v>
      </c>
      <c r="G150" s="227">
        <v>0.7782705099778271</v>
      </c>
      <c r="H150" s="227">
        <v>0.2217294900221729</v>
      </c>
      <c r="I150" s="312" t="s">
        <v>119</v>
      </c>
      <c r="J150" s="29">
        <v>1</v>
      </c>
      <c r="K150" s="9">
        <v>1</v>
      </c>
      <c r="L150" s="9">
        <v>1</v>
      </c>
      <c r="M150" s="9">
        <v>2</v>
      </c>
      <c r="N150" s="43">
        <v>2</v>
      </c>
      <c r="O150" s="265">
        <f t="shared" si="3"/>
        <v>0.35859414261160716</v>
      </c>
      <c r="P150" s="164" t="s">
        <v>120</v>
      </c>
      <c r="Q150" s="227">
        <v>2014</v>
      </c>
      <c r="R150" s="227">
        <v>6150</v>
      </c>
      <c r="S150" s="227" t="s">
        <v>94</v>
      </c>
      <c r="T150" s="227">
        <v>1112</v>
      </c>
      <c r="U150" s="227">
        <v>1589</v>
      </c>
      <c r="V150" s="227">
        <v>5673</v>
      </c>
      <c r="W150" s="227">
        <v>0.21881024511153949</v>
      </c>
      <c r="X150" s="227">
        <v>0.78118975488846054</v>
      </c>
      <c r="Y150" s="100" t="s">
        <v>135</v>
      </c>
      <c r="Z150" s="29">
        <v>1</v>
      </c>
      <c r="AA150" s="9">
        <v>1</v>
      </c>
      <c r="AB150" s="9">
        <v>1</v>
      </c>
      <c r="AC150" s="9">
        <v>2</v>
      </c>
      <c r="AD150" s="43">
        <v>2</v>
      </c>
      <c r="AE150" s="55">
        <v>0.35859414261160716</v>
      </c>
      <c r="AF150" s="52" t="s">
        <v>120</v>
      </c>
    </row>
    <row r="151" spans="1:32">
      <c r="A151" s="227">
        <v>2006</v>
      </c>
      <c r="B151" s="227">
        <v>955</v>
      </c>
      <c r="C151" s="227" t="s">
        <v>95</v>
      </c>
      <c r="D151" s="227">
        <v>251</v>
      </c>
      <c r="E151" s="227">
        <v>418</v>
      </c>
      <c r="F151" s="227">
        <v>788</v>
      </c>
      <c r="G151" s="227">
        <v>0.34660033167495852</v>
      </c>
      <c r="H151" s="227">
        <v>0.65339966832504148</v>
      </c>
      <c r="I151" s="312" t="s">
        <v>119</v>
      </c>
      <c r="J151" s="29">
        <v>1</v>
      </c>
      <c r="K151" s="9">
        <v>1</v>
      </c>
      <c r="L151" s="9">
        <v>1</v>
      </c>
      <c r="M151" s="9">
        <v>2</v>
      </c>
      <c r="N151" s="43">
        <v>2</v>
      </c>
      <c r="O151" s="265">
        <f t="shared" si="3"/>
        <v>0.35859414261160716</v>
      </c>
      <c r="P151" s="164" t="s">
        <v>120</v>
      </c>
      <c r="Q151" s="227">
        <v>2014</v>
      </c>
      <c r="R151" s="227">
        <v>8482</v>
      </c>
      <c r="S151" s="227" t="s">
        <v>95</v>
      </c>
      <c r="T151" s="227">
        <v>718</v>
      </c>
      <c r="U151" s="227">
        <v>1051</v>
      </c>
      <c r="V151" s="227">
        <v>8149</v>
      </c>
      <c r="W151" s="227">
        <v>0.11423913043478259</v>
      </c>
      <c r="X151" s="227">
        <v>0.88576086956521738</v>
      </c>
      <c r="Y151" s="100" t="s">
        <v>135</v>
      </c>
      <c r="Z151" s="29">
        <v>1</v>
      </c>
      <c r="AA151" s="9">
        <v>1</v>
      </c>
      <c r="AB151" s="9">
        <v>1</v>
      </c>
      <c r="AC151" s="9">
        <v>2</v>
      </c>
      <c r="AD151" s="43">
        <v>2</v>
      </c>
      <c r="AE151" s="55">
        <v>0.35859414261160716</v>
      </c>
      <c r="AF151" s="52" t="s">
        <v>120</v>
      </c>
    </row>
    <row r="152" spans="1:32">
      <c r="A152" s="227">
        <v>2006</v>
      </c>
      <c r="B152" s="227">
        <v>13</v>
      </c>
      <c r="C152" s="227" t="s">
        <v>96</v>
      </c>
      <c r="D152" s="227">
        <v>52</v>
      </c>
      <c r="E152" s="227">
        <v>65</v>
      </c>
      <c r="F152" s="227">
        <v>0</v>
      </c>
      <c r="G152" s="227">
        <v>1</v>
      </c>
      <c r="H152" s="227">
        <v>0</v>
      </c>
      <c r="I152" s="312" t="s">
        <v>119</v>
      </c>
      <c r="J152" s="29">
        <v>1</v>
      </c>
      <c r="K152" s="9">
        <v>1</v>
      </c>
      <c r="L152" s="9">
        <v>1</v>
      </c>
      <c r="M152" s="9">
        <v>2</v>
      </c>
      <c r="N152" s="43">
        <v>2</v>
      </c>
      <c r="O152" s="265">
        <f t="shared" si="3"/>
        <v>0.35859414261160716</v>
      </c>
      <c r="P152" s="164" t="s">
        <v>120</v>
      </c>
      <c r="Q152" s="227">
        <v>2014</v>
      </c>
      <c r="R152" s="227">
        <v>1721</v>
      </c>
      <c r="S152" s="227" t="s">
        <v>96</v>
      </c>
      <c r="T152" s="227">
        <v>68</v>
      </c>
      <c r="U152" s="227">
        <v>282</v>
      </c>
      <c r="V152" s="227">
        <v>1507</v>
      </c>
      <c r="W152" s="227">
        <v>0.15762996087199549</v>
      </c>
      <c r="X152" s="227">
        <v>0.84237003912800446</v>
      </c>
      <c r="Y152" s="100" t="s">
        <v>135</v>
      </c>
      <c r="Z152" s="29">
        <v>1</v>
      </c>
      <c r="AA152" s="9">
        <v>1</v>
      </c>
      <c r="AB152" s="9">
        <v>1</v>
      </c>
      <c r="AC152" s="9">
        <v>2</v>
      </c>
      <c r="AD152" s="43">
        <v>2</v>
      </c>
      <c r="AE152" s="55">
        <v>0.35859414261160716</v>
      </c>
      <c r="AF152" s="52" t="s">
        <v>120</v>
      </c>
    </row>
    <row r="153" spans="1:32">
      <c r="A153" s="227">
        <v>2006</v>
      </c>
      <c r="B153" s="227">
        <v>191</v>
      </c>
      <c r="C153" s="227" t="s">
        <v>97</v>
      </c>
      <c r="D153" s="227">
        <v>41</v>
      </c>
      <c r="E153" s="227">
        <v>172</v>
      </c>
      <c r="F153" s="227">
        <v>60</v>
      </c>
      <c r="G153" s="227">
        <v>0.74137931034482762</v>
      </c>
      <c r="H153" s="227">
        <v>0.25862068965517238</v>
      </c>
      <c r="I153" s="312" t="s">
        <v>119</v>
      </c>
      <c r="J153" s="29">
        <v>1</v>
      </c>
      <c r="K153" s="9">
        <v>1</v>
      </c>
      <c r="L153" s="9">
        <v>1</v>
      </c>
      <c r="M153" s="9">
        <v>2</v>
      </c>
      <c r="N153" s="43">
        <v>2</v>
      </c>
      <c r="O153" s="265">
        <f t="shared" si="3"/>
        <v>0.35859414261160716</v>
      </c>
      <c r="P153" s="164" t="s">
        <v>120</v>
      </c>
      <c r="Q153" s="227">
        <v>2014</v>
      </c>
      <c r="R153" s="227">
        <v>2023</v>
      </c>
      <c r="S153" s="227" t="s">
        <v>97</v>
      </c>
      <c r="T153" s="227">
        <v>58</v>
      </c>
      <c r="U153" s="227">
        <v>130</v>
      </c>
      <c r="V153" s="227">
        <v>1951</v>
      </c>
      <c r="W153" s="227">
        <v>6.2469966362325803E-2</v>
      </c>
      <c r="X153" s="227">
        <v>0.93753003363767418</v>
      </c>
      <c r="Y153" s="100" t="s">
        <v>135</v>
      </c>
      <c r="Z153" s="29">
        <v>1</v>
      </c>
      <c r="AA153" s="9">
        <v>1</v>
      </c>
      <c r="AB153" s="9">
        <v>1</v>
      </c>
      <c r="AC153" s="9">
        <v>2</v>
      </c>
      <c r="AD153" s="43">
        <v>2</v>
      </c>
      <c r="AE153" s="55">
        <v>0.35859414261160716</v>
      </c>
      <c r="AF153" s="52" t="s">
        <v>120</v>
      </c>
    </row>
    <row r="154" spans="1:32">
      <c r="A154" s="227">
        <v>2006</v>
      </c>
      <c r="B154" s="227">
        <v>610</v>
      </c>
      <c r="C154" s="227" t="s">
        <v>98</v>
      </c>
      <c r="D154" s="227">
        <v>130</v>
      </c>
      <c r="E154" s="227">
        <v>533</v>
      </c>
      <c r="F154" s="227">
        <v>207</v>
      </c>
      <c r="G154" s="227">
        <v>0.72027027027027024</v>
      </c>
      <c r="H154" s="227">
        <v>0.27972972972972981</v>
      </c>
      <c r="I154" s="312" t="s">
        <v>119</v>
      </c>
      <c r="J154" s="29">
        <v>1</v>
      </c>
      <c r="K154" s="9">
        <v>1</v>
      </c>
      <c r="L154" s="9">
        <v>1</v>
      </c>
      <c r="M154" s="9">
        <v>2</v>
      </c>
      <c r="N154" s="43">
        <v>2</v>
      </c>
      <c r="O154" s="265">
        <f t="shared" si="3"/>
        <v>0.35859414261160716</v>
      </c>
      <c r="P154" s="164" t="s">
        <v>120</v>
      </c>
      <c r="Q154" s="227">
        <v>2014</v>
      </c>
      <c r="R154" s="227">
        <v>7535</v>
      </c>
      <c r="S154" s="227" t="s">
        <v>98</v>
      </c>
      <c r="T154" s="227">
        <v>378</v>
      </c>
      <c r="U154" s="227">
        <v>1847</v>
      </c>
      <c r="V154" s="227">
        <v>6066</v>
      </c>
      <c r="W154" s="227">
        <v>0.23341337040313409</v>
      </c>
      <c r="X154" s="227">
        <v>0.76658662959686596</v>
      </c>
      <c r="Y154" s="100" t="s">
        <v>135</v>
      </c>
      <c r="Z154" s="29">
        <v>1</v>
      </c>
      <c r="AA154" s="9">
        <v>1</v>
      </c>
      <c r="AB154" s="9">
        <v>1</v>
      </c>
      <c r="AC154" s="9">
        <v>2</v>
      </c>
      <c r="AD154" s="43">
        <v>2</v>
      </c>
      <c r="AE154" s="55">
        <v>0.35859414261160716</v>
      </c>
      <c r="AF154" s="52" t="s">
        <v>120</v>
      </c>
    </row>
    <row r="155" spans="1:32">
      <c r="A155" s="227">
        <v>2006</v>
      </c>
      <c r="B155" s="227">
        <v>177</v>
      </c>
      <c r="C155" s="227" t="s">
        <v>99</v>
      </c>
      <c r="D155" s="227">
        <v>157</v>
      </c>
      <c r="E155" s="227">
        <v>334</v>
      </c>
      <c r="F155" s="227">
        <v>0</v>
      </c>
      <c r="G155" s="227">
        <v>1</v>
      </c>
      <c r="H155" s="227">
        <v>0</v>
      </c>
      <c r="I155" s="312" t="s">
        <v>119</v>
      </c>
      <c r="J155" s="29">
        <v>1</v>
      </c>
      <c r="K155" s="9">
        <v>1</v>
      </c>
      <c r="L155" s="9">
        <v>1</v>
      </c>
      <c r="M155" s="9">
        <v>2</v>
      </c>
      <c r="N155" s="43">
        <v>2</v>
      </c>
      <c r="O155" s="265">
        <f t="shared" si="3"/>
        <v>0.35859414261160716</v>
      </c>
      <c r="P155" s="164" t="s">
        <v>120</v>
      </c>
      <c r="Q155" s="227">
        <v>2014</v>
      </c>
      <c r="R155" s="227">
        <v>2830</v>
      </c>
      <c r="S155" s="227" t="s">
        <v>99</v>
      </c>
      <c r="T155" s="227">
        <v>960</v>
      </c>
      <c r="U155" s="227">
        <v>280</v>
      </c>
      <c r="V155" s="227">
        <v>3510</v>
      </c>
      <c r="W155" s="227">
        <v>7.3878627968337732E-2</v>
      </c>
      <c r="X155" s="227">
        <v>0.92612137203166223</v>
      </c>
      <c r="Y155" s="100" t="s">
        <v>135</v>
      </c>
      <c r="Z155" s="29">
        <v>1</v>
      </c>
      <c r="AA155" s="9">
        <v>1</v>
      </c>
      <c r="AB155" s="9">
        <v>1</v>
      </c>
      <c r="AC155" s="9">
        <v>2</v>
      </c>
      <c r="AD155" s="43">
        <v>2</v>
      </c>
      <c r="AE155" s="55">
        <v>0.35859414261160716</v>
      </c>
      <c r="AF155" s="52" t="s">
        <v>120</v>
      </c>
    </row>
    <row r="156" spans="1:32">
      <c r="A156" s="227">
        <v>2006</v>
      </c>
      <c r="B156" s="227">
        <v>122</v>
      </c>
      <c r="C156" s="227" t="s">
        <v>102</v>
      </c>
      <c r="D156" s="227">
        <v>15</v>
      </c>
      <c r="E156" s="227">
        <v>137</v>
      </c>
      <c r="F156" s="227">
        <v>0</v>
      </c>
      <c r="G156" s="227">
        <v>1</v>
      </c>
      <c r="H156" s="227">
        <v>0</v>
      </c>
      <c r="I156" s="312" t="s">
        <v>119</v>
      </c>
      <c r="J156" s="29">
        <v>1</v>
      </c>
      <c r="K156" s="9">
        <v>1</v>
      </c>
      <c r="L156" s="9">
        <v>1</v>
      </c>
      <c r="M156" s="9">
        <v>2</v>
      </c>
      <c r="N156" s="43">
        <v>2</v>
      </c>
      <c r="O156" s="265">
        <f t="shared" si="3"/>
        <v>0.35859414261160716</v>
      </c>
      <c r="P156" s="164" t="s">
        <v>120</v>
      </c>
      <c r="Q156" s="227">
        <v>2014</v>
      </c>
      <c r="R156" s="227">
        <v>737</v>
      </c>
      <c r="S156" s="227" t="s">
        <v>102</v>
      </c>
      <c r="T156" s="227">
        <v>179</v>
      </c>
      <c r="U156" s="227">
        <v>160</v>
      </c>
      <c r="V156" s="227">
        <v>756</v>
      </c>
      <c r="W156" s="227">
        <v>0.1746724890829694</v>
      </c>
      <c r="X156" s="227">
        <v>0.8253275109170306</v>
      </c>
      <c r="Y156" s="100" t="s">
        <v>135</v>
      </c>
      <c r="Z156" s="29">
        <v>1</v>
      </c>
      <c r="AA156" s="9">
        <v>1</v>
      </c>
      <c r="AB156" s="9">
        <v>1</v>
      </c>
      <c r="AC156" s="9">
        <v>2</v>
      </c>
      <c r="AD156" s="43">
        <v>2</v>
      </c>
      <c r="AE156" s="55">
        <v>0.35859414261160716</v>
      </c>
      <c r="AF156" s="52" t="s">
        <v>120</v>
      </c>
    </row>
    <row r="157" spans="1:32">
      <c r="A157" s="227">
        <v>2006</v>
      </c>
      <c r="B157" s="227">
        <v>204</v>
      </c>
      <c r="C157" s="227" t="s">
        <v>104</v>
      </c>
      <c r="D157" s="227">
        <v>75</v>
      </c>
      <c r="E157" s="227">
        <v>214</v>
      </c>
      <c r="F157" s="227">
        <v>65</v>
      </c>
      <c r="G157" s="227">
        <v>0.76702508960573479</v>
      </c>
      <c r="H157" s="227">
        <v>0.23297491039426521</v>
      </c>
      <c r="I157" s="312" t="s">
        <v>119</v>
      </c>
      <c r="J157" s="29">
        <v>1</v>
      </c>
      <c r="K157" s="9">
        <v>1</v>
      </c>
      <c r="L157" s="9">
        <v>1</v>
      </c>
      <c r="M157" s="9">
        <v>2</v>
      </c>
      <c r="N157" s="43">
        <v>2</v>
      </c>
      <c r="O157" s="265">
        <f t="shared" si="3"/>
        <v>0.35859414261160716</v>
      </c>
      <c r="P157" s="164" t="s">
        <v>120</v>
      </c>
      <c r="Q157" s="227">
        <v>2014</v>
      </c>
      <c r="R157" s="227">
        <v>1092</v>
      </c>
      <c r="S157" s="227" t="s">
        <v>104</v>
      </c>
      <c r="T157" s="227">
        <v>95</v>
      </c>
      <c r="U157" s="227">
        <v>290</v>
      </c>
      <c r="V157" s="227">
        <v>897</v>
      </c>
      <c r="W157" s="227">
        <v>0.2443133951137321</v>
      </c>
      <c r="X157" s="227">
        <v>0.75568660488626793</v>
      </c>
      <c r="Y157" s="100" t="s">
        <v>135</v>
      </c>
      <c r="Z157" s="29">
        <v>1</v>
      </c>
      <c r="AA157" s="9">
        <v>1</v>
      </c>
      <c r="AB157" s="9">
        <v>1</v>
      </c>
      <c r="AC157" s="9">
        <v>2</v>
      </c>
      <c r="AD157" s="43">
        <v>2</v>
      </c>
      <c r="AE157" s="55">
        <v>0.35859414261160716</v>
      </c>
      <c r="AF157" s="52" t="s">
        <v>120</v>
      </c>
    </row>
    <row r="158" spans="1:32">
      <c r="A158" s="227">
        <v>2006</v>
      </c>
      <c r="B158" s="227">
        <v>126</v>
      </c>
      <c r="C158" s="227" t="s">
        <v>105</v>
      </c>
      <c r="D158" s="227">
        <v>202</v>
      </c>
      <c r="E158" s="227">
        <v>288</v>
      </c>
      <c r="F158" s="227">
        <v>40</v>
      </c>
      <c r="G158" s="227">
        <v>0.87804878048780488</v>
      </c>
      <c r="H158" s="227">
        <v>0.12195121951219511</v>
      </c>
      <c r="I158" s="312" t="s">
        <v>119</v>
      </c>
      <c r="J158" s="29">
        <v>1</v>
      </c>
      <c r="K158" s="9">
        <v>1</v>
      </c>
      <c r="L158" s="9">
        <v>1</v>
      </c>
      <c r="M158" s="9">
        <v>2</v>
      </c>
      <c r="N158" s="43">
        <v>2</v>
      </c>
      <c r="O158" s="265">
        <f t="shared" si="3"/>
        <v>0.35859414261160716</v>
      </c>
      <c r="P158" s="164" t="s">
        <v>120</v>
      </c>
      <c r="Q158" s="227">
        <v>2014</v>
      </c>
      <c r="R158" s="227">
        <v>3176</v>
      </c>
      <c r="S158" s="227" t="s">
        <v>105</v>
      </c>
      <c r="T158" s="227">
        <v>329</v>
      </c>
      <c r="U158" s="227">
        <v>907</v>
      </c>
      <c r="V158" s="227">
        <v>2598</v>
      </c>
      <c r="W158" s="227">
        <v>0.2587731811697575</v>
      </c>
      <c r="X158" s="227">
        <v>0.74122681883024244</v>
      </c>
      <c r="Y158" s="100" t="s">
        <v>135</v>
      </c>
      <c r="Z158" s="29">
        <v>1</v>
      </c>
      <c r="AA158" s="9">
        <v>1</v>
      </c>
      <c r="AB158" s="9">
        <v>1</v>
      </c>
      <c r="AC158" s="9">
        <v>2</v>
      </c>
      <c r="AD158" s="43">
        <v>2</v>
      </c>
      <c r="AE158" s="55">
        <v>0.35859414261160716</v>
      </c>
      <c r="AF158" s="52" t="s">
        <v>120</v>
      </c>
    </row>
    <row r="159" spans="1:32">
      <c r="A159" s="227">
        <v>2006</v>
      </c>
      <c r="B159" s="227">
        <v>241</v>
      </c>
      <c r="C159" s="227" t="s">
        <v>103</v>
      </c>
      <c r="D159" s="227">
        <v>81</v>
      </c>
      <c r="E159" s="227">
        <v>272</v>
      </c>
      <c r="F159" s="227">
        <v>50</v>
      </c>
      <c r="G159" s="227">
        <v>0.84472049689440998</v>
      </c>
      <c r="H159" s="227">
        <v>0.15527950310558999</v>
      </c>
      <c r="I159" s="312" t="s">
        <v>119</v>
      </c>
      <c r="J159" s="29">
        <v>1</v>
      </c>
      <c r="K159" s="9">
        <v>1</v>
      </c>
      <c r="L159" s="9">
        <v>1</v>
      </c>
      <c r="M159" s="9">
        <v>2</v>
      </c>
      <c r="N159" s="43">
        <v>2</v>
      </c>
      <c r="O159" s="265">
        <f t="shared" si="3"/>
        <v>0.35859414261160716</v>
      </c>
      <c r="P159" s="164" t="s">
        <v>120</v>
      </c>
      <c r="Q159" s="227">
        <v>2014</v>
      </c>
      <c r="R159" s="227">
        <v>2491</v>
      </c>
      <c r="S159" s="227" t="s">
        <v>103</v>
      </c>
      <c r="T159" s="227">
        <v>214</v>
      </c>
      <c r="U159" s="227">
        <v>600</v>
      </c>
      <c r="V159" s="227">
        <v>2105</v>
      </c>
      <c r="W159" s="227">
        <v>0.22181146025878001</v>
      </c>
      <c r="X159" s="227">
        <v>0.77818853974121993</v>
      </c>
      <c r="Y159" s="100" t="s">
        <v>135</v>
      </c>
      <c r="Z159" s="29">
        <v>1</v>
      </c>
      <c r="AA159" s="9">
        <v>1</v>
      </c>
      <c r="AB159" s="9">
        <v>1</v>
      </c>
      <c r="AC159" s="9">
        <v>2</v>
      </c>
      <c r="AD159" s="43">
        <v>2</v>
      </c>
      <c r="AE159" s="55">
        <v>0.35859414261160716</v>
      </c>
      <c r="AF159" s="52" t="s">
        <v>120</v>
      </c>
    </row>
    <row r="160" spans="1:32">
      <c r="A160" s="227">
        <v>2006</v>
      </c>
      <c r="B160" s="227">
        <v>98</v>
      </c>
      <c r="C160" s="227" t="s">
        <v>101</v>
      </c>
      <c r="D160" s="227">
        <v>60</v>
      </c>
      <c r="E160" s="227">
        <v>46</v>
      </c>
      <c r="F160" s="227">
        <v>112</v>
      </c>
      <c r="G160" s="227">
        <v>0.29113924050632911</v>
      </c>
      <c r="H160" s="227">
        <v>0.70886075949367089</v>
      </c>
      <c r="I160" s="312" t="s">
        <v>119</v>
      </c>
      <c r="J160" s="29">
        <v>1</v>
      </c>
      <c r="K160" s="9">
        <v>1</v>
      </c>
      <c r="L160" s="9">
        <v>1</v>
      </c>
      <c r="M160" s="9">
        <v>2</v>
      </c>
      <c r="N160" s="43">
        <v>2</v>
      </c>
      <c r="O160" s="265">
        <f t="shared" si="3"/>
        <v>0.35859414261160716</v>
      </c>
      <c r="P160" s="164" t="s">
        <v>120</v>
      </c>
      <c r="Q160" s="227">
        <v>2014</v>
      </c>
      <c r="R160" s="227">
        <v>3000</v>
      </c>
      <c r="S160" s="227" t="s">
        <v>101</v>
      </c>
      <c r="T160" s="227">
        <v>66</v>
      </c>
      <c r="U160" s="227">
        <v>426</v>
      </c>
      <c r="V160" s="227">
        <v>2640</v>
      </c>
      <c r="W160" s="227">
        <v>0.13894324853228959</v>
      </c>
      <c r="X160" s="227">
        <v>0.86105675146771032</v>
      </c>
      <c r="Y160" s="100" t="s">
        <v>135</v>
      </c>
      <c r="Z160" s="29">
        <v>1</v>
      </c>
      <c r="AA160" s="9">
        <v>1</v>
      </c>
      <c r="AB160" s="9">
        <v>1</v>
      </c>
      <c r="AC160" s="9">
        <v>2</v>
      </c>
      <c r="AD160" s="43">
        <v>2</v>
      </c>
      <c r="AE160" s="55">
        <v>0.35859414261160716</v>
      </c>
      <c r="AF160" s="52" t="s">
        <v>120</v>
      </c>
    </row>
    <row r="161" spans="1:32">
      <c r="A161" s="227">
        <v>2006</v>
      </c>
      <c r="B161" s="227">
        <v>2399</v>
      </c>
      <c r="C161" s="227" t="s">
        <v>106</v>
      </c>
      <c r="D161" s="227">
        <v>841</v>
      </c>
      <c r="E161" s="227">
        <v>3240</v>
      </c>
      <c r="F161" s="227">
        <v>0</v>
      </c>
      <c r="G161" s="227">
        <v>1</v>
      </c>
      <c r="H161" s="227">
        <v>0</v>
      </c>
      <c r="I161" s="312" t="s">
        <v>119</v>
      </c>
      <c r="J161" s="29">
        <v>1</v>
      </c>
      <c r="K161" s="9">
        <v>1</v>
      </c>
      <c r="L161" s="9">
        <v>1</v>
      </c>
      <c r="M161" s="9">
        <v>2</v>
      </c>
      <c r="N161" s="43">
        <v>2</v>
      </c>
      <c r="O161" s="265">
        <f t="shared" si="3"/>
        <v>0.35859414261160716</v>
      </c>
      <c r="P161" s="164" t="s">
        <v>120</v>
      </c>
      <c r="Q161" s="227">
        <v>2014</v>
      </c>
      <c r="R161" s="227">
        <v>13212</v>
      </c>
      <c r="S161" s="227" t="s">
        <v>106</v>
      </c>
      <c r="T161" s="227">
        <v>1633</v>
      </c>
      <c r="U161" s="227">
        <v>4942</v>
      </c>
      <c r="V161" s="227">
        <v>9903</v>
      </c>
      <c r="W161" s="227">
        <v>0.33290670259346578</v>
      </c>
      <c r="X161" s="227">
        <v>0.66709329740653422</v>
      </c>
      <c r="Y161" s="100" t="s">
        <v>135</v>
      </c>
      <c r="Z161" s="29">
        <v>1</v>
      </c>
      <c r="AA161" s="9">
        <v>1</v>
      </c>
      <c r="AB161" s="9">
        <v>1</v>
      </c>
      <c r="AC161" s="9">
        <v>2</v>
      </c>
      <c r="AD161" s="43">
        <v>2</v>
      </c>
      <c r="AE161" s="55">
        <v>0.35859414261160716</v>
      </c>
      <c r="AF161" s="52" t="s">
        <v>120</v>
      </c>
    </row>
    <row r="162" spans="1:32">
      <c r="A162" s="227">
        <v>2007</v>
      </c>
      <c r="B162" s="227">
        <v>1685</v>
      </c>
      <c r="C162" s="227" t="s">
        <v>93</v>
      </c>
      <c r="D162" s="227">
        <v>651</v>
      </c>
      <c r="E162" s="227">
        <v>2114</v>
      </c>
      <c r="F162" s="227">
        <v>222</v>
      </c>
      <c r="G162" s="227">
        <v>0.90496575342465757</v>
      </c>
      <c r="H162" s="227">
        <v>9.5034246575342429E-2</v>
      </c>
      <c r="I162" s="312" t="s">
        <v>119</v>
      </c>
      <c r="J162" s="29">
        <v>1</v>
      </c>
      <c r="K162" s="9">
        <v>1</v>
      </c>
      <c r="L162" s="9">
        <v>1</v>
      </c>
      <c r="M162" s="9">
        <v>2</v>
      </c>
      <c r="N162" s="43">
        <v>2</v>
      </c>
      <c r="O162" s="265">
        <f t="shared" si="3"/>
        <v>0.35859414261160716</v>
      </c>
      <c r="P162" s="164" t="s">
        <v>120</v>
      </c>
      <c r="Q162" s="227">
        <v>2015</v>
      </c>
      <c r="R162" s="227">
        <v>12194</v>
      </c>
      <c r="S162" s="227" t="s">
        <v>93</v>
      </c>
      <c r="T162" s="227">
        <v>3427</v>
      </c>
      <c r="U162" s="227">
        <v>2694</v>
      </c>
      <c r="V162" s="227">
        <v>12927</v>
      </c>
      <c r="W162" s="227">
        <v>0.17246014979834839</v>
      </c>
      <c r="X162" s="227">
        <v>0.82753985020165166</v>
      </c>
      <c r="Y162" s="100" t="s">
        <v>135</v>
      </c>
      <c r="Z162" s="29">
        <v>1</v>
      </c>
      <c r="AA162" s="9">
        <v>1</v>
      </c>
      <c r="AB162" s="9">
        <v>1</v>
      </c>
      <c r="AC162" s="9">
        <v>2</v>
      </c>
      <c r="AD162" s="43">
        <v>2</v>
      </c>
      <c r="AE162" s="55">
        <v>0.35859414261160716</v>
      </c>
      <c r="AF162" s="52" t="s">
        <v>120</v>
      </c>
    </row>
    <row r="163" spans="1:32">
      <c r="A163" s="227">
        <v>2007</v>
      </c>
      <c r="B163" s="227">
        <v>290</v>
      </c>
      <c r="C163" s="227" t="s">
        <v>94</v>
      </c>
      <c r="D163" s="227">
        <v>160</v>
      </c>
      <c r="E163" s="227">
        <v>380</v>
      </c>
      <c r="F163" s="227">
        <v>70</v>
      </c>
      <c r="G163" s="227">
        <v>0.84444444444444444</v>
      </c>
      <c r="H163" s="227">
        <v>0.15555555555555561</v>
      </c>
      <c r="I163" s="312" t="s">
        <v>119</v>
      </c>
      <c r="J163" s="29">
        <v>1</v>
      </c>
      <c r="K163" s="9">
        <v>1</v>
      </c>
      <c r="L163" s="9">
        <v>1</v>
      </c>
      <c r="M163" s="9">
        <v>2</v>
      </c>
      <c r="N163" s="43">
        <v>2</v>
      </c>
      <c r="O163" s="265">
        <f t="shared" si="3"/>
        <v>0.35859414261160716</v>
      </c>
      <c r="P163" s="164" t="s">
        <v>120</v>
      </c>
      <c r="Q163" s="227">
        <v>2015</v>
      </c>
      <c r="R163" s="227">
        <v>5847</v>
      </c>
      <c r="S163" s="227" t="s">
        <v>94</v>
      </c>
      <c r="T163" s="227">
        <v>1146</v>
      </c>
      <c r="U163" s="227">
        <v>1354</v>
      </c>
      <c r="V163" s="227">
        <v>5639</v>
      </c>
      <c r="W163" s="227">
        <v>0.1936221936221936</v>
      </c>
      <c r="X163" s="227">
        <v>0.80637780637780643</v>
      </c>
      <c r="Y163" s="100" t="s">
        <v>135</v>
      </c>
      <c r="Z163" s="29">
        <v>1</v>
      </c>
      <c r="AA163" s="9">
        <v>1</v>
      </c>
      <c r="AB163" s="9">
        <v>1</v>
      </c>
      <c r="AC163" s="9">
        <v>2</v>
      </c>
      <c r="AD163" s="43">
        <v>2</v>
      </c>
      <c r="AE163" s="55">
        <v>0.35859414261160716</v>
      </c>
      <c r="AF163" s="52" t="s">
        <v>120</v>
      </c>
    </row>
    <row r="164" spans="1:32">
      <c r="A164" s="227">
        <v>2007</v>
      </c>
      <c r="B164" s="227">
        <v>1021</v>
      </c>
      <c r="C164" s="227" t="s">
        <v>95</v>
      </c>
      <c r="D164" s="227">
        <v>239</v>
      </c>
      <c r="E164" s="227">
        <v>313</v>
      </c>
      <c r="F164" s="227">
        <v>947</v>
      </c>
      <c r="G164" s="227">
        <v>0.24841269841269839</v>
      </c>
      <c r="H164" s="227">
        <v>0.75158730158730158</v>
      </c>
      <c r="I164" s="312" t="s">
        <v>119</v>
      </c>
      <c r="J164" s="29">
        <v>1</v>
      </c>
      <c r="K164" s="9">
        <v>1</v>
      </c>
      <c r="L164" s="9">
        <v>1</v>
      </c>
      <c r="M164" s="9">
        <v>2</v>
      </c>
      <c r="N164" s="43">
        <v>2</v>
      </c>
      <c r="O164" s="265">
        <f t="shared" si="3"/>
        <v>0.35859414261160716</v>
      </c>
      <c r="P164" s="164" t="s">
        <v>120</v>
      </c>
      <c r="Q164" s="227">
        <v>2015</v>
      </c>
      <c r="R164" s="227">
        <v>8085</v>
      </c>
      <c r="S164" s="227" t="s">
        <v>95</v>
      </c>
      <c r="T164" s="227">
        <v>886</v>
      </c>
      <c r="U164" s="227">
        <v>1027</v>
      </c>
      <c r="V164" s="227">
        <v>7944</v>
      </c>
      <c r="W164" s="227">
        <v>0.11447999108237659</v>
      </c>
      <c r="X164" s="227">
        <v>0.88552000891762339</v>
      </c>
      <c r="Y164" s="100" t="s">
        <v>135</v>
      </c>
      <c r="Z164" s="29">
        <v>1</v>
      </c>
      <c r="AA164" s="9">
        <v>1</v>
      </c>
      <c r="AB164" s="9">
        <v>1</v>
      </c>
      <c r="AC164" s="9">
        <v>2</v>
      </c>
      <c r="AD164" s="43">
        <v>2</v>
      </c>
      <c r="AE164" s="55">
        <v>0.35859414261160716</v>
      </c>
      <c r="AF164" s="52" t="s">
        <v>120</v>
      </c>
    </row>
    <row r="165" spans="1:32">
      <c r="A165" s="227">
        <v>2007</v>
      </c>
      <c r="B165" s="227">
        <v>8</v>
      </c>
      <c r="C165" s="227" t="s">
        <v>96</v>
      </c>
      <c r="D165" s="227">
        <v>58</v>
      </c>
      <c r="E165" s="227">
        <v>66</v>
      </c>
      <c r="F165" s="227">
        <v>0</v>
      </c>
      <c r="G165" s="227">
        <v>1</v>
      </c>
      <c r="H165" s="227">
        <v>0</v>
      </c>
      <c r="I165" s="312" t="s">
        <v>119</v>
      </c>
      <c r="J165" s="29">
        <v>1</v>
      </c>
      <c r="K165" s="9">
        <v>1</v>
      </c>
      <c r="L165" s="9">
        <v>1</v>
      </c>
      <c r="M165" s="9">
        <v>2</v>
      </c>
      <c r="N165" s="43">
        <v>2</v>
      </c>
      <c r="O165" s="265">
        <f t="shared" si="3"/>
        <v>0.35859414261160716</v>
      </c>
      <c r="P165" s="164" t="s">
        <v>120</v>
      </c>
      <c r="Q165" s="227">
        <v>2015</v>
      </c>
      <c r="R165" s="227">
        <v>1554</v>
      </c>
      <c r="S165" s="227" t="s">
        <v>96</v>
      </c>
      <c r="T165" s="227">
        <v>93</v>
      </c>
      <c r="U165" s="227">
        <v>288</v>
      </c>
      <c r="V165" s="227">
        <v>1359</v>
      </c>
      <c r="W165" s="227">
        <v>0.1748633879781421</v>
      </c>
      <c r="X165" s="227">
        <v>0.82513661202185795</v>
      </c>
      <c r="Y165" s="100" t="s">
        <v>135</v>
      </c>
      <c r="Z165" s="29">
        <v>1</v>
      </c>
      <c r="AA165" s="9">
        <v>1</v>
      </c>
      <c r="AB165" s="9">
        <v>1</v>
      </c>
      <c r="AC165" s="9">
        <v>2</v>
      </c>
      <c r="AD165" s="43">
        <v>2</v>
      </c>
      <c r="AE165" s="55">
        <v>0.35859414261160716</v>
      </c>
      <c r="AF165" s="52" t="s">
        <v>120</v>
      </c>
    </row>
    <row r="166" spans="1:32">
      <c r="A166" s="227">
        <v>2007</v>
      </c>
      <c r="B166" s="227">
        <v>191</v>
      </c>
      <c r="C166" s="227" t="s">
        <v>97</v>
      </c>
      <c r="D166" s="227">
        <v>41</v>
      </c>
      <c r="E166" s="227">
        <v>152</v>
      </c>
      <c r="F166" s="227">
        <v>80</v>
      </c>
      <c r="G166" s="227">
        <v>0.65517241379310343</v>
      </c>
      <c r="H166" s="227">
        <v>0.34482758620689657</v>
      </c>
      <c r="I166" s="312" t="s">
        <v>119</v>
      </c>
      <c r="J166" s="29">
        <v>1</v>
      </c>
      <c r="K166" s="9">
        <v>1</v>
      </c>
      <c r="L166" s="9">
        <v>1</v>
      </c>
      <c r="M166" s="9">
        <v>2</v>
      </c>
      <c r="N166" s="43">
        <v>2</v>
      </c>
      <c r="O166" s="265">
        <f t="shared" si="3"/>
        <v>0.35859414261160716</v>
      </c>
      <c r="P166" s="164" t="s">
        <v>120</v>
      </c>
      <c r="Q166" s="227">
        <v>2015</v>
      </c>
      <c r="R166" s="227">
        <v>1624</v>
      </c>
      <c r="S166" s="227" t="s">
        <v>97</v>
      </c>
      <c r="T166" s="227">
        <v>72</v>
      </c>
      <c r="U166" s="227">
        <v>127</v>
      </c>
      <c r="V166" s="227">
        <v>1569</v>
      </c>
      <c r="W166" s="227">
        <v>7.4882075471698117E-2</v>
      </c>
      <c r="X166" s="227">
        <v>0.92511792452830188</v>
      </c>
      <c r="Y166" s="100" t="s">
        <v>135</v>
      </c>
      <c r="Z166" s="29">
        <v>1</v>
      </c>
      <c r="AA166" s="9">
        <v>1</v>
      </c>
      <c r="AB166" s="9">
        <v>1</v>
      </c>
      <c r="AC166" s="9">
        <v>2</v>
      </c>
      <c r="AD166" s="43">
        <v>2</v>
      </c>
      <c r="AE166" s="55">
        <v>0.35859414261160716</v>
      </c>
      <c r="AF166" s="52" t="s">
        <v>120</v>
      </c>
    </row>
    <row r="167" spans="1:32">
      <c r="A167" s="227">
        <v>2007</v>
      </c>
      <c r="B167" s="227">
        <v>610</v>
      </c>
      <c r="C167" s="227" t="s">
        <v>98</v>
      </c>
      <c r="D167" s="227">
        <v>148</v>
      </c>
      <c r="E167" s="227">
        <v>651</v>
      </c>
      <c r="F167" s="227">
        <v>107</v>
      </c>
      <c r="G167" s="227">
        <v>0.85883905013192607</v>
      </c>
      <c r="H167" s="227">
        <v>0.1411609498680739</v>
      </c>
      <c r="I167" s="312" t="s">
        <v>119</v>
      </c>
      <c r="J167" s="29">
        <v>1</v>
      </c>
      <c r="K167" s="9">
        <v>1</v>
      </c>
      <c r="L167" s="9">
        <v>1</v>
      </c>
      <c r="M167" s="9">
        <v>2</v>
      </c>
      <c r="N167" s="43">
        <v>2</v>
      </c>
      <c r="O167" s="265">
        <f t="shared" si="3"/>
        <v>0.35859414261160716</v>
      </c>
      <c r="P167" s="164" t="s">
        <v>120</v>
      </c>
      <c r="Q167" s="227">
        <v>2015</v>
      </c>
      <c r="R167" s="227">
        <v>7154</v>
      </c>
      <c r="S167" s="227" t="s">
        <v>98</v>
      </c>
      <c r="T167" s="227">
        <v>388</v>
      </c>
      <c r="U167" s="227">
        <v>1655</v>
      </c>
      <c r="V167" s="227">
        <v>5887</v>
      </c>
      <c r="W167" s="227">
        <v>0.21943781490320871</v>
      </c>
      <c r="X167" s="227">
        <v>0.78056218509679132</v>
      </c>
      <c r="Y167" s="100" t="s">
        <v>135</v>
      </c>
      <c r="Z167" s="29">
        <v>1</v>
      </c>
      <c r="AA167" s="9">
        <v>1</v>
      </c>
      <c r="AB167" s="9">
        <v>1</v>
      </c>
      <c r="AC167" s="9">
        <v>2</v>
      </c>
      <c r="AD167" s="43">
        <v>2</v>
      </c>
      <c r="AE167" s="55">
        <v>0.35859414261160716</v>
      </c>
      <c r="AF167" s="52" t="s">
        <v>120</v>
      </c>
    </row>
    <row r="168" spans="1:32">
      <c r="A168" s="227">
        <v>2007</v>
      </c>
      <c r="B168" s="227">
        <v>209</v>
      </c>
      <c r="C168" s="227" t="s">
        <v>99</v>
      </c>
      <c r="D168" s="227">
        <v>116</v>
      </c>
      <c r="E168" s="227">
        <v>325</v>
      </c>
      <c r="F168" s="227">
        <v>0</v>
      </c>
      <c r="G168" s="227">
        <v>1</v>
      </c>
      <c r="H168" s="227">
        <v>0</v>
      </c>
      <c r="I168" s="312" t="s">
        <v>119</v>
      </c>
      <c r="J168" s="29">
        <v>1</v>
      </c>
      <c r="K168" s="9">
        <v>1</v>
      </c>
      <c r="L168" s="9">
        <v>1</v>
      </c>
      <c r="M168" s="9">
        <v>2</v>
      </c>
      <c r="N168" s="43">
        <v>2</v>
      </c>
      <c r="O168" s="265">
        <f t="shared" si="3"/>
        <v>0.35859414261160716</v>
      </c>
      <c r="P168" s="164" t="s">
        <v>120</v>
      </c>
      <c r="Q168" s="227">
        <v>2015</v>
      </c>
      <c r="R168" s="227">
        <v>2872</v>
      </c>
      <c r="S168" s="227" t="s">
        <v>99</v>
      </c>
      <c r="T168" s="227">
        <v>871</v>
      </c>
      <c r="U168" s="227">
        <v>326</v>
      </c>
      <c r="V168" s="227">
        <v>3417</v>
      </c>
      <c r="W168" s="227">
        <v>8.7095912369756875E-2</v>
      </c>
      <c r="X168" s="227">
        <v>0.91290408763024311</v>
      </c>
      <c r="Y168" s="100" t="s">
        <v>135</v>
      </c>
      <c r="Z168" s="29">
        <v>1</v>
      </c>
      <c r="AA168" s="9">
        <v>1</v>
      </c>
      <c r="AB168" s="9">
        <v>1</v>
      </c>
      <c r="AC168" s="9">
        <v>2</v>
      </c>
      <c r="AD168" s="43">
        <v>2</v>
      </c>
      <c r="AE168" s="55">
        <v>0.35859414261160716</v>
      </c>
      <c r="AF168" s="52" t="s">
        <v>120</v>
      </c>
    </row>
    <row r="169" spans="1:32">
      <c r="A169" s="227">
        <v>2007</v>
      </c>
      <c r="B169" s="227">
        <v>140</v>
      </c>
      <c r="C169" s="227" t="s">
        <v>102</v>
      </c>
      <c r="D169" s="227">
        <v>18</v>
      </c>
      <c r="E169" s="227">
        <v>158</v>
      </c>
      <c r="F169" s="227">
        <v>0</v>
      </c>
      <c r="G169" s="227">
        <v>1</v>
      </c>
      <c r="H169" s="227">
        <v>0</v>
      </c>
      <c r="I169" s="312" t="s">
        <v>119</v>
      </c>
      <c r="J169" s="29">
        <v>1</v>
      </c>
      <c r="K169" s="9">
        <v>1</v>
      </c>
      <c r="L169" s="9">
        <v>1</v>
      </c>
      <c r="M169" s="9">
        <v>2</v>
      </c>
      <c r="N169" s="43">
        <v>2</v>
      </c>
      <c r="O169" s="265">
        <f t="shared" si="3"/>
        <v>0.35859414261160716</v>
      </c>
      <c r="P169" s="164" t="s">
        <v>120</v>
      </c>
      <c r="Q169" s="227">
        <v>2015</v>
      </c>
      <c r="R169" s="227">
        <v>400</v>
      </c>
      <c r="S169" s="227" t="s">
        <v>102</v>
      </c>
      <c r="T169" s="227">
        <v>163</v>
      </c>
      <c r="U169" s="227">
        <v>156</v>
      </c>
      <c r="V169" s="227">
        <v>407</v>
      </c>
      <c r="W169" s="227">
        <v>0.27708703374777982</v>
      </c>
      <c r="X169" s="227">
        <v>0.72291296625222023</v>
      </c>
      <c r="Y169" s="100" t="s">
        <v>135</v>
      </c>
      <c r="Z169" s="29">
        <v>1</v>
      </c>
      <c r="AA169" s="9">
        <v>1</v>
      </c>
      <c r="AB169" s="9">
        <v>1</v>
      </c>
      <c r="AC169" s="9">
        <v>2</v>
      </c>
      <c r="AD169" s="43">
        <v>2</v>
      </c>
      <c r="AE169" s="55">
        <v>0.35859414261160716</v>
      </c>
      <c r="AF169" s="52" t="s">
        <v>120</v>
      </c>
    </row>
    <row r="170" spans="1:32">
      <c r="A170" s="227">
        <v>2007</v>
      </c>
      <c r="B170" s="227">
        <v>337</v>
      </c>
      <c r="C170" s="227" t="s">
        <v>104</v>
      </c>
      <c r="D170" s="227">
        <v>80</v>
      </c>
      <c r="E170" s="227">
        <v>217</v>
      </c>
      <c r="F170" s="227">
        <v>200</v>
      </c>
      <c r="G170" s="227">
        <v>0.52038369304556353</v>
      </c>
      <c r="H170" s="227">
        <v>0.47961630695443652</v>
      </c>
      <c r="I170" s="312" t="s">
        <v>119</v>
      </c>
      <c r="J170" s="29">
        <v>1</v>
      </c>
      <c r="K170" s="9">
        <v>1</v>
      </c>
      <c r="L170" s="9">
        <v>1</v>
      </c>
      <c r="M170" s="9">
        <v>2</v>
      </c>
      <c r="N170" s="43">
        <v>2</v>
      </c>
      <c r="O170" s="265">
        <f t="shared" si="3"/>
        <v>0.35859414261160716</v>
      </c>
      <c r="P170" s="164" t="s">
        <v>120</v>
      </c>
      <c r="Q170" s="227">
        <v>2015</v>
      </c>
      <c r="R170" s="227">
        <v>973</v>
      </c>
      <c r="S170" s="227" t="s">
        <v>104</v>
      </c>
      <c r="T170" s="227">
        <v>82</v>
      </c>
      <c r="U170" s="227">
        <v>262</v>
      </c>
      <c r="V170" s="227">
        <v>793</v>
      </c>
      <c r="W170" s="227">
        <v>0.24834123222748819</v>
      </c>
      <c r="X170" s="227">
        <v>0.75165876777251184</v>
      </c>
      <c r="Y170" s="100" t="s">
        <v>135</v>
      </c>
      <c r="Z170" s="29">
        <v>1</v>
      </c>
      <c r="AA170" s="9">
        <v>1</v>
      </c>
      <c r="AB170" s="9">
        <v>1</v>
      </c>
      <c r="AC170" s="9">
        <v>2</v>
      </c>
      <c r="AD170" s="43">
        <v>2</v>
      </c>
      <c r="AE170" s="55">
        <v>0.35859414261160716</v>
      </c>
      <c r="AF170" s="52" t="s">
        <v>120</v>
      </c>
    </row>
    <row r="171" spans="1:32">
      <c r="A171" s="227">
        <v>2007</v>
      </c>
      <c r="B171" s="227">
        <v>139</v>
      </c>
      <c r="C171" s="227" t="s">
        <v>105</v>
      </c>
      <c r="D171" s="227">
        <v>204</v>
      </c>
      <c r="E171" s="227">
        <v>269</v>
      </c>
      <c r="F171" s="227">
        <v>74</v>
      </c>
      <c r="G171" s="227">
        <v>0.78425655976676389</v>
      </c>
      <c r="H171" s="227">
        <v>0.21574344023323611</v>
      </c>
      <c r="I171" s="312" t="s">
        <v>119</v>
      </c>
      <c r="J171" s="29">
        <v>1</v>
      </c>
      <c r="K171" s="9">
        <v>1</v>
      </c>
      <c r="L171" s="9">
        <v>1</v>
      </c>
      <c r="M171" s="9">
        <v>2</v>
      </c>
      <c r="N171" s="43">
        <v>2</v>
      </c>
      <c r="O171" s="265">
        <f t="shared" si="3"/>
        <v>0.35859414261160716</v>
      </c>
      <c r="P171" s="164" t="s">
        <v>120</v>
      </c>
      <c r="Q171" s="227">
        <v>2015</v>
      </c>
      <c r="R171" s="227">
        <v>2282</v>
      </c>
      <c r="S171" s="227" t="s">
        <v>105</v>
      </c>
      <c r="T171" s="227">
        <v>324</v>
      </c>
      <c r="U171" s="227">
        <v>912</v>
      </c>
      <c r="V171" s="227">
        <v>1694</v>
      </c>
      <c r="W171" s="227">
        <v>0.34996162701458172</v>
      </c>
      <c r="X171" s="227">
        <v>0.65003837298541822</v>
      </c>
      <c r="Y171" s="100" t="s">
        <v>135</v>
      </c>
      <c r="Z171" s="29">
        <v>1</v>
      </c>
      <c r="AA171" s="9">
        <v>1</v>
      </c>
      <c r="AB171" s="9">
        <v>1</v>
      </c>
      <c r="AC171" s="9">
        <v>2</v>
      </c>
      <c r="AD171" s="43">
        <v>2</v>
      </c>
      <c r="AE171" s="55">
        <v>0.35859414261160716</v>
      </c>
      <c r="AF171" s="52" t="s">
        <v>120</v>
      </c>
    </row>
    <row r="172" spans="1:32">
      <c r="A172" s="227">
        <v>2007</v>
      </c>
      <c r="B172" s="227">
        <v>219</v>
      </c>
      <c r="C172" s="227" t="s">
        <v>103</v>
      </c>
      <c r="D172" s="227">
        <v>121</v>
      </c>
      <c r="E172" s="227">
        <v>261</v>
      </c>
      <c r="F172" s="227">
        <v>79</v>
      </c>
      <c r="G172" s="227">
        <v>0.76764705882352946</v>
      </c>
      <c r="H172" s="227">
        <v>0.23235294117647051</v>
      </c>
      <c r="I172" s="312" t="s">
        <v>119</v>
      </c>
      <c r="J172" s="29">
        <v>1</v>
      </c>
      <c r="K172" s="9">
        <v>1</v>
      </c>
      <c r="L172" s="9">
        <v>1</v>
      </c>
      <c r="M172" s="9">
        <v>2</v>
      </c>
      <c r="N172" s="43">
        <v>2</v>
      </c>
      <c r="O172" s="265">
        <f t="shared" si="3"/>
        <v>0.35859414261160716</v>
      </c>
      <c r="P172" s="164" t="s">
        <v>120</v>
      </c>
      <c r="Q172" s="227">
        <v>2015</v>
      </c>
      <c r="R172" s="227">
        <v>2444</v>
      </c>
      <c r="S172" s="227" t="s">
        <v>103</v>
      </c>
      <c r="T172" s="227">
        <v>236</v>
      </c>
      <c r="U172" s="227">
        <v>599</v>
      </c>
      <c r="V172" s="227">
        <v>2081</v>
      </c>
      <c r="W172" s="227">
        <v>0.22350746268656721</v>
      </c>
      <c r="X172" s="227">
        <v>0.77649253731343282</v>
      </c>
      <c r="Y172" s="100" t="s">
        <v>135</v>
      </c>
      <c r="Z172" s="29">
        <v>1</v>
      </c>
      <c r="AA172" s="9">
        <v>1</v>
      </c>
      <c r="AB172" s="9">
        <v>1</v>
      </c>
      <c r="AC172" s="9">
        <v>2</v>
      </c>
      <c r="AD172" s="43">
        <v>2</v>
      </c>
      <c r="AE172" s="55">
        <v>0.35859414261160716</v>
      </c>
      <c r="AF172" s="52" t="s">
        <v>120</v>
      </c>
    </row>
    <row r="173" spans="1:32">
      <c r="A173" s="227">
        <v>2007</v>
      </c>
      <c r="B173" s="227">
        <v>98</v>
      </c>
      <c r="C173" s="227" t="s">
        <v>101</v>
      </c>
      <c r="D173" s="227">
        <v>30</v>
      </c>
      <c r="E173" s="227">
        <v>45</v>
      </c>
      <c r="F173" s="227">
        <v>83</v>
      </c>
      <c r="G173" s="227">
        <v>0.3515625</v>
      </c>
      <c r="H173" s="227">
        <v>0.6484375</v>
      </c>
      <c r="I173" s="312" t="s">
        <v>119</v>
      </c>
      <c r="J173" s="29">
        <v>1</v>
      </c>
      <c r="K173" s="9">
        <v>1</v>
      </c>
      <c r="L173" s="9">
        <v>1</v>
      </c>
      <c r="M173" s="9">
        <v>2</v>
      </c>
      <c r="N173" s="43">
        <v>2</v>
      </c>
      <c r="O173" s="265">
        <f t="shared" si="3"/>
        <v>0.35859414261160716</v>
      </c>
      <c r="P173" s="164" t="s">
        <v>120</v>
      </c>
      <c r="Q173" s="227">
        <v>2015</v>
      </c>
      <c r="R173" s="227">
        <v>2400</v>
      </c>
      <c r="S173" s="227" t="s">
        <v>101</v>
      </c>
      <c r="T173" s="227">
        <v>64</v>
      </c>
      <c r="U173" s="227">
        <v>449</v>
      </c>
      <c r="V173" s="227">
        <v>2015</v>
      </c>
      <c r="W173" s="227">
        <v>0.18222402597402601</v>
      </c>
      <c r="X173" s="227">
        <v>0.81777597402597402</v>
      </c>
      <c r="Y173" s="100" t="s">
        <v>135</v>
      </c>
      <c r="Z173" s="29">
        <v>1</v>
      </c>
      <c r="AA173" s="9">
        <v>1</v>
      </c>
      <c r="AB173" s="9">
        <v>1</v>
      </c>
      <c r="AC173" s="9">
        <v>2</v>
      </c>
      <c r="AD173" s="43">
        <v>2</v>
      </c>
      <c r="AE173" s="55">
        <v>0.35859414261160716</v>
      </c>
      <c r="AF173" s="52" t="s">
        <v>120</v>
      </c>
    </row>
    <row r="174" spans="1:32">
      <c r="A174" s="227">
        <v>2007</v>
      </c>
      <c r="B174" s="227">
        <v>2337</v>
      </c>
      <c r="C174" s="227" t="s">
        <v>106</v>
      </c>
      <c r="D174" s="227">
        <v>953</v>
      </c>
      <c r="E174" s="227">
        <v>3290</v>
      </c>
      <c r="F174" s="227">
        <v>0</v>
      </c>
      <c r="G174" s="227">
        <v>1</v>
      </c>
      <c r="H174" s="227">
        <v>0</v>
      </c>
      <c r="I174" s="312" t="s">
        <v>119</v>
      </c>
      <c r="J174" s="29">
        <v>1</v>
      </c>
      <c r="K174" s="9">
        <v>1</v>
      </c>
      <c r="L174" s="9">
        <v>1</v>
      </c>
      <c r="M174" s="9">
        <v>2</v>
      </c>
      <c r="N174" s="43">
        <v>2</v>
      </c>
      <c r="O174" s="265">
        <f t="shared" si="3"/>
        <v>0.35859414261160716</v>
      </c>
      <c r="P174" s="164" t="s">
        <v>120</v>
      </c>
      <c r="Q174" s="227">
        <v>2015</v>
      </c>
      <c r="R174" s="227">
        <v>12995</v>
      </c>
      <c r="S174" s="227" t="s">
        <v>106</v>
      </c>
      <c r="T174" s="227">
        <v>1809</v>
      </c>
      <c r="U174" s="227">
        <v>5127</v>
      </c>
      <c r="V174" s="227">
        <v>9677</v>
      </c>
      <c r="W174" s="227">
        <v>0.34632531748176171</v>
      </c>
      <c r="X174" s="227">
        <v>0.65367468251823824</v>
      </c>
      <c r="Y174" s="100" t="s">
        <v>135</v>
      </c>
      <c r="Z174" s="29">
        <v>1</v>
      </c>
      <c r="AA174" s="9">
        <v>1</v>
      </c>
      <c r="AB174" s="9">
        <v>1</v>
      </c>
      <c r="AC174" s="9">
        <v>2</v>
      </c>
      <c r="AD174" s="43">
        <v>2</v>
      </c>
      <c r="AE174" s="55">
        <v>0.35859414261160716</v>
      </c>
      <c r="AF174" s="52" t="s">
        <v>120</v>
      </c>
    </row>
    <row r="175" spans="1:32">
      <c r="A175" s="227">
        <v>2008</v>
      </c>
      <c r="B175" s="227">
        <v>1680</v>
      </c>
      <c r="C175" s="227" t="s">
        <v>93</v>
      </c>
      <c r="D175" s="227">
        <v>662</v>
      </c>
      <c r="E175" s="227">
        <v>2342</v>
      </c>
      <c r="F175" s="227">
        <v>0</v>
      </c>
      <c r="G175" s="227">
        <v>1</v>
      </c>
      <c r="H175" s="227">
        <v>0</v>
      </c>
      <c r="I175" s="312" t="s">
        <v>119</v>
      </c>
      <c r="J175" s="29">
        <v>1</v>
      </c>
      <c r="K175" s="9">
        <v>1</v>
      </c>
      <c r="L175" s="9">
        <v>1</v>
      </c>
      <c r="M175" s="9">
        <v>2</v>
      </c>
      <c r="N175" s="43">
        <v>2</v>
      </c>
      <c r="O175" s="265">
        <f t="shared" si="3"/>
        <v>0.35859414261160716</v>
      </c>
      <c r="P175" s="164" t="s">
        <v>120</v>
      </c>
      <c r="Q175" s="227">
        <v>2016</v>
      </c>
      <c r="R175" s="227">
        <v>12146</v>
      </c>
      <c r="S175" s="227" t="s">
        <v>93</v>
      </c>
      <c r="T175" s="227">
        <v>3642</v>
      </c>
      <c r="U175" s="227">
        <v>2815</v>
      </c>
      <c r="V175" s="227">
        <v>12973</v>
      </c>
      <c r="W175" s="227">
        <v>0.178299974664302</v>
      </c>
      <c r="X175" s="227">
        <v>0.82170002533569797</v>
      </c>
      <c r="Y175" s="100" t="s">
        <v>135</v>
      </c>
      <c r="Z175" s="29">
        <v>1</v>
      </c>
      <c r="AA175" s="9">
        <v>1</v>
      </c>
      <c r="AB175" s="9">
        <v>1</v>
      </c>
      <c r="AC175" s="9">
        <v>2</v>
      </c>
      <c r="AD175" s="43">
        <v>2</v>
      </c>
      <c r="AE175" s="55">
        <v>0.35859414261160716</v>
      </c>
      <c r="AF175" s="52" t="s">
        <v>120</v>
      </c>
    </row>
    <row r="176" spans="1:32">
      <c r="A176" s="227">
        <v>2008</v>
      </c>
      <c r="B176" s="227">
        <v>290</v>
      </c>
      <c r="C176" s="227" t="s">
        <v>94</v>
      </c>
      <c r="D176" s="227">
        <v>151</v>
      </c>
      <c r="E176" s="227">
        <v>337</v>
      </c>
      <c r="F176" s="227">
        <v>104</v>
      </c>
      <c r="G176" s="227">
        <v>0.76417233560090703</v>
      </c>
      <c r="H176" s="227">
        <v>0.235827664399093</v>
      </c>
      <c r="I176" s="312" t="s">
        <v>119</v>
      </c>
      <c r="J176" s="29">
        <v>1</v>
      </c>
      <c r="K176" s="9">
        <v>1</v>
      </c>
      <c r="L176" s="9">
        <v>1</v>
      </c>
      <c r="M176" s="9">
        <v>2</v>
      </c>
      <c r="N176" s="43">
        <v>2</v>
      </c>
      <c r="O176" s="265">
        <f t="shared" si="3"/>
        <v>0.35859414261160716</v>
      </c>
      <c r="P176" s="164" t="s">
        <v>120</v>
      </c>
      <c r="Q176" s="227">
        <v>2016</v>
      </c>
      <c r="R176" s="227">
        <v>5815</v>
      </c>
      <c r="S176" s="227" t="s">
        <v>94</v>
      </c>
      <c r="T176" s="227">
        <v>1070</v>
      </c>
      <c r="U176" s="227">
        <v>1277</v>
      </c>
      <c r="V176" s="227">
        <v>5608</v>
      </c>
      <c r="W176" s="227">
        <v>0.18547567175018159</v>
      </c>
      <c r="X176" s="227">
        <v>0.81452432824981846</v>
      </c>
      <c r="Y176" s="100" t="s">
        <v>135</v>
      </c>
      <c r="Z176" s="29">
        <v>1</v>
      </c>
      <c r="AA176" s="9">
        <v>1</v>
      </c>
      <c r="AB176" s="9">
        <v>1</v>
      </c>
      <c r="AC176" s="9">
        <v>2</v>
      </c>
      <c r="AD176" s="43">
        <v>2</v>
      </c>
      <c r="AE176" s="55">
        <v>0.35859414261160716</v>
      </c>
      <c r="AF176" s="52" t="s">
        <v>120</v>
      </c>
    </row>
    <row r="177" spans="1:32">
      <c r="A177" s="227">
        <v>2008</v>
      </c>
      <c r="B177" s="227">
        <v>852</v>
      </c>
      <c r="C177" s="227" t="s">
        <v>95</v>
      </c>
      <c r="D177" s="227">
        <v>235</v>
      </c>
      <c r="E177" s="227">
        <v>164</v>
      </c>
      <c r="F177" s="227">
        <v>923</v>
      </c>
      <c r="G177" s="227">
        <v>0.15087396504139841</v>
      </c>
      <c r="H177" s="227">
        <v>0.84912603495860162</v>
      </c>
      <c r="I177" s="312" t="s">
        <v>119</v>
      </c>
      <c r="J177" s="29">
        <v>1</v>
      </c>
      <c r="K177" s="9">
        <v>1</v>
      </c>
      <c r="L177" s="9">
        <v>1</v>
      </c>
      <c r="M177" s="9">
        <v>2</v>
      </c>
      <c r="N177" s="43">
        <v>2</v>
      </c>
      <c r="O177" s="265">
        <f t="shared" si="3"/>
        <v>0.35859414261160716</v>
      </c>
      <c r="P177" s="164" t="s">
        <v>120</v>
      </c>
      <c r="Q177" s="227">
        <v>2016</v>
      </c>
      <c r="R177" s="227">
        <v>8396</v>
      </c>
      <c r="S177" s="227" t="s">
        <v>95</v>
      </c>
      <c r="T177" s="227">
        <v>968</v>
      </c>
      <c r="U177" s="227">
        <v>994</v>
      </c>
      <c r="V177" s="227">
        <v>8370</v>
      </c>
      <c r="W177" s="227">
        <v>0.10615121742844939</v>
      </c>
      <c r="X177" s="227">
        <v>0.89384878257155065</v>
      </c>
      <c r="Y177" s="100" t="s">
        <v>135</v>
      </c>
      <c r="Z177" s="29">
        <v>1</v>
      </c>
      <c r="AA177" s="9">
        <v>1</v>
      </c>
      <c r="AB177" s="9">
        <v>1</v>
      </c>
      <c r="AC177" s="9">
        <v>2</v>
      </c>
      <c r="AD177" s="43">
        <v>2</v>
      </c>
      <c r="AE177" s="55">
        <v>0.35859414261160716</v>
      </c>
      <c r="AF177" s="52" t="s">
        <v>120</v>
      </c>
    </row>
    <row r="178" spans="1:32">
      <c r="A178" s="227">
        <v>2008</v>
      </c>
      <c r="B178" s="227">
        <v>25</v>
      </c>
      <c r="C178" s="227" t="s">
        <v>96</v>
      </c>
      <c r="D178" s="227">
        <v>43</v>
      </c>
      <c r="E178" s="227">
        <v>68</v>
      </c>
      <c r="F178" s="227">
        <v>0</v>
      </c>
      <c r="G178" s="227">
        <v>1</v>
      </c>
      <c r="H178" s="227">
        <v>0</v>
      </c>
      <c r="I178" s="312" t="s">
        <v>119</v>
      </c>
      <c r="J178" s="29">
        <v>1</v>
      </c>
      <c r="K178" s="9">
        <v>1</v>
      </c>
      <c r="L178" s="9">
        <v>1</v>
      </c>
      <c r="M178" s="9">
        <v>2</v>
      </c>
      <c r="N178" s="43">
        <v>2</v>
      </c>
      <c r="O178" s="265">
        <f t="shared" si="3"/>
        <v>0.35859414261160716</v>
      </c>
      <c r="P178" s="164" t="s">
        <v>120</v>
      </c>
      <c r="Q178" s="227">
        <v>2016</v>
      </c>
      <c r="R178" s="227">
        <v>1781</v>
      </c>
      <c r="S178" s="227" t="s">
        <v>96</v>
      </c>
      <c r="T178" s="227">
        <v>63</v>
      </c>
      <c r="U178" s="227">
        <v>299</v>
      </c>
      <c r="V178" s="227">
        <v>1545</v>
      </c>
      <c r="W178" s="227">
        <v>0.1621475054229935</v>
      </c>
      <c r="X178" s="227">
        <v>0.8378524945770065</v>
      </c>
      <c r="Y178" s="100" t="s">
        <v>135</v>
      </c>
      <c r="Z178" s="29">
        <v>1</v>
      </c>
      <c r="AA178" s="9">
        <v>1</v>
      </c>
      <c r="AB178" s="9">
        <v>1</v>
      </c>
      <c r="AC178" s="9">
        <v>2</v>
      </c>
      <c r="AD178" s="43">
        <v>2</v>
      </c>
      <c r="AE178" s="55">
        <v>0.35859414261160716</v>
      </c>
      <c r="AF178" s="52" t="s">
        <v>120</v>
      </c>
    </row>
    <row r="179" spans="1:32">
      <c r="A179" s="227">
        <v>2008</v>
      </c>
      <c r="B179" s="227">
        <v>191</v>
      </c>
      <c r="C179" s="227" t="s">
        <v>97</v>
      </c>
      <c r="D179" s="227">
        <v>31</v>
      </c>
      <c r="E179" s="227">
        <v>141</v>
      </c>
      <c r="F179" s="227">
        <v>81</v>
      </c>
      <c r="G179" s="227">
        <v>0.63513513513513509</v>
      </c>
      <c r="H179" s="227">
        <v>0.36486486486486491</v>
      </c>
      <c r="I179" s="312" t="s">
        <v>119</v>
      </c>
      <c r="J179" s="29">
        <v>1</v>
      </c>
      <c r="K179" s="9">
        <v>1</v>
      </c>
      <c r="L179" s="9">
        <v>1</v>
      </c>
      <c r="M179" s="9">
        <v>2</v>
      </c>
      <c r="N179" s="43">
        <v>2</v>
      </c>
      <c r="O179" s="265">
        <f t="shared" si="3"/>
        <v>0.35859414261160716</v>
      </c>
      <c r="P179" s="164" t="s">
        <v>120</v>
      </c>
      <c r="Q179" s="227">
        <v>2016</v>
      </c>
      <c r="R179" s="227">
        <v>1544</v>
      </c>
      <c r="S179" s="227" t="s">
        <v>97</v>
      </c>
      <c r="T179" s="227">
        <v>69</v>
      </c>
      <c r="U179" s="227">
        <v>112</v>
      </c>
      <c r="V179" s="227">
        <v>1501</v>
      </c>
      <c r="W179" s="227">
        <v>6.9435833849969E-2</v>
      </c>
      <c r="X179" s="227">
        <v>0.93056416615003101</v>
      </c>
      <c r="Y179" s="100" t="s">
        <v>135</v>
      </c>
      <c r="Z179" s="29">
        <v>1</v>
      </c>
      <c r="AA179" s="9">
        <v>1</v>
      </c>
      <c r="AB179" s="9">
        <v>1</v>
      </c>
      <c r="AC179" s="9">
        <v>2</v>
      </c>
      <c r="AD179" s="43">
        <v>2</v>
      </c>
      <c r="AE179" s="55">
        <v>0.35859414261160716</v>
      </c>
      <c r="AF179" s="52" t="s">
        <v>120</v>
      </c>
    </row>
    <row r="180" spans="1:32">
      <c r="A180" s="227">
        <v>2008</v>
      </c>
      <c r="B180" s="227">
        <v>610</v>
      </c>
      <c r="C180" s="227" t="s">
        <v>98</v>
      </c>
      <c r="D180" s="227">
        <v>124</v>
      </c>
      <c r="E180" s="227">
        <v>642</v>
      </c>
      <c r="F180" s="227">
        <v>92</v>
      </c>
      <c r="G180" s="227">
        <v>0.87465940054495916</v>
      </c>
      <c r="H180" s="227">
        <v>0.12534059945504081</v>
      </c>
      <c r="I180" s="312" t="s">
        <v>119</v>
      </c>
      <c r="J180" s="29">
        <v>1</v>
      </c>
      <c r="K180" s="9">
        <v>1</v>
      </c>
      <c r="L180" s="9">
        <v>1</v>
      </c>
      <c r="M180" s="9">
        <v>2</v>
      </c>
      <c r="N180" s="43">
        <v>2</v>
      </c>
      <c r="O180" s="265">
        <f t="shared" si="3"/>
        <v>0.35859414261160716</v>
      </c>
      <c r="P180" s="164" t="s">
        <v>120</v>
      </c>
      <c r="Q180" s="227">
        <v>2016</v>
      </c>
      <c r="R180" s="227">
        <v>5989</v>
      </c>
      <c r="S180" s="227" t="s">
        <v>98</v>
      </c>
      <c r="T180" s="227">
        <v>316</v>
      </c>
      <c r="U180" s="227">
        <v>1644</v>
      </c>
      <c r="V180" s="227">
        <v>4661</v>
      </c>
      <c r="W180" s="227">
        <v>0.26074544012688339</v>
      </c>
      <c r="X180" s="227">
        <v>0.73925455987311661</v>
      </c>
      <c r="Y180" s="100" t="s">
        <v>135</v>
      </c>
      <c r="Z180" s="29">
        <v>1</v>
      </c>
      <c r="AA180" s="9">
        <v>1</v>
      </c>
      <c r="AB180" s="9">
        <v>1</v>
      </c>
      <c r="AC180" s="9">
        <v>2</v>
      </c>
      <c r="AD180" s="43">
        <v>2</v>
      </c>
      <c r="AE180" s="55">
        <v>0.35859414261160716</v>
      </c>
      <c r="AF180" s="52" t="s">
        <v>120</v>
      </c>
    </row>
    <row r="181" spans="1:32">
      <c r="A181" s="227">
        <v>2008</v>
      </c>
      <c r="B181" s="227">
        <v>176</v>
      </c>
      <c r="C181" s="227" t="s">
        <v>99</v>
      </c>
      <c r="D181" s="227">
        <v>94</v>
      </c>
      <c r="E181" s="227">
        <v>270</v>
      </c>
      <c r="F181" s="227">
        <v>0</v>
      </c>
      <c r="G181" s="227">
        <v>1</v>
      </c>
      <c r="H181" s="227">
        <v>0</v>
      </c>
      <c r="I181" s="312" t="s">
        <v>119</v>
      </c>
      <c r="J181" s="29">
        <v>1</v>
      </c>
      <c r="K181" s="9">
        <v>1</v>
      </c>
      <c r="L181" s="9">
        <v>1</v>
      </c>
      <c r="M181" s="9">
        <v>2</v>
      </c>
      <c r="N181" s="43">
        <v>2</v>
      </c>
      <c r="O181" s="265">
        <f t="shared" si="3"/>
        <v>0.35859414261160716</v>
      </c>
      <c r="P181" s="164" t="s">
        <v>120</v>
      </c>
      <c r="Q181" s="227">
        <v>2016</v>
      </c>
      <c r="R181" s="227">
        <v>2830</v>
      </c>
      <c r="S181" s="227" t="s">
        <v>99</v>
      </c>
      <c r="T181" s="227">
        <v>706</v>
      </c>
      <c r="U181" s="227">
        <v>325</v>
      </c>
      <c r="V181" s="227">
        <v>3211</v>
      </c>
      <c r="W181" s="227">
        <v>9.1911764705882359E-2</v>
      </c>
      <c r="X181" s="227">
        <v>0.90808823529411764</v>
      </c>
      <c r="Y181" s="100" t="s">
        <v>135</v>
      </c>
      <c r="Z181" s="29">
        <v>1</v>
      </c>
      <c r="AA181" s="9">
        <v>1</v>
      </c>
      <c r="AB181" s="9">
        <v>1</v>
      </c>
      <c r="AC181" s="9">
        <v>2</v>
      </c>
      <c r="AD181" s="43">
        <v>2</v>
      </c>
      <c r="AE181" s="55">
        <v>0.35859414261160716</v>
      </c>
      <c r="AF181" s="52" t="s">
        <v>120</v>
      </c>
    </row>
    <row r="182" spans="1:32">
      <c r="A182" s="227">
        <v>2008</v>
      </c>
      <c r="B182" s="227">
        <v>128</v>
      </c>
      <c r="C182" s="227" t="s">
        <v>102</v>
      </c>
      <c r="D182" s="227">
        <v>23</v>
      </c>
      <c r="E182" s="227">
        <v>151</v>
      </c>
      <c r="F182" s="227">
        <v>0</v>
      </c>
      <c r="G182" s="227">
        <v>1</v>
      </c>
      <c r="H182" s="227">
        <v>0</v>
      </c>
      <c r="I182" s="312" t="s">
        <v>119</v>
      </c>
      <c r="J182" s="29">
        <v>1</v>
      </c>
      <c r="K182" s="9">
        <v>1</v>
      </c>
      <c r="L182" s="9">
        <v>1</v>
      </c>
      <c r="M182" s="9">
        <v>2</v>
      </c>
      <c r="N182" s="43">
        <v>2</v>
      </c>
      <c r="O182" s="265">
        <f t="shared" si="3"/>
        <v>0.35859414261160716</v>
      </c>
      <c r="P182" s="164" t="s">
        <v>120</v>
      </c>
      <c r="Q182" s="227">
        <v>2016</v>
      </c>
      <c r="R182" s="227">
        <v>551</v>
      </c>
      <c r="S182" s="227" t="s">
        <v>102</v>
      </c>
      <c r="T182" s="227">
        <v>158</v>
      </c>
      <c r="U182" s="227">
        <v>163</v>
      </c>
      <c r="V182" s="227">
        <v>546</v>
      </c>
      <c r="W182" s="227">
        <v>0.22990126939351199</v>
      </c>
      <c r="X182" s="227">
        <v>0.77009873060648804</v>
      </c>
      <c r="Y182" s="100" t="s">
        <v>135</v>
      </c>
      <c r="Z182" s="29">
        <v>1</v>
      </c>
      <c r="AA182" s="9">
        <v>1</v>
      </c>
      <c r="AB182" s="9">
        <v>1</v>
      </c>
      <c r="AC182" s="9">
        <v>2</v>
      </c>
      <c r="AD182" s="43">
        <v>2</v>
      </c>
      <c r="AE182" s="55">
        <v>0.35859414261160716</v>
      </c>
      <c r="AF182" s="52" t="s">
        <v>120</v>
      </c>
    </row>
    <row r="183" spans="1:32">
      <c r="A183" s="227">
        <v>2008</v>
      </c>
      <c r="B183" s="227">
        <v>337</v>
      </c>
      <c r="C183" s="227" t="s">
        <v>104</v>
      </c>
      <c r="D183" s="227">
        <v>117</v>
      </c>
      <c r="E183" s="227">
        <v>200</v>
      </c>
      <c r="F183" s="227">
        <v>254</v>
      </c>
      <c r="G183" s="227">
        <v>0.44052863436123352</v>
      </c>
      <c r="H183" s="227">
        <v>0.55947136563876654</v>
      </c>
      <c r="I183" s="312" t="s">
        <v>119</v>
      </c>
      <c r="J183" s="29">
        <v>1</v>
      </c>
      <c r="K183" s="9">
        <v>1</v>
      </c>
      <c r="L183" s="9">
        <v>1</v>
      </c>
      <c r="M183" s="9">
        <v>2</v>
      </c>
      <c r="N183" s="43">
        <v>2</v>
      </c>
      <c r="O183" s="265">
        <f t="shared" si="3"/>
        <v>0.35859414261160716</v>
      </c>
      <c r="P183" s="164" t="s">
        <v>120</v>
      </c>
      <c r="Q183" s="227">
        <v>2016</v>
      </c>
      <c r="R183" s="227">
        <v>1139</v>
      </c>
      <c r="S183" s="227" t="s">
        <v>104</v>
      </c>
      <c r="T183" s="227">
        <v>101</v>
      </c>
      <c r="U183" s="227">
        <v>233</v>
      </c>
      <c r="V183" s="227">
        <v>1007</v>
      </c>
      <c r="W183" s="227">
        <v>0.18790322580645161</v>
      </c>
      <c r="X183" s="227">
        <v>0.81209677419354842</v>
      </c>
      <c r="Y183" s="100" t="s">
        <v>135</v>
      </c>
      <c r="Z183" s="29">
        <v>1</v>
      </c>
      <c r="AA183" s="9">
        <v>1</v>
      </c>
      <c r="AB183" s="9">
        <v>1</v>
      </c>
      <c r="AC183" s="9">
        <v>2</v>
      </c>
      <c r="AD183" s="43">
        <v>2</v>
      </c>
      <c r="AE183" s="55">
        <v>0.35859414261160716</v>
      </c>
      <c r="AF183" s="52" t="s">
        <v>120</v>
      </c>
    </row>
    <row r="184" spans="1:32">
      <c r="A184" s="227">
        <v>2008</v>
      </c>
      <c r="B184" s="227">
        <v>125</v>
      </c>
      <c r="C184" s="227" t="s">
        <v>105</v>
      </c>
      <c r="D184" s="227">
        <v>197</v>
      </c>
      <c r="E184" s="227">
        <v>298</v>
      </c>
      <c r="F184" s="227">
        <v>24</v>
      </c>
      <c r="G184" s="227">
        <v>0.92546583850931674</v>
      </c>
      <c r="H184" s="227">
        <v>7.4534161490683259E-2</v>
      </c>
      <c r="I184" s="312" t="s">
        <v>119</v>
      </c>
      <c r="J184" s="29">
        <v>1</v>
      </c>
      <c r="K184" s="9">
        <v>1</v>
      </c>
      <c r="L184" s="9">
        <v>1</v>
      </c>
      <c r="M184" s="9">
        <v>2</v>
      </c>
      <c r="N184" s="43">
        <v>2</v>
      </c>
      <c r="O184" s="265">
        <f t="shared" si="3"/>
        <v>0.35859414261160716</v>
      </c>
      <c r="P184" s="164" t="s">
        <v>120</v>
      </c>
      <c r="Q184" s="227">
        <v>2016</v>
      </c>
      <c r="R184" s="227">
        <v>1965</v>
      </c>
      <c r="S184" s="227" t="s">
        <v>105</v>
      </c>
      <c r="T184" s="227">
        <v>309</v>
      </c>
      <c r="U184" s="227">
        <v>961</v>
      </c>
      <c r="V184" s="227">
        <v>1313</v>
      </c>
      <c r="W184" s="227">
        <v>0.42260334212840811</v>
      </c>
      <c r="X184" s="227">
        <v>0.57739665787159189</v>
      </c>
      <c r="Y184" s="100" t="s">
        <v>135</v>
      </c>
      <c r="Z184" s="29">
        <v>1</v>
      </c>
      <c r="AA184" s="9">
        <v>1</v>
      </c>
      <c r="AB184" s="9">
        <v>1</v>
      </c>
      <c r="AC184" s="9">
        <v>2</v>
      </c>
      <c r="AD184" s="43">
        <v>2</v>
      </c>
      <c r="AE184" s="55">
        <v>0.35859414261160716</v>
      </c>
      <c r="AF184" s="52" t="s">
        <v>120</v>
      </c>
    </row>
    <row r="185" spans="1:32">
      <c r="A185" s="227">
        <v>2008</v>
      </c>
      <c r="B185" s="227">
        <v>199</v>
      </c>
      <c r="C185" s="227" t="s">
        <v>103</v>
      </c>
      <c r="D185" s="227">
        <v>101</v>
      </c>
      <c r="E185" s="227">
        <v>238</v>
      </c>
      <c r="F185" s="227">
        <v>62</v>
      </c>
      <c r="G185" s="227">
        <v>0.79333333333333333</v>
      </c>
      <c r="H185" s="227">
        <v>0.20666666666666669</v>
      </c>
      <c r="I185" s="312" t="s">
        <v>119</v>
      </c>
      <c r="J185" s="29">
        <v>1</v>
      </c>
      <c r="K185" s="9">
        <v>1</v>
      </c>
      <c r="L185" s="9">
        <v>1</v>
      </c>
      <c r="M185" s="9">
        <v>2</v>
      </c>
      <c r="N185" s="43">
        <v>2</v>
      </c>
      <c r="O185" s="265">
        <f t="shared" si="3"/>
        <v>0.35859414261160716</v>
      </c>
      <c r="P185" s="164" t="s">
        <v>120</v>
      </c>
      <c r="Q185" s="227">
        <v>2016</v>
      </c>
      <c r="R185" s="227">
        <v>2397</v>
      </c>
      <c r="S185" s="227" t="s">
        <v>103</v>
      </c>
      <c r="T185" s="227">
        <v>249</v>
      </c>
      <c r="U185" s="227">
        <v>629</v>
      </c>
      <c r="V185" s="227">
        <v>2017</v>
      </c>
      <c r="W185" s="227">
        <v>0.2377173091458806</v>
      </c>
      <c r="X185" s="227">
        <v>0.76228269085411937</v>
      </c>
      <c r="Y185" s="100" t="s">
        <v>135</v>
      </c>
      <c r="Z185" s="29">
        <v>1</v>
      </c>
      <c r="AA185" s="9">
        <v>1</v>
      </c>
      <c r="AB185" s="9">
        <v>1</v>
      </c>
      <c r="AC185" s="9">
        <v>2</v>
      </c>
      <c r="AD185" s="43">
        <v>2</v>
      </c>
      <c r="AE185" s="55">
        <v>0.35859414261160716</v>
      </c>
      <c r="AF185" s="52" t="s">
        <v>120</v>
      </c>
    </row>
    <row r="186" spans="1:32">
      <c r="A186" s="227">
        <v>2008</v>
      </c>
      <c r="B186" s="227">
        <v>98</v>
      </c>
      <c r="C186" s="227" t="s">
        <v>101</v>
      </c>
      <c r="D186" s="227">
        <v>28</v>
      </c>
      <c r="E186" s="227">
        <v>71</v>
      </c>
      <c r="F186" s="227">
        <v>55</v>
      </c>
      <c r="G186" s="227">
        <v>0.56349206349206349</v>
      </c>
      <c r="H186" s="227">
        <v>0.43650793650793651</v>
      </c>
      <c r="I186" s="312" t="s">
        <v>119</v>
      </c>
      <c r="J186" s="29">
        <v>1</v>
      </c>
      <c r="K186" s="9">
        <v>1</v>
      </c>
      <c r="L186" s="9">
        <v>1</v>
      </c>
      <c r="M186" s="9">
        <v>2</v>
      </c>
      <c r="N186" s="43">
        <v>2</v>
      </c>
      <c r="O186" s="265">
        <f t="shared" si="3"/>
        <v>0.35859414261160716</v>
      </c>
      <c r="P186" s="164" t="s">
        <v>120</v>
      </c>
      <c r="Q186" s="227">
        <v>2016</v>
      </c>
      <c r="R186" s="227">
        <v>2400</v>
      </c>
      <c r="S186" s="227" t="s">
        <v>101</v>
      </c>
      <c r="T186" s="227">
        <v>55</v>
      </c>
      <c r="U186" s="227">
        <v>473</v>
      </c>
      <c r="V186" s="227">
        <v>1982</v>
      </c>
      <c r="W186" s="227">
        <v>0.19266802443991851</v>
      </c>
      <c r="X186" s="227">
        <v>0.80733197556008141</v>
      </c>
      <c r="Y186" s="100" t="s">
        <v>135</v>
      </c>
      <c r="Z186" s="29">
        <v>1</v>
      </c>
      <c r="AA186" s="9">
        <v>1</v>
      </c>
      <c r="AB186" s="9">
        <v>1</v>
      </c>
      <c r="AC186" s="9">
        <v>2</v>
      </c>
      <c r="AD186" s="43">
        <v>2</v>
      </c>
      <c r="AE186" s="55">
        <v>0.35859414261160716</v>
      </c>
      <c r="AF186" s="52" t="s">
        <v>120</v>
      </c>
    </row>
    <row r="187" spans="1:32">
      <c r="A187" s="227">
        <v>2008</v>
      </c>
      <c r="B187" s="227">
        <v>2137</v>
      </c>
      <c r="C187" s="227" t="s">
        <v>106</v>
      </c>
      <c r="D187" s="227">
        <v>868</v>
      </c>
      <c r="E187" s="227">
        <v>3005</v>
      </c>
      <c r="F187" s="227">
        <v>0</v>
      </c>
      <c r="G187" s="227">
        <v>1</v>
      </c>
      <c r="H187" s="227">
        <v>0</v>
      </c>
      <c r="I187" s="312" t="s">
        <v>119</v>
      </c>
      <c r="J187" s="29">
        <v>1</v>
      </c>
      <c r="K187" s="9">
        <v>1</v>
      </c>
      <c r="L187" s="9">
        <v>1</v>
      </c>
      <c r="M187" s="9">
        <v>2</v>
      </c>
      <c r="N187" s="43">
        <v>2</v>
      </c>
      <c r="O187" s="265">
        <f t="shared" si="3"/>
        <v>0.35859414261160716</v>
      </c>
      <c r="P187" s="164" t="s">
        <v>120</v>
      </c>
      <c r="Q187" s="227">
        <v>2016</v>
      </c>
      <c r="R187" s="227">
        <v>12878</v>
      </c>
      <c r="S187" s="227" t="s">
        <v>106</v>
      </c>
      <c r="T187" s="227">
        <v>1838</v>
      </c>
      <c r="U187" s="227">
        <v>5352</v>
      </c>
      <c r="V187" s="227">
        <v>9364</v>
      </c>
      <c r="W187" s="227">
        <v>0.36368578418048381</v>
      </c>
      <c r="X187" s="227">
        <v>0.63631421581951619</v>
      </c>
      <c r="Y187" s="100" t="s">
        <v>135</v>
      </c>
      <c r="Z187" s="29">
        <v>1</v>
      </c>
      <c r="AA187" s="9">
        <v>1</v>
      </c>
      <c r="AB187" s="9">
        <v>1</v>
      </c>
      <c r="AC187" s="9">
        <v>2</v>
      </c>
      <c r="AD187" s="43">
        <v>2</v>
      </c>
      <c r="AE187" s="55">
        <v>0.35859414261160716</v>
      </c>
      <c r="AF187" s="52" t="s">
        <v>120</v>
      </c>
    </row>
    <row r="188" spans="1:32">
      <c r="A188" s="227">
        <v>2009</v>
      </c>
      <c r="B188" s="227">
        <v>1560</v>
      </c>
      <c r="C188" s="227" t="s">
        <v>93</v>
      </c>
      <c r="D188" s="227">
        <v>593</v>
      </c>
      <c r="E188" s="227">
        <v>2141</v>
      </c>
      <c r="F188" s="227">
        <v>12</v>
      </c>
      <c r="G188" s="227">
        <v>0.99442638179284715</v>
      </c>
      <c r="H188" s="227">
        <v>5.5736182071528528E-3</v>
      </c>
      <c r="I188" s="312" t="s">
        <v>119</v>
      </c>
      <c r="J188" s="29">
        <v>1</v>
      </c>
      <c r="K188" s="9">
        <v>1</v>
      </c>
      <c r="L188" s="9">
        <v>1</v>
      </c>
      <c r="M188" s="9">
        <v>2</v>
      </c>
      <c r="N188" s="43">
        <v>2</v>
      </c>
      <c r="O188" s="265">
        <f t="shared" si="3"/>
        <v>0.35859414261160716</v>
      </c>
      <c r="P188" s="164" t="s">
        <v>120</v>
      </c>
      <c r="Q188" s="227">
        <v>2017</v>
      </c>
      <c r="R188" s="227">
        <v>12829</v>
      </c>
      <c r="S188" s="227" t="s">
        <v>93</v>
      </c>
      <c r="T188" s="227">
        <v>1911</v>
      </c>
      <c r="U188" s="227">
        <v>2919</v>
      </c>
      <c r="V188" s="227">
        <v>11821</v>
      </c>
      <c r="W188" s="227">
        <v>0.1980325644504749</v>
      </c>
      <c r="X188" s="227">
        <v>0.8019674355495251</v>
      </c>
      <c r="Y188" s="100" t="s">
        <v>135</v>
      </c>
      <c r="Z188" s="29">
        <v>1</v>
      </c>
      <c r="AA188" s="9">
        <v>1</v>
      </c>
      <c r="AB188" s="9">
        <v>1</v>
      </c>
      <c r="AC188" s="9">
        <v>2</v>
      </c>
      <c r="AD188" s="43">
        <v>2</v>
      </c>
      <c r="AE188" s="55">
        <v>0.35859414261160716</v>
      </c>
      <c r="AF188" s="52" t="s">
        <v>120</v>
      </c>
    </row>
    <row r="189" spans="1:32">
      <c r="A189" s="227">
        <v>2009</v>
      </c>
      <c r="B189" s="227">
        <v>290</v>
      </c>
      <c r="C189" s="227" t="s">
        <v>94</v>
      </c>
      <c r="D189" s="227">
        <v>162</v>
      </c>
      <c r="E189" s="227">
        <v>355</v>
      </c>
      <c r="F189" s="227">
        <v>97</v>
      </c>
      <c r="G189" s="227">
        <v>0.78539823008849563</v>
      </c>
      <c r="H189" s="227">
        <v>0.2146017699115044</v>
      </c>
      <c r="I189" s="312" t="s">
        <v>119</v>
      </c>
      <c r="J189" s="29">
        <v>1</v>
      </c>
      <c r="K189" s="9">
        <v>1</v>
      </c>
      <c r="L189" s="9">
        <v>1</v>
      </c>
      <c r="M189" s="9">
        <v>2</v>
      </c>
      <c r="N189" s="43">
        <v>2</v>
      </c>
      <c r="O189" s="265">
        <f t="shared" si="3"/>
        <v>0.35859414261160716</v>
      </c>
      <c r="P189" s="164" t="s">
        <v>120</v>
      </c>
      <c r="Q189" s="227">
        <v>2017</v>
      </c>
      <c r="R189" s="227">
        <v>6009</v>
      </c>
      <c r="S189" s="227" t="s">
        <v>94</v>
      </c>
      <c r="T189" s="227">
        <v>1075</v>
      </c>
      <c r="U189" s="227">
        <v>1373</v>
      </c>
      <c r="V189" s="227">
        <v>5711</v>
      </c>
      <c r="W189" s="227">
        <v>0.1938170525127047</v>
      </c>
      <c r="X189" s="227">
        <v>0.80618294748729535</v>
      </c>
      <c r="Y189" s="100" t="s">
        <v>135</v>
      </c>
      <c r="Z189" s="29">
        <v>1</v>
      </c>
      <c r="AA189" s="9">
        <v>1</v>
      </c>
      <c r="AB189" s="9">
        <v>1</v>
      </c>
      <c r="AC189" s="9">
        <v>2</v>
      </c>
      <c r="AD189" s="43">
        <v>2</v>
      </c>
      <c r="AE189" s="55">
        <v>0.35859414261160716</v>
      </c>
      <c r="AF189" s="52" t="s">
        <v>120</v>
      </c>
    </row>
    <row r="190" spans="1:32">
      <c r="A190" s="227">
        <v>2009</v>
      </c>
      <c r="B190" s="227">
        <v>852</v>
      </c>
      <c r="C190" s="227" t="s">
        <v>95</v>
      </c>
      <c r="D190" s="227">
        <v>246</v>
      </c>
      <c r="E190" s="227">
        <v>172</v>
      </c>
      <c r="F190" s="227">
        <v>926</v>
      </c>
      <c r="G190" s="227">
        <v>0.15664845173041889</v>
      </c>
      <c r="H190" s="227">
        <v>0.84335154826958103</v>
      </c>
      <c r="I190" s="312" t="s">
        <v>119</v>
      </c>
      <c r="J190" s="29">
        <v>1</v>
      </c>
      <c r="K190" s="9">
        <v>1</v>
      </c>
      <c r="L190" s="9">
        <v>1</v>
      </c>
      <c r="M190" s="9">
        <v>2</v>
      </c>
      <c r="N190" s="43">
        <v>2</v>
      </c>
      <c r="O190" s="265">
        <f t="shared" si="3"/>
        <v>0.35859414261160716</v>
      </c>
      <c r="P190" s="164" t="s">
        <v>120</v>
      </c>
      <c r="Q190" s="227">
        <v>2017</v>
      </c>
      <c r="R190" s="227">
        <v>9425</v>
      </c>
      <c r="S190" s="227" t="s">
        <v>95</v>
      </c>
      <c r="T190" s="227">
        <v>467</v>
      </c>
      <c r="U190" s="227">
        <v>1050</v>
      </c>
      <c r="V190" s="227">
        <v>8842</v>
      </c>
      <c r="W190" s="227">
        <v>0.1061463809138698</v>
      </c>
      <c r="X190" s="227">
        <v>0.89385361908613015</v>
      </c>
      <c r="Y190" s="100" t="s">
        <v>135</v>
      </c>
      <c r="Z190" s="29">
        <v>1</v>
      </c>
      <c r="AA190" s="9">
        <v>1</v>
      </c>
      <c r="AB190" s="9">
        <v>1</v>
      </c>
      <c r="AC190" s="9">
        <v>2</v>
      </c>
      <c r="AD190" s="43">
        <v>2</v>
      </c>
      <c r="AE190" s="55">
        <v>0.35859414261160716</v>
      </c>
      <c r="AF190" s="52" t="s">
        <v>120</v>
      </c>
    </row>
    <row r="191" spans="1:32">
      <c r="A191" s="227">
        <v>2009</v>
      </c>
      <c r="B191" s="227">
        <v>9</v>
      </c>
      <c r="C191" s="227" t="s">
        <v>96</v>
      </c>
      <c r="D191" s="227">
        <v>41</v>
      </c>
      <c r="E191" s="227">
        <v>50</v>
      </c>
      <c r="F191" s="227">
        <v>0</v>
      </c>
      <c r="G191" s="227">
        <v>1</v>
      </c>
      <c r="H191" s="227">
        <v>0</v>
      </c>
      <c r="I191" s="312" t="s">
        <v>119</v>
      </c>
      <c r="J191" s="29">
        <v>1</v>
      </c>
      <c r="K191" s="9">
        <v>1</v>
      </c>
      <c r="L191" s="9">
        <v>1</v>
      </c>
      <c r="M191" s="9">
        <v>2</v>
      </c>
      <c r="N191" s="43">
        <v>2</v>
      </c>
      <c r="O191" s="265">
        <f t="shared" si="3"/>
        <v>0.35859414261160716</v>
      </c>
      <c r="P191" s="164" t="s">
        <v>120</v>
      </c>
      <c r="Q191" s="227">
        <v>2017</v>
      </c>
      <c r="R191" s="227">
        <v>1814</v>
      </c>
      <c r="S191" s="227" t="s">
        <v>96</v>
      </c>
      <c r="T191" s="227">
        <v>216</v>
      </c>
      <c r="U191" s="227">
        <v>279</v>
      </c>
      <c r="V191" s="227">
        <v>1751</v>
      </c>
      <c r="W191" s="227">
        <v>0.13743842364532019</v>
      </c>
      <c r="X191" s="227">
        <v>0.86256157635467978</v>
      </c>
      <c r="Y191" s="100" t="s">
        <v>135</v>
      </c>
      <c r="Z191" s="29">
        <v>1</v>
      </c>
      <c r="AA191" s="9">
        <v>1</v>
      </c>
      <c r="AB191" s="9">
        <v>1</v>
      </c>
      <c r="AC191" s="9">
        <v>2</v>
      </c>
      <c r="AD191" s="43">
        <v>2</v>
      </c>
      <c r="AE191" s="55">
        <v>0.35859414261160716</v>
      </c>
      <c r="AF191" s="52" t="s">
        <v>120</v>
      </c>
    </row>
    <row r="192" spans="1:32">
      <c r="A192" s="227">
        <v>2009</v>
      </c>
      <c r="B192" s="227">
        <v>191</v>
      </c>
      <c r="C192" s="227" t="s">
        <v>97</v>
      </c>
      <c r="D192" s="227">
        <v>28</v>
      </c>
      <c r="E192" s="227">
        <v>147</v>
      </c>
      <c r="F192" s="227">
        <v>72</v>
      </c>
      <c r="G192" s="227">
        <v>0.67123287671232879</v>
      </c>
      <c r="H192" s="227">
        <v>0.32876712328767121</v>
      </c>
      <c r="I192" s="312" t="s">
        <v>119</v>
      </c>
      <c r="J192" s="29">
        <v>1</v>
      </c>
      <c r="K192" s="9">
        <v>1</v>
      </c>
      <c r="L192" s="9">
        <v>1</v>
      </c>
      <c r="M192" s="9">
        <v>2</v>
      </c>
      <c r="N192" s="43">
        <v>2</v>
      </c>
      <c r="O192" s="265">
        <f t="shared" si="3"/>
        <v>0.35859414261160716</v>
      </c>
      <c r="P192" s="164" t="s">
        <v>120</v>
      </c>
      <c r="Q192" s="227">
        <v>2017</v>
      </c>
      <c r="R192" s="227">
        <v>1611</v>
      </c>
      <c r="S192" s="227" t="s">
        <v>97</v>
      </c>
      <c r="T192" s="227">
        <v>46</v>
      </c>
      <c r="U192" s="227">
        <v>115</v>
      </c>
      <c r="V192" s="227">
        <v>1542</v>
      </c>
      <c r="W192" s="227">
        <v>6.9402534701267352E-2</v>
      </c>
      <c r="X192" s="227">
        <v>0.93059746529873266</v>
      </c>
      <c r="Y192" s="100" t="s">
        <v>135</v>
      </c>
      <c r="Z192" s="29">
        <v>1</v>
      </c>
      <c r="AA192" s="9">
        <v>1</v>
      </c>
      <c r="AB192" s="9">
        <v>1</v>
      </c>
      <c r="AC192" s="9">
        <v>2</v>
      </c>
      <c r="AD192" s="43">
        <v>2</v>
      </c>
      <c r="AE192" s="55">
        <v>0.35859414261160716</v>
      </c>
      <c r="AF192" s="52" t="s">
        <v>120</v>
      </c>
    </row>
    <row r="193" spans="1:32">
      <c r="A193" s="227">
        <v>2009</v>
      </c>
      <c r="B193" s="227">
        <v>610</v>
      </c>
      <c r="C193" s="227" t="s">
        <v>98</v>
      </c>
      <c r="D193" s="227">
        <v>159</v>
      </c>
      <c r="E193" s="227">
        <v>593</v>
      </c>
      <c r="F193" s="227">
        <v>176</v>
      </c>
      <c r="G193" s="227">
        <v>0.77113133940182055</v>
      </c>
      <c r="H193" s="227">
        <v>0.22886866059817951</v>
      </c>
      <c r="I193" s="312" t="s">
        <v>119</v>
      </c>
      <c r="J193" s="29">
        <v>1</v>
      </c>
      <c r="K193" s="9">
        <v>1</v>
      </c>
      <c r="L193" s="9">
        <v>1</v>
      </c>
      <c r="M193" s="9">
        <v>2</v>
      </c>
      <c r="N193" s="43">
        <v>2</v>
      </c>
      <c r="O193" s="265">
        <f t="shared" si="3"/>
        <v>0.35859414261160716</v>
      </c>
      <c r="P193" s="164" t="s">
        <v>120</v>
      </c>
      <c r="Q193" s="227">
        <v>2017</v>
      </c>
      <c r="R193" s="227">
        <v>6797</v>
      </c>
      <c r="S193" s="227" t="s">
        <v>98</v>
      </c>
      <c r="T193" s="227">
        <v>297</v>
      </c>
      <c r="U193" s="227">
        <v>1652</v>
      </c>
      <c r="V193" s="227">
        <v>5442</v>
      </c>
      <c r="W193" s="227">
        <v>0.23287285029602481</v>
      </c>
      <c r="X193" s="227">
        <v>0.76712714970397522</v>
      </c>
      <c r="Y193" s="100" t="s">
        <v>135</v>
      </c>
      <c r="Z193" s="29">
        <v>1</v>
      </c>
      <c r="AA193" s="9">
        <v>1</v>
      </c>
      <c r="AB193" s="9">
        <v>1</v>
      </c>
      <c r="AC193" s="9">
        <v>2</v>
      </c>
      <c r="AD193" s="43">
        <v>2</v>
      </c>
      <c r="AE193" s="55">
        <v>0.35859414261160716</v>
      </c>
      <c r="AF193" s="52" t="s">
        <v>120</v>
      </c>
    </row>
    <row r="194" spans="1:32">
      <c r="A194" s="227">
        <v>2009</v>
      </c>
      <c r="B194" s="227">
        <v>184</v>
      </c>
      <c r="C194" s="227" t="s">
        <v>99</v>
      </c>
      <c r="D194" s="227">
        <v>92</v>
      </c>
      <c r="E194" s="227">
        <v>276</v>
      </c>
      <c r="F194" s="227">
        <v>0</v>
      </c>
      <c r="G194" s="227">
        <v>1</v>
      </c>
      <c r="H194" s="227">
        <v>0</v>
      </c>
      <c r="I194" s="312" t="s">
        <v>119</v>
      </c>
      <c r="J194" s="29">
        <v>1</v>
      </c>
      <c r="K194" s="9">
        <v>1</v>
      </c>
      <c r="L194" s="9">
        <v>1</v>
      </c>
      <c r="M194" s="9">
        <v>2</v>
      </c>
      <c r="N194" s="43">
        <v>2</v>
      </c>
      <c r="O194" s="265">
        <f t="shared" si="3"/>
        <v>0.35859414261160716</v>
      </c>
      <c r="P194" s="164" t="s">
        <v>120</v>
      </c>
      <c r="Q194" s="227">
        <v>2017</v>
      </c>
      <c r="R194" s="227">
        <v>2891</v>
      </c>
      <c r="S194" s="227" t="s">
        <v>99</v>
      </c>
      <c r="T194" s="227">
        <v>909</v>
      </c>
      <c r="U194" s="227">
        <v>292</v>
      </c>
      <c r="V194" s="227">
        <v>3508</v>
      </c>
      <c r="W194" s="227">
        <v>7.6842105263157892E-2</v>
      </c>
      <c r="X194" s="227">
        <v>0.92315789473684207</v>
      </c>
      <c r="Y194" s="100" t="s">
        <v>135</v>
      </c>
      <c r="Z194" s="29">
        <v>1</v>
      </c>
      <c r="AA194" s="9">
        <v>1</v>
      </c>
      <c r="AB194" s="9">
        <v>1</v>
      </c>
      <c r="AC194" s="9">
        <v>2</v>
      </c>
      <c r="AD194" s="43">
        <v>2</v>
      </c>
      <c r="AE194" s="55">
        <v>0.35859414261160716</v>
      </c>
      <c r="AF194" s="52" t="s">
        <v>120</v>
      </c>
    </row>
    <row r="195" spans="1:32">
      <c r="A195" s="227">
        <v>2009</v>
      </c>
      <c r="B195" s="227">
        <v>109</v>
      </c>
      <c r="C195" s="227" t="s">
        <v>102</v>
      </c>
      <c r="D195" s="227">
        <v>23</v>
      </c>
      <c r="E195" s="227">
        <v>132</v>
      </c>
      <c r="F195" s="227">
        <v>0</v>
      </c>
      <c r="G195" s="227">
        <v>1</v>
      </c>
      <c r="H195" s="227">
        <v>0</v>
      </c>
      <c r="I195" s="312" t="s">
        <v>119</v>
      </c>
      <c r="J195" s="29">
        <v>1</v>
      </c>
      <c r="K195" s="9">
        <v>1</v>
      </c>
      <c r="L195" s="9">
        <v>1</v>
      </c>
      <c r="M195" s="9">
        <v>2</v>
      </c>
      <c r="N195" s="43">
        <v>2</v>
      </c>
      <c r="O195" s="265">
        <f t="shared" si="3"/>
        <v>0.35859414261160716</v>
      </c>
      <c r="P195" s="164" t="s">
        <v>120</v>
      </c>
      <c r="Q195" s="227">
        <v>2017</v>
      </c>
      <c r="R195" s="227">
        <v>683</v>
      </c>
      <c r="S195" s="227" t="s">
        <v>102</v>
      </c>
      <c r="T195" s="227">
        <v>213</v>
      </c>
      <c r="U195" s="227">
        <v>192</v>
      </c>
      <c r="V195" s="227">
        <v>704</v>
      </c>
      <c r="W195" s="227">
        <v>0.2142857142857143</v>
      </c>
      <c r="X195" s="227">
        <v>0.7857142857142857</v>
      </c>
      <c r="Y195" s="100" t="s">
        <v>135</v>
      </c>
      <c r="Z195" s="29">
        <v>1</v>
      </c>
      <c r="AA195" s="9">
        <v>1</v>
      </c>
      <c r="AB195" s="9">
        <v>1</v>
      </c>
      <c r="AC195" s="9">
        <v>2</v>
      </c>
      <c r="AD195" s="43">
        <v>2</v>
      </c>
      <c r="AE195" s="55">
        <v>0.35859414261160716</v>
      </c>
      <c r="AF195" s="52" t="s">
        <v>120</v>
      </c>
    </row>
    <row r="196" spans="1:32">
      <c r="A196" s="227">
        <v>2009</v>
      </c>
      <c r="B196" s="227">
        <v>337</v>
      </c>
      <c r="C196" s="227" t="s">
        <v>104</v>
      </c>
      <c r="D196" s="227">
        <v>50</v>
      </c>
      <c r="E196" s="227">
        <v>184</v>
      </c>
      <c r="F196" s="227">
        <v>203</v>
      </c>
      <c r="G196" s="227">
        <v>0.47545219638242892</v>
      </c>
      <c r="H196" s="227">
        <v>0.52454780361757103</v>
      </c>
      <c r="I196" s="312" t="s">
        <v>119</v>
      </c>
      <c r="J196" s="29">
        <v>1</v>
      </c>
      <c r="K196" s="9">
        <v>1</v>
      </c>
      <c r="L196" s="9">
        <v>1</v>
      </c>
      <c r="M196" s="9">
        <v>2</v>
      </c>
      <c r="N196" s="43">
        <v>2</v>
      </c>
      <c r="O196" s="265">
        <f t="shared" si="3"/>
        <v>0.35859414261160716</v>
      </c>
      <c r="P196" s="164" t="s">
        <v>120</v>
      </c>
      <c r="Q196" s="227">
        <v>2017</v>
      </c>
      <c r="R196" s="227">
        <v>1203</v>
      </c>
      <c r="S196" s="227" t="s">
        <v>104</v>
      </c>
      <c r="T196" s="227">
        <v>106</v>
      </c>
      <c r="U196" s="227">
        <v>237</v>
      </c>
      <c r="V196" s="227">
        <v>1072</v>
      </c>
      <c r="W196" s="227">
        <v>0.18105423987776931</v>
      </c>
      <c r="X196" s="227">
        <v>0.81894576012223075</v>
      </c>
      <c r="Y196" s="100" t="s">
        <v>135</v>
      </c>
      <c r="Z196" s="29">
        <v>1</v>
      </c>
      <c r="AA196" s="9">
        <v>1</v>
      </c>
      <c r="AB196" s="9">
        <v>1</v>
      </c>
      <c r="AC196" s="9">
        <v>2</v>
      </c>
      <c r="AD196" s="43">
        <v>2</v>
      </c>
      <c r="AE196" s="55">
        <v>0.35859414261160716</v>
      </c>
      <c r="AF196" s="52" t="s">
        <v>120</v>
      </c>
    </row>
    <row r="197" spans="1:32">
      <c r="A197" s="227">
        <v>2009</v>
      </c>
      <c r="B197" s="227">
        <v>126</v>
      </c>
      <c r="C197" s="227" t="s">
        <v>105</v>
      </c>
      <c r="D197" s="227">
        <v>173</v>
      </c>
      <c r="E197" s="227">
        <v>281</v>
      </c>
      <c r="F197" s="227">
        <v>18</v>
      </c>
      <c r="G197" s="227">
        <v>0.93979933110367897</v>
      </c>
      <c r="H197" s="227">
        <v>6.020066889632103E-2</v>
      </c>
      <c r="I197" s="312" t="s">
        <v>119</v>
      </c>
      <c r="J197" s="29">
        <v>1</v>
      </c>
      <c r="K197" s="9">
        <v>1</v>
      </c>
      <c r="L197" s="9">
        <v>1</v>
      </c>
      <c r="M197" s="9">
        <v>2</v>
      </c>
      <c r="N197" s="43">
        <v>2</v>
      </c>
      <c r="O197" s="265">
        <f t="shared" si="3"/>
        <v>0.35859414261160716</v>
      </c>
      <c r="P197" s="164" t="s">
        <v>120</v>
      </c>
      <c r="Q197" s="227">
        <v>2017</v>
      </c>
      <c r="R197" s="227">
        <v>3038</v>
      </c>
      <c r="S197" s="227" t="s">
        <v>105</v>
      </c>
      <c r="T197" s="227">
        <v>306</v>
      </c>
      <c r="U197" s="227">
        <v>1053</v>
      </c>
      <c r="V197" s="227">
        <v>2291</v>
      </c>
      <c r="W197" s="227">
        <v>0.31489234449760772</v>
      </c>
      <c r="X197" s="227">
        <v>0.68510765550239228</v>
      </c>
      <c r="Y197" s="100" t="s">
        <v>135</v>
      </c>
      <c r="Z197" s="29">
        <v>1</v>
      </c>
      <c r="AA197" s="9">
        <v>1</v>
      </c>
      <c r="AB197" s="9">
        <v>1</v>
      </c>
      <c r="AC197" s="9">
        <v>2</v>
      </c>
      <c r="AD197" s="43">
        <v>2</v>
      </c>
      <c r="AE197" s="55">
        <v>0.35859414261160716</v>
      </c>
      <c r="AF197" s="52" t="s">
        <v>120</v>
      </c>
    </row>
    <row r="198" spans="1:32">
      <c r="A198" s="227">
        <v>2009</v>
      </c>
      <c r="B198" s="227">
        <v>205</v>
      </c>
      <c r="C198" s="227" t="s">
        <v>103</v>
      </c>
      <c r="D198" s="227">
        <v>41</v>
      </c>
      <c r="E198" s="227">
        <v>246</v>
      </c>
      <c r="F198" s="227">
        <v>0</v>
      </c>
      <c r="G198" s="227">
        <v>1</v>
      </c>
      <c r="H198" s="227">
        <v>0</v>
      </c>
      <c r="I198" s="312" t="s">
        <v>119</v>
      </c>
      <c r="J198" s="29">
        <v>1</v>
      </c>
      <c r="K198" s="9">
        <v>1</v>
      </c>
      <c r="L198" s="9">
        <v>1</v>
      </c>
      <c r="M198" s="9">
        <v>2</v>
      </c>
      <c r="N198" s="43">
        <v>2</v>
      </c>
      <c r="O198" s="265">
        <f t="shared" si="3"/>
        <v>0.35859414261160716</v>
      </c>
      <c r="P198" s="164" t="s">
        <v>120</v>
      </c>
      <c r="Q198" s="227">
        <v>2017</v>
      </c>
      <c r="R198" s="227">
        <v>2283</v>
      </c>
      <c r="S198" s="227" t="s">
        <v>103</v>
      </c>
      <c r="T198" s="227">
        <v>214</v>
      </c>
      <c r="U198" s="227">
        <v>650</v>
      </c>
      <c r="V198" s="227">
        <v>1847</v>
      </c>
      <c r="W198" s="227">
        <v>0.26031237484981978</v>
      </c>
      <c r="X198" s="227">
        <v>0.73968762515018027</v>
      </c>
      <c r="Y198" s="100" t="s">
        <v>135</v>
      </c>
      <c r="Z198" s="29">
        <v>1</v>
      </c>
      <c r="AA198" s="9">
        <v>1</v>
      </c>
      <c r="AB198" s="9">
        <v>1</v>
      </c>
      <c r="AC198" s="9">
        <v>2</v>
      </c>
      <c r="AD198" s="43">
        <v>2</v>
      </c>
      <c r="AE198" s="55">
        <v>0.35859414261160716</v>
      </c>
      <c r="AF198" s="52" t="s">
        <v>120</v>
      </c>
    </row>
    <row r="199" spans="1:32">
      <c r="A199" s="227">
        <v>2009</v>
      </c>
      <c r="B199" s="227">
        <v>69</v>
      </c>
      <c r="C199" s="227" t="s">
        <v>101</v>
      </c>
      <c r="D199" s="227">
        <v>35</v>
      </c>
      <c r="E199" s="227">
        <v>59</v>
      </c>
      <c r="F199" s="227">
        <v>45</v>
      </c>
      <c r="G199" s="227">
        <v>0.56730769230769229</v>
      </c>
      <c r="H199" s="227">
        <v>0.43269230769230771</v>
      </c>
      <c r="I199" s="312" t="s">
        <v>119</v>
      </c>
      <c r="J199" s="29">
        <v>1</v>
      </c>
      <c r="K199" s="9">
        <v>1</v>
      </c>
      <c r="L199" s="9">
        <v>1</v>
      </c>
      <c r="M199" s="9">
        <v>2</v>
      </c>
      <c r="N199" s="43">
        <v>2</v>
      </c>
      <c r="O199" s="265">
        <f t="shared" ref="O199:O262" si="4">IF( OR( ISBLANK(J199),ISBLANK(K199), ISBLANK(L199), ISBLANK(M199), ISBLANK(N199) ), "", 1.5*SQRT(   EXP(2.21*(J199-1)) + EXP(2.21*(K199-1)) + EXP(2.21*(L199-1)) + EXP(2.21*(M199-1)) + EXP(2.21*N199)   )/100*2.45 )</f>
        <v>0.35859414261160716</v>
      </c>
      <c r="P199" s="164" t="s">
        <v>120</v>
      </c>
      <c r="Q199" s="227">
        <v>2017</v>
      </c>
      <c r="R199" s="227">
        <v>2871</v>
      </c>
      <c r="S199" s="227" t="s">
        <v>101</v>
      </c>
      <c r="T199" s="227">
        <v>52</v>
      </c>
      <c r="U199" s="227">
        <v>503</v>
      </c>
      <c r="V199" s="227">
        <v>2420</v>
      </c>
      <c r="W199" s="227">
        <v>0.17208347588094419</v>
      </c>
      <c r="X199" s="227">
        <v>0.82791652411905581</v>
      </c>
      <c r="Y199" s="100" t="s">
        <v>135</v>
      </c>
      <c r="Z199" s="29">
        <v>1</v>
      </c>
      <c r="AA199" s="9">
        <v>1</v>
      </c>
      <c r="AB199" s="9">
        <v>1</v>
      </c>
      <c r="AC199" s="9">
        <v>2</v>
      </c>
      <c r="AD199" s="43">
        <v>2</v>
      </c>
      <c r="AE199" s="55">
        <v>0.35859414261160716</v>
      </c>
      <c r="AF199" s="52" t="s">
        <v>120</v>
      </c>
    </row>
    <row r="200" spans="1:32">
      <c r="A200" s="227">
        <v>2009</v>
      </c>
      <c r="B200" s="227">
        <v>2139</v>
      </c>
      <c r="C200" s="227" t="s">
        <v>106</v>
      </c>
      <c r="D200" s="227">
        <v>701</v>
      </c>
      <c r="E200" s="227">
        <v>2840</v>
      </c>
      <c r="F200" s="227">
        <v>0</v>
      </c>
      <c r="G200" s="227">
        <v>1</v>
      </c>
      <c r="H200" s="227">
        <v>0</v>
      </c>
      <c r="I200" s="312" t="s">
        <v>119</v>
      </c>
      <c r="J200" s="29">
        <v>1</v>
      </c>
      <c r="K200" s="9">
        <v>1</v>
      </c>
      <c r="L200" s="9">
        <v>1</v>
      </c>
      <c r="M200" s="9">
        <v>2</v>
      </c>
      <c r="N200" s="43">
        <v>2</v>
      </c>
      <c r="O200" s="265">
        <f t="shared" si="4"/>
        <v>0.35859414261160716</v>
      </c>
      <c r="P200" s="164" t="s">
        <v>120</v>
      </c>
      <c r="Q200" s="227">
        <v>2017</v>
      </c>
      <c r="R200" s="227">
        <v>14059</v>
      </c>
      <c r="S200" s="227" t="s">
        <v>106</v>
      </c>
      <c r="T200" s="227">
        <v>1465</v>
      </c>
      <c r="U200" s="227">
        <v>5454</v>
      </c>
      <c r="V200" s="227">
        <v>10070</v>
      </c>
      <c r="W200" s="227">
        <v>0.35132697758309722</v>
      </c>
      <c r="X200" s="227">
        <v>0.64867302241690283</v>
      </c>
      <c r="Y200" s="100" t="s">
        <v>135</v>
      </c>
      <c r="Z200" s="29">
        <v>1</v>
      </c>
      <c r="AA200" s="9">
        <v>1</v>
      </c>
      <c r="AB200" s="9">
        <v>1</v>
      </c>
      <c r="AC200" s="9">
        <v>2</v>
      </c>
      <c r="AD200" s="43">
        <v>2</v>
      </c>
      <c r="AE200" s="55">
        <v>0.35859414261160716</v>
      </c>
      <c r="AF200" s="52" t="s">
        <v>120</v>
      </c>
    </row>
    <row r="201" spans="1:32">
      <c r="A201" s="227">
        <v>2010</v>
      </c>
      <c r="B201" s="227">
        <v>1474</v>
      </c>
      <c r="C201" s="227" t="s">
        <v>93</v>
      </c>
      <c r="D201" s="227">
        <v>706</v>
      </c>
      <c r="E201" s="227">
        <v>2108</v>
      </c>
      <c r="F201" s="227">
        <v>72</v>
      </c>
      <c r="G201" s="227">
        <v>0.96697247706422018</v>
      </c>
      <c r="H201" s="227">
        <v>3.3027522935779818E-2</v>
      </c>
      <c r="I201" s="312" t="s">
        <v>119</v>
      </c>
      <c r="J201" s="29">
        <v>1</v>
      </c>
      <c r="K201" s="9">
        <v>1</v>
      </c>
      <c r="L201" s="9">
        <v>1</v>
      </c>
      <c r="M201" s="9">
        <v>2</v>
      </c>
      <c r="N201" s="43">
        <v>2</v>
      </c>
      <c r="O201" s="265">
        <f t="shared" si="4"/>
        <v>0.35859414261160716</v>
      </c>
      <c r="P201" s="164" t="s">
        <v>120</v>
      </c>
      <c r="Q201" s="227">
        <v>2018</v>
      </c>
      <c r="R201" s="227">
        <v>12829</v>
      </c>
      <c r="S201" s="227" t="s">
        <v>93</v>
      </c>
      <c r="T201" s="227">
        <v>2104</v>
      </c>
      <c r="U201" s="227">
        <v>2874</v>
      </c>
      <c r="V201" s="227">
        <v>12059</v>
      </c>
      <c r="W201" s="227">
        <v>0.1924596531172571</v>
      </c>
      <c r="X201" s="227">
        <v>0.8075403468827429</v>
      </c>
      <c r="Y201" s="100" t="s">
        <v>135</v>
      </c>
      <c r="Z201" s="29">
        <v>1</v>
      </c>
      <c r="AA201" s="9">
        <v>1</v>
      </c>
      <c r="AB201" s="9">
        <v>1</v>
      </c>
      <c r="AC201" s="9">
        <v>2</v>
      </c>
      <c r="AD201" s="43">
        <v>2</v>
      </c>
      <c r="AE201" s="55">
        <v>0.35859414261160716</v>
      </c>
      <c r="AF201" s="52" t="s">
        <v>120</v>
      </c>
    </row>
    <row r="202" spans="1:32">
      <c r="A202" s="227">
        <v>2010</v>
      </c>
      <c r="B202" s="227">
        <v>290</v>
      </c>
      <c r="C202" s="227" t="s">
        <v>94</v>
      </c>
      <c r="D202" s="227">
        <v>182</v>
      </c>
      <c r="E202" s="227">
        <v>366</v>
      </c>
      <c r="F202" s="227">
        <v>106</v>
      </c>
      <c r="G202" s="227">
        <v>0.77542372881355937</v>
      </c>
      <c r="H202" s="227">
        <v>0.22457627118644061</v>
      </c>
      <c r="I202" s="312" t="s">
        <v>119</v>
      </c>
      <c r="J202" s="29">
        <v>1</v>
      </c>
      <c r="K202" s="9">
        <v>1</v>
      </c>
      <c r="L202" s="9">
        <v>1</v>
      </c>
      <c r="M202" s="9">
        <v>2</v>
      </c>
      <c r="N202" s="43">
        <v>2</v>
      </c>
      <c r="O202" s="265">
        <f t="shared" si="4"/>
        <v>0.35859414261160716</v>
      </c>
      <c r="P202" s="164" t="s">
        <v>120</v>
      </c>
      <c r="Q202" s="227">
        <v>2018</v>
      </c>
      <c r="R202" s="227">
        <v>6009</v>
      </c>
      <c r="S202" s="227" t="s">
        <v>94</v>
      </c>
      <c r="T202" s="227">
        <v>967</v>
      </c>
      <c r="U202" s="227">
        <v>1382</v>
      </c>
      <c r="V202" s="227">
        <v>5594</v>
      </c>
      <c r="W202" s="227">
        <v>0.1981077981651376</v>
      </c>
      <c r="X202" s="227">
        <v>0.80189220183486243</v>
      </c>
      <c r="Y202" s="100" t="s">
        <v>135</v>
      </c>
      <c r="Z202" s="29">
        <v>1</v>
      </c>
      <c r="AA202" s="9">
        <v>1</v>
      </c>
      <c r="AB202" s="9">
        <v>1</v>
      </c>
      <c r="AC202" s="9">
        <v>2</v>
      </c>
      <c r="AD202" s="43">
        <v>2</v>
      </c>
      <c r="AE202" s="55">
        <v>0.35859414261160716</v>
      </c>
      <c r="AF202" s="52" t="s">
        <v>120</v>
      </c>
    </row>
    <row r="203" spans="1:32">
      <c r="A203" s="227">
        <v>2010</v>
      </c>
      <c r="B203" s="227">
        <v>852</v>
      </c>
      <c r="C203" s="227" t="s">
        <v>95</v>
      </c>
      <c r="D203" s="227">
        <v>225</v>
      </c>
      <c r="E203" s="227">
        <v>185</v>
      </c>
      <c r="F203" s="227">
        <v>892</v>
      </c>
      <c r="G203" s="227">
        <v>0.17177344475394621</v>
      </c>
      <c r="H203" s="227">
        <v>0.82822655524605382</v>
      </c>
      <c r="I203" s="312" t="s">
        <v>119</v>
      </c>
      <c r="J203" s="29">
        <v>1</v>
      </c>
      <c r="K203" s="9">
        <v>1</v>
      </c>
      <c r="L203" s="9">
        <v>1</v>
      </c>
      <c r="M203" s="9">
        <v>2</v>
      </c>
      <c r="N203" s="43">
        <v>2</v>
      </c>
      <c r="O203" s="265">
        <f t="shared" si="4"/>
        <v>0.35859414261160716</v>
      </c>
      <c r="P203" s="164" t="s">
        <v>120</v>
      </c>
      <c r="Q203" s="227">
        <v>2018</v>
      </c>
      <c r="R203" s="227">
        <v>9425</v>
      </c>
      <c r="S203" s="227" t="s">
        <v>95</v>
      </c>
      <c r="T203" s="227">
        <v>423</v>
      </c>
      <c r="U203" s="227">
        <v>1044</v>
      </c>
      <c r="V203" s="227">
        <v>8804</v>
      </c>
      <c r="W203" s="227">
        <v>0.1060113728675873</v>
      </c>
      <c r="X203" s="227">
        <v>0.89398862713241267</v>
      </c>
      <c r="Y203" s="100" t="s">
        <v>135</v>
      </c>
      <c r="Z203" s="29">
        <v>1</v>
      </c>
      <c r="AA203" s="9">
        <v>1</v>
      </c>
      <c r="AB203" s="9">
        <v>1</v>
      </c>
      <c r="AC203" s="9">
        <v>2</v>
      </c>
      <c r="AD203" s="43">
        <v>2</v>
      </c>
      <c r="AE203" s="55">
        <v>0.35859414261160716</v>
      </c>
      <c r="AF203" s="52" t="s">
        <v>120</v>
      </c>
    </row>
    <row r="204" spans="1:32">
      <c r="A204" s="227">
        <v>2010</v>
      </c>
      <c r="B204" s="227">
        <v>4</v>
      </c>
      <c r="C204" s="227" t="s">
        <v>96</v>
      </c>
      <c r="D204" s="227">
        <v>41</v>
      </c>
      <c r="E204" s="227">
        <v>14</v>
      </c>
      <c r="F204" s="227">
        <v>31</v>
      </c>
      <c r="G204" s="227">
        <v>0.31111111111111112</v>
      </c>
      <c r="H204" s="227">
        <v>0.68888888888888888</v>
      </c>
      <c r="I204" s="312" t="s">
        <v>119</v>
      </c>
      <c r="J204" s="29">
        <v>1</v>
      </c>
      <c r="K204" s="9">
        <v>1</v>
      </c>
      <c r="L204" s="9">
        <v>1</v>
      </c>
      <c r="M204" s="9">
        <v>2</v>
      </c>
      <c r="N204" s="43">
        <v>2</v>
      </c>
      <c r="O204" s="265">
        <f t="shared" si="4"/>
        <v>0.35859414261160716</v>
      </c>
      <c r="P204" s="164" t="s">
        <v>120</v>
      </c>
      <c r="Q204" s="227">
        <v>2018</v>
      </c>
      <c r="R204" s="227">
        <v>1814</v>
      </c>
      <c r="S204" s="227" t="s">
        <v>96</v>
      </c>
      <c r="T204" s="227">
        <v>198</v>
      </c>
      <c r="U204" s="227">
        <v>300</v>
      </c>
      <c r="V204" s="227">
        <v>1712</v>
      </c>
      <c r="W204" s="227">
        <v>0.14910536779324049</v>
      </c>
      <c r="X204" s="227">
        <v>0.85089463220675943</v>
      </c>
      <c r="Y204" s="100" t="s">
        <v>135</v>
      </c>
      <c r="Z204" s="29">
        <v>1</v>
      </c>
      <c r="AA204" s="9">
        <v>1</v>
      </c>
      <c r="AB204" s="9">
        <v>1</v>
      </c>
      <c r="AC204" s="9">
        <v>2</v>
      </c>
      <c r="AD204" s="43">
        <v>2</v>
      </c>
      <c r="AE204" s="55">
        <v>0.35859414261160716</v>
      </c>
      <c r="AF204" s="52" t="s">
        <v>120</v>
      </c>
    </row>
    <row r="205" spans="1:32">
      <c r="A205" s="227">
        <v>2010</v>
      </c>
      <c r="B205" s="227">
        <v>191</v>
      </c>
      <c r="C205" s="227" t="s">
        <v>97</v>
      </c>
      <c r="D205" s="227">
        <v>28</v>
      </c>
      <c r="E205" s="227">
        <v>158</v>
      </c>
      <c r="F205" s="227">
        <v>61</v>
      </c>
      <c r="G205" s="227">
        <v>0.72146118721461183</v>
      </c>
      <c r="H205" s="227">
        <v>0.27853881278538822</v>
      </c>
      <c r="I205" s="312" t="s">
        <v>119</v>
      </c>
      <c r="J205" s="29">
        <v>1</v>
      </c>
      <c r="K205" s="9">
        <v>1</v>
      </c>
      <c r="L205" s="9">
        <v>1</v>
      </c>
      <c r="M205" s="9">
        <v>2</v>
      </c>
      <c r="N205" s="43">
        <v>2</v>
      </c>
      <c r="O205" s="265">
        <f t="shared" si="4"/>
        <v>0.35859414261160716</v>
      </c>
      <c r="P205" s="164" t="s">
        <v>120</v>
      </c>
      <c r="Q205" s="227">
        <v>2018</v>
      </c>
      <c r="R205" s="227">
        <v>1611</v>
      </c>
      <c r="S205" s="227" t="s">
        <v>97</v>
      </c>
      <c r="T205" s="227">
        <v>48</v>
      </c>
      <c r="U205" s="227">
        <v>96</v>
      </c>
      <c r="V205" s="227">
        <v>1563</v>
      </c>
      <c r="W205" s="227">
        <v>5.7866184448462928E-2</v>
      </c>
      <c r="X205" s="227">
        <v>0.94213381555153708</v>
      </c>
      <c r="Y205" s="100" t="s">
        <v>135</v>
      </c>
      <c r="Z205" s="29">
        <v>1</v>
      </c>
      <c r="AA205" s="9">
        <v>1</v>
      </c>
      <c r="AB205" s="9">
        <v>1</v>
      </c>
      <c r="AC205" s="9">
        <v>2</v>
      </c>
      <c r="AD205" s="43">
        <v>2</v>
      </c>
      <c r="AE205" s="55">
        <v>0.35859414261160716</v>
      </c>
      <c r="AF205" s="52" t="s">
        <v>120</v>
      </c>
    </row>
    <row r="206" spans="1:32">
      <c r="A206" s="227">
        <v>2010</v>
      </c>
      <c r="B206" s="227">
        <v>610</v>
      </c>
      <c r="C206" s="227" t="s">
        <v>98</v>
      </c>
      <c r="D206" s="227">
        <v>121</v>
      </c>
      <c r="E206" s="227">
        <v>667</v>
      </c>
      <c r="F206" s="227">
        <v>64</v>
      </c>
      <c r="G206" s="227">
        <v>0.91244870041039672</v>
      </c>
      <c r="H206" s="227">
        <v>8.7551299589603282E-2</v>
      </c>
      <c r="I206" s="312" t="s">
        <v>119</v>
      </c>
      <c r="J206" s="29">
        <v>1</v>
      </c>
      <c r="K206" s="9">
        <v>1</v>
      </c>
      <c r="L206" s="9">
        <v>1</v>
      </c>
      <c r="M206" s="9">
        <v>2</v>
      </c>
      <c r="N206" s="43">
        <v>2</v>
      </c>
      <c r="O206" s="265">
        <f t="shared" si="4"/>
        <v>0.35859414261160716</v>
      </c>
      <c r="P206" s="164" t="s">
        <v>120</v>
      </c>
      <c r="Q206" s="227">
        <v>2018</v>
      </c>
      <c r="R206" s="227">
        <v>6797</v>
      </c>
      <c r="S206" s="227" t="s">
        <v>98</v>
      </c>
      <c r="T206" s="227">
        <v>267</v>
      </c>
      <c r="U206" s="227">
        <v>1585</v>
      </c>
      <c r="V206" s="227">
        <v>5479</v>
      </c>
      <c r="W206" s="227">
        <v>0.22437712344280861</v>
      </c>
      <c r="X206" s="227">
        <v>0.77562287655719142</v>
      </c>
      <c r="Y206" s="100" t="s">
        <v>135</v>
      </c>
      <c r="Z206" s="29">
        <v>1</v>
      </c>
      <c r="AA206" s="9">
        <v>1</v>
      </c>
      <c r="AB206" s="9">
        <v>1</v>
      </c>
      <c r="AC206" s="9">
        <v>2</v>
      </c>
      <c r="AD206" s="43">
        <v>2</v>
      </c>
      <c r="AE206" s="55">
        <v>0.35859414261160716</v>
      </c>
      <c r="AF206" s="52" t="s">
        <v>120</v>
      </c>
    </row>
    <row r="207" spans="1:32">
      <c r="A207" s="227">
        <v>2010</v>
      </c>
      <c r="B207" s="227">
        <v>356</v>
      </c>
      <c r="C207" s="227" t="s">
        <v>99</v>
      </c>
      <c r="D207" s="227">
        <v>55</v>
      </c>
      <c r="E207" s="227">
        <v>411</v>
      </c>
      <c r="F207" s="227">
        <v>0</v>
      </c>
      <c r="G207" s="227">
        <v>1</v>
      </c>
      <c r="H207" s="227">
        <v>0</v>
      </c>
      <c r="I207" s="312" t="s">
        <v>119</v>
      </c>
      <c r="J207" s="29">
        <v>1</v>
      </c>
      <c r="K207" s="9">
        <v>1</v>
      </c>
      <c r="L207" s="9">
        <v>1</v>
      </c>
      <c r="M207" s="9">
        <v>2</v>
      </c>
      <c r="N207" s="43">
        <v>2</v>
      </c>
      <c r="O207" s="265">
        <f t="shared" si="4"/>
        <v>0.35859414261160716</v>
      </c>
      <c r="P207" s="164" t="s">
        <v>120</v>
      </c>
      <c r="Q207" s="227">
        <v>2018</v>
      </c>
      <c r="R207" s="227">
        <v>2891</v>
      </c>
      <c r="S207" s="227" t="s">
        <v>99</v>
      </c>
      <c r="T207" s="227">
        <v>831</v>
      </c>
      <c r="U207" s="227">
        <v>317</v>
      </c>
      <c r="V207" s="227">
        <v>3405</v>
      </c>
      <c r="W207" s="227">
        <v>8.5169263836646969E-2</v>
      </c>
      <c r="X207" s="227">
        <v>0.91483073616335298</v>
      </c>
      <c r="Y207" s="100" t="s">
        <v>135</v>
      </c>
      <c r="Z207" s="29">
        <v>1</v>
      </c>
      <c r="AA207" s="9">
        <v>1</v>
      </c>
      <c r="AB207" s="9">
        <v>1</v>
      </c>
      <c r="AC207" s="9">
        <v>2</v>
      </c>
      <c r="AD207" s="43">
        <v>2</v>
      </c>
      <c r="AE207" s="55">
        <v>0.35859414261160716</v>
      </c>
      <c r="AF207" s="52" t="s">
        <v>120</v>
      </c>
    </row>
    <row r="208" spans="1:32">
      <c r="A208" s="227">
        <v>2010</v>
      </c>
      <c r="B208" s="227">
        <v>55</v>
      </c>
      <c r="C208" s="227" t="s">
        <v>102</v>
      </c>
      <c r="D208" s="227">
        <v>20</v>
      </c>
      <c r="E208" s="227">
        <v>75</v>
      </c>
      <c r="F208" s="227">
        <v>0</v>
      </c>
      <c r="G208" s="227">
        <v>1</v>
      </c>
      <c r="H208" s="227">
        <v>0</v>
      </c>
      <c r="I208" s="312" t="s">
        <v>119</v>
      </c>
      <c r="J208" s="29">
        <v>1</v>
      </c>
      <c r="K208" s="9">
        <v>1</v>
      </c>
      <c r="L208" s="9">
        <v>1</v>
      </c>
      <c r="M208" s="9">
        <v>2</v>
      </c>
      <c r="N208" s="43">
        <v>2</v>
      </c>
      <c r="O208" s="265">
        <f t="shared" si="4"/>
        <v>0.35859414261160716</v>
      </c>
      <c r="P208" s="164" t="s">
        <v>120</v>
      </c>
      <c r="Q208" s="227">
        <v>2018</v>
      </c>
      <c r="R208" s="227">
        <v>683</v>
      </c>
      <c r="S208" s="227" t="s">
        <v>102</v>
      </c>
      <c r="T208" s="227">
        <v>194</v>
      </c>
      <c r="U208" s="227">
        <v>201</v>
      </c>
      <c r="V208" s="227">
        <v>676</v>
      </c>
      <c r="W208" s="227">
        <v>0.22919042189281641</v>
      </c>
      <c r="X208" s="227">
        <v>0.77080957810718354</v>
      </c>
      <c r="Y208" s="100" t="s">
        <v>135</v>
      </c>
      <c r="Z208" s="29">
        <v>1</v>
      </c>
      <c r="AA208" s="9">
        <v>1</v>
      </c>
      <c r="AB208" s="9">
        <v>1</v>
      </c>
      <c r="AC208" s="9">
        <v>2</v>
      </c>
      <c r="AD208" s="43">
        <v>2</v>
      </c>
      <c r="AE208" s="55">
        <v>0.35859414261160716</v>
      </c>
      <c r="AF208" s="52" t="s">
        <v>120</v>
      </c>
    </row>
    <row r="209" spans="1:32">
      <c r="A209" s="227">
        <v>2010</v>
      </c>
      <c r="B209" s="227">
        <v>250</v>
      </c>
      <c r="C209" s="227" t="s">
        <v>104</v>
      </c>
      <c r="D209" s="227">
        <v>34</v>
      </c>
      <c r="E209" s="227">
        <v>194</v>
      </c>
      <c r="F209" s="227">
        <v>90</v>
      </c>
      <c r="G209" s="227">
        <v>0.68309859154929575</v>
      </c>
      <c r="H209" s="227">
        <v>0.31690140845070419</v>
      </c>
      <c r="I209" s="312" t="s">
        <v>119</v>
      </c>
      <c r="J209" s="29">
        <v>1</v>
      </c>
      <c r="K209" s="9">
        <v>1</v>
      </c>
      <c r="L209" s="9">
        <v>1</v>
      </c>
      <c r="M209" s="9">
        <v>2</v>
      </c>
      <c r="N209" s="43">
        <v>2</v>
      </c>
      <c r="O209" s="265">
        <f t="shared" si="4"/>
        <v>0.35859414261160716</v>
      </c>
      <c r="P209" s="164" t="s">
        <v>120</v>
      </c>
      <c r="Q209" s="227">
        <v>2018</v>
      </c>
      <c r="R209" s="227">
        <v>1203</v>
      </c>
      <c r="S209" s="227" t="s">
        <v>104</v>
      </c>
      <c r="T209" s="227">
        <v>103</v>
      </c>
      <c r="U209" s="227">
        <v>240</v>
      </c>
      <c r="V209" s="227">
        <v>1066</v>
      </c>
      <c r="W209" s="227">
        <v>0.18376722817764171</v>
      </c>
      <c r="X209" s="227">
        <v>0.81623277182235832</v>
      </c>
      <c r="Y209" s="100" t="s">
        <v>135</v>
      </c>
      <c r="Z209" s="29">
        <v>1</v>
      </c>
      <c r="AA209" s="9">
        <v>1</v>
      </c>
      <c r="AB209" s="9">
        <v>1</v>
      </c>
      <c r="AC209" s="9">
        <v>2</v>
      </c>
      <c r="AD209" s="43">
        <v>2</v>
      </c>
      <c r="AE209" s="55">
        <v>0.35859414261160716</v>
      </c>
      <c r="AF209" s="52" t="s">
        <v>120</v>
      </c>
    </row>
    <row r="210" spans="1:32">
      <c r="A210" s="227">
        <v>2010</v>
      </c>
      <c r="B210" s="227">
        <v>188</v>
      </c>
      <c r="C210" s="227" t="s">
        <v>105</v>
      </c>
      <c r="D210" s="227">
        <v>204</v>
      </c>
      <c r="E210" s="227">
        <v>324</v>
      </c>
      <c r="F210" s="227">
        <v>68</v>
      </c>
      <c r="G210" s="227">
        <v>0.82653061224489799</v>
      </c>
      <c r="H210" s="227">
        <v>0.17346938775510201</v>
      </c>
      <c r="I210" s="312" t="s">
        <v>119</v>
      </c>
      <c r="J210" s="29">
        <v>1</v>
      </c>
      <c r="K210" s="9">
        <v>1</v>
      </c>
      <c r="L210" s="9">
        <v>1</v>
      </c>
      <c r="M210" s="9">
        <v>2</v>
      </c>
      <c r="N210" s="43">
        <v>2</v>
      </c>
      <c r="O210" s="265">
        <f t="shared" si="4"/>
        <v>0.35859414261160716</v>
      </c>
      <c r="P210" s="164" t="s">
        <v>120</v>
      </c>
      <c r="Q210" s="227">
        <v>2018</v>
      </c>
      <c r="R210" s="227">
        <v>3038</v>
      </c>
      <c r="S210" s="227" t="s">
        <v>105</v>
      </c>
      <c r="T210" s="227">
        <v>489</v>
      </c>
      <c r="U210" s="227">
        <v>1063</v>
      </c>
      <c r="V210" s="227">
        <v>2464</v>
      </c>
      <c r="W210" s="227">
        <v>0.30138928267649562</v>
      </c>
      <c r="X210" s="227">
        <v>0.69861071732350433</v>
      </c>
      <c r="Y210" s="100" t="s">
        <v>135</v>
      </c>
      <c r="Z210" s="29">
        <v>1</v>
      </c>
      <c r="AA210" s="9">
        <v>1</v>
      </c>
      <c r="AB210" s="9">
        <v>1</v>
      </c>
      <c r="AC210" s="9">
        <v>2</v>
      </c>
      <c r="AD210" s="43">
        <v>2</v>
      </c>
      <c r="AE210" s="55">
        <v>0.35859414261160716</v>
      </c>
      <c r="AF210" s="52" t="s">
        <v>120</v>
      </c>
    </row>
    <row r="211" spans="1:32">
      <c r="A211" s="227">
        <v>2010</v>
      </c>
      <c r="B211" s="227">
        <v>247</v>
      </c>
      <c r="C211" s="227" t="s">
        <v>103</v>
      </c>
      <c r="D211" s="227">
        <v>52</v>
      </c>
      <c r="E211" s="227">
        <v>299</v>
      </c>
      <c r="F211" s="227">
        <v>0</v>
      </c>
      <c r="G211" s="227">
        <v>1</v>
      </c>
      <c r="H211" s="227">
        <v>0</v>
      </c>
      <c r="I211" s="312" t="s">
        <v>119</v>
      </c>
      <c r="J211" s="29">
        <v>1</v>
      </c>
      <c r="K211" s="9">
        <v>1</v>
      </c>
      <c r="L211" s="9">
        <v>1</v>
      </c>
      <c r="M211" s="9">
        <v>2</v>
      </c>
      <c r="N211" s="43">
        <v>2</v>
      </c>
      <c r="O211" s="265">
        <f t="shared" si="4"/>
        <v>0.35859414261160716</v>
      </c>
      <c r="P211" s="164" t="s">
        <v>120</v>
      </c>
      <c r="Q211" s="227">
        <v>2018</v>
      </c>
      <c r="R211" s="227">
        <v>2283</v>
      </c>
      <c r="S211" s="227" t="s">
        <v>103</v>
      </c>
      <c r="T211" s="227">
        <v>242</v>
      </c>
      <c r="U211" s="227">
        <v>648</v>
      </c>
      <c r="V211" s="227">
        <v>1877</v>
      </c>
      <c r="W211" s="227">
        <v>0.25663366336633658</v>
      </c>
      <c r="X211" s="227">
        <v>0.74336633663366336</v>
      </c>
      <c r="Y211" s="100" t="s">
        <v>135</v>
      </c>
      <c r="Z211" s="29">
        <v>1</v>
      </c>
      <c r="AA211" s="9">
        <v>1</v>
      </c>
      <c r="AB211" s="9">
        <v>1</v>
      </c>
      <c r="AC211" s="9">
        <v>2</v>
      </c>
      <c r="AD211" s="43">
        <v>2</v>
      </c>
      <c r="AE211" s="55">
        <v>0.35859414261160716</v>
      </c>
      <c r="AF211" s="52" t="s">
        <v>120</v>
      </c>
    </row>
    <row r="212" spans="1:32">
      <c r="A212" s="227">
        <v>2010</v>
      </c>
      <c r="B212" s="227">
        <v>78</v>
      </c>
      <c r="C212" s="227" t="s">
        <v>101</v>
      </c>
      <c r="D212" s="227">
        <v>25</v>
      </c>
      <c r="E212" s="227">
        <v>73</v>
      </c>
      <c r="F212" s="227">
        <v>30</v>
      </c>
      <c r="G212" s="227">
        <v>0.70873786407766992</v>
      </c>
      <c r="H212" s="227">
        <v>0.29126213592233008</v>
      </c>
      <c r="I212" s="312" t="s">
        <v>119</v>
      </c>
      <c r="J212" s="29">
        <v>1</v>
      </c>
      <c r="K212" s="9">
        <v>1</v>
      </c>
      <c r="L212" s="9">
        <v>1</v>
      </c>
      <c r="M212" s="9">
        <v>2</v>
      </c>
      <c r="N212" s="43">
        <v>2</v>
      </c>
      <c r="O212" s="265">
        <f t="shared" si="4"/>
        <v>0.35859414261160716</v>
      </c>
      <c r="P212" s="164" t="s">
        <v>120</v>
      </c>
      <c r="Q212" s="227">
        <v>2018</v>
      </c>
      <c r="R212" s="227">
        <v>2871</v>
      </c>
      <c r="S212" s="227" t="s">
        <v>101</v>
      </c>
      <c r="T212" s="227">
        <v>56</v>
      </c>
      <c r="U212" s="227">
        <v>506</v>
      </c>
      <c r="V212" s="227">
        <v>2421</v>
      </c>
      <c r="W212" s="227">
        <v>0.1728732490604715</v>
      </c>
      <c r="X212" s="227">
        <v>0.82712675093952859</v>
      </c>
      <c r="Y212" s="100" t="s">
        <v>135</v>
      </c>
      <c r="Z212" s="29">
        <v>1</v>
      </c>
      <c r="AA212" s="9">
        <v>1</v>
      </c>
      <c r="AB212" s="9">
        <v>1</v>
      </c>
      <c r="AC212" s="9">
        <v>2</v>
      </c>
      <c r="AD212" s="43">
        <v>2</v>
      </c>
      <c r="AE212" s="55">
        <v>0.35859414261160716</v>
      </c>
      <c r="AF212" s="52" t="s">
        <v>120</v>
      </c>
    </row>
    <row r="213" spans="1:32">
      <c r="A213" s="227">
        <v>2010</v>
      </c>
      <c r="B213" s="227">
        <v>2132</v>
      </c>
      <c r="C213" s="227" t="s">
        <v>106</v>
      </c>
      <c r="D213" s="227">
        <v>784</v>
      </c>
      <c r="E213" s="227">
        <v>2916</v>
      </c>
      <c r="F213" s="227">
        <v>0</v>
      </c>
      <c r="G213" s="227">
        <v>1</v>
      </c>
      <c r="H213" s="227">
        <v>0</v>
      </c>
      <c r="I213" s="312" t="s">
        <v>119</v>
      </c>
      <c r="J213" s="29">
        <v>1</v>
      </c>
      <c r="K213" s="9">
        <v>1</v>
      </c>
      <c r="L213" s="9">
        <v>1</v>
      </c>
      <c r="M213" s="9">
        <v>2</v>
      </c>
      <c r="N213" s="43">
        <v>2</v>
      </c>
      <c r="O213" s="265">
        <f t="shared" si="4"/>
        <v>0.35859414261160716</v>
      </c>
      <c r="P213" s="164" t="s">
        <v>120</v>
      </c>
      <c r="Q213" s="227">
        <v>2018</v>
      </c>
      <c r="R213" s="227">
        <v>14059</v>
      </c>
      <c r="S213" s="227" t="s">
        <v>106</v>
      </c>
      <c r="T213" s="227">
        <v>1475</v>
      </c>
      <c r="U213" s="227">
        <v>5441</v>
      </c>
      <c r="V213" s="227">
        <v>10093</v>
      </c>
      <c r="W213" s="227">
        <v>0.35026393717007848</v>
      </c>
      <c r="X213" s="227">
        <v>0.64973606282992147</v>
      </c>
      <c r="Y213" s="100" t="s">
        <v>135</v>
      </c>
      <c r="Z213" s="29">
        <v>1</v>
      </c>
      <c r="AA213" s="9">
        <v>1</v>
      </c>
      <c r="AB213" s="9">
        <v>1</v>
      </c>
      <c r="AC213" s="9">
        <v>2</v>
      </c>
      <c r="AD213" s="43">
        <v>2</v>
      </c>
      <c r="AE213" s="55">
        <v>0.35859414261160716</v>
      </c>
      <c r="AF213" s="52" t="s">
        <v>120</v>
      </c>
    </row>
    <row r="214" spans="1:32">
      <c r="A214" s="227">
        <v>2011</v>
      </c>
      <c r="B214" s="227">
        <v>1435</v>
      </c>
      <c r="C214" s="227" t="s">
        <v>93</v>
      </c>
      <c r="D214" s="227">
        <v>756</v>
      </c>
      <c r="E214" s="227">
        <v>1875</v>
      </c>
      <c r="F214" s="227">
        <v>316</v>
      </c>
      <c r="G214" s="227">
        <v>0.85577361935189411</v>
      </c>
      <c r="H214" s="227">
        <v>0.14422638064810589</v>
      </c>
      <c r="I214" s="312" t="s">
        <v>119</v>
      </c>
      <c r="J214" s="29">
        <v>1</v>
      </c>
      <c r="K214" s="9">
        <v>1</v>
      </c>
      <c r="L214" s="9">
        <v>1</v>
      </c>
      <c r="M214" s="9">
        <v>2</v>
      </c>
      <c r="N214" s="43">
        <v>2</v>
      </c>
      <c r="O214" s="265">
        <f t="shared" si="4"/>
        <v>0.35859414261160716</v>
      </c>
      <c r="P214" s="164" t="s">
        <v>120</v>
      </c>
      <c r="Q214" s="227">
        <v>2019</v>
      </c>
      <c r="R214" s="227">
        <v>12829</v>
      </c>
      <c r="S214" s="227" t="s">
        <v>93</v>
      </c>
      <c r="T214" s="227">
        <v>3179</v>
      </c>
      <c r="U214" s="227">
        <v>2507</v>
      </c>
      <c r="V214" s="227">
        <v>13501</v>
      </c>
      <c r="W214" s="227">
        <v>0.15660919540229881</v>
      </c>
      <c r="X214" s="227">
        <v>0.84339080459770122</v>
      </c>
      <c r="Y214" s="100" t="s">
        <v>135</v>
      </c>
      <c r="Z214" s="29">
        <v>1</v>
      </c>
      <c r="AA214" s="9">
        <v>1</v>
      </c>
      <c r="AB214" s="9">
        <v>1</v>
      </c>
      <c r="AC214" s="9">
        <v>2</v>
      </c>
      <c r="AD214" s="43">
        <v>2</v>
      </c>
      <c r="AE214" s="55">
        <v>0.35859414261160716</v>
      </c>
      <c r="AF214" s="52" t="s">
        <v>120</v>
      </c>
    </row>
    <row r="215" spans="1:32">
      <c r="A215" s="227">
        <v>2011</v>
      </c>
      <c r="B215" s="227">
        <v>290</v>
      </c>
      <c r="C215" s="227" t="s">
        <v>94</v>
      </c>
      <c r="D215" s="227">
        <v>165</v>
      </c>
      <c r="E215" s="227">
        <v>356</v>
      </c>
      <c r="F215" s="227">
        <v>99</v>
      </c>
      <c r="G215" s="227">
        <v>0.78241758241758241</v>
      </c>
      <c r="H215" s="227">
        <v>0.21758241758241759</v>
      </c>
      <c r="I215" s="312" t="s">
        <v>119</v>
      </c>
      <c r="J215" s="29">
        <v>1</v>
      </c>
      <c r="K215" s="9">
        <v>1</v>
      </c>
      <c r="L215" s="9">
        <v>1</v>
      </c>
      <c r="M215" s="9">
        <v>2</v>
      </c>
      <c r="N215" s="43">
        <v>2</v>
      </c>
      <c r="O215" s="265">
        <f t="shared" si="4"/>
        <v>0.35859414261160716</v>
      </c>
      <c r="P215" s="164" t="s">
        <v>120</v>
      </c>
      <c r="Q215" s="227">
        <v>2019</v>
      </c>
      <c r="R215" s="227">
        <v>6009</v>
      </c>
      <c r="S215" s="227" t="s">
        <v>94</v>
      </c>
      <c r="T215" s="227">
        <v>1314</v>
      </c>
      <c r="U215" s="227">
        <v>1237</v>
      </c>
      <c r="V215" s="227">
        <v>6086</v>
      </c>
      <c r="W215" s="227">
        <v>0.1689198415949747</v>
      </c>
      <c r="X215" s="227">
        <v>0.83108015840502525</v>
      </c>
      <c r="Y215" s="100" t="s">
        <v>135</v>
      </c>
      <c r="Z215" s="29">
        <v>1</v>
      </c>
      <c r="AA215" s="9">
        <v>1</v>
      </c>
      <c r="AB215" s="9">
        <v>1</v>
      </c>
      <c r="AC215" s="9">
        <v>2</v>
      </c>
      <c r="AD215" s="43">
        <v>2</v>
      </c>
      <c r="AE215" s="55">
        <v>0.35859414261160716</v>
      </c>
      <c r="AF215" s="52" t="s">
        <v>120</v>
      </c>
    </row>
    <row r="216" spans="1:32">
      <c r="A216" s="227">
        <v>2011</v>
      </c>
      <c r="B216" s="227">
        <v>852</v>
      </c>
      <c r="C216" s="227" t="s">
        <v>95</v>
      </c>
      <c r="D216" s="227">
        <v>300</v>
      </c>
      <c r="E216" s="227">
        <v>241</v>
      </c>
      <c r="F216" s="227">
        <v>911</v>
      </c>
      <c r="G216" s="227">
        <v>0.2092013888888889</v>
      </c>
      <c r="H216" s="227">
        <v>0.79079861111111116</v>
      </c>
      <c r="I216" s="312" t="s">
        <v>119</v>
      </c>
      <c r="J216" s="29">
        <v>1</v>
      </c>
      <c r="K216" s="9">
        <v>1</v>
      </c>
      <c r="L216" s="9">
        <v>1</v>
      </c>
      <c r="M216" s="9">
        <v>2</v>
      </c>
      <c r="N216" s="43">
        <v>2</v>
      </c>
      <c r="O216" s="265">
        <f t="shared" si="4"/>
        <v>0.35859414261160716</v>
      </c>
      <c r="P216" s="164" t="s">
        <v>120</v>
      </c>
      <c r="Q216" s="227">
        <v>2019</v>
      </c>
      <c r="R216" s="227">
        <v>9425</v>
      </c>
      <c r="S216" s="227" t="s">
        <v>95</v>
      </c>
      <c r="T216" s="227">
        <v>938</v>
      </c>
      <c r="U216" s="227">
        <v>1032</v>
      </c>
      <c r="V216" s="227">
        <v>9331</v>
      </c>
      <c r="W216" s="227">
        <v>9.9585062240663894E-2</v>
      </c>
      <c r="X216" s="227">
        <v>0.90041493775933612</v>
      </c>
      <c r="Y216" s="100" t="s">
        <v>135</v>
      </c>
      <c r="Z216" s="29">
        <v>1</v>
      </c>
      <c r="AA216" s="9">
        <v>1</v>
      </c>
      <c r="AB216" s="9">
        <v>1</v>
      </c>
      <c r="AC216" s="9">
        <v>2</v>
      </c>
      <c r="AD216" s="43">
        <v>2</v>
      </c>
      <c r="AE216" s="55">
        <v>0.35859414261160716</v>
      </c>
      <c r="AF216" s="52" t="s">
        <v>120</v>
      </c>
    </row>
    <row r="217" spans="1:32">
      <c r="A217" s="227">
        <v>2011</v>
      </c>
      <c r="B217" s="227">
        <v>4</v>
      </c>
      <c r="C217" s="227" t="s">
        <v>96</v>
      </c>
      <c r="D217" s="227">
        <v>48</v>
      </c>
      <c r="E217" s="227">
        <v>16</v>
      </c>
      <c r="F217" s="227">
        <v>36</v>
      </c>
      <c r="G217" s="227">
        <v>0.30769230769230771</v>
      </c>
      <c r="H217" s="227">
        <v>0.69230769230769229</v>
      </c>
      <c r="I217" s="312" t="s">
        <v>119</v>
      </c>
      <c r="J217" s="29">
        <v>1</v>
      </c>
      <c r="K217" s="9">
        <v>1</v>
      </c>
      <c r="L217" s="9">
        <v>1</v>
      </c>
      <c r="M217" s="9">
        <v>2</v>
      </c>
      <c r="N217" s="43">
        <v>2</v>
      </c>
      <c r="O217" s="265">
        <f t="shared" si="4"/>
        <v>0.35859414261160716</v>
      </c>
      <c r="P217" s="164" t="s">
        <v>120</v>
      </c>
      <c r="Q217" s="227">
        <v>2019</v>
      </c>
      <c r="R217" s="227">
        <v>1814</v>
      </c>
      <c r="S217" s="227" t="s">
        <v>96</v>
      </c>
      <c r="T217" s="227">
        <v>127</v>
      </c>
      <c r="U217" s="227">
        <v>317</v>
      </c>
      <c r="V217" s="227">
        <v>1624</v>
      </c>
      <c r="W217" s="227">
        <v>0.16331787738279241</v>
      </c>
      <c r="X217" s="227">
        <v>0.83668212261720765</v>
      </c>
      <c r="Y217" s="100" t="s">
        <v>135</v>
      </c>
      <c r="Z217" s="29">
        <v>1</v>
      </c>
      <c r="AA217" s="9">
        <v>1</v>
      </c>
      <c r="AB217" s="9">
        <v>1</v>
      </c>
      <c r="AC217" s="9">
        <v>2</v>
      </c>
      <c r="AD217" s="43">
        <v>2</v>
      </c>
      <c r="AE217" s="55">
        <v>0.35859414261160716</v>
      </c>
      <c r="AF217" s="52" t="s">
        <v>120</v>
      </c>
    </row>
    <row r="218" spans="1:32">
      <c r="A218" s="227">
        <v>2011</v>
      </c>
      <c r="B218" s="227">
        <v>191</v>
      </c>
      <c r="C218" s="227" t="s">
        <v>97</v>
      </c>
      <c r="D218" s="227">
        <v>36</v>
      </c>
      <c r="E218" s="227">
        <v>166</v>
      </c>
      <c r="F218" s="227">
        <v>61</v>
      </c>
      <c r="G218" s="227">
        <v>0.7312775330396476</v>
      </c>
      <c r="H218" s="227">
        <v>0.2687224669603524</v>
      </c>
      <c r="I218" s="312" t="s">
        <v>119</v>
      </c>
      <c r="J218" s="29">
        <v>1</v>
      </c>
      <c r="K218" s="9">
        <v>1</v>
      </c>
      <c r="L218" s="9">
        <v>1</v>
      </c>
      <c r="M218" s="9">
        <v>2</v>
      </c>
      <c r="N218" s="43">
        <v>2</v>
      </c>
      <c r="O218" s="265">
        <f t="shared" si="4"/>
        <v>0.35859414261160716</v>
      </c>
      <c r="P218" s="164" t="s">
        <v>120</v>
      </c>
      <c r="Q218" s="227">
        <v>2019</v>
      </c>
      <c r="R218" s="227">
        <v>1611</v>
      </c>
      <c r="S218" s="227" t="s">
        <v>97</v>
      </c>
      <c r="T218" s="227">
        <v>78</v>
      </c>
      <c r="U218" s="227">
        <v>84</v>
      </c>
      <c r="V218" s="227">
        <v>1605</v>
      </c>
      <c r="W218" s="227">
        <v>4.9733570159857902E-2</v>
      </c>
      <c r="X218" s="227">
        <v>0.95026642984014209</v>
      </c>
      <c r="Y218" s="100" t="s">
        <v>135</v>
      </c>
      <c r="Z218" s="29">
        <v>1</v>
      </c>
      <c r="AA218" s="9">
        <v>1</v>
      </c>
      <c r="AB218" s="9">
        <v>1</v>
      </c>
      <c r="AC218" s="9">
        <v>2</v>
      </c>
      <c r="AD218" s="43">
        <v>2</v>
      </c>
      <c r="AE218" s="55">
        <v>0.35859414261160716</v>
      </c>
      <c r="AF218" s="52" t="s">
        <v>120</v>
      </c>
    </row>
    <row r="219" spans="1:32">
      <c r="A219" s="227">
        <v>2011</v>
      </c>
      <c r="B219" s="227">
        <v>610</v>
      </c>
      <c r="C219" s="227" t="s">
        <v>98</v>
      </c>
      <c r="D219" s="227">
        <v>122</v>
      </c>
      <c r="E219" s="227">
        <v>675</v>
      </c>
      <c r="F219" s="227">
        <v>57</v>
      </c>
      <c r="G219" s="227">
        <v>0.92213114754098358</v>
      </c>
      <c r="H219" s="227">
        <v>7.7868852459016424E-2</v>
      </c>
      <c r="I219" s="312" t="s">
        <v>119</v>
      </c>
      <c r="J219" s="29">
        <v>1</v>
      </c>
      <c r="K219" s="9">
        <v>1</v>
      </c>
      <c r="L219" s="9">
        <v>1</v>
      </c>
      <c r="M219" s="9">
        <v>2</v>
      </c>
      <c r="N219" s="43">
        <v>2</v>
      </c>
      <c r="O219" s="265">
        <f t="shared" si="4"/>
        <v>0.35859414261160716</v>
      </c>
      <c r="P219" s="164" t="s">
        <v>120</v>
      </c>
      <c r="Q219" s="227">
        <v>2019</v>
      </c>
      <c r="R219" s="227">
        <v>6797</v>
      </c>
      <c r="S219" s="227" t="s">
        <v>98</v>
      </c>
      <c r="T219" s="227">
        <v>438</v>
      </c>
      <c r="U219" s="227">
        <v>1635</v>
      </c>
      <c r="V219" s="227">
        <v>5600</v>
      </c>
      <c r="W219" s="227">
        <v>0.225984796129924</v>
      </c>
      <c r="X219" s="227">
        <v>0.77401520387007605</v>
      </c>
      <c r="Y219" s="100" t="s">
        <v>135</v>
      </c>
      <c r="Z219" s="29">
        <v>1</v>
      </c>
      <c r="AA219" s="9">
        <v>1</v>
      </c>
      <c r="AB219" s="9">
        <v>1</v>
      </c>
      <c r="AC219" s="9">
        <v>2</v>
      </c>
      <c r="AD219" s="43">
        <v>2</v>
      </c>
      <c r="AE219" s="55">
        <v>0.35859414261160716</v>
      </c>
      <c r="AF219" s="52" t="s">
        <v>120</v>
      </c>
    </row>
    <row r="220" spans="1:32">
      <c r="A220" s="227">
        <v>2011</v>
      </c>
      <c r="B220" s="227">
        <v>389</v>
      </c>
      <c r="C220" s="227" t="s">
        <v>99</v>
      </c>
      <c r="D220" s="227">
        <v>60</v>
      </c>
      <c r="E220" s="227">
        <v>449</v>
      </c>
      <c r="F220" s="227">
        <v>0</v>
      </c>
      <c r="G220" s="227">
        <v>1</v>
      </c>
      <c r="H220" s="227">
        <v>0</v>
      </c>
      <c r="I220" s="312" t="s">
        <v>119</v>
      </c>
      <c r="J220" s="29">
        <v>1</v>
      </c>
      <c r="K220" s="9">
        <v>1</v>
      </c>
      <c r="L220" s="9">
        <v>1</v>
      </c>
      <c r="M220" s="9">
        <v>2</v>
      </c>
      <c r="N220" s="43">
        <v>2</v>
      </c>
      <c r="O220" s="265">
        <f t="shared" si="4"/>
        <v>0.35859414261160716</v>
      </c>
      <c r="P220" s="164" t="s">
        <v>120</v>
      </c>
      <c r="Q220" s="227">
        <v>2019</v>
      </c>
      <c r="R220" s="227">
        <v>2891</v>
      </c>
      <c r="S220" s="227" t="s">
        <v>99</v>
      </c>
      <c r="T220" s="227">
        <v>980</v>
      </c>
      <c r="U220" s="227">
        <v>370</v>
      </c>
      <c r="V220" s="227">
        <v>3501</v>
      </c>
      <c r="W220" s="227">
        <v>9.5582536812193225E-2</v>
      </c>
      <c r="X220" s="227">
        <v>0.9044174631878068</v>
      </c>
      <c r="Y220" s="100" t="s">
        <v>135</v>
      </c>
      <c r="Z220" s="29">
        <v>1</v>
      </c>
      <c r="AA220" s="9">
        <v>1</v>
      </c>
      <c r="AB220" s="9">
        <v>1</v>
      </c>
      <c r="AC220" s="9">
        <v>2</v>
      </c>
      <c r="AD220" s="43">
        <v>2</v>
      </c>
      <c r="AE220" s="55">
        <v>0.35859414261160716</v>
      </c>
      <c r="AF220" s="52" t="s">
        <v>120</v>
      </c>
    </row>
    <row r="221" spans="1:32">
      <c r="A221" s="227">
        <v>2011</v>
      </c>
      <c r="B221" s="227">
        <v>141</v>
      </c>
      <c r="C221" s="227" t="s">
        <v>102</v>
      </c>
      <c r="D221" s="227">
        <v>18</v>
      </c>
      <c r="E221" s="227">
        <v>159</v>
      </c>
      <c r="F221" s="227">
        <v>0</v>
      </c>
      <c r="G221" s="227">
        <v>1</v>
      </c>
      <c r="H221" s="227">
        <v>0</v>
      </c>
      <c r="I221" s="312" t="s">
        <v>119</v>
      </c>
      <c r="J221" s="29">
        <v>1</v>
      </c>
      <c r="K221" s="9">
        <v>1</v>
      </c>
      <c r="L221" s="9">
        <v>1</v>
      </c>
      <c r="M221" s="9">
        <v>2</v>
      </c>
      <c r="N221" s="43">
        <v>2</v>
      </c>
      <c r="O221" s="265">
        <f t="shared" si="4"/>
        <v>0.35859414261160716</v>
      </c>
      <c r="P221" s="164" t="s">
        <v>120</v>
      </c>
      <c r="Q221" s="227">
        <v>2019</v>
      </c>
      <c r="R221" s="227">
        <v>683</v>
      </c>
      <c r="S221" s="227" t="s">
        <v>102</v>
      </c>
      <c r="T221" s="227">
        <v>203</v>
      </c>
      <c r="U221" s="227">
        <v>217</v>
      </c>
      <c r="V221" s="227">
        <v>669</v>
      </c>
      <c r="W221" s="227">
        <v>0.24492099322799099</v>
      </c>
      <c r="X221" s="227">
        <v>0.75507900677200901</v>
      </c>
      <c r="Y221" s="100" t="s">
        <v>135</v>
      </c>
      <c r="Z221" s="29">
        <v>1</v>
      </c>
      <c r="AA221" s="9">
        <v>1</v>
      </c>
      <c r="AB221" s="9">
        <v>1</v>
      </c>
      <c r="AC221" s="9">
        <v>2</v>
      </c>
      <c r="AD221" s="43">
        <v>2</v>
      </c>
      <c r="AE221" s="55">
        <v>0.35859414261160716</v>
      </c>
      <c r="AF221" s="52" t="s">
        <v>120</v>
      </c>
    </row>
    <row r="222" spans="1:32">
      <c r="A222" s="227">
        <v>2011</v>
      </c>
      <c r="B222" s="227">
        <v>337</v>
      </c>
      <c r="C222" s="227" t="s">
        <v>104</v>
      </c>
      <c r="D222" s="227">
        <v>48</v>
      </c>
      <c r="E222" s="227">
        <v>206</v>
      </c>
      <c r="F222" s="227">
        <v>179</v>
      </c>
      <c r="G222" s="227">
        <v>0.53506493506493502</v>
      </c>
      <c r="H222" s="227">
        <v>0.46493506493506498</v>
      </c>
      <c r="I222" s="312" t="s">
        <v>119</v>
      </c>
      <c r="J222" s="29">
        <v>1</v>
      </c>
      <c r="K222" s="9">
        <v>1</v>
      </c>
      <c r="L222" s="9">
        <v>1</v>
      </c>
      <c r="M222" s="9">
        <v>2</v>
      </c>
      <c r="N222" s="43">
        <v>2</v>
      </c>
      <c r="O222" s="265">
        <f t="shared" si="4"/>
        <v>0.35859414261160716</v>
      </c>
      <c r="P222" s="164" t="s">
        <v>120</v>
      </c>
      <c r="Q222" s="227">
        <v>2019</v>
      </c>
      <c r="R222" s="227">
        <v>1203</v>
      </c>
      <c r="S222" s="227" t="s">
        <v>104</v>
      </c>
      <c r="T222" s="227">
        <v>95</v>
      </c>
      <c r="U222" s="227">
        <v>259</v>
      </c>
      <c r="V222" s="227">
        <v>1039</v>
      </c>
      <c r="W222" s="227">
        <v>0.19953775038520799</v>
      </c>
      <c r="X222" s="227">
        <v>0.80046224961479195</v>
      </c>
      <c r="Y222" s="100" t="s">
        <v>135</v>
      </c>
      <c r="Z222" s="29">
        <v>1</v>
      </c>
      <c r="AA222" s="9">
        <v>1</v>
      </c>
      <c r="AB222" s="9">
        <v>1</v>
      </c>
      <c r="AC222" s="9">
        <v>2</v>
      </c>
      <c r="AD222" s="43">
        <v>2</v>
      </c>
      <c r="AE222" s="55">
        <v>0.35859414261160716</v>
      </c>
      <c r="AF222" s="52" t="s">
        <v>120</v>
      </c>
    </row>
    <row r="223" spans="1:32">
      <c r="A223" s="227">
        <v>2011</v>
      </c>
      <c r="B223" s="227">
        <v>252</v>
      </c>
      <c r="C223" s="227" t="s">
        <v>105</v>
      </c>
      <c r="D223" s="227">
        <v>196</v>
      </c>
      <c r="E223" s="227">
        <v>324</v>
      </c>
      <c r="F223" s="227">
        <v>124</v>
      </c>
      <c r="G223" s="227">
        <v>0.7232142857142857</v>
      </c>
      <c r="H223" s="227">
        <v>0.2767857142857143</v>
      </c>
      <c r="I223" s="312" t="s">
        <v>119</v>
      </c>
      <c r="J223" s="29">
        <v>1</v>
      </c>
      <c r="K223" s="9">
        <v>1</v>
      </c>
      <c r="L223" s="9">
        <v>1</v>
      </c>
      <c r="M223" s="9">
        <v>2</v>
      </c>
      <c r="N223" s="43">
        <v>2</v>
      </c>
      <c r="O223" s="265">
        <f t="shared" si="4"/>
        <v>0.35859414261160716</v>
      </c>
      <c r="P223" s="164" t="s">
        <v>120</v>
      </c>
      <c r="Q223" s="227">
        <v>2019</v>
      </c>
      <c r="R223" s="227">
        <v>3038</v>
      </c>
      <c r="S223" s="227" t="s">
        <v>105</v>
      </c>
      <c r="T223" s="227">
        <v>394</v>
      </c>
      <c r="U223" s="227">
        <v>1077</v>
      </c>
      <c r="V223" s="227">
        <v>2355</v>
      </c>
      <c r="W223" s="227">
        <v>0.3138111888111888</v>
      </c>
      <c r="X223" s="227">
        <v>0.68618881118881125</v>
      </c>
      <c r="Y223" s="100" t="s">
        <v>135</v>
      </c>
      <c r="Z223" s="29">
        <v>1</v>
      </c>
      <c r="AA223" s="9">
        <v>1</v>
      </c>
      <c r="AB223" s="9">
        <v>1</v>
      </c>
      <c r="AC223" s="9">
        <v>2</v>
      </c>
      <c r="AD223" s="43">
        <v>2</v>
      </c>
      <c r="AE223" s="55">
        <v>0.35859414261160716</v>
      </c>
      <c r="AF223" s="52" t="s">
        <v>120</v>
      </c>
    </row>
    <row r="224" spans="1:32">
      <c r="A224" s="227">
        <v>2011</v>
      </c>
      <c r="B224" s="227">
        <v>240</v>
      </c>
      <c r="C224" s="227" t="s">
        <v>103</v>
      </c>
      <c r="D224" s="227">
        <v>53</v>
      </c>
      <c r="E224" s="227">
        <v>293</v>
      </c>
      <c r="F224" s="227">
        <v>0</v>
      </c>
      <c r="G224" s="227">
        <v>1</v>
      </c>
      <c r="H224" s="227">
        <v>0</v>
      </c>
      <c r="I224" s="312" t="s">
        <v>119</v>
      </c>
      <c r="J224" s="29">
        <v>1</v>
      </c>
      <c r="K224" s="9">
        <v>1</v>
      </c>
      <c r="L224" s="9">
        <v>1</v>
      </c>
      <c r="M224" s="9">
        <v>2</v>
      </c>
      <c r="N224" s="43">
        <v>2</v>
      </c>
      <c r="O224" s="265">
        <f t="shared" si="4"/>
        <v>0.35859414261160716</v>
      </c>
      <c r="P224" s="164" t="s">
        <v>120</v>
      </c>
      <c r="Q224" s="227">
        <v>2019</v>
      </c>
      <c r="R224" s="227">
        <v>2283</v>
      </c>
      <c r="S224" s="227" t="s">
        <v>103</v>
      </c>
      <c r="T224" s="227">
        <v>280</v>
      </c>
      <c r="U224" s="227">
        <v>607</v>
      </c>
      <c r="V224" s="227">
        <v>1956</v>
      </c>
      <c r="W224" s="227">
        <v>0.2368318376902068</v>
      </c>
      <c r="X224" s="227">
        <v>0.76316816230979323</v>
      </c>
      <c r="Y224" s="100" t="s">
        <v>135</v>
      </c>
      <c r="Z224" s="29">
        <v>1</v>
      </c>
      <c r="AA224" s="9">
        <v>1</v>
      </c>
      <c r="AB224" s="9">
        <v>1</v>
      </c>
      <c r="AC224" s="9">
        <v>2</v>
      </c>
      <c r="AD224" s="43">
        <v>2</v>
      </c>
      <c r="AE224" s="55">
        <v>0.35859414261160716</v>
      </c>
      <c r="AF224" s="52" t="s">
        <v>120</v>
      </c>
    </row>
    <row r="225" spans="1:32">
      <c r="A225" s="227">
        <v>2011</v>
      </c>
      <c r="B225" s="227">
        <v>101</v>
      </c>
      <c r="C225" s="227" t="s">
        <v>101</v>
      </c>
      <c r="D225" s="227">
        <v>30</v>
      </c>
      <c r="E225" s="227">
        <v>78</v>
      </c>
      <c r="F225" s="227">
        <v>53</v>
      </c>
      <c r="G225" s="227">
        <v>0.59541984732824427</v>
      </c>
      <c r="H225" s="227">
        <v>0.40458015267175568</v>
      </c>
      <c r="I225" s="312" t="s">
        <v>119</v>
      </c>
      <c r="J225" s="29">
        <v>1</v>
      </c>
      <c r="K225" s="9">
        <v>1</v>
      </c>
      <c r="L225" s="9">
        <v>1</v>
      </c>
      <c r="M225" s="9">
        <v>2</v>
      </c>
      <c r="N225" s="43">
        <v>2</v>
      </c>
      <c r="O225" s="265">
        <f t="shared" si="4"/>
        <v>0.35859414261160716</v>
      </c>
      <c r="P225" s="164" t="s">
        <v>120</v>
      </c>
      <c r="Q225" s="227">
        <v>2019</v>
      </c>
      <c r="R225" s="227">
        <v>2871</v>
      </c>
      <c r="S225" s="227" t="s">
        <v>101</v>
      </c>
      <c r="T225" s="227">
        <v>68</v>
      </c>
      <c r="U225" s="227">
        <v>488</v>
      </c>
      <c r="V225" s="227">
        <v>2451</v>
      </c>
      <c r="W225" s="227">
        <v>0.16604287172507659</v>
      </c>
      <c r="X225" s="227">
        <v>0.83395712827492341</v>
      </c>
      <c r="Y225" s="100" t="s">
        <v>135</v>
      </c>
      <c r="Z225" s="29">
        <v>1</v>
      </c>
      <c r="AA225" s="9">
        <v>1</v>
      </c>
      <c r="AB225" s="9">
        <v>1</v>
      </c>
      <c r="AC225" s="9">
        <v>2</v>
      </c>
      <c r="AD225" s="43">
        <v>2</v>
      </c>
      <c r="AE225" s="55">
        <v>0.35859414261160716</v>
      </c>
      <c r="AF225" s="52" t="s">
        <v>120</v>
      </c>
    </row>
    <row r="226" spans="1:32">
      <c r="A226" s="227">
        <v>2011</v>
      </c>
      <c r="B226" s="227">
        <v>2115</v>
      </c>
      <c r="C226" s="227" t="s">
        <v>106</v>
      </c>
      <c r="D226" s="227">
        <v>907</v>
      </c>
      <c r="E226" s="227">
        <v>3022</v>
      </c>
      <c r="F226" s="227">
        <v>0</v>
      </c>
      <c r="G226" s="227">
        <v>1</v>
      </c>
      <c r="H226" s="227">
        <v>0</v>
      </c>
      <c r="I226" s="312" t="s">
        <v>119</v>
      </c>
      <c r="J226" s="29">
        <v>1</v>
      </c>
      <c r="K226" s="9">
        <v>1</v>
      </c>
      <c r="L226" s="9">
        <v>1</v>
      </c>
      <c r="M226" s="9">
        <v>2</v>
      </c>
      <c r="N226" s="43">
        <v>2</v>
      </c>
      <c r="O226" s="265">
        <f t="shared" si="4"/>
        <v>0.35859414261160716</v>
      </c>
      <c r="P226" s="164" t="s">
        <v>120</v>
      </c>
      <c r="Q226" s="227">
        <v>2019</v>
      </c>
      <c r="R226" s="227">
        <v>14059</v>
      </c>
      <c r="S226" s="227" t="s">
        <v>106</v>
      </c>
      <c r="T226" s="227">
        <v>2300</v>
      </c>
      <c r="U226" s="227">
        <v>5655</v>
      </c>
      <c r="V226" s="227">
        <v>10704</v>
      </c>
      <c r="W226" s="227">
        <v>0.34568127636163581</v>
      </c>
      <c r="X226" s="227">
        <v>0.65431872363836419</v>
      </c>
      <c r="Y226" s="100" t="s">
        <v>135</v>
      </c>
      <c r="Z226" s="29">
        <v>1</v>
      </c>
      <c r="AA226" s="9">
        <v>1</v>
      </c>
      <c r="AB226" s="9">
        <v>1</v>
      </c>
      <c r="AC226" s="9">
        <v>2</v>
      </c>
      <c r="AD226" s="43">
        <v>2</v>
      </c>
      <c r="AE226" s="55">
        <v>0.35859414261160716</v>
      </c>
      <c r="AF226" s="52" t="s">
        <v>120</v>
      </c>
    </row>
    <row r="227" spans="1:32">
      <c r="A227" s="227">
        <v>2012</v>
      </c>
      <c r="B227" s="227">
        <v>1807</v>
      </c>
      <c r="C227" s="227" t="s">
        <v>93</v>
      </c>
      <c r="D227" s="227">
        <v>853</v>
      </c>
      <c r="E227" s="227">
        <v>1821</v>
      </c>
      <c r="F227" s="227">
        <v>839</v>
      </c>
      <c r="G227" s="227">
        <v>0.68458646616541352</v>
      </c>
      <c r="H227" s="227">
        <v>0.31541353383458648</v>
      </c>
      <c r="I227" s="312" t="s">
        <v>119</v>
      </c>
      <c r="J227" s="29">
        <v>1</v>
      </c>
      <c r="K227" s="9">
        <v>1</v>
      </c>
      <c r="L227" s="9">
        <v>1</v>
      </c>
      <c r="M227" s="9">
        <v>2</v>
      </c>
      <c r="N227" s="43">
        <v>2</v>
      </c>
      <c r="O227" s="265">
        <f t="shared" si="4"/>
        <v>0.35859414261160716</v>
      </c>
      <c r="P227" s="164" t="s">
        <v>120</v>
      </c>
      <c r="Q227" s="227">
        <v>2020</v>
      </c>
      <c r="R227" s="227">
        <v>13493</v>
      </c>
      <c r="S227" s="227" t="s">
        <v>93</v>
      </c>
      <c r="T227" s="227">
        <v>2799</v>
      </c>
      <c r="U227" s="227">
        <v>2887</v>
      </c>
      <c r="V227" s="227">
        <v>13405</v>
      </c>
      <c r="W227" s="227">
        <v>0.17720353547753501</v>
      </c>
      <c r="X227" s="227">
        <v>0.82279646452246502</v>
      </c>
      <c r="Y227" s="100" t="s">
        <v>135</v>
      </c>
      <c r="Z227" s="29">
        <v>1</v>
      </c>
      <c r="AA227" s="9">
        <v>1</v>
      </c>
      <c r="AB227" s="9">
        <v>1</v>
      </c>
      <c r="AC227" s="9">
        <v>2</v>
      </c>
      <c r="AD227" s="43">
        <v>2</v>
      </c>
      <c r="AE227" s="55">
        <v>0.35859414261160716</v>
      </c>
      <c r="AF227" s="52" t="s">
        <v>120</v>
      </c>
    </row>
    <row r="228" spans="1:32">
      <c r="A228" s="227">
        <v>2012</v>
      </c>
      <c r="B228" s="227">
        <v>290</v>
      </c>
      <c r="C228" s="227" t="s">
        <v>94</v>
      </c>
      <c r="D228" s="227">
        <v>190</v>
      </c>
      <c r="E228" s="227">
        <v>440</v>
      </c>
      <c r="F228" s="227">
        <v>40</v>
      </c>
      <c r="G228" s="227">
        <v>0.91666666666666663</v>
      </c>
      <c r="H228" s="227">
        <v>8.333333333333337E-2</v>
      </c>
      <c r="I228" s="312" t="s">
        <v>119</v>
      </c>
      <c r="J228" s="29">
        <v>1</v>
      </c>
      <c r="K228" s="9">
        <v>1</v>
      </c>
      <c r="L228" s="9">
        <v>1</v>
      </c>
      <c r="M228" s="9">
        <v>2</v>
      </c>
      <c r="N228" s="43">
        <v>2</v>
      </c>
      <c r="O228" s="265">
        <f t="shared" si="4"/>
        <v>0.35859414261160716</v>
      </c>
      <c r="P228" s="164" t="s">
        <v>120</v>
      </c>
      <c r="Q228" s="227">
        <v>2020</v>
      </c>
      <c r="R228" s="227">
        <v>6387</v>
      </c>
      <c r="S228" s="227" t="s">
        <v>94</v>
      </c>
      <c r="T228" s="227">
        <v>971</v>
      </c>
      <c r="U228" s="227">
        <v>1419</v>
      </c>
      <c r="V228" s="227">
        <v>5939</v>
      </c>
      <c r="W228" s="227">
        <v>0.19285131829301441</v>
      </c>
      <c r="X228" s="227">
        <v>0.80714868170698562</v>
      </c>
      <c r="Y228" s="100" t="s">
        <v>135</v>
      </c>
      <c r="Z228" s="29">
        <v>1</v>
      </c>
      <c r="AA228" s="9">
        <v>1</v>
      </c>
      <c r="AB228" s="9">
        <v>1</v>
      </c>
      <c r="AC228" s="9">
        <v>2</v>
      </c>
      <c r="AD228" s="43">
        <v>2</v>
      </c>
      <c r="AE228" s="55">
        <v>0.35859414261160716</v>
      </c>
      <c r="AF228" s="52" t="s">
        <v>120</v>
      </c>
    </row>
    <row r="229" spans="1:32">
      <c r="A229" s="227">
        <v>2012</v>
      </c>
      <c r="B229" s="227">
        <v>631</v>
      </c>
      <c r="C229" s="227" t="s">
        <v>95</v>
      </c>
      <c r="D229" s="227">
        <v>258</v>
      </c>
      <c r="E229" s="227">
        <v>259</v>
      </c>
      <c r="F229" s="227">
        <v>630</v>
      </c>
      <c r="G229" s="227">
        <v>0.29133858267716528</v>
      </c>
      <c r="H229" s="227">
        <v>0.70866141732283472</v>
      </c>
      <c r="I229" s="312" t="s">
        <v>119</v>
      </c>
      <c r="J229" s="29">
        <v>1</v>
      </c>
      <c r="K229" s="9">
        <v>1</v>
      </c>
      <c r="L229" s="9">
        <v>1</v>
      </c>
      <c r="M229" s="9">
        <v>2</v>
      </c>
      <c r="N229" s="43">
        <v>2</v>
      </c>
      <c r="O229" s="265">
        <f t="shared" si="4"/>
        <v>0.35859414261160716</v>
      </c>
      <c r="P229" s="164" t="s">
        <v>120</v>
      </c>
      <c r="Q229" s="227">
        <v>2020</v>
      </c>
      <c r="R229" s="227">
        <v>10055</v>
      </c>
      <c r="S229" s="227" t="s">
        <v>95</v>
      </c>
      <c r="T229" s="227">
        <v>490</v>
      </c>
      <c r="U229" s="227">
        <v>1186</v>
      </c>
      <c r="V229" s="227">
        <v>9359</v>
      </c>
      <c r="W229" s="227">
        <v>0.11247036510194409</v>
      </c>
      <c r="X229" s="227">
        <v>0.88752963489805592</v>
      </c>
      <c r="Y229" s="100" t="s">
        <v>135</v>
      </c>
      <c r="Z229" s="29">
        <v>1</v>
      </c>
      <c r="AA229" s="9">
        <v>1</v>
      </c>
      <c r="AB229" s="9">
        <v>1</v>
      </c>
      <c r="AC229" s="9">
        <v>2</v>
      </c>
      <c r="AD229" s="43">
        <v>2</v>
      </c>
      <c r="AE229" s="55">
        <v>0.35859414261160716</v>
      </c>
      <c r="AF229" s="52" t="s">
        <v>120</v>
      </c>
    </row>
    <row r="230" spans="1:32">
      <c r="A230" s="227">
        <v>2012</v>
      </c>
      <c r="B230" s="227">
        <v>1</v>
      </c>
      <c r="C230" s="227" t="s">
        <v>96</v>
      </c>
      <c r="D230" s="227">
        <v>44</v>
      </c>
      <c r="E230" s="227">
        <v>11</v>
      </c>
      <c r="F230" s="227">
        <v>34</v>
      </c>
      <c r="G230" s="227">
        <v>0.24444444444444441</v>
      </c>
      <c r="H230" s="227">
        <v>0.75555555555555554</v>
      </c>
      <c r="I230" s="312" t="s">
        <v>119</v>
      </c>
      <c r="J230" s="29">
        <v>1</v>
      </c>
      <c r="K230" s="9">
        <v>1</v>
      </c>
      <c r="L230" s="9">
        <v>1</v>
      </c>
      <c r="M230" s="9">
        <v>2</v>
      </c>
      <c r="N230" s="43">
        <v>2</v>
      </c>
      <c r="O230" s="265">
        <f t="shared" si="4"/>
        <v>0.35859414261160716</v>
      </c>
      <c r="P230" s="164" t="s">
        <v>120</v>
      </c>
      <c r="Q230" s="227">
        <v>2020</v>
      </c>
      <c r="R230" s="227">
        <v>1995</v>
      </c>
      <c r="S230" s="227" t="s">
        <v>96</v>
      </c>
      <c r="T230" s="227">
        <v>149</v>
      </c>
      <c r="U230" s="227">
        <v>350</v>
      </c>
      <c r="V230" s="227">
        <v>1794</v>
      </c>
      <c r="W230" s="227">
        <v>0.1632462686567164</v>
      </c>
      <c r="X230" s="227">
        <v>0.83675373134328357</v>
      </c>
      <c r="Y230" s="100" t="s">
        <v>135</v>
      </c>
      <c r="Z230" s="29">
        <v>1</v>
      </c>
      <c r="AA230" s="9">
        <v>1</v>
      </c>
      <c r="AB230" s="9">
        <v>1</v>
      </c>
      <c r="AC230" s="9">
        <v>2</v>
      </c>
      <c r="AD230" s="43">
        <v>2</v>
      </c>
      <c r="AE230" s="55">
        <v>0.35859414261160716</v>
      </c>
      <c r="AF230" s="52" t="s">
        <v>120</v>
      </c>
    </row>
    <row r="231" spans="1:32">
      <c r="A231" s="227">
        <v>2012</v>
      </c>
      <c r="B231" s="227">
        <v>191</v>
      </c>
      <c r="C231" s="227" t="s">
        <v>97</v>
      </c>
      <c r="D231" s="227">
        <v>38</v>
      </c>
      <c r="E231" s="227">
        <v>172</v>
      </c>
      <c r="F231" s="227">
        <v>57</v>
      </c>
      <c r="G231" s="227">
        <v>0.75109170305676853</v>
      </c>
      <c r="H231" s="227">
        <v>0.24890829694323149</v>
      </c>
      <c r="I231" s="312" t="s">
        <v>119</v>
      </c>
      <c r="J231" s="29">
        <v>1</v>
      </c>
      <c r="K231" s="9">
        <v>1</v>
      </c>
      <c r="L231" s="9">
        <v>1</v>
      </c>
      <c r="M231" s="9">
        <v>2</v>
      </c>
      <c r="N231" s="43">
        <v>2</v>
      </c>
      <c r="O231" s="265">
        <f t="shared" si="4"/>
        <v>0.35859414261160716</v>
      </c>
      <c r="P231" s="164" t="s">
        <v>120</v>
      </c>
      <c r="Q231" s="227">
        <v>2020</v>
      </c>
      <c r="R231" s="227">
        <v>1855</v>
      </c>
      <c r="S231" s="227" t="s">
        <v>97</v>
      </c>
      <c r="T231" s="227">
        <v>62</v>
      </c>
      <c r="U231" s="227">
        <v>96</v>
      </c>
      <c r="V231" s="227">
        <v>1821</v>
      </c>
      <c r="W231" s="227">
        <v>5.0078247261345847E-2</v>
      </c>
      <c r="X231" s="227">
        <v>0.94992175273865409</v>
      </c>
      <c r="Y231" s="100" t="s">
        <v>135</v>
      </c>
      <c r="Z231" s="29">
        <v>1</v>
      </c>
      <c r="AA231" s="9">
        <v>1</v>
      </c>
      <c r="AB231" s="9">
        <v>1</v>
      </c>
      <c r="AC231" s="9">
        <v>2</v>
      </c>
      <c r="AD231" s="43">
        <v>2</v>
      </c>
      <c r="AE231" s="55">
        <v>0.35859414261160716</v>
      </c>
      <c r="AF231" s="52" t="s">
        <v>120</v>
      </c>
    </row>
    <row r="232" spans="1:32">
      <c r="A232" s="227">
        <v>2012</v>
      </c>
      <c r="B232" s="227">
        <v>610</v>
      </c>
      <c r="C232" s="227" t="s">
        <v>98</v>
      </c>
      <c r="D232" s="227">
        <v>181</v>
      </c>
      <c r="E232" s="227">
        <v>682</v>
      </c>
      <c r="F232" s="227">
        <v>109</v>
      </c>
      <c r="G232" s="227">
        <v>0.86219974715549941</v>
      </c>
      <c r="H232" s="227">
        <v>0.13780025284450059</v>
      </c>
      <c r="I232" s="312" t="s">
        <v>119</v>
      </c>
      <c r="J232" s="29">
        <v>1</v>
      </c>
      <c r="K232" s="9">
        <v>1</v>
      </c>
      <c r="L232" s="9">
        <v>1</v>
      </c>
      <c r="M232" s="9">
        <v>2</v>
      </c>
      <c r="N232" s="43">
        <v>2</v>
      </c>
      <c r="O232" s="265">
        <f t="shared" si="4"/>
        <v>0.35859414261160716</v>
      </c>
      <c r="P232" s="164" t="s">
        <v>120</v>
      </c>
      <c r="Q232" s="227">
        <v>2020</v>
      </c>
      <c r="R232" s="227">
        <v>7974</v>
      </c>
      <c r="S232" s="227" t="s">
        <v>98</v>
      </c>
      <c r="T232" s="227">
        <v>378</v>
      </c>
      <c r="U232" s="227">
        <v>1704</v>
      </c>
      <c r="V232" s="227">
        <v>6648</v>
      </c>
      <c r="W232" s="227">
        <v>0.2040229885057471</v>
      </c>
      <c r="X232" s="227">
        <v>0.79597701149425282</v>
      </c>
      <c r="Y232" s="100" t="s">
        <v>135</v>
      </c>
      <c r="Z232" s="29">
        <v>1</v>
      </c>
      <c r="AA232" s="9">
        <v>1</v>
      </c>
      <c r="AB232" s="9">
        <v>1</v>
      </c>
      <c r="AC232" s="9">
        <v>2</v>
      </c>
      <c r="AD232" s="43">
        <v>2</v>
      </c>
      <c r="AE232" s="55">
        <v>0.35859414261160716</v>
      </c>
      <c r="AF232" s="52" t="s">
        <v>120</v>
      </c>
    </row>
    <row r="233" spans="1:32">
      <c r="A233" s="227">
        <v>2012</v>
      </c>
      <c r="B233" s="227">
        <v>208</v>
      </c>
      <c r="C233" s="227" t="s">
        <v>99</v>
      </c>
      <c r="D233" s="227">
        <v>77</v>
      </c>
      <c r="E233" s="227">
        <v>285</v>
      </c>
      <c r="F233" s="227">
        <v>0</v>
      </c>
      <c r="G233" s="227">
        <v>1</v>
      </c>
      <c r="H233" s="227">
        <v>0</v>
      </c>
      <c r="I233" s="312" t="s">
        <v>119</v>
      </c>
      <c r="J233" s="29">
        <v>1</v>
      </c>
      <c r="K233" s="9">
        <v>1</v>
      </c>
      <c r="L233" s="9">
        <v>1</v>
      </c>
      <c r="M233" s="9">
        <v>2</v>
      </c>
      <c r="N233" s="43">
        <v>2</v>
      </c>
      <c r="O233" s="265">
        <f t="shared" si="4"/>
        <v>0.35859414261160716</v>
      </c>
      <c r="P233" s="164" t="s">
        <v>120</v>
      </c>
      <c r="Q233" s="227">
        <v>2020</v>
      </c>
      <c r="R233" s="227">
        <v>2519</v>
      </c>
      <c r="S233" s="227" t="s">
        <v>99</v>
      </c>
      <c r="T233" s="227">
        <v>853</v>
      </c>
      <c r="U233" s="227">
        <v>407</v>
      </c>
      <c r="V233" s="227">
        <v>2965</v>
      </c>
      <c r="W233" s="227">
        <v>0.120699881376038</v>
      </c>
      <c r="X233" s="227">
        <v>0.87930011862396207</v>
      </c>
      <c r="Y233" s="100" t="s">
        <v>135</v>
      </c>
      <c r="Z233" s="29">
        <v>1</v>
      </c>
      <c r="AA233" s="9">
        <v>1</v>
      </c>
      <c r="AB233" s="9">
        <v>1</v>
      </c>
      <c r="AC233" s="9">
        <v>2</v>
      </c>
      <c r="AD233" s="43">
        <v>2</v>
      </c>
      <c r="AE233" s="55">
        <v>0.35859414261160716</v>
      </c>
      <c r="AF233" s="52" t="s">
        <v>120</v>
      </c>
    </row>
    <row r="234" spans="1:32">
      <c r="A234" s="227">
        <v>2012</v>
      </c>
      <c r="B234" s="227">
        <v>143</v>
      </c>
      <c r="C234" s="227" t="s">
        <v>102</v>
      </c>
      <c r="D234" s="227">
        <v>20</v>
      </c>
      <c r="E234" s="227">
        <v>163</v>
      </c>
      <c r="F234" s="227">
        <v>0</v>
      </c>
      <c r="G234" s="227">
        <v>1</v>
      </c>
      <c r="H234" s="227">
        <v>0</v>
      </c>
      <c r="I234" s="312" t="s">
        <v>119</v>
      </c>
      <c r="J234" s="29">
        <v>1</v>
      </c>
      <c r="K234" s="9">
        <v>1</v>
      </c>
      <c r="L234" s="9">
        <v>1</v>
      </c>
      <c r="M234" s="9">
        <v>2</v>
      </c>
      <c r="N234" s="43">
        <v>2</v>
      </c>
      <c r="O234" s="265">
        <f t="shared" si="4"/>
        <v>0.35859414261160716</v>
      </c>
      <c r="P234" s="164" t="s">
        <v>120</v>
      </c>
      <c r="Q234" s="227">
        <v>2020</v>
      </c>
      <c r="R234" s="227">
        <v>661</v>
      </c>
      <c r="S234" s="227" t="s">
        <v>102</v>
      </c>
      <c r="T234" s="227">
        <v>172</v>
      </c>
      <c r="U234" s="227">
        <v>199</v>
      </c>
      <c r="V234" s="227">
        <v>634</v>
      </c>
      <c r="W234" s="227">
        <v>0.23889555822328931</v>
      </c>
      <c r="X234" s="227">
        <v>0.76110444177671066</v>
      </c>
      <c r="Y234" s="100" t="s">
        <v>135</v>
      </c>
      <c r="Z234" s="29">
        <v>1</v>
      </c>
      <c r="AA234" s="9">
        <v>1</v>
      </c>
      <c r="AB234" s="9">
        <v>1</v>
      </c>
      <c r="AC234" s="9">
        <v>2</v>
      </c>
      <c r="AD234" s="43">
        <v>2</v>
      </c>
      <c r="AE234" s="55">
        <v>0.35859414261160716</v>
      </c>
      <c r="AF234" s="52" t="s">
        <v>120</v>
      </c>
    </row>
    <row r="235" spans="1:32">
      <c r="A235" s="227">
        <v>2012</v>
      </c>
      <c r="B235" s="227">
        <v>306</v>
      </c>
      <c r="C235" s="227" t="s">
        <v>104</v>
      </c>
      <c r="D235" s="227">
        <v>46</v>
      </c>
      <c r="E235" s="227">
        <v>238</v>
      </c>
      <c r="F235" s="227">
        <v>114</v>
      </c>
      <c r="G235" s="227">
        <v>0.67613636363636365</v>
      </c>
      <c r="H235" s="227">
        <v>0.32386363636363641</v>
      </c>
      <c r="I235" s="312" t="s">
        <v>119</v>
      </c>
      <c r="J235" s="29">
        <v>1</v>
      </c>
      <c r="K235" s="9">
        <v>1</v>
      </c>
      <c r="L235" s="9">
        <v>1</v>
      </c>
      <c r="M235" s="9">
        <v>2</v>
      </c>
      <c r="N235" s="43">
        <v>2</v>
      </c>
      <c r="O235" s="265">
        <f t="shared" si="4"/>
        <v>0.35859414261160716</v>
      </c>
      <c r="P235" s="164" t="s">
        <v>120</v>
      </c>
      <c r="Q235" s="227">
        <v>2020</v>
      </c>
      <c r="R235" s="227">
        <v>1130</v>
      </c>
      <c r="S235" s="227" t="s">
        <v>104</v>
      </c>
      <c r="T235" s="227">
        <v>88</v>
      </c>
      <c r="U235" s="227">
        <v>274</v>
      </c>
      <c r="V235" s="227">
        <v>944</v>
      </c>
      <c r="W235" s="227">
        <v>0.22495894909688011</v>
      </c>
      <c r="X235" s="227">
        <v>0.77504105090311981</v>
      </c>
      <c r="Y235" s="100" t="s">
        <v>135</v>
      </c>
      <c r="Z235" s="29">
        <v>1</v>
      </c>
      <c r="AA235" s="9">
        <v>1</v>
      </c>
      <c r="AB235" s="9">
        <v>1</v>
      </c>
      <c r="AC235" s="9">
        <v>2</v>
      </c>
      <c r="AD235" s="43">
        <v>2</v>
      </c>
      <c r="AE235" s="55">
        <v>0.35859414261160716</v>
      </c>
      <c r="AF235" s="52" t="s">
        <v>120</v>
      </c>
    </row>
    <row r="236" spans="1:32">
      <c r="A236" s="227">
        <v>2012</v>
      </c>
      <c r="B236" s="227">
        <v>232</v>
      </c>
      <c r="C236" s="227" t="s">
        <v>105</v>
      </c>
      <c r="D236" s="227">
        <v>187</v>
      </c>
      <c r="E236" s="227">
        <v>308</v>
      </c>
      <c r="F236" s="227">
        <v>111</v>
      </c>
      <c r="G236" s="227">
        <v>0.73508353221957046</v>
      </c>
      <c r="H236" s="227">
        <v>0.26491646778042949</v>
      </c>
      <c r="I236" s="312" t="s">
        <v>119</v>
      </c>
      <c r="J236" s="29">
        <v>1</v>
      </c>
      <c r="K236" s="9">
        <v>1</v>
      </c>
      <c r="L236" s="9">
        <v>1</v>
      </c>
      <c r="M236" s="9">
        <v>2</v>
      </c>
      <c r="N236" s="43">
        <v>2</v>
      </c>
      <c r="O236" s="265">
        <f t="shared" si="4"/>
        <v>0.35859414261160716</v>
      </c>
      <c r="P236" s="164" t="s">
        <v>120</v>
      </c>
      <c r="Q236" s="227">
        <v>2020</v>
      </c>
      <c r="R236" s="227">
        <v>2463</v>
      </c>
      <c r="S236" s="227" t="s">
        <v>105</v>
      </c>
      <c r="T236" s="227">
        <v>418</v>
      </c>
      <c r="U236" s="227">
        <v>1073</v>
      </c>
      <c r="V236" s="227">
        <v>1808</v>
      </c>
      <c r="W236" s="227">
        <v>0.37244012495661227</v>
      </c>
      <c r="X236" s="227">
        <v>0.62755987504338773</v>
      </c>
      <c r="Y236" s="100" t="s">
        <v>135</v>
      </c>
      <c r="Z236" s="29">
        <v>1</v>
      </c>
      <c r="AA236" s="9">
        <v>1</v>
      </c>
      <c r="AB236" s="9">
        <v>1</v>
      </c>
      <c r="AC236" s="9">
        <v>2</v>
      </c>
      <c r="AD236" s="43">
        <v>2</v>
      </c>
      <c r="AE236" s="55">
        <v>0.35859414261160716</v>
      </c>
      <c r="AF236" s="52" t="s">
        <v>120</v>
      </c>
    </row>
    <row r="237" spans="1:32">
      <c r="A237" s="227">
        <v>2012</v>
      </c>
      <c r="B237" s="227">
        <v>221</v>
      </c>
      <c r="C237" s="227" t="s">
        <v>103</v>
      </c>
      <c r="D237" s="227">
        <v>55</v>
      </c>
      <c r="E237" s="227">
        <v>276</v>
      </c>
      <c r="F237" s="227">
        <v>0</v>
      </c>
      <c r="G237" s="227">
        <v>1</v>
      </c>
      <c r="H237" s="227">
        <v>0</v>
      </c>
      <c r="I237" s="312" t="s">
        <v>119</v>
      </c>
      <c r="J237" s="29">
        <v>1</v>
      </c>
      <c r="K237" s="9">
        <v>1</v>
      </c>
      <c r="L237" s="9">
        <v>1</v>
      </c>
      <c r="M237" s="9">
        <v>2</v>
      </c>
      <c r="N237" s="43">
        <v>2</v>
      </c>
      <c r="O237" s="265">
        <f t="shared" si="4"/>
        <v>0.35859414261160716</v>
      </c>
      <c r="P237" s="164" t="s">
        <v>120</v>
      </c>
      <c r="Q237" s="227">
        <v>2020</v>
      </c>
      <c r="R237" s="227">
        <v>2139</v>
      </c>
      <c r="S237" s="227" t="s">
        <v>103</v>
      </c>
      <c r="T237" s="227">
        <v>292</v>
      </c>
      <c r="U237" s="227">
        <v>602</v>
      </c>
      <c r="V237" s="227">
        <v>1829</v>
      </c>
      <c r="W237" s="227">
        <v>0.24763471822295349</v>
      </c>
      <c r="X237" s="227">
        <v>0.75236528177704654</v>
      </c>
      <c r="Y237" s="100" t="s">
        <v>135</v>
      </c>
      <c r="Z237" s="29">
        <v>1</v>
      </c>
      <c r="AA237" s="9">
        <v>1</v>
      </c>
      <c r="AB237" s="9">
        <v>1</v>
      </c>
      <c r="AC237" s="9">
        <v>2</v>
      </c>
      <c r="AD237" s="43">
        <v>2</v>
      </c>
      <c r="AE237" s="55">
        <v>0.35859414261160716</v>
      </c>
      <c r="AF237" s="52" t="s">
        <v>120</v>
      </c>
    </row>
    <row r="238" spans="1:32">
      <c r="A238" s="227">
        <v>2012</v>
      </c>
      <c r="B238" s="227">
        <v>86</v>
      </c>
      <c r="C238" s="227" t="s">
        <v>101</v>
      </c>
      <c r="D238" s="227">
        <v>28</v>
      </c>
      <c r="E238" s="227">
        <v>88</v>
      </c>
      <c r="F238" s="227">
        <v>26</v>
      </c>
      <c r="G238" s="227">
        <v>0.77192982456140347</v>
      </c>
      <c r="H238" s="227">
        <v>0.22807017543859651</v>
      </c>
      <c r="I238" s="312" t="s">
        <v>119</v>
      </c>
      <c r="J238" s="29">
        <v>1</v>
      </c>
      <c r="K238" s="9">
        <v>1</v>
      </c>
      <c r="L238" s="9">
        <v>1</v>
      </c>
      <c r="M238" s="9">
        <v>2</v>
      </c>
      <c r="N238" s="43">
        <v>2</v>
      </c>
      <c r="O238" s="265">
        <f t="shared" si="4"/>
        <v>0.35859414261160716</v>
      </c>
      <c r="P238" s="164" t="s">
        <v>120</v>
      </c>
      <c r="Q238" s="227">
        <v>2020</v>
      </c>
      <c r="R238" s="227">
        <v>3825</v>
      </c>
      <c r="S238" s="227" t="s">
        <v>101</v>
      </c>
      <c r="T238" s="227">
        <v>66</v>
      </c>
      <c r="U238" s="227">
        <v>465</v>
      </c>
      <c r="V238" s="227">
        <v>3426</v>
      </c>
      <c r="W238" s="227">
        <v>0.1195065535851966</v>
      </c>
      <c r="X238" s="227">
        <v>0.88049344641480343</v>
      </c>
      <c r="Y238" s="100" t="s">
        <v>135</v>
      </c>
      <c r="Z238" s="29">
        <v>1</v>
      </c>
      <c r="AA238" s="9">
        <v>1</v>
      </c>
      <c r="AB238" s="9">
        <v>1</v>
      </c>
      <c r="AC238" s="9">
        <v>2</v>
      </c>
      <c r="AD238" s="43">
        <v>2</v>
      </c>
      <c r="AE238" s="55">
        <v>0.35859414261160716</v>
      </c>
      <c r="AF238" s="52" t="s">
        <v>120</v>
      </c>
    </row>
    <row r="239" spans="1:32">
      <c r="A239" s="227">
        <v>2012</v>
      </c>
      <c r="B239" s="227">
        <v>2322</v>
      </c>
      <c r="C239" s="227" t="s">
        <v>106</v>
      </c>
      <c r="D239" s="227">
        <v>922</v>
      </c>
      <c r="E239" s="227">
        <v>3244</v>
      </c>
      <c r="F239" s="227">
        <v>0</v>
      </c>
      <c r="G239" s="227">
        <v>1</v>
      </c>
      <c r="H239" s="227">
        <v>0</v>
      </c>
      <c r="I239" s="312" t="s">
        <v>119</v>
      </c>
      <c r="J239" s="29">
        <v>1</v>
      </c>
      <c r="K239" s="9">
        <v>1</v>
      </c>
      <c r="L239" s="9">
        <v>1</v>
      </c>
      <c r="M239" s="9">
        <v>2</v>
      </c>
      <c r="N239" s="43">
        <v>2</v>
      </c>
      <c r="O239" s="265">
        <f t="shared" si="4"/>
        <v>0.35859414261160716</v>
      </c>
      <c r="P239" s="164" t="s">
        <v>120</v>
      </c>
      <c r="Q239" s="227">
        <v>2020</v>
      </c>
      <c r="R239" s="227">
        <v>13872</v>
      </c>
      <c r="S239" s="227" t="s">
        <v>106</v>
      </c>
      <c r="T239" s="227">
        <v>1580</v>
      </c>
      <c r="U239" s="227">
        <v>5860</v>
      </c>
      <c r="V239" s="227">
        <v>9592</v>
      </c>
      <c r="W239" s="227">
        <v>0.37923893347139531</v>
      </c>
      <c r="X239" s="227">
        <v>0.62076106652860474</v>
      </c>
      <c r="Y239" s="100" t="s">
        <v>135</v>
      </c>
      <c r="Z239" s="29">
        <v>1</v>
      </c>
      <c r="AA239" s="9">
        <v>1</v>
      </c>
      <c r="AB239" s="9">
        <v>1</v>
      </c>
      <c r="AC239" s="9">
        <v>2</v>
      </c>
      <c r="AD239" s="43">
        <v>2</v>
      </c>
      <c r="AE239" s="55">
        <v>0.35859414261160716</v>
      </c>
      <c r="AF239" s="52" t="s">
        <v>120</v>
      </c>
    </row>
    <row r="240" spans="1:32">
      <c r="A240" s="227">
        <v>2013</v>
      </c>
      <c r="B240" s="227">
        <v>1347</v>
      </c>
      <c r="C240" s="227" t="s">
        <v>93</v>
      </c>
      <c r="D240" s="227">
        <v>984</v>
      </c>
      <c r="E240" s="227">
        <v>1727</v>
      </c>
      <c r="F240" s="227">
        <v>604</v>
      </c>
      <c r="G240" s="227">
        <v>0.74088374088374087</v>
      </c>
      <c r="H240" s="227">
        <v>0.25911625911625907</v>
      </c>
      <c r="I240" s="312" t="s">
        <v>119</v>
      </c>
      <c r="J240" s="29">
        <v>1</v>
      </c>
      <c r="K240" s="9">
        <v>1</v>
      </c>
      <c r="L240" s="9">
        <v>1</v>
      </c>
      <c r="M240" s="9">
        <v>2</v>
      </c>
      <c r="N240" s="43">
        <v>2</v>
      </c>
      <c r="O240" s="265">
        <f t="shared" si="4"/>
        <v>0.35859414261160716</v>
      </c>
      <c r="P240" s="164" t="s">
        <v>120</v>
      </c>
      <c r="Q240" s="227">
        <v>2021</v>
      </c>
      <c r="R240" s="227">
        <v>13666</v>
      </c>
      <c r="S240" s="227" t="s">
        <v>93</v>
      </c>
      <c r="T240" s="227">
        <v>2883</v>
      </c>
      <c r="U240" s="227">
        <v>2568</v>
      </c>
      <c r="V240" s="227">
        <v>13981</v>
      </c>
      <c r="W240" s="227">
        <v>0.15517553930751099</v>
      </c>
      <c r="X240" s="227">
        <v>0.84482446069248895</v>
      </c>
      <c r="Y240" s="100" t="s">
        <v>135</v>
      </c>
      <c r="Z240" s="29">
        <v>1</v>
      </c>
      <c r="AA240" s="9">
        <v>1</v>
      </c>
      <c r="AB240" s="9">
        <v>1</v>
      </c>
      <c r="AC240" s="9">
        <v>2</v>
      </c>
      <c r="AD240" s="43">
        <v>2</v>
      </c>
      <c r="AE240" s="55">
        <v>0.35859414261160716</v>
      </c>
      <c r="AF240" s="52" t="s">
        <v>120</v>
      </c>
    </row>
    <row r="241" spans="1:32">
      <c r="A241" s="227">
        <v>2013</v>
      </c>
      <c r="B241" s="227">
        <v>290</v>
      </c>
      <c r="C241" s="227" t="s">
        <v>94</v>
      </c>
      <c r="D241" s="227">
        <v>222</v>
      </c>
      <c r="E241" s="227">
        <v>396</v>
      </c>
      <c r="F241" s="227">
        <v>116</v>
      </c>
      <c r="G241" s="227">
        <v>0.7734375</v>
      </c>
      <c r="H241" s="227">
        <v>0.2265625</v>
      </c>
      <c r="I241" s="312" t="s">
        <v>119</v>
      </c>
      <c r="J241" s="29">
        <v>1</v>
      </c>
      <c r="K241" s="9">
        <v>1</v>
      </c>
      <c r="L241" s="9">
        <v>1</v>
      </c>
      <c r="M241" s="9">
        <v>2</v>
      </c>
      <c r="N241" s="43">
        <v>2</v>
      </c>
      <c r="O241" s="265">
        <f t="shared" si="4"/>
        <v>0.35859414261160716</v>
      </c>
      <c r="P241" s="164" t="s">
        <v>120</v>
      </c>
      <c r="Q241" s="227">
        <v>2021</v>
      </c>
      <c r="R241" s="227">
        <v>6722</v>
      </c>
      <c r="S241" s="227" t="s">
        <v>94</v>
      </c>
      <c r="T241" s="227">
        <v>1213</v>
      </c>
      <c r="U241" s="227">
        <v>1136</v>
      </c>
      <c r="V241" s="227">
        <v>6799</v>
      </c>
      <c r="W241" s="227">
        <v>0.14316320100819149</v>
      </c>
      <c r="X241" s="227">
        <v>0.85683679899180842</v>
      </c>
      <c r="Y241" s="100" t="s">
        <v>135</v>
      </c>
      <c r="Z241" s="29">
        <v>1</v>
      </c>
      <c r="AA241" s="9">
        <v>1</v>
      </c>
      <c r="AB241" s="9">
        <v>1</v>
      </c>
      <c r="AC241" s="9">
        <v>2</v>
      </c>
      <c r="AD241" s="43">
        <v>2</v>
      </c>
      <c r="AE241" s="55">
        <v>0.35859414261160716</v>
      </c>
      <c r="AF241" s="52" t="s">
        <v>120</v>
      </c>
    </row>
    <row r="242" spans="1:32">
      <c r="A242" s="227">
        <v>2013</v>
      </c>
      <c r="B242" s="227">
        <v>613</v>
      </c>
      <c r="C242" s="227" t="s">
        <v>95</v>
      </c>
      <c r="D242" s="227">
        <v>232</v>
      </c>
      <c r="E242" s="227">
        <v>257</v>
      </c>
      <c r="F242" s="227">
        <v>588</v>
      </c>
      <c r="G242" s="227">
        <v>0.30414201183431949</v>
      </c>
      <c r="H242" s="227">
        <v>0.69585798816568045</v>
      </c>
      <c r="I242" s="312" t="s">
        <v>119</v>
      </c>
      <c r="J242" s="29">
        <v>1</v>
      </c>
      <c r="K242" s="9">
        <v>1</v>
      </c>
      <c r="L242" s="9">
        <v>1</v>
      </c>
      <c r="M242" s="9">
        <v>2</v>
      </c>
      <c r="N242" s="43">
        <v>2</v>
      </c>
      <c r="O242" s="265">
        <f t="shared" si="4"/>
        <v>0.35859414261160716</v>
      </c>
      <c r="P242" s="164" t="s">
        <v>120</v>
      </c>
      <c r="Q242" s="227">
        <v>2021</v>
      </c>
      <c r="R242" s="227">
        <v>9482</v>
      </c>
      <c r="S242" s="227" t="s">
        <v>95</v>
      </c>
      <c r="T242" s="227">
        <v>617</v>
      </c>
      <c r="U242" s="227">
        <v>998</v>
      </c>
      <c r="V242" s="227">
        <v>9101</v>
      </c>
      <c r="W242" s="227">
        <v>9.8821665511436771E-2</v>
      </c>
      <c r="X242" s="227">
        <v>0.90117833448856322</v>
      </c>
      <c r="Y242" s="100" t="s">
        <v>135</v>
      </c>
      <c r="Z242" s="29">
        <v>1</v>
      </c>
      <c r="AA242" s="9">
        <v>1</v>
      </c>
      <c r="AB242" s="9">
        <v>1</v>
      </c>
      <c r="AC242" s="9">
        <v>2</v>
      </c>
      <c r="AD242" s="43">
        <v>2</v>
      </c>
      <c r="AE242" s="55">
        <v>0.35859414261160716</v>
      </c>
      <c r="AF242" s="52" t="s">
        <v>120</v>
      </c>
    </row>
    <row r="243" spans="1:32">
      <c r="A243" s="227">
        <v>2013</v>
      </c>
      <c r="B243" s="227">
        <v>1</v>
      </c>
      <c r="C243" s="227" t="s">
        <v>96</v>
      </c>
      <c r="D243" s="227">
        <v>47</v>
      </c>
      <c r="E243" s="227">
        <v>13</v>
      </c>
      <c r="F243" s="227">
        <v>35</v>
      </c>
      <c r="G243" s="227">
        <v>0.27083333333333331</v>
      </c>
      <c r="H243" s="227">
        <v>0.72916666666666674</v>
      </c>
      <c r="I243" s="312" t="s">
        <v>119</v>
      </c>
      <c r="J243" s="29">
        <v>1</v>
      </c>
      <c r="K243" s="9">
        <v>1</v>
      </c>
      <c r="L243" s="9">
        <v>1</v>
      </c>
      <c r="M243" s="9">
        <v>2</v>
      </c>
      <c r="N243" s="43">
        <v>2</v>
      </c>
      <c r="O243" s="265">
        <f t="shared" si="4"/>
        <v>0.35859414261160716</v>
      </c>
      <c r="P243" s="164" t="s">
        <v>120</v>
      </c>
      <c r="Q243" s="227">
        <v>2021</v>
      </c>
      <c r="R243" s="227">
        <v>2057</v>
      </c>
      <c r="S243" s="227" t="s">
        <v>96</v>
      </c>
      <c r="T243" s="227">
        <v>117</v>
      </c>
      <c r="U243" s="227">
        <v>353</v>
      </c>
      <c r="V243" s="227">
        <v>1821</v>
      </c>
      <c r="W243" s="227">
        <v>0.16237350505979761</v>
      </c>
      <c r="X243" s="227">
        <v>0.83762649494020236</v>
      </c>
      <c r="Y243" s="100" t="s">
        <v>135</v>
      </c>
      <c r="Z243" s="29">
        <v>1</v>
      </c>
      <c r="AA243" s="9">
        <v>1</v>
      </c>
      <c r="AB243" s="9">
        <v>1</v>
      </c>
      <c r="AC243" s="9">
        <v>2</v>
      </c>
      <c r="AD243" s="43">
        <v>2</v>
      </c>
      <c r="AE243" s="55">
        <v>0.35859414261160716</v>
      </c>
      <c r="AF243" s="52" t="s">
        <v>120</v>
      </c>
    </row>
    <row r="244" spans="1:32">
      <c r="A244" s="227">
        <v>2013</v>
      </c>
      <c r="B244" s="227">
        <v>191</v>
      </c>
      <c r="C244" s="227" t="s">
        <v>97</v>
      </c>
      <c r="D244" s="227">
        <v>37</v>
      </c>
      <c r="E244" s="227">
        <v>172</v>
      </c>
      <c r="F244" s="227">
        <v>56</v>
      </c>
      <c r="G244" s="227">
        <v>0.75438596491228072</v>
      </c>
      <c r="H244" s="227">
        <v>0.24561403508771931</v>
      </c>
      <c r="I244" s="312" t="s">
        <v>119</v>
      </c>
      <c r="J244" s="29">
        <v>1</v>
      </c>
      <c r="K244" s="9">
        <v>1</v>
      </c>
      <c r="L244" s="9">
        <v>1</v>
      </c>
      <c r="M244" s="9">
        <v>2</v>
      </c>
      <c r="N244" s="43">
        <v>2</v>
      </c>
      <c r="O244" s="265">
        <f t="shared" si="4"/>
        <v>0.35859414261160716</v>
      </c>
      <c r="P244" s="164" t="s">
        <v>120</v>
      </c>
      <c r="Q244" s="227">
        <v>2021</v>
      </c>
      <c r="R244" s="227">
        <v>1923</v>
      </c>
      <c r="S244" s="227" t="s">
        <v>97</v>
      </c>
      <c r="T244" s="227">
        <v>180</v>
      </c>
      <c r="U244" s="227">
        <v>78</v>
      </c>
      <c r="V244" s="227">
        <v>2025</v>
      </c>
      <c r="W244" s="227">
        <v>3.7089871611982878E-2</v>
      </c>
      <c r="X244" s="227">
        <v>0.96291012838801715</v>
      </c>
      <c r="Y244" s="100" t="s">
        <v>135</v>
      </c>
      <c r="Z244" s="29">
        <v>1</v>
      </c>
      <c r="AA244" s="9">
        <v>1</v>
      </c>
      <c r="AB244" s="9">
        <v>1</v>
      </c>
      <c r="AC244" s="9">
        <v>2</v>
      </c>
      <c r="AD244" s="43">
        <v>2</v>
      </c>
      <c r="AE244" s="55">
        <v>0.35859414261160716</v>
      </c>
      <c r="AF244" s="52" t="s">
        <v>120</v>
      </c>
    </row>
    <row r="245" spans="1:32">
      <c r="A245" s="227">
        <v>2013</v>
      </c>
      <c r="B245" s="227">
        <v>610</v>
      </c>
      <c r="C245" s="227" t="s">
        <v>98</v>
      </c>
      <c r="D245" s="227">
        <v>164</v>
      </c>
      <c r="E245" s="227">
        <v>684</v>
      </c>
      <c r="F245" s="227">
        <v>90</v>
      </c>
      <c r="G245" s="227">
        <v>0.88372093023255816</v>
      </c>
      <c r="H245" s="227">
        <v>0.1162790697674418</v>
      </c>
      <c r="I245" s="312" t="s">
        <v>119</v>
      </c>
      <c r="J245" s="29">
        <v>1</v>
      </c>
      <c r="K245" s="9">
        <v>1</v>
      </c>
      <c r="L245" s="9">
        <v>1</v>
      </c>
      <c r="M245" s="9">
        <v>2</v>
      </c>
      <c r="N245" s="43">
        <v>2</v>
      </c>
      <c r="O245" s="265">
        <f t="shared" si="4"/>
        <v>0.35859414261160716</v>
      </c>
      <c r="P245" s="164" t="s">
        <v>120</v>
      </c>
      <c r="Q245" s="227">
        <v>2021</v>
      </c>
      <c r="R245" s="227">
        <v>7971</v>
      </c>
      <c r="S245" s="227" t="s">
        <v>98</v>
      </c>
      <c r="T245" s="227">
        <v>508</v>
      </c>
      <c r="U245" s="227">
        <v>1465</v>
      </c>
      <c r="V245" s="227">
        <v>7014</v>
      </c>
      <c r="W245" s="227">
        <v>0.17277980893973349</v>
      </c>
      <c r="X245" s="227">
        <v>0.82722019106026656</v>
      </c>
      <c r="Y245" s="100" t="s">
        <v>135</v>
      </c>
      <c r="Z245" s="29">
        <v>1</v>
      </c>
      <c r="AA245" s="9">
        <v>1</v>
      </c>
      <c r="AB245" s="9">
        <v>1</v>
      </c>
      <c r="AC245" s="9">
        <v>2</v>
      </c>
      <c r="AD245" s="43">
        <v>2</v>
      </c>
      <c r="AE245" s="55">
        <v>0.35859414261160716</v>
      </c>
      <c r="AF245" s="52" t="s">
        <v>120</v>
      </c>
    </row>
    <row r="246" spans="1:32">
      <c r="A246" s="227">
        <v>2013</v>
      </c>
      <c r="B246" s="227">
        <v>343</v>
      </c>
      <c r="C246" s="227" t="s">
        <v>99</v>
      </c>
      <c r="D246" s="227">
        <v>40</v>
      </c>
      <c r="E246" s="227">
        <v>383</v>
      </c>
      <c r="F246" s="227">
        <v>0</v>
      </c>
      <c r="G246" s="227">
        <v>1</v>
      </c>
      <c r="H246" s="227">
        <v>0</v>
      </c>
      <c r="I246" s="312" t="s">
        <v>119</v>
      </c>
      <c r="J246" s="29">
        <v>1</v>
      </c>
      <c r="K246" s="9">
        <v>1</v>
      </c>
      <c r="L246" s="9">
        <v>1</v>
      </c>
      <c r="M246" s="9">
        <v>2</v>
      </c>
      <c r="N246" s="43">
        <v>2</v>
      </c>
      <c r="O246" s="265">
        <f t="shared" si="4"/>
        <v>0.35859414261160716</v>
      </c>
      <c r="P246" s="164" t="s">
        <v>120</v>
      </c>
      <c r="Q246" s="227">
        <v>2021</v>
      </c>
      <c r="R246" s="227">
        <v>2802</v>
      </c>
      <c r="S246" s="227" t="s">
        <v>99</v>
      </c>
      <c r="T246" s="227">
        <v>824</v>
      </c>
      <c r="U246" s="227">
        <v>469</v>
      </c>
      <c r="V246" s="227">
        <v>3157</v>
      </c>
      <c r="W246" s="227">
        <v>0.12934362934362931</v>
      </c>
      <c r="X246" s="227">
        <v>0.87065637065637069</v>
      </c>
      <c r="Y246" s="100" t="s">
        <v>135</v>
      </c>
      <c r="Z246" s="29">
        <v>1</v>
      </c>
      <c r="AA246" s="9">
        <v>1</v>
      </c>
      <c r="AB246" s="9">
        <v>1</v>
      </c>
      <c r="AC246" s="9">
        <v>2</v>
      </c>
      <c r="AD246" s="43">
        <v>2</v>
      </c>
      <c r="AE246" s="55">
        <v>0.35859414261160716</v>
      </c>
      <c r="AF246" s="52" t="s">
        <v>120</v>
      </c>
    </row>
    <row r="247" spans="1:32">
      <c r="A247" s="227">
        <v>2013</v>
      </c>
      <c r="B247" s="227">
        <v>156</v>
      </c>
      <c r="C247" s="227" t="s">
        <v>102</v>
      </c>
      <c r="D247" s="227">
        <v>15</v>
      </c>
      <c r="E247" s="227">
        <v>171</v>
      </c>
      <c r="F247" s="227">
        <v>0</v>
      </c>
      <c r="G247" s="227">
        <v>1</v>
      </c>
      <c r="H247" s="227">
        <v>0</v>
      </c>
      <c r="I247" s="312" t="s">
        <v>119</v>
      </c>
      <c r="J247" s="29">
        <v>1</v>
      </c>
      <c r="K247" s="9">
        <v>1</v>
      </c>
      <c r="L247" s="9">
        <v>1</v>
      </c>
      <c r="M247" s="9">
        <v>2</v>
      </c>
      <c r="N247" s="43">
        <v>2</v>
      </c>
      <c r="O247" s="265">
        <f t="shared" si="4"/>
        <v>0.35859414261160716</v>
      </c>
      <c r="P247" s="164" t="s">
        <v>120</v>
      </c>
      <c r="Q247" s="227">
        <v>2021</v>
      </c>
      <c r="R247" s="227">
        <v>710</v>
      </c>
      <c r="S247" s="227" t="s">
        <v>102</v>
      </c>
      <c r="T247" s="227">
        <v>228</v>
      </c>
      <c r="U247" s="227">
        <v>267</v>
      </c>
      <c r="V247" s="227">
        <v>671</v>
      </c>
      <c r="W247" s="227">
        <v>0.28464818763326227</v>
      </c>
      <c r="X247" s="227">
        <v>0.71535181236673773</v>
      </c>
      <c r="Y247" s="100" t="s">
        <v>135</v>
      </c>
      <c r="Z247" s="29">
        <v>1</v>
      </c>
      <c r="AA247" s="9">
        <v>1</v>
      </c>
      <c r="AB247" s="9">
        <v>1</v>
      </c>
      <c r="AC247" s="9">
        <v>2</v>
      </c>
      <c r="AD247" s="43">
        <v>2</v>
      </c>
      <c r="AE247" s="55">
        <v>0.35859414261160716</v>
      </c>
      <c r="AF247" s="52" t="s">
        <v>120</v>
      </c>
    </row>
    <row r="248" spans="1:32">
      <c r="A248" s="227">
        <v>2013</v>
      </c>
      <c r="B248" s="227">
        <v>337</v>
      </c>
      <c r="C248" s="227" t="s">
        <v>104</v>
      </c>
      <c r="D248" s="227">
        <v>42</v>
      </c>
      <c r="E248" s="227">
        <v>233</v>
      </c>
      <c r="F248" s="227">
        <v>146</v>
      </c>
      <c r="G248" s="227">
        <v>0.61477572559366755</v>
      </c>
      <c r="H248" s="227">
        <v>0.38522427440633239</v>
      </c>
      <c r="I248" s="312" t="s">
        <v>119</v>
      </c>
      <c r="J248" s="29">
        <v>1</v>
      </c>
      <c r="K248" s="9">
        <v>1</v>
      </c>
      <c r="L248" s="9">
        <v>1</v>
      </c>
      <c r="M248" s="9">
        <v>2</v>
      </c>
      <c r="N248" s="43">
        <v>2</v>
      </c>
      <c r="O248" s="265">
        <f t="shared" si="4"/>
        <v>0.35859414261160716</v>
      </c>
      <c r="P248" s="164" t="s">
        <v>120</v>
      </c>
      <c r="Q248" s="227">
        <v>2021</v>
      </c>
      <c r="R248" s="227">
        <v>1323</v>
      </c>
      <c r="S248" s="227" t="s">
        <v>104</v>
      </c>
      <c r="T248" s="227">
        <v>103</v>
      </c>
      <c r="U248" s="227">
        <v>280</v>
      </c>
      <c r="V248" s="227">
        <v>1146</v>
      </c>
      <c r="W248" s="227">
        <v>0.19635343618513321</v>
      </c>
      <c r="X248" s="227">
        <v>0.80364656381486677</v>
      </c>
      <c r="Y248" s="100" t="s">
        <v>135</v>
      </c>
      <c r="Z248" s="29">
        <v>1</v>
      </c>
      <c r="AA248" s="9">
        <v>1</v>
      </c>
      <c r="AB248" s="9">
        <v>1</v>
      </c>
      <c r="AC248" s="9">
        <v>2</v>
      </c>
      <c r="AD248" s="43">
        <v>2</v>
      </c>
      <c r="AE248" s="55">
        <v>0.35859414261160716</v>
      </c>
      <c r="AF248" s="52" t="s">
        <v>120</v>
      </c>
    </row>
    <row r="249" spans="1:32">
      <c r="A249" s="227">
        <v>2013</v>
      </c>
      <c r="B249" s="227">
        <v>246</v>
      </c>
      <c r="C249" s="227" t="s">
        <v>105</v>
      </c>
      <c r="D249" s="227">
        <v>176</v>
      </c>
      <c r="E249" s="227">
        <v>321</v>
      </c>
      <c r="F249" s="227">
        <v>101</v>
      </c>
      <c r="G249" s="227">
        <v>0.76066350710900477</v>
      </c>
      <c r="H249" s="227">
        <v>0.23933649289099521</v>
      </c>
      <c r="I249" s="312" t="s">
        <v>119</v>
      </c>
      <c r="J249" s="29">
        <v>1</v>
      </c>
      <c r="K249" s="9">
        <v>1</v>
      </c>
      <c r="L249" s="9">
        <v>1</v>
      </c>
      <c r="M249" s="9">
        <v>2</v>
      </c>
      <c r="N249" s="43">
        <v>2</v>
      </c>
      <c r="O249" s="265">
        <f t="shared" si="4"/>
        <v>0.35859414261160716</v>
      </c>
      <c r="P249" s="164" t="s">
        <v>120</v>
      </c>
      <c r="Q249" s="227">
        <v>2021</v>
      </c>
      <c r="R249" s="227">
        <v>2546</v>
      </c>
      <c r="S249" s="227" t="s">
        <v>105</v>
      </c>
      <c r="T249" s="227">
        <v>408</v>
      </c>
      <c r="U249" s="227">
        <v>1133</v>
      </c>
      <c r="V249" s="227">
        <v>1821</v>
      </c>
      <c r="W249" s="227">
        <v>0.38354773188896413</v>
      </c>
      <c r="X249" s="227">
        <v>0.61645226811103582</v>
      </c>
      <c r="Y249" s="100" t="s">
        <v>135</v>
      </c>
      <c r="Z249" s="29">
        <v>1</v>
      </c>
      <c r="AA249" s="9">
        <v>1</v>
      </c>
      <c r="AB249" s="9">
        <v>1</v>
      </c>
      <c r="AC249" s="9">
        <v>2</v>
      </c>
      <c r="AD249" s="43">
        <v>2</v>
      </c>
      <c r="AE249" s="55">
        <v>0.35859414261160716</v>
      </c>
      <c r="AF249" s="52" t="s">
        <v>120</v>
      </c>
    </row>
    <row r="250" spans="1:32">
      <c r="A250" s="227">
        <v>2013</v>
      </c>
      <c r="B250" s="227">
        <v>248</v>
      </c>
      <c r="C250" s="227" t="s">
        <v>103</v>
      </c>
      <c r="D250" s="227">
        <v>54</v>
      </c>
      <c r="E250" s="227">
        <v>302</v>
      </c>
      <c r="F250" s="227">
        <v>0</v>
      </c>
      <c r="G250" s="227">
        <v>1</v>
      </c>
      <c r="H250" s="227">
        <v>0</v>
      </c>
      <c r="I250" s="312" t="s">
        <v>119</v>
      </c>
      <c r="J250" s="29">
        <v>1</v>
      </c>
      <c r="K250" s="9">
        <v>1</v>
      </c>
      <c r="L250" s="9">
        <v>1</v>
      </c>
      <c r="M250" s="9">
        <v>2</v>
      </c>
      <c r="N250" s="43">
        <v>2</v>
      </c>
      <c r="O250" s="265">
        <f t="shared" si="4"/>
        <v>0.35859414261160716</v>
      </c>
      <c r="P250" s="164" t="s">
        <v>120</v>
      </c>
      <c r="Q250" s="227">
        <v>2021</v>
      </c>
      <c r="R250" s="227">
        <v>2149</v>
      </c>
      <c r="S250" s="227" t="s">
        <v>103</v>
      </c>
      <c r="T250" s="227">
        <v>317</v>
      </c>
      <c r="U250" s="227">
        <v>669</v>
      </c>
      <c r="V250" s="227">
        <v>1797</v>
      </c>
      <c r="W250" s="227">
        <v>0.27128953771289538</v>
      </c>
      <c r="X250" s="227">
        <v>0.72871046228710457</v>
      </c>
      <c r="Y250" s="100" t="s">
        <v>135</v>
      </c>
      <c r="Z250" s="29">
        <v>1</v>
      </c>
      <c r="AA250" s="9">
        <v>1</v>
      </c>
      <c r="AB250" s="9">
        <v>1</v>
      </c>
      <c r="AC250" s="9">
        <v>2</v>
      </c>
      <c r="AD250" s="43">
        <v>2</v>
      </c>
      <c r="AE250" s="55">
        <v>0.35859414261160716</v>
      </c>
      <c r="AF250" s="52" t="s">
        <v>120</v>
      </c>
    </row>
    <row r="251" spans="1:32">
      <c r="A251" s="227">
        <v>2013</v>
      </c>
      <c r="B251" s="227">
        <v>120</v>
      </c>
      <c r="C251" s="227" t="s">
        <v>101</v>
      </c>
      <c r="D251" s="227">
        <v>26</v>
      </c>
      <c r="E251" s="227">
        <v>88</v>
      </c>
      <c r="F251" s="227">
        <v>58</v>
      </c>
      <c r="G251" s="227">
        <v>0.60273972602739723</v>
      </c>
      <c r="H251" s="227">
        <v>0.39726027397260277</v>
      </c>
      <c r="I251" s="312" t="s">
        <v>119</v>
      </c>
      <c r="J251" s="29">
        <v>1</v>
      </c>
      <c r="K251" s="9">
        <v>1</v>
      </c>
      <c r="L251" s="9">
        <v>1</v>
      </c>
      <c r="M251" s="9">
        <v>2</v>
      </c>
      <c r="N251" s="43">
        <v>2</v>
      </c>
      <c r="O251" s="265">
        <f t="shared" si="4"/>
        <v>0.35859414261160716</v>
      </c>
      <c r="P251" s="164" t="s">
        <v>120</v>
      </c>
      <c r="Q251" s="227">
        <v>2021</v>
      </c>
      <c r="R251" s="227">
        <v>3554</v>
      </c>
      <c r="S251" s="227" t="s">
        <v>101</v>
      </c>
      <c r="T251" s="227">
        <v>72</v>
      </c>
      <c r="U251" s="227">
        <v>494</v>
      </c>
      <c r="V251" s="227">
        <v>3132</v>
      </c>
      <c r="W251" s="227">
        <v>0.13623827909542199</v>
      </c>
      <c r="X251" s="227">
        <v>0.86376172090457803</v>
      </c>
      <c r="Y251" s="100" t="s">
        <v>135</v>
      </c>
      <c r="Z251" s="29">
        <v>1</v>
      </c>
      <c r="AA251" s="9">
        <v>1</v>
      </c>
      <c r="AB251" s="9">
        <v>1</v>
      </c>
      <c r="AC251" s="9">
        <v>2</v>
      </c>
      <c r="AD251" s="43">
        <v>2</v>
      </c>
      <c r="AE251" s="55">
        <v>0.35859414261160716</v>
      </c>
      <c r="AF251" s="52" t="s">
        <v>120</v>
      </c>
    </row>
    <row r="252" spans="1:32">
      <c r="A252" s="227">
        <v>2013</v>
      </c>
      <c r="B252" s="227">
        <v>2021</v>
      </c>
      <c r="C252" s="227" t="s">
        <v>106</v>
      </c>
      <c r="D252" s="227">
        <v>1210</v>
      </c>
      <c r="E252" s="227">
        <v>3231</v>
      </c>
      <c r="F252" s="227">
        <v>0</v>
      </c>
      <c r="G252" s="227">
        <v>1</v>
      </c>
      <c r="H252" s="227">
        <v>0</v>
      </c>
      <c r="I252" s="312" t="s">
        <v>119</v>
      </c>
      <c r="J252" s="29">
        <v>1</v>
      </c>
      <c r="K252" s="9">
        <v>1</v>
      </c>
      <c r="L252" s="9">
        <v>1</v>
      </c>
      <c r="M252" s="9">
        <v>2</v>
      </c>
      <c r="N252" s="43">
        <v>2</v>
      </c>
      <c r="O252" s="265">
        <f t="shared" si="4"/>
        <v>0.35859414261160716</v>
      </c>
      <c r="P252" s="164" t="s">
        <v>120</v>
      </c>
      <c r="Q252" s="227">
        <v>2021</v>
      </c>
      <c r="R252" s="227">
        <v>15065</v>
      </c>
      <c r="S252" s="227" t="s">
        <v>106</v>
      </c>
      <c r="T252" s="227">
        <v>1687</v>
      </c>
      <c r="U252" s="227">
        <v>5812</v>
      </c>
      <c r="V252" s="227">
        <v>10940</v>
      </c>
      <c r="W252" s="227">
        <v>0.34694364851957982</v>
      </c>
      <c r="X252" s="227">
        <v>0.65305635148042018</v>
      </c>
      <c r="Y252" s="100" t="s">
        <v>135</v>
      </c>
      <c r="Z252" s="29">
        <v>1</v>
      </c>
      <c r="AA252" s="9">
        <v>1</v>
      </c>
      <c r="AB252" s="9">
        <v>1</v>
      </c>
      <c r="AC252" s="9">
        <v>2</v>
      </c>
      <c r="AD252" s="43">
        <v>2</v>
      </c>
      <c r="AE252" s="55">
        <v>0.35859414261160716</v>
      </c>
      <c r="AF252" s="52" t="s">
        <v>120</v>
      </c>
    </row>
    <row r="253" spans="1:32">
      <c r="A253" s="227">
        <v>2014</v>
      </c>
      <c r="B253" s="227">
        <v>1317</v>
      </c>
      <c r="C253" s="227" t="s">
        <v>93</v>
      </c>
      <c r="D253" s="227">
        <v>1013</v>
      </c>
      <c r="E253" s="227">
        <v>1768</v>
      </c>
      <c r="F253" s="227">
        <v>562</v>
      </c>
      <c r="G253" s="227">
        <v>0.75879828326180254</v>
      </c>
      <c r="H253" s="227">
        <v>0.24120171673819751</v>
      </c>
      <c r="I253" s="312" t="s">
        <v>119</v>
      </c>
      <c r="J253" s="29">
        <v>1</v>
      </c>
      <c r="K253" s="9">
        <v>1</v>
      </c>
      <c r="L253" s="9">
        <v>1</v>
      </c>
      <c r="M253" s="9">
        <v>2</v>
      </c>
      <c r="N253" s="43">
        <v>2</v>
      </c>
      <c r="O253" s="265">
        <f t="shared" si="4"/>
        <v>0.35859414261160716</v>
      </c>
      <c r="P253" s="164" t="s">
        <v>120</v>
      </c>
    </row>
    <row r="254" spans="1:32">
      <c r="A254" s="227">
        <v>2014</v>
      </c>
      <c r="B254" s="227">
        <v>290</v>
      </c>
      <c r="C254" s="227" t="s">
        <v>94</v>
      </c>
      <c r="D254" s="227">
        <v>192</v>
      </c>
      <c r="E254" s="227">
        <v>407</v>
      </c>
      <c r="F254" s="227">
        <v>75</v>
      </c>
      <c r="G254" s="227">
        <v>0.84439834024896265</v>
      </c>
      <c r="H254" s="227">
        <v>0.15560165975103729</v>
      </c>
      <c r="I254" s="312" t="s">
        <v>119</v>
      </c>
      <c r="J254" s="29">
        <v>1</v>
      </c>
      <c r="K254" s="9">
        <v>1</v>
      </c>
      <c r="L254" s="9">
        <v>1</v>
      </c>
      <c r="M254" s="9">
        <v>2</v>
      </c>
      <c r="N254" s="43">
        <v>2</v>
      </c>
      <c r="O254" s="265">
        <f t="shared" si="4"/>
        <v>0.35859414261160716</v>
      </c>
      <c r="P254" s="164" t="s">
        <v>120</v>
      </c>
    </row>
    <row r="255" spans="1:32">
      <c r="A255" s="227">
        <v>2014</v>
      </c>
      <c r="B255" s="227">
        <v>852</v>
      </c>
      <c r="C255" s="227" t="s">
        <v>95</v>
      </c>
      <c r="D255" s="227">
        <v>207</v>
      </c>
      <c r="E255" s="227">
        <v>239</v>
      </c>
      <c r="F255" s="227">
        <v>820</v>
      </c>
      <c r="G255" s="227">
        <v>0.22568460812086871</v>
      </c>
      <c r="H255" s="227">
        <v>0.77431539187913123</v>
      </c>
      <c r="I255" s="312" t="s">
        <v>119</v>
      </c>
      <c r="J255" s="29">
        <v>1</v>
      </c>
      <c r="K255" s="9">
        <v>1</v>
      </c>
      <c r="L255" s="9">
        <v>1</v>
      </c>
      <c r="M255" s="9">
        <v>2</v>
      </c>
      <c r="N255" s="43">
        <v>2</v>
      </c>
      <c r="O255" s="265">
        <f t="shared" si="4"/>
        <v>0.35859414261160716</v>
      </c>
      <c r="P255" s="164" t="s">
        <v>120</v>
      </c>
    </row>
    <row r="256" spans="1:32">
      <c r="A256" s="227">
        <v>2014</v>
      </c>
      <c r="B256" s="227">
        <v>4</v>
      </c>
      <c r="C256" s="227" t="s">
        <v>96</v>
      </c>
      <c r="D256" s="227">
        <v>47</v>
      </c>
      <c r="E256" s="227">
        <v>13</v>
      </c>
      <c r="F256" s="227">
        <v>38</v>
      </c>
      <c r="G256" s="227">
        <v>0.25490196078431371</v>
      </c>
      <c r="H256" s="227">
        <v>0.74509803921568629</v>
      </c>
      <c r="I256" s="312" t="s">
        <v>119</v>
      </c>
      <c r="J256" s="29">
        <v>1</v>
      </c>
      <c r="K256" s="9">
        <v>1</v>
      </c>
      <c r="L256" s="9">
        <v>1</v>
      </c>
      <c r="M256" s="9">
        <v>2</v>
      </c>
      <c r="N256" s="43">
        <v>2</v>
      </c>
      <c r="O256" s="265">
        <f t="shared" si="4"/>
        <v>0.35859414261160716</v>
      </c>
      <c r="P256" s="164" t="s">
        <v>120</v>
      </c>
    </row>
    <row r="257" spans="1:16">
      <c r="A257" s="227">
        <v>2014</v>
      </c>
      <c r="B257" s="227">
        <v>191</v>
      </c>
      <c r="C257" s="227" t="s">
        <v>97</v>
      </c>
      <c r="D257" s="227">
        <v>43</v>
      </c>
      <c r="E257" s="227">
        <v>218</v>
      </c>
      <c r="F257" s="227">
        <v>16</v>
      </c>
      <c r="G257" s="227">
        <v>0.93162393162393164</v>
      </c>
      <c r="H257" s="227">
        <v>6.8376068376068355E-2</v>
      </c>
      <c r="I257" s="312" t="s">
        <v>119</v>
      </c>
      <c r="J257" s="29">
        <v>1</v>
      </c>
      <c r="K257" s="9">
        <v>1</v>
      </c>
      <c r="L257" s="9">
        <v>1</v>
      </c>
      <c r="M257" s="9">
        <v>2</v>
      </c>
      <c r="N257" s="43">
        <v>2</v>
      </c>
      <c r="O257" s="265">
        <f t="shared" si="4"/>
        <v>0.35859414261160716</v>
      </c>
      <c r="P257" s="164" t="s">
        <v>120</v>
      </c>
    </row>
    <row r="258" spans="1:16">
      <c r="A258" s="227">
        <v>2014</v>
      </c>
      <c r="B258" s="227">
        <v>610</v>
      </c>
      <c r="C258" s="227" t="s">
        <v>98</v>
      </c>
      <c r="D258" s="227">
        <v>142</v>
      </c>
      <c r="E258" s="227">
        <v>647</v>
      </c>
      <c r="F258" s="227">
        <v>105</v>
      </c>
      <c r="G258" s="227">
        <v>0.8603723404255319</v>
      </c>
      <c r="H258" s="227">
        <v>0.1396276595744681</v>
      </c>
      <c r="I258" s="312" t="s">
        <v>119</v>
      </c>
      <c r="J258" s="29">
        <v>1</v>
      </c>
      <c r="K258" s="9">
        <v>1</v>
      </c>
      <c r="L258" s="9">
        <v>1</v>
      </c>
      <c r="M258" s="9">
        <v>2</v>
      </c>
      <c r="N258" s="43">
        <v>2</v>
      </c>
      <c r="O258" s="265">
        <f t="shared" si="4"/>
        <v>0.35859414261160716</v>
      </c>
      <c r="P258" s="164" t="s">
        <v>120</v>
      </c>
    </row>
    <row r="259" spans="1:16">
      <c r="A259" s="227">
        <v>2014</v>
      </c>
      <c r="B259" s="227">
        <v>359</v>
      </c>
      <c r="C259" s="227" t="s">
        <v>99</v>
      </c>
      <c r="D259" s="227">
        <v>64</v>
      </c>
      <c r="E259" s="227">
        <v>423</v>
      </c>
      <c r="F259" s="227">
        <v>0</v>
      </c>
      <c r="G259" s="227">
        <v>1</v>
      </c>
      <c r="H259" s="227">
        <v>0</v>
      </c>
      <c r="I259" s="312" t="s">
        <v>119</v>
      </c>
      <c r="J259" s="29">
        <v>1</v>
      </c>
      <c r="K259" s="9">
        <v>1</v>
      </c>
      <c r="L259" s="9">
        <v>1</v>
      </c>
      <c r="M259" s="9">
        <v>2</v>
      </c>
      <c r="N259" s="43">
        <v>2</v>
      </c>
      <c r="O259" s="265">
        <f t="shared" si="4"/>
        <v>0.35859414261160716</v>
      </c>
      <c r="P259" s="164" t="s">
        <v>120</v>
      </c>
    </row>
    <row r="260" spans="1:16">
      <c r="A260" s="227">
        <v>2014</v>
      </c>
      <c r="B260" s="227">
        <v>137</v>
      </c>
      <c r="C260" s="227" t="s">
        <v>102</v>
      </c>
      <c r="D260" s="227">
        <v>18</v>
      </c>
      <c r="E260" s="227">
        <v>155</v>
      </c>
      <c r="F260" s="227">
        <v>0</v>
      </c>
      <c r="G260" s="227">
        <v>1</v>
      </c>
      <c r="H260" s="227">
        <v>0</v>
      </c>
      <c r="I260" s="312" t="s">
        <v>119</v>
      </c>
      <c r="J260" s="29">
        <v>1</v>
      </c>
      <c r="K260" s="9">
        <v>1</v>
      </c>
      <c r="L260" s="9">
        <v>1</v>
      </c>
      <c r="M260" s="9">
        <v>2</v>
      </c>
      <c r="N260" s="43">
        <v>2</v>
      </c>
      <c r="O260" s="265">
        <f t="shared" si="4"/>
        <v>0.35859414261160716</v>
      </c>
      <c r="P260" s="164" t="s">
        <v>120</v>
      </c>
    </row>
    <row r="261" spans="1:16">
      <c r="A261" s="227">
        <v>2014</v>
      </c>
      <c r="B261" s="227">
        <v>337</v>
      </c>
      <c r="C261" s="227" t="s">
        <v>104</v>
      </c>
      <c r="D261" s="227">
        <v>39</v>
      </c>
      <c r="E261" s="227">
        <v>237</v>
      </c>
      <c r="F261" s="227">
        <v>139</v>
      </c>
      <c r="G261" s="227">
        <v>0.63031914893617025</v>
      </c>
      <c r="H261" s="227">
        <v>0.36968085106382981</v>
      </c>
      <c r="I261" s="312" t="s">
        <v>119</v>
      </c>
      <c r="J261" s="29">
        <v>1</v>
      </c>
      <c r="K261" s="9">
        <v>1</v>
      </c>
      <c r="L261" s="9">
        <v>1</v>
      </c>
      <c r="M261" s="9">
        <v>2</v>
      </c>
      <c r="N261" s="43">
        <v>2</v>
      </c>
      <c r="O261" s="265">
        <f t="shared" si="4"/>
        <v>0.35859414261160716</v>
      </c>
      <c r="P261" s="164" t="s">
        <v>120</v>
      </c>
    </row>
    <row r="262" spans="1:16">
      <c r="A262" s="227">
        <v>2014</v>
      </c>
      <c r="B262" s="227">
        <v>249</v>
      </c>
      <c r="C262" s="227" t="s">
        <v>105</v>
      </c>
      <c r="D262" s="227">
        <v>204</v>
      </c>
      <c r="E262" s="227">
        <v>336</v>
      </c>
      <c r="F262" s="227">
        <v>117</v>
      </c>
      <c r="G262" s="227">
        <v>0.74172185430463577</v>
      </c>
      <c r="H262" s="227">
        <v>0.25827814569536423</v>
      </c>
      <c r="I262" s="312" t="s">
        <v>119</v>
      </c>
      <c r="J262" s="29">
        <v>1</v>
      </c>
      <c r="K262" s="9">
        <v>1</v>
      </c>
      <c r="L262" s="9">
        <v>1</v>
      </c>
      <c r="M262" s="9">
        <v>2</v>
      </c>
      <c r="N262" s="43">
        <v>2</v>
      </c>
      <c r="O262" s="265">
        <f t="shared" si="4"/>
        <v>0.35859414261160716</v>
      </c>
      <c r="P262" s="164" t="s">
        <v>120</v>
      </c>
    </row>
    <row r="263" spans="1:16">
      <c r="A263" s="227">
        <v>2014</v>
      </c>
      <c r="B263" s="227">
        <v>254</v>
      </c>
      <c r="C263" s="227" t="s">
        <v>103</v>
      </c>
      <c r="D263" s="227">
        <v>56</v>
      </c>
      <c r="E263" s="227">
        <v>310</v>
      </c>
      <c r="F263" s="227">
        <v>0</v>
      </c>
      <c r="G263" s="227">
        <v>1</v>
      </c>
      <c r="H263" s="227">
        <v>0</v>
      </c>
      <c r="I263" s="312" t="s">
        <v>119</v>
      </c>
      <c r="J263" s="29">
        <v>1</v>
      </c>
      <c r="K263" s="9">
        <v>1</v>
      </c>
      <c r="L263" s="9">
        <v>1</v>
      </c>
      <c r="M263" s="9">
        <v>2</v>
      </c>
      <c r="N263" s="43">
        <v>2</v>
      </c>
      <c r="O263" s="265">
        <f t="shared" ref="O263:O326" si="5">IF( OR( ISBLANK(J263),ISBLANK(K263), ISBLANK(L263), ISBLANK(M263), ISBLANK(N263) ), "", 1.5*SQRT(   EXP(2.21*(J263-1)) + EXP(2.21*(K263-1)) + EXP(2.21*(L263-1)) + EXP(2.21*(M263-1)) + EXP(2.21*N263)   )/100*2.45 )</f>
        <v>0.35859414261160716</v>
      </c>
      <c r="P263" s="164" t="s">
        <v>120</v>
      </c>
    </row>
    <row r="264" spans="1:16">
      <c r="A264" s="227">
        <v>2014</v>
      </c>
      <c r="B264" s="227">
        <v>102</v>
      </c>
      <c r="C264" s="227" t="s">
        <v>101</v>
      </c>
      <c r="D264" s="227">
        <v>29</v>
      </c>
      <c r="E264" s="227">
        <v>108</v>
      </c>
      <c r="F264" s="227">
        <v>23</v>
      </c>
      <c r="G264" s="227">
        <v>0.82442748091603058</v>
      </c>
      <c r="H264" s="227">
        <v>0.1755725190839694</v>
      </c>
      <c r="I264" s="312" t="s">
        <v>119</v>
      </c>
      <c r="J264" s="29">
        <v>1</v>
      </c>
      <c r="K264" s="9">
        <v>1</v>
      </c>
      <c r="L264" s="9">
        <v>1</v>
      </c>
      <c r="M264" s="9">
        <v>2</v>
      </c>
      <c r="N264" s="43">
        <v>2</v>
      </c>
      <c r="O264" s="265">
        <f t="shared" si="5"/>
        <v>0.35859414261160716</v>
      </c>
      <c r="P264" s="164" t="s">
        <v>120</v>
      </c>
    </row>
    <row r="265" spans="1:16">
      <c r="A265" s="227">
        <v>2014</v>
      </c>
      <c r="B265" s="227">
        <v>2236</v>
      </c>
      <c r="C265" s="227" t="s">
        <v>106</v>
      </c>
      <c r="D265" s="227">
        <v>912</v>
      </c>
      <c r="E265" s="227">
        <v>3148</v>
      </c>
      <c r="F265" s="227">
        <v>0</v>
      </c>
      <c r="G265" s="227">
        <v>1</v>
      </c>
      <c r="H265" s="227">
        <v>0</v>
      </c>
      <c r="I265" s="312" t="s">
        <v>119</v>
      </c>
      <c r="J265" s="29">
        <v>1</v>
      </c>
      <c r="K265" s="9">
        <v>1</v>
      </c>
      <c r="L265" s="9">
        <v>1</v>
      </c>
      <c r="M265" s="9">
        <v>2</v>
      </c>
      <c r="N265" s="43">
        <v>2</v>
      </c>
      <c r="O265" s="265">
        <f t="shared" si="5"/>
        <v>0.35859414261160716</v>
      </c>
      <c r="P265" s="164" t="s">
        <v>120</v>
      </c>
    </row>
    <row r="266" spans="1:16">
      <c r="A266" s="227">
        <v>2015</v>
      </c>
      <c r="B266" s="227">
        <v>1455</v>
      </c>
      <c r="C266" s="227" t="s">
        <v>93</v>
      </c>
      <c r="D266" s="227">
        <v>1105</v>
      </c>
      <c r="E266" s="227">
        <v>1753</v>
      </c>
      <c r="F266" s="227">
        <v>807</v>
      </c>
      <c r="G266" s="227">
        <v>0.68476562500000004</v>
      </c>
      <c r="H266" s="227">
        <v>0.31523437500000001</v>
      </c>
      <c r="I266" s="312" t="s">
        <v>119</v>
      </c>
      <c r="J266" s="29">
        <v>1</v>
      </c>
      <c r="K266" s="9">
        <v>1</v>
      </c>
      <c r="L266" s="9">
        <v>1</v>
      </c>
      <c r="M266" s="9">
        <v>2</v>
      </c>
      <c r="N266" s="43">
        <v>2</v>
      </c>
      <c r="O266" s="265">
        <f t="shared" si="5"/>
        <v>0.35859414261160716</v>
      </c>
      <c r="P266" s="164" t="s">
        <v>120</v>
      </c>
    </row>
    <row r="267" spans="1:16">
      <c r="A267" s="227">
        <v>2015</v>
      </c>
      <c r="B267" s="227">
        <v>290</v>
      </c>
      <c r="C267" s="227" t="s">
        <v>94</v>
      </c>
      <c r="D267" s="227">
        <v>217</v>
      </c>
      <c r="E267" s="227">
        <v>403</v>
      </c>
      <c r="F267" s="227">
        <v>104</v>
      </c>
      <c r="G267" s="227">
        <v>0.79487179487179482</v>
      </c>
      <c r="H267" s="227">
        <v>0.2051282051282052</v>
      </c>
      <c r="I267" s="312" t="s">
        <v>119</v>
      </c>
      <c r="J267" s="29">
        <v>1</v>
      </c>
      <c r="K267" s="9">
        <v>1</v>
      </c>
      <c r="L267" s="9">
        <v>1</v>
      </c>
      <c r="M267" s="9">
        <v>2</v>
      </c>
      <c r="N267" s="43">
        <v>2</v>
      </c>
      <c r="O267" s="265">
        <f t="shared" si="5"/>
        <v>0.35859414261160716</v>
      </c>
      <c r="P267" s="164" t="s">
        <v>120</v>
      </c>
    </row>
    <row r="268" spans="1:16">
      <c r="A268" s="227">
        <v>2015</v>
      </c>
      <c r="B268" s="227">
        <v>852</v>
      </c>
      <c r="C268" s="227" t="s">
        <v>95</v>
      </c>
      <c r="D268" s="227">
        <v>247</v>
      </c>
      <c r="E268" s="227">
        <v>225</v>
      </c>
      <c r="F268" s="227">
        <v>874</v>
      </c>
      <c r="G268" s="227">
        <v>0.20473157415832571</v>
      </c>
      <c r="H268" s="227">
        <v>0.79526842584167423</v>
      </c>
      <c r="I268" s="312" t="s">
        <v>119</v>
      </c>
      <c r="J268" s="29">
        <v>1</v>
      </c>
      <c r="K268" s="9">
        <v>1</v>
      </c>
      <c r="L268" s="9">
        <v>1</v>
      </c>
      <c r="M268" s="9">
        <v>2</v>
      </c>
      <c r="N268" s="43">
        <v>2</v>
      </c>
      <c r="O268" s="265">
        <f t="shared" si="5"/>
        <v>0.35859414261160716</v>
      </c>
      <c r="P268" s="164" t="s">
        <v>120</v>
      </c>
    </row>
    <row r="269" spans="1:16">
      <c r="A269" s="227">
        <v>2015</v>
      </c>
      <c r="B269" s="227">
        <v>4</v>
      </c>
      <c r="C269" s="227" t="s">
        <v>96</v>
      </c>
      <c r="D269" s="227">
        <v>50</v>
      </c>
      <c r="E269" s="227">
        <v>22</v>
      </c>
      <c r="F269" s="227">
        <v>32</v>
      </c>
      <c r="G269" s="227">
        <v>0.40740740740740738</v>
      </c>
      <c r="H269" s="227">
        <v>0.59259259259259256</v>
      </c>
      <c r="I269" s="312" t="s">
        <v>119</v>
      </c>
      <c r="J269" s="29">
        <v>1</v>
      </c>
      <c r="K269" s="9">
        <v>1</v>
      </c>
      <c r="L269" s="9">
        <v>1</v>
      </c>
      <c r="M269" s="9">
        <v>2</v>
      </c>
      <c r="N269" s="43">
        <v>2</v>
      </c>
      <c r="O269" s="265">
        <f t="shared" si="5"/>
        <v>0.35859414261160716</v>
      </c>
      <c r="P269" s="164" t="s">
        <v>120</v>
      </c>
    </row>
    <row r="270" spans="1:16">
      <c r="A270" s="227">
        <v>2015</v>
      </c>
      <c r="B270" s="227">
        <v>191</v>
      </c>
      <c r="C270" s="227" t="s">
        <v>97</v>
      </c>
      <c r="D270" s="227">
        <v>46</v>
      </c>
      <c r="E270" s="227">
        <v>234</v>
      </c>
      <c r="F270" s="227">
        <v>3</v>
      </c>
      <c r="G270" s="227">
        <v>0.98734177215189878</v>
      </c>
      <c r="H270" s="227">
        <v>1.2658227848101221E-2</v>
      </c>
      <c r="I270" s="312" t="s">
        <v>119</v>
      </c>
      <c r="J270" s="29">
        <v>1</v>
      </c>
      <c r="K270" s="9">
        <v>1</v>
      </c>
      <c r="L270" s="9">
        <v>1</v>
      </c>
      <c r="M270" s="9">
        <v>2</v>
      </c>
      <c r="N270" s="43">
        <v>2</v>
      </c>
      <c r="O270" s="265">
        <f t="shared" si="5"/>
        <v>0.35859414261160716</v>
      </c>
      <c r="P270" s="164" t="s">
        <v>120</v>
      </c>
    </row>
    <row r="271" spans="1:16">
      <c r="A271" s="227">
        <v>2015</v>
      </c>
      <c r="B271" s="227">
        <v>610</v>
      </c>
      <c r="C271" s="227" t="s">
        <v>98</v>
      </c>
      <c r="D271" s="227">
        <v>163</v>
      </c>
      <c r="E271" s="227">
        <v>707</v>
      </c>
      <c r="F271" s="227">
        <v>66</v>
      </c>
      <c r="G271" s="227">
        <v>0.91461836998706336</v>
      </c>
      <c r="H271" s="227">
        <v>8.5381630012936638E-2</v>
      </c>
      <c r="I271" s="312" t="s">
        <v>119</v>
      </c>
      <c r="J271" s="29">
        <v>1</v>
      </c>
      <c r="K271" s="9">
        <v>1</v>
      </c>
      <c r="L271" s="9">
        <v>1</v>
      </c>
      <c r="M271" s="9">
        <v>2</v>
      </c>
      <c r="N271" s="43">
        <v>2</v>
      </c>
      <c r="O271" s="265">
        <f t="shared" si="5"/>
        <v>0.35859414261160716</v>
      </c>
      <c r="P271" s="164" t="s">
        <v>120</v>
      </c>
    </row>
    <row r="272" spans="1:16">
      <c r="A272" s="227">
        <v>2015</v>
      </c>
      <c r="B272" s="227">
        <v>421</v>
      </c>
      <c r="C272" s="227" t="s">
        <v>99</v>
      </c>
      <c r="D272" s="227">
        <v>76</v>
      </c>
      <c r="E272" s="227">
        <v>497</v>
      </c>
      <c r="F272" s="227">
        <v>0</v>
      </c>
      <c r="G272" s="227">
        <v>1</v>
      </c>
      <c r="H272" s="227">
        <v>0</v>
      </c>
      <c r="I272" s="312" t="s">
        <v>119</v>
      </c>
      <c r="J272" s="29">
        <v>1</v>
      </c>
      <c r="K272" s="9">
        <v>1</v>
      </c>
      <c r="L272" s="9">
        <v>1</v>
      </c>
      <c r="M272" s="9">
        <v>2</v>
      </c>
      <c r="N272" s="43">
        <v>2</v>
      </c>
      <c r="O272" s="265">
        <f t="shared" si="5"/>
        <v>0.35859414261160716</v>
      </c>
      <c r="P272" s="164" t="s">
        <v>120</v>
      </c>
    </row>
    <row r="273" spans="1:16">
      <c r="A273" s="227">
        <v>2015</v>
      </c>
      <c r="B273" s="227">
        <v>159</v>
      </c>
      <c r="C273" s="227" t="s">
        <v>102</v>
      </c>
      <c r="D273" s="227">
        <v>17</v>
      </c>
      <c r="E273" s="227">
        <v>176</v>
      </c>
      <c r="F273" s="227">
        <v>0</v>
      </c>
      <c r="G273" s="227">
        <v>1</v>
      </c>
      <c r="H273" s="227">
        <v>0</v>
      </c>
      <c r="I273" s="312" t="s">
        <v>119</v>
      </c>
      <c r="J273" s="29">
        <v>1</v>
      </c>
      <c r="K273" s="9">
        <v>1</v>
      </c>
      <c r="L273" s="9">
        <v>1</v>
      </c>
      <c r="M273" s="9">
        <v>2</v>
      </c>
      <c r="N273" s="43">
        <v>2</v>
      </c>
      <c r="O273" s="265">
        <f t="shared" si="5"/>
        <v>0.35859414261160716</v>
      </c>
      <c r="P273" s="164" t="s">
        <v>120</v>
      </c>
    </row>
    <row r="274" spans="1:16">
      <c r="A274" s="227">
        <v>2015</v>
      </c>
      <c r="B274" s="227">
        <v>337</v>
      </c>
      <c r="C274" s="227" t="s">
        <v>104</v>
      </c>
      <c r="D274" s="227">
        <v>42</v>
      </c>
      <c r="E274" s="227">
        <v>225</v>
      </c>
      <c r="F274" s="227">
        <v>154</v>
      </c>
      <c r="G274" s="227">
        <v>0.59366754617414252</v>
      </c>
      <c r="H274" s="227">
        <v>0.40633245382585748</v>
      </c>
      <c r="I274" s="312" t="s">
        <v>119</v>
      </c>
      <c r="J274" s="29">
        <v>1</v>
      </c>
      <c r="K274" s="9">
        <v>1</v>
      </c>
      <c r="L274" s="9">
        <v>1</v>
      </c>
      <c r="M274" s="9">
        <v>2</v>
      </c>
      <c r="N274" s="43">
        <v>2</v>
      </c>
      <c r="O274" s="265">
        <f t="shared" si="5"/>
        <v>0.35859414261160716</v>
      </c>
      <c r="P274" s="164" t="s">
        <v>120</v>
      </c>
    </row>
    <row r="275" spans="1:16">
      <c r="A275" s="227">
        <v>2015</v>
      </c>
      <c r="B275" s="227">
        <v>280</v>
      </c>
      <c r="C275" s="227" t="s">
        <v>105</v>
      </c>
      <c r="D275" s="227">
        <v>204</v>
      </c>
      <c r="E275" s="227">
        <v>337</v>
      </c>
      <c r="F275" s="227">
        <v>147</v>
      </c>
      <c r="G275" s="227">
        <v>0.69628099173553715</v>
      </c>
      <c r="H275" s="227">
        <v>0.30371900826446291</v>
      </c>
      <c r="I275" s="312" t="s">
        <v>119</v>
      </c>
      <c r="J275" s="29">
        <v>1</v>
      </c>
      <c r="K275" s="9">
        <v>1</v>
      </c>
      <c r="L275" s="9">
        <v>1</v>
      </c>
      <c r="M275" s="9">
        <v>2</v>
      </c>
      <c r="N275" s="43">
        <v>2</v>
      </c>
      <c r="O275" s="265">
        <f t="shared" si="5"/>
        <v>0.35859414261160716</v>
      </c>
      <c r="P275" s="164" t="s">
        <v>120</v>
      </c>
    </row>
    <row r="276" spans="1:16">
      <c r="A276" s="227">
        <v>2015</v>
      </c>
      <c r="B276" s="227">
        <v>270</v>
      </c>
      <c r="C276" s="227" t="s">
        <v>103</v>
      </c>
      <c r="D276" s="227">
        <v>54</v>
      </c>
      <c r="E276" s="227">
        <v>324</v>
      </c>
      <c r="F276" s="227">
        <v>0</v>
      </c>
      <c r="G276" s="227">
        <v>1</v>
      </c>
      <c r="H276" s="227">
        <v>0</v>
      </c>
      <c r="I276" s="312" t="s">
        <v>119</v>
      </c>
      <c r="J276" s="29">
        <v>1</v>
      </c>
      <c r="K276" s="9">
        <v>1</v>
      </c>
      <c r="L276" s="9">
        <v>1</v>
      </c>
      <c r="M276" s="9">
        <v>2</v>
      </c>
      <c r="N276" s="43">
        <v>2</v>
      </c>
      <c r="O276" s="265">
        <f t="shared" si="5"/>
        <v>0.35859414261160716</v>
      </c>
      <c r="P276" s="164" t="s">
        <v>120</v>
      </c>
    </row>
    <row r="277" spans="1:16">
      <c r="A277" s="227">
        <v>2015</v>
      </c>
      <c r="B277" s="227">
        <v>116</v>
      </c>
      <c r="C277" s="227" t="s">
        <v>101</v>
      </c>
      <c r="D277" s="227">
        <v>32</v>
      </c>
      <c r="E277" s="227">
        <v>125</v>
      </c>
      <c r="F277" s="227">
        <v>23</v>
      </c>
      <c r="G277" s="227">
        <v>0.84459459459459463</v>
      </c>
      <c r="H277" s="227">
        <v>0.1554054054054054</v>
      </c>
      <c r="I277" s="312" t="s">
        <v>119</v>
      </c>
      <c r="J277" s="29">
        <v>1</v>
      </c>
      <c r="K277" s="9">
        <v>1</v>
      </c>
      <c r="L277" s="9">
        <v>1</v>
      </c>
      <c r="M277" s="9">
        <v>2</v>
      </c>
      <c r="N277" s="43">
        <v>2</v>
      </c>
      <c r="O277" s="265">
        <f t="shared" si="5"/>
        <v>0.35859414261160716</v>
      </c>
      <c r="P277" s="164" t="s">
        <v>120</v>
      </c>
    </row>
    <row r="278" spans="1:16">
      <c r="A278" s="227">
        <v>2015</v>
      </c>
      <c r="B278" s="227">
        <v>2411</v>
      </c>
      <c r="C278" s="227" t="s">
        <v>106</v>
      </c>
      <c r="D278" s="227">
        <v>983</v>
      </c>
      <c r="E278" s="227">
        <v>3394</v>
      </c>
      <c r="F278" s="227">
        <v>0</v>
      </c>
      <c r="G278" s="227">
        <v>1</v>
      </c>
      <c r="H278" s="227">
        <v>0</v>
      </c>
      <c r="I278" s="312" t="s">
        <v>119</v>
      </c>
      <c r="J278" s="29">
        <v>1</v>
      </c>
      <c r="K278" s="9">
        <v>1</v>
      </c>
      <c r="L278" s="9">
        <v>1</v>
      </c>
      <c r="M278" s="9">
        <v>2</v>
      </c>
      <c r="N278" s="43">
        <v>2</v>
      </c>
      <c r="O278" s="265">
        <f t="shared" si="5"/>
        <v>0.35859414261160716</v>
      </c>
      <c r="P278" s="164" t="s">
        <v>120</v>
      </c>
    </row>
    <row r="279" spans="1:16">
      <c r="A279" s="227">
        <v>2016</v>
      </c>
      <c r="B279" s="227">
        <v>1633</v>
      </c>
      <c r="C279" s="227" t="s">
        <v>93</v>
      </c>
      <c r="D279" s="227">
        <v>1245</v>
      </c>
      <c r="E279" s="227">
        <v>1995</v>
      </c>
      <c r="F279" s="227">
        <v>883</v>
      </c>
      <c r="G279" s="227">
        <v>0.69318971507991656</v>
      </c>
      <c r="H279" s="227">
        <v>0.30681028492008339</v>
      </c>
      <c r="I279" s="312" t="s">
        <v>119</v>
      </c>
      <c r="J279" s="29">
        <v>1</v>
      </c>
      <c r="K279" s="9">
        <v>1</v>
      </c>
      <c r="L279" s="9">
        <v>1</v>
      </c>
      <c r="M279" s="9">
        <v>2</v>
      </c>
      <c r="N279" s="43">
        <v>2</v>
      </c>
      <c r="O279" s="265">
        <f t="shared" si="5"/>
        <v>0.35859414261160716</v>
      </c>
      <c r="P279" s="164" t="s">
        <v>120</v>
      </c>
    </row>
    <row r="280" spans="1:16">
      <c r="A280" s="227">
        <v>2016</v>
      </c>
      <c r="B280" s="227">
        <v>290</v>
      </c>
      <c r="C280" s="227" t="s">
        <v>94</v>
      </c>
      <c r="D280" s="227">
        <v>223</v>
      </c>
      <c r="E280" s="227">
        <v>447</v>
      </c>
      <c r="F280" s="227">
        <v>66</v>
      </c>
      <c r="G280" s="227">
        <v>0.87134502923976609</v>
      </c>
      <c r="H280" s="227">
        <v>0.12865497076023391</v>
      </c>
      <c r="I280" s="312" t="s">
        <v>119</v>
      </c>
      <c r="J280" s="29">
        <v>1</v>
      </c>
      <c r="K280" s="9">
        <v>1</v>
      </c>
      <c r="L280" s="9">
        <v>1</v>
      </c>
      <c r="M280" s="9">
        <v>2</v>
      </c>
      <c r="N280" s="43">
        <v>2</v>
      </c>
      <c r="O280" s="265">
        <f t="shared" si="5"/>
        <v>0.35859414261160716</v>
      </c>
      <c r="P280" s="164" t="s">
        <v>120</v>
      </c>
    </row>
    <row r="281" spans="1:16">
      <c r="A281" s="227">
        <v>2016</v>
      </c>
      <c r="B281" s="227">
        <v>852</v>
      </c>
      <c r="C281" s="227" t="s">
        <v>95</v>
      </c>
      <c r="D281" s="227">
        <v>279</v>
      </c>
      <c r="E281" s="227">
        <v>250</v>
      </c>
      <c r="F281" s="227">
        <v>881</v>
      </c>
      <c r="G281" s="227">
        <v>0.22104332449160041</v>
      </c>
      <c r="H281" s="227">
        <v>0.77895667550839964</v>
      </c>
      <c r="I281" s="312" t="s">
        <v>119</v>
      </c>
      <c r="J281" s="29">
        <v>1</v>
      </c>
      <c r="K281" s="9">
        <v>1</v>
      </c>
      <c r="L281" s="9">
        <v>1</v>
      </c>
      <c r="M281" s="9">
        <v>2</v>
      </c>
      <c r="N281" s="43">
        <v>2</v>
      </c>
      <c r="O281" s="265">
        <f t="shared" si="5"/>
        <v>0.35859414261160716</v>
      </c>
      <c r="P281" s="164" t="s">
        <v>120</v>
      </c>
    </row>
    <row r="282" spans="1:16">
      <c r="A282" s="227">
        <v>2016</v>
      </c>
      <c r="B282" s="227">
        <v>4</v>
      </c>
      <c r="C282" s="227" t="s">
        <v>96</v>
      </c>
      <c r="D282" s="227">
        <v>46</v>
      </c>
      <c r="E282" s="227">
        <v>18</v>
      </c>
      <c r="F282" s="227">
        <v>32</v>
      </c>
      <c r="G282" s="227">
        <v>0.36</v>
      </c>
      <c r="H282" s="227">
        <v>0.64</v>
      </c>
      <c r="I282" s="312" t="s">
        <v>119</v>
      </c>
      <c r="J282" s="29">
        <v>1</v>
      </c>
      <c r="K282" s="9">
        <v>1</v>
      </c>
      <c r="L282" s="9">
        <v>1</v>
      </c>
      <c r="M282" s="9">
        <v>2</v>
      </c>
      <c r="N282" s="43">
        <v>2</v>
      </c>
      <c r="O282" s="265">
        <f t="shared" si="5"/>
        <v>0.35859414261160716</v>
      </c>
      <c r="P282" s="164" t="s">
        <v>120</v>
      </c>
    </row>
    <row r="283" spans="1:16">
      <c r="A283" s="227">
        <v>2016</v>
      </c>
      <c r="B283" s="227">
        <v>185</v>
      </c>
      <c r="C283" s="227" t="s">
        <v>97</v>
      </c>
      <c r="D283" s="227">
        <v>51</v>
      </c>
      <c r="E283" s="227">
        <v>236</v>
      </c>
      <c r="F283" s="227">
        <v>0</v>
      </c>
      <c r="G283" s="227">
        <v>1</v>
      </c>
      <c r="H283" s="227">
        <v>0</v>
      </c>
      <c r="I283" s="312" t="s">
        <v>119</v>
      </c>
      <c r="J283" s="29">
        <v>1</v>
      </c>
      <c r="K283" s="9">
        <v>1</v>
      </c>
      <c r="L283" s="9">
        <v>1</v>
      </c>
      <c r="M283" s="9">
        <v>2</v>
      </c>
      <c r="N283" s="43">
        <v>2</v>
      </c>
      <c r="O283" s="265">
        <f t="shared" si="5"/>
        <v>0.35859414261160716</v>
      </c>
      <c r="P283" s="164" t="s">
        <v>120</v>
      </c>
    </row>
    <row r="284" spans="1:16">
      <c r="A284" s="227">
        <v>2016</v>
      </c>
      <c r="B284" s="227">
        <v>610</v>
      </c>
      <c r="C284" s="227" t="s">
        <v>98</v>
      </c>
      <c r="D284" s="227">
        <v>185</v>
      </c>
      <c r="E284" s="227">
        <v>766</v>
      </c>
      <c r="F284" s="227">
        <v>29</v>
      </c>
      <c r="G284" s="227">
        <v>0.96352201257861636</v>
      </c>
      <c r="H284" s="227">
        <v>3.647798742138364E-2</v>
      </c>
      <c r="I284" s="312" t="s">
        <v>119</v>
      </c>
      <c r="J284" s="29">
        <v>1</v>
      </c>
      <c r="K284" s="9">
        <v>1</v>
      </c>
      <c r="L284" s="9">
        <v>1</v>
      </c>
      <c r="M284" s="9">
        <v>2</v>
      </c>
      <c r="N284" s="43">
        <v>2</v>
      </c>
      <c r="O284" s="265">
        <f t="shared" si="5"/>
        <v>0.35859414261160716</v>
      </c>
      <c r="P284" s="164" t="s">
        <v>120</v>
      </c>
    </row>
    <row r="285" spans="1:16">
      <c r="A285" s="227">
        <v>2016</v>
      </c>
      <c r="B285" s="227">
        <v>386</v>
      </c>
      <c r="C285" s="227" t="s">
        <v>99</v>
      </c>
      <c r="D285" s="227">
        <v>95</v>
      </c>
      <c r="E285" s="227">
        <v>481</v>
      </c>
      <c r="F285" s="227">
        <v>0</v>
      </c>
      <c r="G285" s="227">
        <v>1</v>
      </c>
      <c r="H285" s="227">
        <v>0</v>
      </c>
      <c r="I285" s="312" t="s">
        <v>119</v>
      </c>
      <c r="J285" s="29">
        <v>1</v>
      </c>
      <c r="K285" s="9">
        <v>1</v>
      </c>
      <c r="L285" s="9">
        <v>1</v>
      </c>
      <c r="M285" s="9">
        <v>2</v>
      </c>
      <c r="N285" s="43">
        <v>2</v>
      </c>
      <c r="O285" s="265">
        <f t="shared" si="5"/>
        <v>0.35859414261160716</v>
      </c>
      <c r="P285" s="164" t="s">
        <v>120</v>
      </c>
    </row>
    <row r="286" spans="1:16">
      <c r="A286" s="227">
        <v>2016</v>
      </c>
      <c r="B286" s="227">
        <v>155</v>
      </c>
      <c r="C286" s="227" t="s">
        <v>102</v>
      </c>
      <c r="D286" s="227">
        <v>22</v>
      </c>
      <c r="E286" s="227">
        <v>177</v>
      </c>
      <c r="F286" s="227">
        <v>0</v>
      </c>
      <c r="G286" s="227">
        <v>1</v>
      </c>
      <c r="H286" s="227">
        <v>0</v>
      </c>
      <c r="I286" s="312" t="s">
        <v>119</v>
      </c>
      <c r="J286" s="29">
        <v>1</v>
      </c>
      <c r="K286" s="9">
        <v>1</v>
      </c>
      <c r="L286" s="9">
        <v>1</v>
      </c>
      <c r="M286" s="9">
        <v>2</v>
      </c>
      <c r="N286" s="43">
        <v>2</v>
      </c>
      <c r="O286" s="265">
        <f t="shared" si="5"/>
        <v>0.35859414261160716</v>
      </c>
      <c r="P286" s="164" t="s">
        <v>120</v>
      </c>
    </row>
    <row r="287" spans="1:16">
      <c r="A287" s="227">
        <v>2016</v>
      </c>
      <c r="B287" s="227">
        <v>337</v>
      </c>
      <c r="C287" s="227" t="s">
        <v>104</v>
      </c>
      <c r="D287" s="227">
        <v>48</v>
      </c>
      <c r="E287" s="227">
        <v>247</v>
      </c>
      <c r="F287" s="227">
        <v>138</v>
      </c>
      <c r="G287" s="227">
        <v>0.64155844155844155</v>
      </c>
      <c r="H287" s="227">
        <v>0.35844155844155839</v>
      </c>
      <c r="I287" s="312" t="s">
        <v>119</v>
      </c>
      <c r="J287" s="29">
        <v>1</v>
      </c>
      <c r="K287" s="9">
        <v>1</v>
      </c>
      <c r="L287" s="9">
        <v>1</v>
      </c>
      <c r="M287" s="9">
        <v>2</v>
      </c>
      <c r="N287" s="43">
        <v>2</v>
      </c>
      <c r="O287" s="265">
        <f t="shared" si="5"/>
        <v>0.35859414261160716</v>
      </c>
      <c r="P287" s="164" t="s">
        <v>120</v>
      </c>
    </row>
    <row r="288" spans="1:16">
      <c r="A288" s="227">
        <v>2016</v>
      </c>
      <c r="B288" s="227">
        <v>373</v>
      </c>
      <c r="C288" s="227" t="s">
        <v>105</v>
      </c>
      <c r="D288" s="227">
        <v>236</v>
      </c>
      <c r="E288" s="227">
        <v>378</v>
      </c>
      <c r="F288" s="227">
        <v>231</v>
      </c>
      <c r="G288" s="227">
        <v>0.62068965517241381</v>
      </c>
      <c r="H288" s="227">
        <v>0.37931034482758619</v>
      </c>
      <c r="I288" s="312" t="s">
        <v>119</v>
      </c>
      <c r="J288" s="29">
        <v>1</v>
      </c>
      <c r="K288" s="9">
        <v>1</v>
      </c>
      <c r="L288" s="9">
        <v>1</v>
      </c>
      <c r="M288" s="9">
        <v>2</v>
      </c>
      <c r="N288" s="43">
        <v>2</v>
      </c>
      <c r="O288" s="265">
        <f t="shared" si="5"/>
        <v>0.35859414261160716</v>
      </c>
      <c r="P288" s="164" t="s">
        <v>120</v>
      </c>
    </row>
    <row r="289" spans="1:16">
      <c r="A289" s="227">
        <v>2016</v>
      </c>
      <c r="B289" s="227">
        <v>258</v>
      </c>
      <c r="C289" s="227" t="s">
        <v>103</v>
      </c>
      <c r="D289" s="227">
        <v>70</v>
      </c>
      <c r="E289" s="227">
        <v>328</v>
      </c>
      <c r="F289" s="227">
        <v>0</v>
      </c>
      <c r="G289" s="227">
        <v>1</v>
      </c>
      <c r="H289" s="227">
        <v>0</v>
      </c>
      <c r="I289" s="312" t="s">
        <v>119</v>
      </c>
      <c r="J289" s="29">
        <v>1</v>
      </c>
      <c r="K289" s="9">
        <v>1</v>
      </c>
      <c r="L289" s="9">
        <v>1</v>
      </c>
      <c r="M289" s="9">
        <v>2</v>
      </c>
      <c r="N289" s="43">
        <v>2</v>
      </c>
      <c r="O289" s="265">
        <f t="shared" si="5"/>
        <v>0.35859414261160716</v>
      </c>
      <c r="P289" s="164" t="s">
        <v>120</v>
      </c>
    </row>
    <row r="290" spans="1:16">
      <c r="A290" s="227">
        <v>2016</v>
      </c>
      <c r="B290" s="227">
        <v>121</v>
      </c>
      <c r="C290" s="227" t="s">
        <v>101</v>
      </c>
      <c r="D290" s="227">
        <v>39</v>
      </c>
      <c r="E290" s="227">
        <v>107</v>
      </c>
      <c r="F290" s="227">
        <v>53</v>
      </c>
      <c r="G290" s="227">
        <v>0.66874999999999996</v>
      </c>
      <c r="H290" s="227">
        <v>0.33124999999999999</v>
      </c>
      <c r="I290" s="312" t="s">
        <v>119</v>
      </c>
      <c r="J290" s="29">
        <v>1</v>
      </c>
      <c r="K290" s="9">
        <v>1</v>
      </c>
      <c r="L290" s="9">
        <v>1</v>
      </c>
      <c r="M290" s="9">
        <v>2</v>
      </c>
      <c r="N290" s="43">
        <v>2</v>
      </c>
      <c r="O290" s="265">
        <f t="shared" si="5"/>
        <v>0.35859414261160716</v>
      </c>
      <c r="P290" s="164" t="s">
        <v>120</v>
      </c>
    </row>
    <row r="291" spans="1:16">
      <c r="A291" s="227">
        <v>2016</v>
      </c>
      <c r="B291" s="227">
        <v>2513</v>
      </c>
      <c r="C291" s="227" t="s">
        <v>106</v>
      </c>
      <c r="D291" s="227">
        <v>1123</v>
      </c>
      <c r="E291" s="227">
        <v>3636</v>
      </c>
      <c r="F291" s="227">
        <v>0</v>
      </c>
      <c r="G291" s="227">
        <v>1</v>
      </c>
      <c r="H291" s="227">
        <v>0</v>
      </c>
      <c r="I291" s="312" t="s">
        <v>119</v>
      </c>
      <c r="J291" s="29">
        <v>1</v>
      </c>
      <c r="K291" s="9">
        <v>1</v>
      </c>
      <c r="L291" s="9">
        <v>1</v>
      </c>
      <c r="M291" s="9">
        <v>2</v>
      </c>
      <c r="N291" s="43">
        <v>2</v>
      </c>
      <c r="O291" s="265">
        <f t="shared" si="5"/>
        <v>0.35859414261160716</v>
      </c>
      <c r="P291" s="164" t="s">
        <v>120</v>
      </c>
    </row>
    <row r="292" spans="1:16">
      <c r="A292" s="227">
        <v>2017</v>
      </c>
      <c r="B292" s="227">
        <v>786</v>
      </c>
      <c r="C292" s="227" t="s">
        <v>93</v>
      </c>
      <c r="D292" s="227">
        <v>1197</v>
      </c>
      <c r="E292" s="227">
        <v>1983</v>
      </c>
      <c r="F292" s="227">
        <v>0</v>
      </c>
      <c r="G292" s="227">
        <v>1</v>
      </c>
      <c r="H292" s="227">
        <v>0</v>
      </c>
      <c r="I292" s="312" t="s">
        <v>119</v>
      </c>
      <c r="J292" s="29">
        <v>1</v>
      </c>
      <c r="K292" s="9">
        <v>1</v>
      </c>
      <c r="L292" s="9">
        <v>1</v>
      </c>
      <c r="M292" s="9">
        <v>2</v>
      </c>
      <c r="N292" s="43">
        <v>2</v>
      </c>
      <c r="O292" s="265">
        <f t="shared" si="5"/>
        <v>0.35859414261160716</v>
      </c>
      <c r="P292" s="164" t="s">
        <v>120</v>
      </c>
    </row>
    <row r="293" spans="1:16">
      <c r="A293" s="227">
        <v>2017</v>
      </c>
      <c r="B293" s="227">
        <v>290</v>
      </c>
      <c r="C293" s="227" t="s">
        <v>94</v>
      </c>
      <c r="D293" s="227">
        <v>231</v>
      </c>
      <c r="E293" s="227">
        <v>418</v>
      </c>
      <c r="F293" s="227">
        <v>103</v>
      </c>
      <c r="G293" s="227">
        <v>0.80230326295585408</v>
      </c>
      <c r="H293" s="227">
        <v>0.19769673704414589</v>
      </c>
      <c r="I293" s="312" t="s">
        <v>119</v>
      </c>
      <c r="J293" s="29">
        <v>1</v>
      </c>
      <c r="K293" s="9">
        <v>1</v>
      </c>
      <c r="L293" s="9">
        <v>1</v>
      </c>
      <c r="M293" s="9">
        <v>2</v>
      </c>
      <c r="N293" s="43">
        <v>2</v>
      </c>
      <c r="O293" s="265">
        <f t="shared" si="5"/>
        <v>0.35859414261160716</v>
      </c>
      <c r="P293" s="164" t="s">
        <v>120</v>
      </c>
    </row>
    <row r="294" spans="1:16">
      <c r="A294" s="227">
        <v>2017</v>
      </c>
      <c r="B294" s="227">
        <v>852</v>
      </c>
      <c r="C294" s="227" t="s">
        <v>95</v>
      </c>
      <c r="D294" s="227">
        <v>316</v>
      </c>
      <c r="E294" s="227">
        <v>308</v>
      </c>
      <c r="F294" s="227">
        <v>860</v>
      </c>
      <c r="G294" s="227">
        <v>0.2636986301369863</v>
      </c>
      <c r="H294" s="227">
        <v>0.73630136986301364</v>
      </c>
      <c r="I294" s="312" t="s">
        <v>119</v>
      </c>
      <c r="J294" s="29">
        <v>1</v>
      </c>
      <c r="K294" s="9">
        <v>1</v>
      </c>
      <c r="L294" s="9">
        <v>1</v>
      </c>
      <c r="M294" s="9">
        <v>2</v>
      </c>
      <c r="N294" s="43">
        <v>2</v>
      </c>
      <c r="O294" s="265">
        <f t="shared" si="5"/>
        <v>0.35859414261160716</v>
      </c>
      <c r="P294" s="164" t="s">
        <v>120</v>
      </c>
    </row>
    <row r="295" spans="1:16">
      <c r="A295" s="227">
        <v>2017</v>
      </c>
      <c r="B295" s="227">
        <v>4</v>
      </c>
      <c r="C295" s="227" t="s">
        <v>96</v>
      </c>
      <c r="D295" s="227">
        <v>43</v>
      </c>
      <c r="E295" s="227">
        <v>16</v>
      </c>
      <c r="F295" s="227">
        <v>31</v>
      </c>
      <c r="G295" s="227">
        <v>0.34042553191489361</v>
      </c>
      <c r="H295" s="227">
        <v>0.65957446808510634</v>
      </c>
      <c r="I295" s="312" t="s">
        <v>119</v>
      </c>
      <c r="J295" s="29">
        <v>1</v>
      </c>
      <c r="K295" s="9">
        <v>1</v>
      </c>
      <c r="L295" s="9">
        <v>1</v>
      </c>
      <c r="M295" s="9">
        <v>2</v>
      </c>
      <c r="N295" s="43">
        <v>2</v>
      </c>
      <c r="O295" s="265">
        <f t="shared" si="5"/>
        <v>0.35859414261160716</v>
      </c>
      <c r="P295" s="164" t="s">
        <v>120</v>
      </c>
    </row>
    <row r="296" spans="1:16">
      <c r="A296" s="227">
        <v>2017</v>
      </c>
      <c r="B296" s="227">
        <v>199</v>
      </c>
      <c r="C296" s="227" t="s">
        <v>97</v>
      </c>
      <c r="D296" s="227">
        <v>53</v>
      </c>
      <c r="E296" s="227">
        <v>252</v>
      </c>
      <c r="F296" s="227">
        <v>0</v>
      </c>
      <c r="G296" s="227">
        <v>1</v>
      </c>
      <c r="H296" s="227">
        <v>0</v>
      </c>
      <c r="I296" s="312" t="s">
        <v>119</v>
      </c>
      <c r="J296" s="29">
        <v>1</v>
      </c>
      <c r="K296" s="9">
        <v>1</v>
      </c>
      <c r="L296" s="9">
        <v>1</v>
      </c>
      <c r="M296" s="9">
        <v>2</v>
      </c>
      <c r="N296" s="43">
        <v>2</v>
      </c>
      <c r="O296" s="265">
        <f t="shared" si="5"/>
        <v>0.35859414261160716</v>
      </c>
      <c r="P296" s="164" t="s">
        <v>120</v>
      </c>
    </row>
    <row r="297" spans="1:16">
      <c r="A297" s="227">
        <v>2017</v>
      </c>
      <c r="B297" s="227">
        <v>610</v>
      </c>
      <c r="C297" s="227" t="s">
        <v>98</v>
      </c>
      <c r="D297" s="227">
        <v>212</v>
      </c>
      <c r="E297" s="227">
        <v>765</v>
      </c>
      <c r="F297" s="227">
        <v>57</v>
      </c>
      <c r="G297" s="227">
        <v>0.93065693430656937</v>
      </c>
      <c r="H297" s="227">
        <v>6.9343065693430628E-2</v>
      </c>
      <c r="I297" s="312" t="s">
        <v>119</v>
      </c>
      <c r="J297" s="29">
        <v>1</v>
      </c>
      <c r="K297" s="9">
        <v>1</v>
      </c>
      <c r="L297" s="9">
        <v>1</v>
      </c>
      <c r="M297" s="9">
        <v>2</v>
      </c>
      <c r="N297" s="43">
        <v>2</v>
      </c>
      <c r="O297" s="265">
        <f t="shared" si="5"/>
        <v>0.35859414261160716</v>
      </c>
      <c r="P297" s="164" t="s">
        <v>120</v>
      </c>
    </row>
    <row r="298" spans="1:16">
      <c r="A298" s="227">
        <v>2017</v>
      </c>
      <c r="B298" s="227">
        <v>331</v>
      </c>
      <c r="C298" s="227" t="s">
        <v>99</v>
      </c>
      <c r="D298" s="227">
        <v>112</v>
      </c>
      <c r="E298" s="227">
        <v>443</v>
      </c>
      <c r="F298" s="227">
        <v>0</v>
      </c>
      <c r="G298" s="227">
        <v>1</v>
      </c>
      <c r="H298" s="227">
        <v>0</v>
      </c>
      <c r="I298" s="312" t="s">
        <v>119</v>
      </c>
      <c r="J298" s="29">
        <v>1</v>
      </c>
      <c r="K298" s="9">
        <v>1</v>
      </c>
      <c r="L298" s="9">
        <v>1</v>
      </c>
      <c r="M298" s="9">
        <v>2</v>
      </c>
      <c r="N298" s="43">
        <v>2</v>
      </c>
      <c r="O298" s="265">
        <f t="shared" si="5"/>
        <v>0.35859414261160716</v>
      </c>
      <c r="P298" s="164" t="s">
        <v>120</v>
      </c>
    </row>
    <row r="299" spans="1:16">
      <c r="A299" s="227">
        <v>2017</v>
      </c>
      <c r="B299" s="227">
        <v>193</v>
      </c>
      <c r="C299" s="227" t="s">
        <v>102</v>
      </c>
      <c r="D299" s="227">
        <v>29</v>
      </c>
      <c r="E299" s="227">
        <v>222</v>
      </c>
      <c r="F299" s="227">
        <v>0</v>
      </c>
      <c r="G299" s="227">
        <v>1</v>
      </c>
      <c r="H299" s="227">
        <v>0</v>
      </c>
      <c r="I299" s="312" t="s">
        <v>119</v>
      </c>
      <c r="J299" s="29">
        <v>1</v>
      </c>
      <c r="K299" s="9">
        <v>1</v>
      </c>
      <c r="L299" s="9">
        <v>1</v>
      </c>
      <c r="M299" s="9">
        <v>2</v>
      </c>
      <c r="N299" s="43">
        <v>2</v>
      </c>
      <c r="O299" s="265">
        <f t="shared" si="5"/>
        <v>0.35859414261160716</v>
      </c>
      <c r="P299" s="164" t="s">
        <v>120</v>
      </c>
    </row>
    <row r="300" spans="1:16">
      <c r="A300" s="227">
        <v>2017</v>
      </c>
      <c r="B300" s="227">
        <v>337</v>
      </c>
      <c r="C300" s="227" t="s">
        <v>104</v>
      </c>
      <c r="D300" s="227">
        <v>53</v>
      </c>
      <c r="E300" s="227">
        <v>289</v>
      </c>
      <c r="F300" s="227">
        <v>101</v>
      </c>
      <c r="G300" s="227">
        <v>0.74102564102564106</v>
      </c>
      <c r="H300" s="227">
        <v>0.25897435897435889</v>
      </c>
      <c r="I300" s="312" t="s">
        <v>119</v>
      </c>
      <c r="J300" s="29">
        <v>1</v>
      </c>
      <c r="K300" s="9">
        <v>1</v>
      </c>
      <c r="L300" s="9">
        <v>1</v>
      </c>
      <c r="M300" s="9">
        <v>2</v>
      </c>
      <c r="N300" s="43">
        <v>2</v>
      </c>
      <c r="O300" s="265">
        <f t="shared" si="5"/>
        <v>0.35859414261160716</v>
      </c>
      <c r="P300" s="164" t="s">
        <v>120</v>
      </c>
    </row>
    <row r="301" spans="1:16">
      <c r="A301" s="227">
        <v>2017</v>
      </c>
      <c r="B301" s="227">
        <v>313</v>
      </c>
      <c r="C301" s="227" t="s">
        <v>105</v>
      </c>
      <c r="D301" s="227">
        <v>232</v>
      </c>
      <c r="E301" s="227">
        <v>392</v>
      </c>
      <c r="F301" s="227">
        <v>153</v>
      </c>
      <c r="G301" s="227">
        <v>0.7192660550458716</v>
      </c>
      <c r="H301" s="227">
        <v>0.2807339449541284</v>
      </c>
      <c r="I301" s="312" t="s">
        <v>119</v>
      </c>
      <c r="J301" s="29">
        <v>1</v>
      </c>
      <c r="K301" s="9">
        <v>1</v>
      </c>
      <c r="L301" s="9">
        <v>1</v>
      </c>
      <c r="M301" s="9">
        <v>2</v>
      </c>
      <c r="N301" s="43">
        <v>2</v>
      </c>
      <c r="O301" s="265">
        <f t="shared" si="5"/>
        <v>0.35859414261160716</v>
      </c>
      <c r="P301" s="164" t="s">
        <v>120</v>
      </c>
    </row>
    <row r="302" spans="1:16">
      <c r="A302" s="227">
        <v>2017</v>
      </c>
      <c r="B302" s="227">
        <v>280</v>
      </c>
      <c r="C302" s="227" t="s">
        <v>103</v>
      </c>
      <c r="D302" s="227">
        <v>72</v>
      </c>
      <c r="E302" s="227">
        <v>352</v>
      </c>
      <c r="F302" s="227">
        <v>0</v>
      </c>
      <c r="G302" s="227">
        <v>1</v>
      </c>
      <c r="H302" s="227">
        <v>0</v>
      </c>
      <c r="I302" s="312" t="s">
        <v>119</v>
      </c>
      <c r="J302" s="29">
        <v>1</v>
      </c>
      <c r="K302" s="9">
        <v>1</v>
      </c>
      <c r="L302" s="9">
        <v>1</v>
      </c>
      <c r="M302" s="9">
        <v>2</v>
      </c>
      <c r="N302" s="43">
        <v>2</v>
      </c>
      <c r="O302" s="265">
        <f t="shared" si="5"/>
        <v>0.35859414261160716</v>
      </c>
      <c r="P302" s="164" t="s">
        <v>120</v>
      </c>
    </row>
    <row r="303" spans="1:16">
      <c r="A303" s="227">
        <v>2017</v>
      </c>
      <c r="B303" s="227">
        <v>124</v>
      </c>
      <c r="C303" s="227" t="s">
        <v>101</v>
      </c>
      <c r="D303" s="227">
        <v>41</v>
      </c>
      <c r="E303" s="227">
        <v>123</v>
      </c>
      <c r="F303" s="227">
        <v>42</v>
      </c>
      <c r="G303" s="227">
        <v>0.74545454545454548</v>
      </c>
      <c r="H303" s="227">
        <v>0.25454545454545452</v>
      </c>
      <c r="I303" s="312" t="s">
        <v>119</v>
      </c>
      <c r="J303" s="29">
        <v>1</v>
      </c>
      <c r="K303" s="9">
        <v>1</v>
      </c>
      <c r="L303" s="9">
        <v>1</v>
      </c>
      <c r="M303" s="9">
        <v>2</v>
      </c>
      <c r="N303" s="43">
        <v>2</v>
      </c>
      <c r="O303" s="265">
        <f t="shared" si="5"/>
        <v>0.35859414261160716</v>
      </c>
      <c r="P303" s="164" t="s">
        <v>120</v>
      </c>
    </row>
    <row r="304" spans="1:16">
      <c r="A304" s="227">
        <v>2017</v>
      </c>
      <c r="B304" s="227">
        <v>2566</v>
      </c>
      <c r="C304" s="227" t="s">
        <v>106</v>
      </c>
      <c r="D304" s="227">
        <v>1172</v>
      </c>
      <c r="E304" s="227">
        <v>3738</v>
      </c>
      <c r="F304" s="227">
        <v>0</v>
      </c>
      <c r="G304" s="227">
        <v>1</v>
      </c>
      <c r="H304" s="227">
        <v>0</v>
      </c>
      <c r="I304" s="312" t="s">
        <v>119</v>
      </c>
      <c r="J304" s="29">
        <v>1</v>
      </c>
      <c r="K304" s="9">
        <v>1</v>
      </c>
      <c r="L304" s="9">
        <v>1</v>
      </c>
      <c r="M304" s="9">
        <v>2</v>
      </c>
      <c r="N304" s="43">
        <v>2</v>
      </c>
      <c r="O304" s="265">
        <f t="shared" si="5"/>
        <v>0.35859414261160716</v>
      </c>
      <c r="P304" s="164" t="s">
        <v>120</v>
      </c>
    </row>
    <row r="305" spans="1:16">
      <c r="A305" s="227">
        <v>2018</v>
      </c>
      <c r="B305" s="227">
        <v>1661</v>
      </c>
      <c r="C305" s="227" t="s">
        <v>93</v>
      </c>
      <c r="D305" s="227">
        <v>1084</v>
      </c>
      <c r="E305" s="227">
        <v>2031</v>
      </c>
      <c r="F305" s="227">
        <v>714</v>
      </c>
      <c r="G305" s="227">
        <v>0.73989071038251364</v>
      </c>
      <c r="H305" s="227">
        <v>0.26010928961748642</v>
      </c>
      <c r="I305" s="312" t="s">
        <v>119</v>
      </c>
      <c r="J305" s="29">
        <v>1</v>
      </c>
      <c r="K305" s="9">
        <v>1</v>
      </c>
      <c r="L305" s="9">
        <v>1</v>
      </c>
      <c r="M305" s="9">
        <v>2</v>
      </c>
      <c r="N305" s="43">
        <v>2</v>
      </c>
      <c r="O305" s="265">
        <f t="shared" si="5"/>
        <v>0.35859414261160716</v>
      </c>
      <c r="P305" s="164" t="s">
        <v>120</v>
      </c>
    </row>
    <row r="306" spans="1:16">
      <c r="A306" s="227">
        <v>2018</v>
      </c>
      <c r="B306" s="227">
        <v>290</v>
      </c>
      <c r="C306" s="227" t="s">
        <v>94</v>
      </c>
      <c r="D306" s="227">
        <v>243</v>
      </c>
      <c r="E306" s="227">
        <v>460</v>
      </c>
      <c r="F306" s="227">
        <v>73</v>
      </c>
      <c r="G306" s="227">
        <v>0.8630393996247655</v>
      </c>
      <c r="H306" s="227">
        <v>0.1369606003752345</v>
      </c>
      <c r="I306" s="312" t="s">
        <v>119</v>
      </c>
      <c r="J306" s="29">
        <v>1</v>
      </c>
      <c r="K306" s="9">
        <v>1</v>
      </c>
      <c r="L306" s="9">
        <v>1</v>
      </c>
      <c r="M306" s="9">
        <v>2</v>
      </c>
      <c r="N306" s="43">
        <v>2</v>
      </c>
      <c r="O306" s="265">
        <f t="shared" si="5"/>
        <v>0.35859414261160716</v>
      </c>
      <c r="P306" s="164" t="s">
        <v>120</v>
      </c>
    </row>
    <row r="307" spans="1:16">
      <c r="A307" s="227">
        <v>2018</v>
      </c>
      <c r="B307" s="227">
        <v>1105</v>
      </c>
      <c r="C307" s="227" t="s">
        <v>95</v>
      </c>
      <c r="D307" s="227">
        <v>323</v>
      </c>
      <c r="E307" s="227">
        <v>276</v>
      </c>
      <c r="F307" s="227">
        <v>1152</v>
      </c>
      <c r="G307" s="227">
        <v>0.19327731092436981</v>
      </c>
      <c r="H307" s="227">
        <v>0.80672268907563027</v>
      </c>
      <c r="I307" s="312" t="s">
        <v>119</v>
      </c>
      <c r="J307" s="29">
        <v>1</v>
      </c>
      <c r="K307" s="9">
        <v>1</v>
      </c>
      <c r="L307" s="9">
        <v>1</v>
      </c>
      <c r="M307" s="9">
        <v>2</v>
      </c>
      <c r="N307" s="43">
        <v>2</v>
      </c>
      <c r="O307" s="265">
        <f t="shared" si="5"/>
        <v>0.35859414261160716</v>
      </c>
      <c r="P307" s="164" t="s">
        <v>120</v>
      </c>
    </row>
    <row r="308" spans="1:16">
      <c r="A308" s="227">
        <v>2018</v>
      </c>
      <c r="B308" s="227">
        <v>4</v>
      </c>
      <c r="C308" s="227" t="s">
        <v>96</v>
      </c>
      <c r="D308" s="227">
        <v>41</v>
      </c>
      <c r="E308" s="227">
        <v>17</v>
      </c>
      <c r="F308" s="227">
        <v>28</v>
      </c>
      <c r="G308" s="227">
        <v>0.37777777777777782</v>
      </c>
      <c r="H308" s="227">
        <v>0.62222222222222223</v>
      </c>
      <c r="I308" s="312" t="s">
        <v>119</v>
      </c>
      <c r="J308" s="29">
        <v>1</v>
      </c>
      <c r="K308" s="9">
        <v>1</v>
      </c>
      <c r="L308" s="9">
        <v>1</v>
      </c>
      <c r="M308" s="9">
        <v>2</v>
      </c>
      <c r="N308" s="43">
        <v>2</v>
      </c>
      <c r="O308" s="265">
        <f t="shared" si="5"/>
        <v>0.35859414261160716</v>
      </c>
      <c r="P308" s="164" t="s">
        <v>120</v>
      </c>
    </row>
    <row r="309" spans="1:16">
      <c r="A309" s="227">
        <v>2018</v>
      </c>
      <c r="B309" s="227">
        <v>185</v>
      </c>
      <c r="C309" s="227" t="s">
        <v>97</v>
      </c>
      <c r="D309" s="227">
        <v>56</v>
      </c>
      <c r="E309" s="227">
        <v>241</v>
      </c>
      <c r="F309" s="227">
        <v>0</v>
      </c>
      <c r="G309" s="227">
        <v>1</v>
      </c>
      <c r="H309" s="227">
        <v>0</v>
      </c>
      <c r="I309" s="312" t="s">
        <v>119</v>
      </c>
      <c r="J309" s="29">
        <v>1</v>
      </c>
      <c r="K309" s="9">
        <v>1</v>
      </c>
      <c r="L309" s="9">
        <v>1</v>
      </c>
      <c r="M309" s="9">
        <v>2</v>
      </c>
      <c r="N309" s="43">
        <v>2</v>
      </c>
      <c r="O309" s="265">
        <f t="shared" si="5"/>
        <v>0.35859414261160716</v>
      </c>
      <c r="P309" s="164" t="s">
        <v>120</v>
      </c>
    </row>
    <row r="310" spans="1:16">
      <c r="A310" s="227">
        <v>2018</v>
      </c>
      <c r="B310" s="227">
        <v>610</v>
      </c>
      <c r="C310" s="227" t="s">
        <v>98</v>
      </c>
      <c r="D310" s="227">
        <v>221</v>
      </c>
      <c r="E310" s="227">
        <v>794</v>
      </c>
      <c r="F310" s="227">
        <v>37</v>
      </c>
      <c r="G310" s="227">
        <v>0.95547533092659442</v>
      </c>
      <c r="H310" s="227">
        <v>4.4524669073405583E-2</v>
      </c>
      <c r="I310" s="312" t="s">
        <v>119</v>
      </c>
      <c r="J310" s="29">
        <v>1</v>
      </c>
      <c r="K310" s="9">
        <v>1</v>
      </c>
      <c r="L310" s="9">
        <v>1</v>
      </c>
      <c r="M310" s="9">
        <v>2</v>
      </c>
      <c r="N310" s="43">
        <v>2</v>
      </c>
      <c r="O310" s="265">
        <f t="shared" si="5"/>
        <v>0.35859414261160716</v>
      </c>
      <c r="P310" s="164" t="s">
        <v>120</v>
      </c>
    </row>
    <row r="311" spans="1:16">
      <c r="A311" s="227">
        <v>2018</v>
      </c>
      <c r="B311" s="227">
        <v>516</v>
      </c>
      <c r="C311" s="227" t="s">
        <v>99</v>
      </c>
      <c r="D311" s="227">
        <v>103</v>
      </c>
      <c r="E311" s="227">
        <v>619</v>
      </c>
      <c r="F311" s="227">
        <v>0</v>
      </c>
      <c r="G311" s="227">
        <v>1</v>
      </c>
      <c r="H311" s="227">
        <v>0</v>
      </c>
      <c r="I311" s="312" t="s">
        <v>119</v>
      </c>
      <c r="J311" s="29">
        <v>1</v>
      </c>
      <c r="K311" s="9">
        <v>1</v>
      </c>
      <c r="L311" s="9">
        <v>1</v>
      </c>
      <c r="M311" s="9">
        <v>2</v>
      </c>
      <c r="N311" s="43">
        <v>2</v>
      </c>
      <c r="O311" s="265">
        <f t="shared" si="5"/>
        <v>0.35859414261160716</v>
      </c>
      <c r="P311" s="164" t="s">
        <v>120</v>
      </c>
    </row>
    <row r="312" spans="1:16">
      <c r="A312" s="227">
        <v>2018</v>
      </c>
      <c r="B312" s="227">
        <v>192</v>
      </c>
      <c r="C312" s="227" t="s">
        <v>102</v>
      </c>
      <c r="D312" s="227">
        <v>35</v>
      </c>
      <c r="E312" s="227">
        <v>227</v>
      </c>
      <c r="F312" s="227">
        <v>0</v>
      </c>
      <c r="G312" s="227">
        <v>1</v>
      </c>
      <c r="H312" s="227">
        <v>0</v>
      </c>
      <c r="I312" s="312" t="s">
        <v>119</v>
      </c>
      <c r="J312" s="29">
        <v>1</v>
      </c>
      <c r="K312" s="9">
        <v>1</v>
      </c>
      <c r="L312" s="9">
        <v>1</v>
      </c>
      <c r="M312" s="9">
        <v>2</v>
      </c>
      <c r="N312" s="43">
        <v>2</v>
      </c>
      <c r="O312" s="265">
        <f t="shared" si="5"/>
        <v>0.35859414261160716</v>
      </c>
      <c r="P312" s="164" t="s">
        <v>120</v>
      </c>
    </row>
    <row r="313" spans="1:16">
      <c r="A313" s="227">
        <v>2018</v>
      </c>
      <c r="B313" s="227">
        <v>337</v>
      </c>
      <c r="C313" s="227" t="s">
        <v>104</v>
      </c>
      <c r="D313" s="227">
        <v>55</v>
      </c>
      <c r="E313" s="227">
        <v>269</v>
      </c>
      <c r="F313" s="227">
        <v>123</v>
      </c>
      <c r="G313" s="227">
        <v>0.68622448979591832</v>
      </c>
      <c r="H313" s="227">
        <v>0.31377551020408168</v>
      </c>
      <c r="I313" s="312" t="s">
        <v>119</v>
      </c>
      <c r="J313" s="29">
        <v>1</v>
      </c>
      <c r="K313" s="9">
        <v>1</v>
      </c>
      <c r="L313" s="9">
        <v>1</v>
      </c>
      <c r="M313" s="9">
        <v>2</v>
      </c>
      <c r="N313" s="43">
        <v>2</v>
      </c>
      <c r="O313" s="265">
        <f t="shared" si="5"/>
        <v>0.35859414261160716</v>
      </c>
      <c r="P313" s="164" t="s">
        <v>120</v>
      </c>
    </row>
    <row r="314" spans="1:16">
      <c r="A314" s="227">
        <v>2018</v>
      </c>
      <c r="B314" s="227">
        <v>355</v>
      </c>
      <c r="C314" s="227" t="s">
        <v>105</v>
      </c>
      <c r="D314" s="227">
        <v>229</v>
      </c>
      <c r="E314" s="227">
        <v>395</v>
      </c>
      <c r="F314" s="227">
        <v>189</v>
      </c>
      <c r="G314" s="227">
        <v>0.67636986301369861</v>
      </c>
      <c r="H314" s="227">
        <v>0.32363013698630139</v>
      </c>
      <c r="I314" s="312" t="s">
        <v>119</v>
      </c>
      <c r="J314" s="29">
        <v>1</v>
      </c>
      <c r="K314" s="9">
        <v>1</v>
      </c>
      <c r="L314" s="9">
        <v>1</v>
      </c>
      <c r="M314" s="9">
        <v>2</v>
      </c>
      <c r="N314" s="43">
        <v>2</v>
      </c>
      <c r="O314" s="265">
        <f t="shared" si="5"/>
        <v>0.35859414261160716</v>
      </c>
      <c r="P314" s="164" t="s">
        <v>120</v>
      </c>
    </row>
    <row r="315" spans="1:16">
      <c r="A315" s="227">
        <v>2018</v>
      </c>
      <c r="B315" s="227">
        <v>257</v>
      </c>
      <c r="C315" s="227" t="s">
        <v>103</v>
      </c>
      <c r="D315" s="227">
        <v>80</v>
      </c>
      <c r="E315" s="227">
        <v>337</v>
      </c>
      <c r="F315" s="227">
        <v>0</v>
      </c>
      <c r="G315" s="227">
        <v>1</v>
      </c>
      <c r="H315" s="227">
        <v>0</v>
      </c>
      <c r="I315" s="312" t="s">
        <v>119</v>
      </c>
      <c r="J315" s="29">
        <v>1</v>
      </c>
      <c r="K315" s="9">
        <v>1</v>
      </c>
      <c r="L315" s="9">
        <v>1</v>
      </c>
      <c r="M315" s="9">
        <v>2</v>
      </c>
      <c r="N315" s="43">
        <v>2</v>
      </c>
      <c r="O315" s="265">
        <f t="shared" si="5"/>
        <v>0.35859414261160716</v>
      </c>
      <c r="P315" s="164" t="s">
        <v>120</v>
      </c>
    </row>
    <row r="316" spans="1:16">
      <c r="A316" s="227">
        <v>2018</v>
      </c>
      <c r="B316" s="227">
        <v>104</v>
      </c>
      <c r="C316" s="227" t="s">
        <v>101</v>
      </c>
      <c r="D316" s="227">
        <v>42</v>
      </c>
      <c r="E316" s="227">
        <v>95</v>
      </c>
      <c r="F316" s="227">
        <v>51</v>
      </c>
      <c r="G316" s="227">
        <v>0.65068493150684936</v>
      </c>
      <c r="H316" s="227">
        <v>0.34931506849315058</v>
      </c>
      <c r="I316" s="312" t="s">
        <v>119</v>
      </c>
      <c r="J316" s="29">
        <v>1</v>
      </c>
      <c r="K316" s="9">
        <v>1</v>
      </c>
      <c r="L316" s="9">
        <v>1</v>
      </c>
      <c r="M316" s="9">
        <v>2</v>
      </c>
      <c r="N316" s="43">
        <v>2</v>
      </c>
      <c r="O316" s="265">
        <f t="shared" si="5"/>
        <v>0.35859414261160716</v>
      </c>
      <c r="P316" s="164" t="s">
        <v>120</v>
      </c>
    </row>
    <row r="317" spans="1:16">
      <c r="A317" s="227">
        <v>2018</v>
      </c>
      <c r="B317" s="227">
        <v>2403</v>
      </c>
      <c r="C317" s="227" t="s">
        <v>106</v>
      </c>
      <c r="D317" s="227">
        <v>1272</v>
      </c>
      <c r="E317" s="227">
        <v>3675</v>
      </c>
      <c r="F317" s="227">
        <v>0</v>
      </c>
      <c r="G317" s="227">
        <v>1</v>
      </c>
      <c r="H317" s="227">
        <v>0</v>
      </c>
      <c r="I317" s="312" t="s">
        <v>119</v>
      </c>
      <c r="J317" s="29">
        <v>1</v>
      </c>
      <c r="K317" s="9">
        <v>1</v>
      </c>
      <c r="L317" s="9">
        <v>1</v>
      </c>
      <c r="M317" s="9">
        <v>2</v>
      </c>
      <c r="N317" s="43">
        <v>2</v>
      </c>
      <c r="O317" s="265">
        <f t="shared" si="5"/>
        <v>0.35859414261160716</v>
      </c>
      <c r="P317" s="164" t="s">
        <v>120</v>
      </c>
    </row>
    <row r="318" spans="1:16">
      <c r="A318" s="227">
        <v>2019</v>
      </c>
      <c r="B318" s="227">
        <v>1278</v>
      </c>
      <c r="C318" s="227" t="s">
        <v>93</v>
      </c>
      <c r="D318" s="227">
        <v>942</v>
      </c>
      <c r="E318" s="227">
        <v>1985</v>
      </c>
      <c r="F318" s="227">
        <v>235</v>
      </c>
      <c r="G318" s="227">
        <v>0.89414414414414412</v>
      </c>
      <c r="H318" s="227">
        <v>0.1058558558558559</v>
      </c>
      <c r="I318" s="312" t="s">
        <v>119</v>
      </c>
      <c r="J318" s="29">
        <v>1</v>
      </c>
      <c r="K318" s="9">
        <v>1</v>
      </c>
      <c r="L318" s="9">
        <v>1</v>
      </c>
      <c r="M318" s="9">
        <v>2</v>
      </c>
      <c r="N318" s="43">
        <v>2</v>
      </c>
      <c r="O318" s="265">
        <f t="shared" si="5"/>
        <v>0.35859414261160716</v>
      </c>
      <c r="P318" s="164" t="s">
        <v>120</v>
      </c>
    </row>
    <row r="319" spans="1:16">
      <c r="A319" s="227">
        <v>2019</v>
      </c>
      <c r="B319" s="227">
        <v>266</v>
      </c>
      <c r="C319" s="227" t="s">
        <v>94</v>
      </c>
      <c r="D319" s="227">
        <v>270</v>
      </c>
      <c r="E319" s="227">
        <v>453</v>
      </c>
      <c r="F319" s="227">
        <v>83</v>
      </c>
      <c r="G319" s="227">
        <v>0.84514925373134331</v>
      </c>
      <c r="H319" s="227">
        <v>0.15485074626865669</v>
      </c>
      <c r="I319" s="312" t="s">
        <v>119</v>
      </c>
      <c r="J319" s="29">
        <v>1</v>
      </c>
      <c r="K319" s="9">
        <v>1</v>
      </c>
      <c r="L319" s="9">
        <v>1</v>
      </c>
      <c r="M319" s="9">
        <v>2</v>
      </c>
      <c r="N319" s="43">
        <v>2</v>
      </c>
      <c r="O319" s="265">
        <f t="shared" si="5"/>
        <v>0.35859414261160716</v>
      </c>
      <c r="P319" s="164" t="s">
        <v>120</v>
      </c>
    </row>
    <row r="320" spans="1:16">
      <c r="A320" s="227">
        <v>2019</v>
      </c>
      <c r="B320" s="227">
        <v>936</v>
      </c>
      <c r="C320" s="227" t="s">
        <v>95</v>
      </c>
      <c r="D320" s="227">
        <v>302</v>
      </c>
      <c r="E320" s="227">
        <v>268</v>
      </c>
      <c r="F320" s="227">
        <v>970</v>
      </c>
      <c r="G320" s="227">
        <v>0.2164781906300485</v>
      </c>
      <c r="H320" s="227">
        <v>0.78352180936995153</v>
      </c>
      <c r="I320" s="312" t="s">
        <v>119</v>
      </c>
      <c r="J320" s="29">
        <v>1</v>
      </c>
      <c r="K320" s="9">
        <v>1</v>
      </c>
      <c r="L320" s="9">
        <v>1</v>
      </c>
      <c r="M320" s="9">
        <v>2</v>
      </c>
      <c r="N320" s="43">
        <v>2</v>
      </c>
      <c r="O320" s="265">
        <f t="shared" si="5"/>
        <v>0.35859414261160716</v>
      </c>
      <c r="P320" s="164" t="s">
        <v>120</v>
      </c>
    </row>
    <row r="321" spans="1:16">
      <c r="A321" s="227">
        <v>2019</v>
      </c>
      <c r="B321" s="227">
        <v>4</v>
      </c>
      <c r="C321" s="227" t="s">
        <v>96</v>
      </c>
      <c r="D321" s="227">
        <v>111</v>
      </c>
      <c r="E321" s="227">
        <v>17</v>
      </c>
      <c r="F321" s="227">
        <v>98</v>
      </c>
      <c r="G321" s="227">
        <v>0.14782608695652169</v>
      </c>
      <c r="H321" s="227">
        <v>0.85217391304347823</v>
      </c>
      <c r="I321" s="312" t="s">
        <v>119</v>
      </c>
      <c r="J321" s="29">
        <v>1</v>
      </c>
      <c r="K321" s="9">
        <v>1</v>
      </c>
      <c r="L321" s="9">
        <v>1</v>
      </c>
      <c r="M321" s="9">
        <v>2</v>
      </c>
      <c r="N321" s="43">
        <v>2</v>
      </c>
      <c r="O321" s="265">
        <f t="shared" si="5"/>
        <v>0.35859414261160716</v>
      </c>
      <c r="P321" s="164" t="s">
        <v>120</v>
      </c>
    </row>
    <row r="322" spans="1:16">
      <c r="A322" s="227">
        <v>2019</v>
      </c>
      <c r="B322" s="227">
        <v>306</v>
      </c>
      <c r="C322" s="227" t="s">
        <v>97</v>
      </c>
      <c r="D322" s="227">
        <v>56</v>
      </c>
      <c r="E322" s="227">
        <v>241</v>
      </c>
      <c r="F322" s="227">
        <v>121</v>
      </c>
      <c r="G322" s="227">
        <v>0.66574585635359118</v>
      </c>
      <c r="H322" s="227">
        <v>0.33425414364640882</v>
      </c>
      <c r="I322" s="312" t="s">
        <v>119</v>
      </c>
      <c r="J322" s="29">
        <v>1</v>
      </c>
      <c r="K322" s="9">
        <v>1</v>
      </c>
      <c r="L322" s="9">
        <v>1</v>
      </c>
      <c r="M322" s="9">
        <v>2</v>
      </c>
      <c r="N322" s="43">
        <v>2</v>
      </c>
      <c r="O322" s="265">
        <f t="shared" si="5"/>
        <v>0.35859414261160716</v>
      </c>
      <c r="P322" s="164" t="s">
        <v>120</v>
      </c>
    </row>
    <row r="323" spans="1:16">
      <c r="A323" s="227">
        <v>2019</v>
      </c>
      <c r="B323" s="227">
        <v>610</v>
      </c>
      <c r="C323" s="227" t="s">
        <v>98</v>
      </c>
      <c r="D323" s="227">
        <v>217</v>
      </c>
      <c r="E323" s="227">
        <v>703</v>
      </c>
      <c r="F323" s="227">
        <v>124</v>
      </c>
      <c r="G323" s="227">
        <v>0.85006045949214026</v>
      </c>
      <c r="H323" s="227">
        <v>0.14993954050785971</v>
      </c>
      <c r="I323" s="312" t="s">
        <v>119</v>
      </c>
      <c r="J323" s="29">
        <v>1</v>
      </c>
      <c r="K323" s="9">
        <v>1</v>
      </c>
      <c r="L323" s="9">
        <v>1</v>
      </c>
      <c r="M323" s="9">
        <v>2</v>
      </c>
      <c r="N323" s="43">
        <v>2</v>
      </c>
      <c r="O323" s="265">
        <f t="shared" si="5"/>
        <v>0.35859414261160716</v>
      </c>
      <c r="P323" s="164" t="s">
        <v>120</v>
      </c>
    </row>
    <row r="324" spans="1:16">
      <c r="A324" s="227">
        <v>2019</v>
      </c>
      <c r="B324" s="227">
        <v>443</v>
      </c>
      <c r="C324" s="227" t="s">
        <v>99</v>
      </c>
      <c r="D324" s="227">
        <v>134</v>
      </c>
      <c r="E324" s="227">
        <v>577</v>
      </c>
      <c r="F324" s="227">
        <v>0</v>
      </c>
      <c r="G324" s="227">
        <v>1</v>
      </c>
      <c r="H324" s="227">
        <v>0</v>
      </c>
      <c r="I324" s="312" t="s">
        <v>119</v>
      </c>
      <c r="J324" s="29">
        <v>1</v>
      </c>
      <c r="K324" s="9">
        <v>1</v>
      </c>
      <c r="L324" s="9">
        <v>1</v>
      </c>
      <c r="M324" s="9">
        <v>2</v>
      </c>
      <c r="N324" s="43">
        <v>2</v>
      </c>
      <c r="O324" s="265">
        <f t="shared" si="5"/>
        <v>0.35859414261160716</v>
      </c>
      <c r="P324" s="164" t="s">
        <v>120</v>
      </c>
    </row>
    <row r="325" spans="1:16">
      <c r="A325" s="227">
        <v>2019</v>
      </c>
      <c r="B325" s="227">
        <v>202</v>
      </c>
      <c r="C325" s="227" t="s">
        <v>102</v>
      </c>
      <c r="D325" s="227">
        <v>17</v>
      </c>
      <c r="E325" s="227">
        <v>219</v>
      </c>
      <c r="F325" s="227">
        <v>0</v>
      </c>
      <c r="G325" s="227">
        <v>1</v>
      </c>
      <c r="H325" s="227">
        <v>0</v>
      </c>
      <c r="I325" s="312" t="s">
        <v>119</v>
      </c>
      <c r="J325" s="29">
        <v>1</v>
      </c>
      <c r="K325" s="9">
        <v>1</v>
      </c>
      <c r="L325" s="9">
        <v>1</v>
      </c>
      <c r="M325" s="9">
        <v>2</v>
      </c>
      <c r="N325" s="43">
        <v>2</v>
      </c>
      <c r="O325" s="265">
        <f t="shared" si="5"/>
        <v>0.35859414261160716</v>
      </c>
      <c r="P325" s="164" t="s">
        <v>120</v>
      </c>
    </row>
    <row r="326" spans="1:16">
      <c r="A326" s="227">
        <v>2019</v>
      </c>
      <c r="B326" s="227">
        <v>448</v>
      </c>
      <c r="C326" s="227" t="s">
        <v>104</v>
      </c>
      <c r="D326" s="227">
        <v>70</v>
      </c>
      <c r="E326" s="227">
        <v>224</v>
      </c>
      <c r="F326" s="227">
        <v>294</v>
      </c>
      <c r="G326" s="227">
        <v>0.43243243243243251</v>
      </c>
      <c r="H326" s="227">
        <v>0.56756756756756754</v>
      </c>
      <c r="I326" s="312" t="s">
        <v>119</v>
      </c>
      <c r="J326" s="29">
        <v>1</v>
      </c>
      <c r="K326" s="9">
        <v>1</v>
      </c>
      <c r="L326" s="9">
        <v>1</v>
      </c>
      <c r="M326" s="9">
        <v>2</v>
      </c>
      <c r="N326" s="43">
        <v>2</v>
      </c>
      <c r="O326" s="265">
        <f t="shared" si="5"/>
        <v>0.35859414261160716</v>
      </c>
      <c r="P326" s="164" t="s">
        <v>120</v>
      </c>
    </row>
    <row r="327" spans="1:16">
      <c r="A327" s="227">
        <v>2019</v>
      </c>
      <c r="B327" s="227">
        <v>360</v>
      </c>
      <c r="C327" s="227" t="s">
        <v>105</v>
      </c>
      <c r="D327" s="227">
        <v>243</v>
      </c>
      <c r="E327" s="227">
        <v>404</v>
      </c>
      <c r="F327" s="227">
        <v>199</v>
      </c>
      <c r="G327" s="227">
        <v>0.66998341625207292</v>
      </c>
      <c r="H327" s="227">
        <v>0.33001658374792708</v>
      </c>
      <c r="I327" s="312" t="s">
        <v>119</v>
      </c>
      <c r="J327" s="29">
        <v>1</v>
      </c>
      <c r="K327" s="9">
        <v>1</v>
      </c>
      <c r="L327" s="9">
        <v>1</v>
      </c>
      <c r="M327" s="9">
        <v>2</v>
      </c>
      <c r="N327" s="43">
        <v>2</v>
      </c>
      <c r="O327" s="265">
        <f t="shared" ref="O327:O356" si="6">IF( OR( ISBLANK(J327),ISBLANK(K327), ISBLANK(L327), ISBLANK(M327), ISBLANK(N327) ), "", 1.5*SQRT(   EXP(2.21*(J327-1)) + EXP(2.21*(K327-1)) + EXP(2.21*(L327-1)) + EXP(2.21*(M327-1)) + EXP(2.21*N327)   )/100*2.45 )</f>
        <v>0.35859414261160716</v>
      </c>
      <c r="P327" s="164" t="s">
        <v>120</v>
      </c>
    </row>
    <row r="328" spans="1:16">
      <c r="A328" s="227">
        <v>2019</v>
      </c>
      <c r="B328" s="227">
        <v>165</v>
      </c>
      <c r="C328" s="227" t="s">
        <v>103</v>
      </c>
      <c r="D328" s="227">
        <v>79</v>
      </c>
      <c r="E328" s="227">
        <v>244</v>
      </c>
      <c r="F328" s="227">
        <v>0</v>
      </c>
      <c r="G328" s="227">
        <v>1</v>
      </c>
      <c r="H328" s="227">
        <v>0</v>
      </c>
      <c r="I328" s="312" t="s">
        <v>119</v>
      </c>
      <c r="J328" s="29">
        <v>1</v>
      </c>
      <c r="K328" s="9">
        <v>1</v>
      </c>
      <c r="L328" s="9">
        <v>1</v>
      </c>
      <c r="M328" s="9">
        <v>2</v>
      </c>
      <c r="N328" s="43">
        <v>2</v>
      </c>
      <c r="O328" s="265">
        <f t="shared" si="6"/>
        <v>0.35859414261160716</v>
      </c>
      <c r="P328" s="164" t="s">
        <v>120</v>
      </c>
    </row>
    <row r="329" spans="1:16">
      <c r="A329" s="227">
        <v>2019</v>
      </c>
      <c r="B329" s="227">
        <v>98</v>
      </c>
      <c r="C329" s="227" t="s">
        <v>101</v>
      </c>
      <c r="D329" s="227">
        <v>40</v>
      </c>
      <c r="E329" s="227">
        <v>93</v>
      </c>
      <c r="F329" s="227">
        <v>45</v>
      </c>
      <c r="G329" s="227">
        <v>0.67391304347826086</v>
      </c>
      <c r="H329" s="227">
        <v>0.32608695652173908</v>
      </c>
      <c r="I329" s="312" t="s">
        <v>119</v>
      </c>
      <c r="J329" s="29">
        <v>1</v>
      </c>
      <c r="K329" s="9">
        <v>1</v>
      </c>
      <c r="L329" s="9">
        <v>1</v>
      </c>
      <c r="M329" s="9">
        <v>2</v>
      </c>
      <c r="N329" s="43">
        <v>2</v>
      </c>
      <c r="O329" s="265">
        <f t="shared" si="6"/>
        <v>0.35859414261160716</v>
      </c>
      <c r="P329" s="164" t="s">
        <v>120</v>
      </c>
    </row>
    <row r="330" spans="1:16">
      <c r="A330" s="227">
        <v>2019</v>
      </c>
      <c r="B330" s="227">
        <v>2309</v>
      </c>
      <c r="C330" s="227" t="s">
        <v>106</v>
      </c>
      <c r="D330" s="227">
        <v>1386</v>
      </c>
      <c r="E330" s="227">
        <v>3695</v>
      </c>
      <c r="F330" s="227">
        <v>0</v>
      </c>
      <c r="G330" s="227">
        <v>1</v>
      </c>
      <c r="H330" s="227">
        <v>0</v>
      </c>
      <c r="I330" s="312" t="s">
        <v>119</v>
      </c>
      <c r="J330" s="29">
        <v>1</v>
      </c>
      <c r="K330" s="9">
        <v>1</v>
      </c>
      <c r="L330" s="9">
        <v>1</v>
      </c>
      <c r="M330" s="9">
        <v>2</v>
      </c>
      <c r="N330" s="43">
        <v>2</v>
      </c>
      <c r="O330" s="265">
        <f t="shared" si="6"/>
        <v>0.35859414261160716</v>
      </c>
      <c r="P330" s="164" t="s">
        <v>120</v>
      </c>
    </row>
    <row r="331" spans="1:16">
      <c r="A331" s="227">
        <v>2020</v>
      </c>
      <c r="B331" s="227">
        <v>1665</v>
      </c>
      <c r="C331" s="227" t="s">
        <v>93</v>
      </c>
      <c r="D331" s="227">
        <v>713</v>
      </c>
      <c r="E331" s="227">
        <v>2073</v>
      </c>
      <c r="F331" s="227">
        <v>305</v>
      </c>
      <c r="G331" s="227">
        <v>0.87174095878889823</v>
      </c>
      <c r="H331" s="227">
        <v>0.12825904121110179</v>
      </c>
      <c r="I331" s="312" t="s">
        <v>119</v>
      </c>
      <c r="J331" s="29">
        <v>1</v>
      </c>
      <c r="K331" s="9">
        <v>1</v>
      </c>
      <c r="L331" s="9">
        <v>1</v>
      </c>
      <c r="M331" s="9">
        <v>2</v>
      </c>
      <c r="N331" s="43">
        <v>2</v>
      </c>
      <c r="O331" s="265">
        <f t="shared" si="6"/>
        <v>0.35859414261160716</v>
      </c>
      <c r="P331" s="164" t="s">
        <v>120</v>
      </c>
    </row>
    <row r="332" spans="1:16">
      <c r="A332" s="227">
        <v>2020</v>
      </c>
      <c r="B332" s="227">
        <v>315</v>
      </c>
      <c r="C332" s="227" t="s">
        <v>94</v>
      </c>
      <c r="D332" s="227">
        <v>239</v>
      </c>
      <c r="E332" s="227">
        <v>530</v>
      </c>
      <c r="F332" s="227">
        <v>24</v>
      </c>
      <c r="G332" s="227">
        <v>0.95667870036101088</v>
      </c>
      <c r="H332" s="227">
        <v>4.3321299638989119E-2</v>
      </c>
      <c r="I332" s="312" t="s">
        <v>119</v>
      </c>
      <c r="J332" s="29">
        <v>1</v>
      </c>
      <c r="K332" s="9">
        <v>1</v>
      </c>
      <c r="L332" s="9">
        <v>1</v>
      </c>
      <c r="M332" s="9">
        <v>2</v>
      </c>
      <c r="N332" s="43">
        <v>2</v>
      </c>
      <c r="O332" s="265">
        <f t="shared" si="6"/>
        <v>0.35859414261160716</v>
      </c>
      <c r="P332" s="164" t="s">
        <v>120</v>
      </c>
    </row>
    <row r="333" spans="1:16">
      <c r="A333" s="227">
        <v>2020</v>
      </c>
      <c r="B333" s="227">
        <v>701</v>
      </c>
      <c r="C333" s="227" t="s">
        <v>95</v>
      </c>
      <c r="D333" s="227">
        <v>303</v>
      </c>
      <c r="E333" s="227">
        <v>259</v>
      </c>
      <c r="F333" s="227">
        <v>745</v>
      </c>
      <c r="G333" s="227">
        <v>0.25796812749003978</v>
      </c>
      <c r="H333" s="227">
        <v>0.74203187250996017</v>
      </c>
      <c r="I333" s="312" t="s">
        <v>119</v>
      </c>
      <c r="J333" s="29">
        <v>1</v>
      </c>
      <c r="K333" s="9">
        <v>1</v>
      </c>
      <c r="L333" s="9">
        <v>1</v>
      </c>
      <c r="M333" s="9">
        <v>2</v>
      </c>
      <c r="N333" s="43">
        <v>2</v>
      </c>
      <c r="O333" s="265">
        <f t="shared" si="6"/>
        <v>0.35859414261160716</v>
      </c>
      <c r="P333" s="164" t="s">
        <v>120</v>
      </c>
    </row>
    <row r="334" spans="1:16">
      <c r="A334" s="227">
        <v>2020</v>
      </c>
      <c r="B334" s="227">
        <v>4</v>
      </c>
      <c r="C334" s="227" t="s">
        <v>96</v>
      </c>
      <c r="D334" s="227">
        <v>34</v>
      </c>
      <c r="E334" s="227">
        <v>19</v>
      </c>
      <c r="F334" s="227">
        <v>19</v>
      </c>
      <c r="G334" s="227">
        <v>0.5</v>
      </c>
      <c r="H334" s="227">
        <v>0.5</v>
      </c>
      <c r="I334" s="312" t="s">
        <v>119</v>
      </c>
      <c r="J334" s="29">
        <v>1</v>
      </c>
      <c r="K334" s="9">
        <v>1</v>
      </c>
      <c r="L334" s="9">
        <v>1</v>
      </c>
      <c r="M334" s="9">
        <v>2</v>
      </c>
      <c r="N334" s="43">
        <v>2</v>
      </c>
      <c r="O334" s="265">
        <f t="shared" si="6"/>
        <v>0.35859414261160716</v>
      </c>
      <c r="P334" s="164" t="s">
        <v>120</v>
      </c>
    </row>
    <row r="335" spans="1:16">
      <c r="A335" s="227">
        <v>2020</v>
      </c>
      <c r="B335" s="227">
        <v>317</v>
      </c>
      <c r="C335" s="227" t="s">
        <v>97</v>
      </c>
      <c r="D335" s="227">
        <v>48</v>
      </c>
      <c r="E335" s="227">
        <v>265</v>
      </c>
      <c r="F335" s="227">
        <v>100</v>
      </c>
      <c r="G335" s="227">
        <v>0.72602739726027399</v>
      </c>
      <c r="H335" s="227">
        <v>0.27397260273972601</v>
      </c>
      <c r="I335" s="312" t="s">
        <v>119</v>
      </c>
      <c r="J335" s="29">
        <v>1</v>
      </c>
      <c r="K335" s="9">
        <v>1</v>
      </c>
      <c r="L335" s="9">
        <v>1</v>
      </c>
      <c r="M335" s="9">
        <v>2</v>
      </c>
      <c r="N335" s="43">
        <v>2</v>
      </c>
      <c r="O335" s="265">
        <f t="shared" si="6"/>
        <v>0.35859414261160716</v>
      </c>
      <c r="P335" s="164" t="s">
        <v>120</v>
      </c>
    </row>
    <row r="336" spans="1:16">
      <c r="A336" s="227">
        <v>2020</v>
      </c>
      <c r="B336" s="227">
        <v>610</v>
      </c>
      <c r="C336" s="227" t="s">
        <v>98</v>
      </c>
      <c r="D336" s="227">
        <v>186</v>
      </c>
      <c r="E336" s="227">
        <v>756</v>
      </c>
      <c r="F336" s="227">
        <v>40</v>
      </c>
      <c r="G336" s="227">
        <v>0.94974874371859297</v>
      </c>
      <c r="H336" s="227">
        <v>5.0251256281407031E-2</v>
      </c>
      <c r="I336" s="312" t="s">
        <v>119</v>
      </c>
      <c r="J336" s="29">
        <v>1</v>
      </c>
      <c r="K336" s="9">
        <v>1</v>
      </c>
      <c r="L336" s="9">
        <v>1</v>
      </c>
      <c r="M336" s="9">
        <v>2</v>
      </c>
      <c r="N336" s="43">
        <v>2</v>
      </c>
      <c r="O336" s="265">
        <f t="shared" si="6"/>
        <v>0.35859414261160716</v>
      </c>
      <c r="P336" s="164" t="s">
        <v>120</v>
      </c>
    </row>
    <row r="337" spans="1:16">
      <c r="A337" s="227">
        <v>2020</v>
      </c>
      <c r="B337" s="227">
        <v>474</v>
      </c>
      <c r="C337" s="227" t="s">
        <v>99</v>
      </c>
      <c r="D337" s="227">
        <v>130</v>
      </c>
      <c r="E337" s="227">
        <v>604</v>
      </c>
      <c r="F337" s="227">
        <v>0</v>
      </c>
      <c r="G337" s="227">
        <v>1</v>
      </c>
      <c r="H337" s="227">
        <v>0</v>
      </c>
      <c r="I337" s="312" t="s">
        <v>119</v>
      </c>
      <c r="J337" s="29">
        <v>1</v>
      </c>
      <c r="K337" s="9">
        <v>1</v>
      </c>
      <c r="L337" s="9">
        <v>1</v>
      </c>
      <c r="M337" s="9">
        <v>2</v>
      </c>
      <c r="N337" s="43">
        <v>2</v>
      </c>
      <c r="O337" s="265">
        <f t="shared" si="6"/>
        <v>0.35859414261160716</v>
      </c>
      <c r="P337" s="164" t="s">
        <v>120</v>
      </c>
    </row>
    <row r="338" spans="1:16">
      <c r="A338" s="227">
        <v>2020</v>
      </c>
      <c r="B338" s="227">
        <v>184</v>
      </c>
      <c r="C338" s="227" t="s">
        <v>102</v>
      </c>
      <c r="D338" s="227">
        <v>16</v>
      </c>
      <c r="E338" s="227">
        <v>200</v>
      </c>
      <c r="F338" s="227">
        <v>0</v>
      </c>
      <c r="G338" s="227">
        <v>1</v>
      </c>
      <c r="H338" s="227">
        <v>0</v>
      </c>
      <c r="I338" s="312" t="s">
        <v>119</v>
      </c>
      <c r="J338" s="29">
        <v>1</v>
      </c>
      <c r="K338" s="9">
        <v>1</v>
      </c>
      <c r="L338" s="9">
        <v>1</v>
      </c>
      <c r="M338" s="9">
        <v>2</v>
      </c>
      <c r="N338" s="43">
        <v>2</v>
      </c>
      <c r="O338" s="265">
        <f t="shared" si="6"/>
        <v>0.35859414261160716</v>
      </c>
      <c r="P338" s="164" t="s">
        <v>120</v>
      </c>
    </row>
    <row r="339" spans="1:16">
      <c r="A339" s="227">
        <v>2020</v>
      </c>
      <c r="B339" s="227">
        <v>337</v>
      </c>
      <c r="C339" s="227" t="s">
        <v>104</v>
      </c>
      <c r="D339" s="227">
        <v>65</v>
      </c>
      <c r="E339" s="227">
        <v>259</v>
      </c>
      <c r="F339" s="227">
        <v>143</v>
      </c>
      <c r="G339" s="227">
        <v>0.64427860696517414</v>
      </c>
      <c r="H339" s="227">
        <v>0.35572139303482592</v>
      </c>
      <c r="I339" s="312" t="s">
        <v>119</v>
      </c>
      <c r="J339" s="29">
        <v>1</v>
      </c>
      <c r="K339" s="9">
        <v>1</v>
      </c>
      <c r="L339" s="9">
        <v>1</v>
      </c>
      <c r="M339" s="9">
        <v>2</v>
      </c>
      <c r="N339" s="43">
        <v>2</v>
      </c>
      <c r="O339" s="265">
        <f t="shared" si="6"/>
        <v>0.35859414261160716</v>
      </c>
      <c r="P339" s="164" t="s">
        <v>120</v>
      </c>
    </row>
    <row r="340" spans="1:16">
      <c r="A340" s="227">
        <v>2020</v>
      </c>
      <c r="B340" s="227">
        <v>344</v>
      </c>
      <c r="C340" s="227" t="s">
        <v>105</v>
      </c>
      <c r="D340" s="227">
        <v>242</v>
      </c>
      <c r="E340" s="227">
        <v>376</v>
      </c>
      <c r="F340" s="227">
        <v>210</v>
      </c>
      <c r="G340" s="227">
        <v>0.64163822525597269</v>
      </c>
      <c r="H340" s="227">
        <v>0.35836177474402731</v>
      </c>
      <c r="I340" s="312" t="s">
        <v>119</v>
      </c>
      <c r="J340" s="29">
        <v>1</v>
      </c>
      <c r="K340" s="9">
        <v>1</v>
      </c>
      <c r="L340" s="9">
        <v>1</v>
      </c>
      <c r="M340" s="9">
        <v>2</v>
      </c>
      <c r="N340" s="43">
        <v>2</v>
      </c>
      <c r="O340" s="265">
        <f t="shared" si="6"/>
        <v>0.35859414261160716</v>
      </c>
      <c r="P340" s="164" t="s">
        <v>120</v>
      </c>
    </row>
    <row r="341" spans="1:16">
      <c r="A341" s="227">
        <v>2020</v>
      </c>
      <c r="B341" s="227">
        <v>200</v>
      </c>
      <c r="C341" s="227" t="s">
        <v>103</v>
      </c>
      <c r="D341" s="227">
        <v>71</v>
      </c>
      <c r="E341" s="227">
        <v>222</v>
      </c>
      <c r="F341" s="227">
        <v>49</v>
      </c>
      <c r="G341" s="227">
        <v>0.81918819188191883</v>
      </c>
      <c r="H341" s="227">
        <v>0.1808118081180812</v>
      </c>
      <c r="I341" s="312" t="s">
        <v>119</v>
      </c>
      <c r="J341" s="29">
        <v>1</v>
      </c>
      <c r="K341" s="9">
        <v>1</v>
      </c>
      <c r="L341" s="9">
        <v>1</v>
      </c>
      <c r="M341" s="9">
        <v>2</v>
      </c>
      <c r="N341" s="43">
        <v>2</v>
      </c>
      <c r="O341" s="265">
        <f t="shared" si="6"/>
        <v>0.35859414261160716</v>
      </c>
      <c r="P341" s="164" t="s">
        <v>120</v>
      </c>
    </row>
    <row r="342" spans="1:16">
      <c r="A342" s="227">
        <v>2020</v>
      </c>
      <c r="B342" s="227">
        <v>80</v>
      </c>
      <c r="C342" s="227" t="s">
        <v>101</v>
      </c>
      <c r="D342" s="227">
        <v>43</v>
      </c>
      <c r="E342" s="227">
        <v>85</v>
      </c>
      <c r="F342" s="227">
        <v>38</v>
      </c>
      <c r="G342" s="227">
        <v>0.69105691056910568</v>
      </c>
      <c r="H342" s="227">
        <v>0.30894308943089432</v>
      </c>
      <c r="I342" s="312" t="s">
        <v>119</v>
      </c>
      <c r="J342" s="29">
        <v>1</v>
      </c>
      <c r="K342" s="9">
        <v>1</v>
      </c>
      <c r="L342" s="9">
        <v>1</v>
      </c>
      <c r="M342" s="9">
        <v>2</v>
      </c>
      <c r="N342" s="43">
        <v>2</v>
      </c>
      <c r="O342" s="265">
        <f t="shared" si="6"/>
        <v>0.35859414261160716</v>
      </c>
      <c r="P342" s="164" t="s">
        <v>120</v>
      </c>
    </row>
    <row r="343" spans="1:16">
      <c r="A343" s="227">
        <v>2020</v>
      </c>
      <c r="B343" s="227">
        <v>2520</v>
      </c>
      <c r="C343" s="227" t="s">
        <v>106</v>
      </c>
      <c r="D343" s="227">
        <v>1355</v>
      </c>
      <c r="E343" s="227">
        <v>3875</v>
      </c>
      <c r="F343" s="227">
        <v>0</v>
      </c>
      <c r="G343" s="227">
        <v>1</v>
      </c>
      <c r="H343" s="227">
        <v>0</v>
      </c>
      <c r="I343" s="312" t="s">
        <v>119</v>
      </c>
      <c r="J343" s="29">
        <v>1</v>
      </c>
      <c r="K343" s="9">
        <v>1</v>
      </c>
      <c r="L343" s="9">
        <v>1</v>
      </c>
      <c r="M343" s="9">
        <v>2</v>
      </c>
      <c r="N343" s="43">
        <v>2</v>
      </c>
      <c r="O343" s="265">
        <f t="shared" si="6"/>
        <v>0.35859414261160716</v>
      </c>
      <c r="P343" s="164" t="s">
        <v>120</v>
      </c>
    </row>
    <row r="344" spans="1:16">
      <c r="A344" s="227">
        <v>2021</v>
      </c>
      <c r="B344" s="227">
        <v>1559</v>
      </c>
      <c r="C344" s="227" t="s">
        <v>93</v>
      </c>
      <c r="D344" s="227">
        <v>1052</v>
      </c>
      <c r="E344" s="227">
        <v>2156</v>
      </c>
      <c r="F344" s="227">
        <v>455</v>
      </c>
      <c r="G344" s="227">
        <v>0.82573726541554959</v>
      </c>
      <c r="H344" s="227">
        <v>0.17426273458445041</v>
      </c>
      <c r="I344" s="312" t="s">
        <v>119</v>
      </c>
      <c r="J344" s="29">
        <v>1</v>
      </c>
      <c r="K344" s="9">
        <v>1</v>
      </c>
      <c r="L344" s="9">
        <v>1</v>
      </c>
      <c r="M344" s="9">
        <v>2</v>
      </c>
      <c r="N344" s="43">
        <v>2</v>
      </c>
      <c r="O344" s="265">
        <f t="shared" si="6"/>
        <v>0.35859414261160716</v>
      </c>
      <c r="P344" s="164" t="s">
        <v>120</v>
      </c>
    </row>
    <row r="345" spans="1:16">
      <c r="A345" s="227">
        <v>2021</v>
      </c>
      <c r="B345" s="227">
        <v>290</v>
      </c>
      <c r="C345" s="227" t="s">
        <v>94</v>
      </c>
      <c r="D345" s="227">
        <v>261</v>
      </c>
      <c r="E345" s="227">
        <v>456</v>
      </c>
      <c r="F345" s="227">
        <v>95</v>
      </c>
      <c r="G345" s="227">
        <v>0.82758620689655171</v>
      </c>
      <c r="H345" s="227">
        <v>0.17241379310344829</v>
      </c>
      <c r="I345" s="312" t="s">
        <v>119</v>
      </c>
      <c r="J345" s="29">
        <v>1</v>
      </c>
      <c r="K345" s="9">
        <v>1</v>
      </c>
      <c r="L345" s="9">
        <v>1</v>
      </c>
      <c r="M345" s="9">
        <v>2</v>
      </c>
      <c r="N345" s="43">
        <v>2</v>
      </c>
      <c r="O345" s="265">
        <f t="shared" si="6"/>
        <v>0.35859414261160716</v>
      </c>
      <c r="P345" s="164" t="s">
        <v>120</v>
      </c>
    </row>
    <row r="346" spans="1:16">
      <c r="A346" s="227">
        <v>2021</v>
      </c>
      <c r="B346" s="227">
        <v>852</v>
      </c>
      <c r="C346" s="227" t="s">
        <v>95</v>
      </c>
      <c r="D346" s="227">
        <v>371</v>
      </c>
      <c r="E346" s="227">
        <v>346</v>
      </c>
      <c r="F346" s="227">
        <v>877</v>
      </c>
      <c r="G346" s="227">
        <v>0.28291087489779232</v>
      </c>
      <c r="H346" s="227">
        <v>0.71708912510220768</v>
      </c>
      <c r="I346" s="312" t="s">
        <v>119</v>
      </c>
      <c r="J346" s="29">
        <v>1</v>
      </c>
      <c r="K346" s="9">
        <v>1</v>
      </c>
      <c r="L346" s="9">
        <v>1</v>
      </c>
      <c r="M346" s="9">
        <v>2</v>
      </c>
      <c r="N346" s="43">
        <v>2</v>
      </c>
      <c r="O346" s="265">
        <f t="shared" si="6"/>
        <v>0.35859414261160716</v>
      </c>
      <c r="P346" s="164" t="s">
        <v>120</v>
      </c>
    </row>
    <row r="347" spans="1:16">
      <c r="A347" s="227">
        <v>2021</v>
      </c>
      <c r="B347" s="227">
        <v>9</v>
      </c>
      <c r="C347" s="227" t="s">
        <v>96</v>
      </c>
      <c r="D347" s="227">
        <v>35</v>
      </c>
      <c r="E347" s="227">
        <v>29</v>
      </c>
      <c r="F347" s="227">
        <v>15</v>
      </c>
      <c r="G347" s="227">
        <v>0.65909090909090906</v>
      </c>
      <c r="H347" s="227">
        <v>0.34090909090909088</v>
      </c>
      <c r="I347" s="312" t="s">
        <v>119</v>
      </c>
      <c r="J347" s="29">
        <v>1</v>
      </c>
      <c r="K347" s="9">
        <v>1</v>
      </c>
      <c r="L347" s="9">
        <v>1</v>
      </c>
      <c r="M347" s="9">
        <v>2</v>
      </c>
      <c r="N347" s="43">
        <v>2</v>
      </c>
      <c r="O347" s="265">
        <f t="shared" si="6"/>
        <v>0.35859414261160716</v>
      </c>
      <c r="P347" s="164" t="s">
        <v>120</v>
      </c>
    </row>
    <row r="348" spans="1:16">
      <c r="A348" s="227">
        <v>2021</v>
      </c>
      <c r="B348" s="227">
        <v>231</v>
      </c>
      <c r="C348" s="227" t="s">
        <v>97</v>
      </c>
      <c r="D348" s="227">
        <v>55</v>
      </c>
      <c r="E348" s="227">
        <v>286</v>
      </c>
      <c r="F348" s="227">
        <v>0</v>
      </c>
      <c r="G348" s="227">
        <v>1</v>
      </c>
      <c r="H348" s="227">
        <v>0</v>
      </c>
      <c r="I348" s="312" t="s">
        <v>119</v>
      </c>
      <c r="J348" s="29">
        <v>1</v>
      </c>
      <c r="K348" s="9">
        <v>1</v>
      </c>
      <c r="L348" s="9">
        <v>1</v>
      </c>
      <c r="M348" s="9">
        <v>2</v>
      </c>
      <c r="N348" s="43">
        <v>2</v>
      </c>
      <c r="O348" s="265">
        <f t="shared" si="6"/>
        <v>0.35859414261160716</v>
      </c>
      <c r="P348" s="164" t="s">
        <v>120</v>
      </c>
    </row>
    <row r="349" spans="1:16">
      <c r="A349" s="227">
        <v>2021</v>
      </c>
      <c r="B349" s="227">
        <v>610</v>
      </c>
      <c r="C349" s="227" t="s">
        <v>98</v>
      </c>
      <c r="D349" s="227">
        <v>198</v>
      </c>
      <c r="E349" s="227">
        <v>599</v>
      </c>
      <c r="F349" s="227">
        <v>209</v>
      </c>
      <c r="G349" s="227">
        <v>0.74133663366336633</v>
      </c>
      <c r="H349" s="227">
        <v>0.25866336633663373</v>
      </c>
      <c r="I349" s="312" t="s">
        <v>119</v>
      </c>
      <c r="J349" s="29">
        <v>1</v>
      </c>
      <c r="K349" s="9">
        <v>1</v>
      </c>
      <c r="L349" s="9">
        <v>1</v>
      </c>
      <c r="M349" s="9">
        <v>2</v>
      </c>
      <c r="N349" s="43">
        <v>2</v>
      </c>
      <c r="O349" s="265">
        <f t="shared" si="6"/>
        <v>0.35859414261160716</v>
      </c>
      <c r="P349" s="164" t="s">
        <v>120</v>
      </c>
    </row>
    <row r="350" spans="1:16">
      <c r="A350" s="227">
        <v>2021</v>
      </c>
      <c r="B350" s="227">
        <v>576</v>
      </c>
      <c r="C350" s="227" t="s">
        <v>99</v>
      </c>
      <c r="D350" s="227">
        <v>124</v>
      </c>
      <c r="E350" s="227">
        <v>700</v>
      </c>
      <c r="F350" s="227">
        <v>0</v>
      </c>
      <c r="G350" s="227">
        <v>1</v>
      </c>
      <c r="H350" s="227">
        <v>0</v>
      </c>
      <c r="I350" s="312" t="s">
        <v>119</v>
      </c>
      <c r="J350" s="29">
        <v>1</v>
      </c>
      <c r="K350" s="9">
        <v>1</v>
      </c>
      <c r="L350" s="9">
        <v>1</v>
      </c>
      <c r="M350" s="9">
        <v>2</v>
      </c>
      <c r="N350" s="43">
        <v>2</v>
      </c>
      <c r="O350" s="265">
        <f t="shared" si="6"/>
        <v>0.35859414261160716</v>
      </c>
      <c r="P350" s="164" t="s">
        <v>120</v>
      </c>
    </row>
    <row r="351" spans="1:16">
      <c r="A351" s="227">
        <v>2021</v>
      </c>
      <c r="B351" s="227">
        <v>210</v>
      </c>
      <c r="C351" s="227" t="s">
        <v>102</v>
      </c>
      <c r="D351" s="227">
        <v>18</v>
      </c>
      <c r="E351" s="227">
        <v>228</v>
      </c>
      <c r="F351" s="227">
        <v>0</v>
      </c>
      <c r="G351" s="227">
        <v>1</v>
      </c>
      <c r="H351" s="227">
        <v>0</v>
      </c>
      <c r="I351" s="312" t="s">
        <v>119</v>
      </c>
      <c r="J351" s="29">
        <v>1</v>
      </c>
      <c r="K351" s="9">
        <v>1</v>
      </c>
      <c r="L351" s="9">
        <v>1</v>
      </c>
      <c r="M351" s="9">
        <v>2</v>
      </c>
      <c r="N351" s="43">
        <v>2</v>
      </c>
      <c r="O351" s="265">
        <f t="shared" si="6"/>
        <v>0.35859414261160716</v>
      </c>
      <c r="P351" s="164" t="s">
        <v>120</v>
      </c>
    </row>
    <row r="352" spans="1:16">
      <c r="A352" s="227">
        <v>2021</v>
      </c>
      <c r="B352" s="227">
        <v>477</v>
      </c>
      <c r="C352" s="227" t="s">
        <v>104</v>
      </c>
      <c r="D352" s="227">
        <v>79</v>
      </c>
      <c r="E352" s="227">
        <v>268</v>
      </c>
      <c r="F352" s="227">
        <v>288</v>
      </c>
      <c r="G352" s="227">
        <v>0.48201438848920858</v>
      </c>
      <c r="H352" s="227">
        <v>0.51798561151079137</v>
      </c>
      <c r="I352" s="312" t="s">
        <v>119</v>
      </c>
      <c r="J352" s="29">
        <v>1</v>
      </c>
      <c r="K352" s="9">
        <v>1</v>
      </c>
      <c r="L352" s="9">
        <v>1</v>
      </c>
      <c r="M352" s="9">
        <v>2</v>
      </c>
      <c r="N352" s="43">
        <v>2</v>
      </c>
      <c r="O352" s="265">
        <f t="shared" si="6"/>
        <v>0.35859414261160716</v>
      </c>
      <c r="P352" s="164" t="s">
        <v>120</v>
      </c>
    </row>
    <row r="353" spans="1:16">
      <c r="A353" s="227">
        <v>2021</v>
      </c>
      <c r="B353" s="227">
        <v>184</v>
      </c>
      <c r="C353" s="227" t="s">
        <v>105</v>
      </c>
      <c r="D353" s="227">
        <v>243</v>
      </c>
      <c r="E353" s="227">
        <v>427</v>
      </c>
      <c r="F353" s="227">
        <v>0</v>
      </c>
      <c r="G353" s="227">
        <v>1</v>
      </c>
      <c r="H353" s="227">
        <v>0</v>
      </c>
      <c r="I353" s="312" t="s">
        <v>119</v>
      </c>
      <c r="J353" s="29">
        <v>1</v>
      </c>
      <c r="K353" s="9">
        <v>1</v>
      </c>
      <c r="L353" s="9">
        <v>1</v>
      </c>
      <c r="M353" s="9">
        <v>2</v>
      </c>
      <c r="N353" s="43">
        <v>2</v>
      </c>
      <c r="O353" s="265">
        <f t="shared" si="6"/>
        <v>0.35859414261160716</v>
      </c>
      <c r="P353" s="164" t="s">
        <v>120</v>
      </c>
    </row>
    <row r="354" spans="1:16">
      <c r="A354" s="227">
        <v>2021</v>
      </c>
      <c r="B354" s="227">
        <v>200</v>
      </c>
      <c r="C354" s="227" t="s">
        <v>103</v>
      </c>
      <c r="D354" s="227">
        <v>92</v>
      </c>
      <c r="E354" s="227">
        <v>254</v>
      </c>
      <c r="F354" s="227">
        <v>38</v>
      </c>
      <c r="G354" s="227">
        <v>0.86986301369863017</v>
      </c>
      <c r="H354" s="227">
        <v>0.1301369863013698</v>
      </c>
      <c r="I354" s="312" t="s">
        <v>119</v>
      </c>
      <c r="J354" s="29">
        <v>1</v>
      </c>
      <c r="K354" s="9">
        <v>1</v>
      </c>
      <c r="L354" s="9">
        <v>1</v>
      </c>
      <c r="M354" s="9">
        <v>2</v>
      </c>
      <c r="N354" s="43">
        <v>2</v>
      </c>
      <c r="O354" s="265">
        <f t="shared" si="6"/>
        <v>0.35859414261160716</v>
      </c>
      <c r="P354" s="164" t="s">
        <v>120</v>
      </c>
    </row>
    <row r="355" spans="1:16">
      <c r="A355" s="227">
        <v>2021</v>
      </c>
      <c r="B355" s="227">
        <v>82</v>
      </c>
      <c r="C355" s="227" t="s">
        <v>101</v>
      </c>
      <c r="D355" s="227">
        <v>50</v>
      </c>
      <c r="E355" s="227">
        <v>100</v>
      </c>
      <c r="F355" s="227">
        <v>32</v>
      </c>
      <c r="G355" s="227">
        <v>0.75757575757575757</v>
      </c>
      <c r="H355" s="227">
        <v>0.2424242424242424</v>
      </c>
      <c r="I355" s="312" t="s">
        <v>119</v>
      </c>
      <c r="J355" s="29">
        <v>1</v>
      </c>
      <c r="K355" s="9">
        <v>1</v>
      </c>
      <c r="L355" s="9">
        <v>1</v>
      </c>
      <c r="M355" s="9">
        <v>2</v>
      </c>
      <c r="N355" s="43">
        <v>2</v>
      </c>
      <c r="O355" s="265">
        <f t="shared" si="6"/>
        <v>0.35859414261160716</v>
      </c>
      <c r="P355" s="164" t="s">
        <v>120</v>
      </c>
    </row>
    <row r="356" spans="1:16">
      <c r="A356" s="227">
        <v>2021</v>
      </c>
      <c r="B356" s="227">
        <v>2480</v>
      </c>
      <c r="C356" s="227" t="s">
        <v>106</v>
      </c>
      <c r="D356" s="227">
        <v>1446</v>
      </c>
      <c r="E356" s="227">
        <v>3926</v>
      </c>
      <c r="F356" s="227">
        <v>0</v>
      </c>
      <c r="G356" s="227">
        <v>1</v>
      </c>
      <c r="H356" s="227">
        <v>0</v>
      </c>
      <c r="I356" s="312" t="s">
        <v>119</v>
      </c>
      <c r="J356" s="29">
        <v>1</v>
      </c>
      <c r="K356" s="9">
        <v>1</v>
      </c>
      <c r="L356" s="9">
        <v>1</v>
      </c>
      <c r="M356" s="9">
        <v>2</v>
      </c>
      <c r="N356" s="43">
        <v>2</v>
      </c>
      <c r="O356" s="265">
        <f t="shared" si="6"/>
        <v>0.35859414261160716</v>
      </c>
      <c r="P356" s="164" t="s">
        <v>120</v>
      </c>
    </row>
    <row r="358" spans="1:16" s="958" customFormat="1">
      <c r="A358" s="957" t="s">
        <v>15</v>
      </c>
    </row>
    <row r="359" spans="1:16" s="958" customFormat="1" ht="15.75" thickBot="1"/>
    <row r="360" spans="1:16" ht="15.75" thickBot="1">
      <c r="A360" s="65" t="s">
        <v>137</v>
      </c>
      <c r="B360" s="107" t="s">
        <v>138</v>
      </c>
      <c r="C360" s="108" t="s">
        <v>139</v>
      </c>
      <c r="D360" s="109" t="s">
        <v>110</v>
      </c>
      <c r="E360" s="229" t="s">
        <v>140</v>
      </c>
      <c r="F360" s="108" t="s">
        <v>141</v>
      </c>
      <c r="G360" s="110" t="s">
        <v>112</v>
      </c>
      <c r="H360" s="111" t="s">
        <v>142</v>
      </c>
      <c r="I360" s="112" t="s">
        <v>143</v>
      </c>
      <c r="J360" s="112" t="s">
        <v>69</v>
      </c>
      <c r="K360" s="112" t="s">
        <v>75</v>
      </c>
      <c r="L360" s="112" t="s">
        <v>81</v>
      </c>
      <c r="M360" s="113" t="s">
        <v>87</v>
      </c>
      <c r="N360" s="114" t="s">
        <v>144</v>
      </c>
      <c r="O360" s="114" t="s">
        <v>145</v>
      </c>
      <c r="P360" s="115" t="s">
        <v>132</v>
      </c>
    </row>
    <row r="361" spans="1:16" ht="15.75" thickBot="1">
      <c r="A361" s="151" t="s">
        <v>118</v>
      </c>
      <c r="B361" s="33" t="s">
        <v>269</v>
      </c>
      <c r="C361" s="39" t="s">
        <v>147</v>
      </c>
      <c r="D361" s="33" t="s">
        <v>147</v>
      </c>
      <c r="E361" s="259" t="s">
        <v>158</v>
      </c>
      <c r="F361" s="33">
        <v>1</v>
      </c>
      <c r="G361" s="39"/>
      <c r="H361" s="253">
        <v>1</v>
      </c>
      <c r="I361" s="13"/>
      <c r="J361" s="13">
        <v>1</v>
      </c>
      <c r="K361" s="13">
        <v>1</v>
      </c>
      <c r="L361" s="13">
        <v>2</v>
      </c>
      <c r="M361" s="297">
        <v>2</v>
      </c>
      <c r="N361" s="431">
        <v>0.35859414261160716</v>
      </c>
      <c r="O361" s="505" t="s">
        <v>262</v>
      </c>
      <c r="P361" s="351"/>
    </row>
    <row r="362" spans="1:16" ht="15.75" thickBot="1">
      <c r="A362" s="231" t="s">
        <v>123</v>
      </c>
      <c r="B362" s="166" t="s">
        <v>269</v>
      </c>
      <c r="C362" s="167" t="s">
        <v>147</v>
      </c>
      <c r="D362" s="166" t="s">
        <v>147</v>
      </c>
      <c r="E362" s="296">
        <v>1</v>
      </c>
      <c r="F362" s="166">
        <v>1</v>
      </c>
      <c r="G362" s="167"/>
      <c r="H362" s="256">
        <v>1</v>
      </c>
      <c r="I362" s="70"/>
      <c r="J362" s="70">
        <v>1</v>
      </c>
      <c r="K362" s="70">
        <v>1</v>
      </c>
      <c r="L362" s="70">
        <v>2</v>
      </c>
      <c r="M362" s="290">
        <v>2</v>
      </c>
      <c r="N362" s="411">
        <v>0.35859414261160716</v>
      </c>
      <c r="O362" s="505" t="s">
        <v>262</v>
      </c>
      <c r="P362" s="356"/>
    </row>
    <row r="363" spans="1:16" ht="15.75" thickBot="1">
      <c r="A363" s="233" t="s">
        <v>272</v>
      </c>
      <c r="B363" s="60" t="s">
        <v>273</v>
      </c>
      <c r="C363" s="162" t="s">
        <v>147</v>
      </c>
      <c r="D363" s="60" t="s">
        <v>147</v>
      </c>
      <c r="E363" s="263" t="s">
        <v>158</v>
      </c>
      <c r="F363" s="60">
        <v>1</v>
      </c>
      <c r="G363" s="162"/>
      <c r="H363" s="254"/>
      <c r="I363" s="66"/>
      <c r="J363" s="66"/>
      <c r="K363" s="66"/>
      <c r="L363" s="66"/>
      <c r="M363" s="300"/>
      <c r="N363" s="411" t="s">
        <v>262</v>
      </c>
      <c r="O363" s="505" t="s">
        <v>262</v>
      </c>
      <c r="P363" s="232"/>
    </row>
    <row r="364" spans="1:16" ht="15.75" thickBot="1">
      <c r="A364" s="231" t="s">
        <v>448</v>
      </c>
      <c r="B364" s="166" t="s">
        <v>267</v>
      </c>
      <c r="C364" s="167" t="s">
        <v>147</v>
      </c>
      <c r="D364" s="166" t="s">
        <v>147</v>
      </c>
      <c r="E364" s="296">
        <v>1</v>
      </c>
      <c r="F364" s="166">
        <v>2</v>
      </c>
      <c r="G364" s="167"/>
      <c r="H364" s="251">
        <v>2</v>
      </c>
      <c r="I364" s="15">
        <v>2</v>
      </c>
      <c r="J364" s="15">
        <v>2</v>
      </c>
      <c r="K364" s="15">
        <v>3</v>
      </c>
      <c r="L364" s="15">
        <v>3</v>
      </c>
      <c r="M364" s="301">
        <v>2</v>
      </c>
      <c r="N364" s="411">
        <v>0.60108474454521421</v>
      </c>
      <c r="O364" s="505">
        <v>0.60108474454521421</v>
      </c>
      <c r="P364" s="356"/>
    </row>
    <row r="365" spans="1:16" ht="15.75" thickBot="1">
      <c r="A365" s="233" t="s">
        <v>442</v>
      </c>
      <c r="B365" s="60" t="s">
        <v>271</v>
      </c>
      <c r="C365" s="162" t="s">
        <v>147</v>
      </c>
      <c r="D365" s="60" t="s">
        <v>147</v>
      </c>
      <c r="E365" s="263">
        <v>0.25</v>
      </c>
      <c r="F365" s="60">
        <v>2</v>
      </c>
      <c r="G365" s="162" t="s">
        <v>641</v>
      </c>
      <c r="H365" s="254">
        <v>2</v>
      </c>
      <c r="I365" s="66">
        <v>2</v>
      </c>
      <c r="J365" s="66">
        <v>3</v>
      </c>
      <c r="K365" s="66">
        <v>3</v>
      </c>
      <c r="L365" s="66">
        <v>2</v>
      </c>
      <c r="M365" s="300">
        <v>3</v>
      </c>
      <c r="N365" s="411">
        <v>1.1278755061256258</v>
      </c>
      <c r="O365" s="505">
        <v>1.1278755061256258</v>
      </c>
      <c r="P365" s="232"/>
    </row>
    <row r="366" spans="1:16" ht="15.75" thickBot="1">
      <c r="A366" s="230" t="s">
        <v>442</v>
      </c>
      <c r="B366" s="150" t="s">
        <v>264</v>
      </c>
      <c r="C366" s="154" t="s">
        <v>147</v>
      </c>
      <c r="D366" s="230" t="s">
        <v>147</v>
      </c>
      <c r="E366" s="241">
        <v>0.75</v>
      </c>
      <c r="F366" s="150">
        <v>2</v>
      </c>
      <c r="G366" s="154" t="s">
        <v>641</v>
      </c>
      <c r="H366" s="251">
        <v>2</v>
      </c>
      <c r="I366" s="15">
        <v>2</v>
      </c>
      <c r="J366" s="15">
        <v>3</v>
      </c>
      <c r="K366" s="15">
        <v>3</v>
      </c>
      <c r="L366" s="15">
        <v>2</v>
      </c>
      <c r="M366" s="301">
        <v>3</v>
      </c>
      <c r="N366" s="430">
        <v>1.1278755061256258</v>
      </c>
      <c r="O366" s="514">
        <v>1.1278755061256258</v>
      </c>
      <c r="P366" s="513"/>
    </row>
    <row r="367" spans="1:16" ht="15.75" thickBot="1">
      <c r="A367" s="153" t="s">
        <v>269</v>
      </c>
      <c r="B367" s="35" t="s">
        <v>272</v>
      </c>
      <c r="C367" s="41" t="s">
        <v>147</v>
      </c>
      <c r="D367" s="35" t="s">
        <v>147</v>
      </c>
      <c r="E367" s="261" t="s">
        <v>158</v>
      </c>
      <c r="F367" s="35">
        <v>1</v>
      </c>
      <c r="G367" s="41"/>
      <c r="H367" s="255"/>
      <c r="I367" s="14"/>
      <c r="J367" s="14"/>
      <c r="K367" s="14"/>
      <c r="L367" s="14"/>
      <c r="M367" s="299"/>
      <c r="N367" s="434" t="str">
        <f t="shared" ref="N367:N381" si="7">IF( OR( ISBLANK(H367),ISBLANK(J367), ISBLANK(K367), ISBLANK(L367), ISBLANK(M367) ), "", 1.5*SQRT(   EXP(2.21*(H367-1)) + EXP(2.21*(J367-1)) + EXP(2.21*(K367-1)) + EXP(2.21*(L367-1)) + EXP(2.21*M367)   )/100*2.45 )</f>
        <v/>
      </c>
      <c r="O367" s="506" t="str">
        <f>IF( OR( ISBLANK(I367),ISBLANK(J367), ISBLANK(K367), ISBLANK(L367), ISBLANK(M367) ), "", 1.5*SQRT( EXP(2.21*(I367-1)) + EXP(2.21*(J367-1)) + EXP(2.21*(K367-1)) + EXP(2.21*(L367-1)) + EXP(2.21*M367)   )/100*2.45 )</f>
        <v/>
      </c>
      <c r="P367" s="62"/>
    </row>
    <row r="368" spans="1:16">
      <c r="A368" s="666" t="s">
        <v>269</v>
      </c>
      <c r="B368" s="77" t="s">
        <v>277</v>
      </c>
      <c r="C368" s="326" t="s">
        <v>188</v>
      </c>
      <c r="D368" s="77" t="s">
        <v>93</v>
      </c>
      <c r="E368" s="667">
        <v>0.89414414414414412</v>
      </c>
      <c r="F368" s="232">
        <v>1</v>
      </c>
      <c r="G368" t="s">
        <v>642</v>
      </c>
      <c r="H368" s="254">
        <v>1</v>
      </c>
      <c r="I368" s="672"/>
      <c r="J368" s="66">
        <v>1</v>
      </c>
      <c r="K368" s="66">
        <v>1</v>
      </c>
      <c r="L368" s="66">
        <v>2</v>
      </c>
      <c r="M368" s="66">
        <v>2</v>
      </c>
      <c r="N368" s="445">
        <f t="shared" si="7"/>
        <v>0.35859414261160716</v>
      </c>
      <c r="O368" s="668"/>
      <c r="P368" s="635" t="s">
        <v>643</v>
      </c>
    </row>
    <row r="369" spans="1:19">
      <c r="A369" s="97" t="s">
        <v>269</v>
      </c>
      <c r="B369" s="68" t="s">
        <v>277</v>
      </c>
      <c r="C369" s="312" t="s">
        <v>188</v>
      </c>
      <c r="D369" s="68" t="s">
        <v>94</v>
      </c>
      <c r="E369" s="665">
        <v>0.84514925373134331</v>
      </c>
      <c r="F369" s="63">
        <v>1</v>
      </c>
      <c r="G369" t="s">
        <v>642</v>
      </c>
      <c r="H369" s="252">
        <v>1</v>
      </c>
      <c r="I369" s="673"/>
      <c r="J369" s="10">
        <v>1</v>
      </c>
      <c r="K369" s="10">
        <v>1</v>
      </c>
      <c r="L369" s="10">
        <v>2</v>
      </c>
      <c r="M369" s="10">
        <v>2</v>
      </c>
      <c r="N369" s="411">
        <f t="shared" si="7"/>
        <v>0.35859414261160716</v>
      </c>
      <c r="O369" s="510"/>
      <c r="P369" s="100" t="s">
        <v>643</v>
      </c>
    </row>
    <row r="370" spans="1:19">
      <c r="A370" s="97" t="s">
        <v>269</v>
      </c>
      <c r="B370" s="68" t="s">
        <v>277</v>
      </c>
      <c r="C370" s="312" t="s">
        <v>188</v>
      </c>
      <c r="D370" s="68" t="s">
        <v>95</v>
      </c>
      <c r="E370" s="665">
        <v>0.2164781906300485</v>
      </c>
      <c r="F370" s="63">
        <v>1</v>
      </c>
      <c r="G370" t="s">
        <v>642</v>
      </c>
      <c r="H370" s="252">
        <v>1</v>
      </c>
      <c r="I370" s="673"/>
      <c r="J370" s="10">
        <v>1</v>
      </c>
      <c r="K370" s="10">
        <v>1</v>
      </c>
      <c r="L370" s="10">
        <v>2</v>
      </c>
      <c r="M370" s="10">
        <v>2</v>
      </c>
      <c r="N370" s="411">
        <f t="shared" si="7"/>
        <v>0.35859414261160716</v>
      </c>
      <c r="O370" s="510"/>
      <c r="P370" s="100" t="s">
        <v>643</v>
      </c>
    </row>
    <row r="371" spans="1:19">
      <c r="A371" s="97" t="s">
        <v>269</v>
      </c>
      <c r="B371" s="68" t="s">
        <v>277</v>
      </c>
      <c r="C371" s="312" t="s">
        <v>188</v>
      </c>
      <c r="D371" s="68" t="s">
        <v>96</v>
      </c>
      <c r="E371" s="665">
        <v>0.14782608695652169</v>
      </c>
      <c r="F371" s="63">
        <v>1</v>
      </c>
      <c r="G371" t="s">
        <v>642</v>
      </c>
      <c r="H371" s="252">
        <v>1</v>
      </c>
      <c r="I371" s="673"/>
      <c r="J371" s="10">
        <v>1</v>
      </c>
      <c r="K371" s="10">
        <v>1</v>
      </c>
      <c r="L371" s="10">
        <v>2</v>
      </c>
      <c r="M371" s="10">
        <v>2</v>
      </c>
      <c r="N371" s="411">
        <f t="shared" si="7"/>
        <v>0.35859414261160716</v>
      </c>
      <c r="O371" s="510"/>
      <c r="P371" s="100" t="s">
        <v>643</v>
      </c>
    </row>
    <row r="372" spans="1:19">
      <c r="A372" s="97" t="s">
        <v>269</v>
      </c>
      <c r="B372" s="68" t="s">
        <v>277</v>
      </c>
      <c r="C372" s="312" t="s">
        <v>188</v>
      </c>
      <c r="D372" s="68" t="s">
        <v>97</v>
      </c>
      <c r="E372" s="665">
        <v>0.66574585635359118</v>
      </c>
      <c r="F372" s="63">
        <v>1</v>
      </c>
      <c r="G372" t="s">
        <v>642</v>
      </c>
      <c r="H372" s="252">
        <v>1</v>
      </c>
      <c r="I372" s="673"/>
      <c r="J372" s="10">
        <v>1</v>
      </c>
      <c r="K372" s="10">
        <v>1</v>
      </c>
      <c r="L372" s="10">
        <v>2</v>
      </c>
      <c r="M372" s="10">
        <v>2</v>
      </c>
      <c r="N372" s="411">
        <f t="shared" si="7"/>
        <v>0.35859414261160716</v>
      </c>
      <c r="O372" s="510"/>
      <c r="P372" s="100" t="s">
        <v>643</v>
      </c>
      <c r="S372">
        <f>(14810.17/75907000)*100</f>
        <v>1.9510941019932285E-2</v>
      </c>
    </row>
    <row r="373" spans="1:19">
      <c r="A373" s="97" t="s">
        <v>269</v>
      </c>
      <c r="B373" s="68" t="s">
        <v>277</v>
      </c>
      <c r="C373" s="312" t="s">
        <v>188</v>
      </c>
      <c r="D373" s="68" t="s">
        <v>98</v>
      </c>
      <c r="E373" s="665">
        <v>0.85006045949214026</v>
      </c>
      <c r="F373" s="63">
        <v>1</v>
      </c>
      <c r="G373" t="s">
        <v>642</v>
      </c>
      <c r="H373" s="252">
        <v>1</v>
      </c>
      <c r="I373" s="673"/>
      <c r="J373" s="10">
        <v>1</v>
      </c>
      <c r="K373" s="10">
        <v>1</v>
      </c>
      <c r="L373" s="10">
        <v>2</v>
      </c>
      <c r="M373" s="10">
        <v>2</v>
      </c>
      <c r="N373" s="411">
        <f t="shared" si="7"/>
        <v>0.35859414261160716</v>
      </c>
      <c r="O373" s="510"/>
      <c r="P373" s="100" t="s">
        <v>643</v>
      </c>
    </row>
    <row r="374" spans="1:19">
      <c r="A374" s="97" t="s">
        <v>269</v>
      </c>
      <c r="B374" s="68" t="s">
        <v>277</v>
      </c>
      <c r="C374" s="312" t="s">
        <v>188</v>
      </c>
      <c r="D374" s="68" t="s">
        <v>99</v>
      </c>
      <c r="E374" s="665">
        <v>1</v>
      </c>
      <c r="F374" s="63">
        <v>1</v>
      </c>
      <c r="G374" t="s">
        <v>642</v>
      </c>
      <c r="H374" s="252">
        <v>1</v>
      </c>
      <c r="I374" s="673"/>
      <c r="J374" s="10">
        <v>1</v>
      </c>
      <c r="K374" s="10">
        <v>1</v>
      </c>
      <c r="L374" s="10">
        <v>2</v>
      </c>
      <c r="M374" s="10">
        <v>2</v>
      </c>
      <c r="N374" s="411">
        <f t="shared" si="7"/>
        <v>0.35859414261160716</v>
      </c>
      <c r="O374" s="510"/>
      <c r="P374" s="100" t="s">
        <v>643</v>
      </c>
    </row>
    <row r="375" spans="1:19">
      <c r="A375" s="97" t="s">
        <v>269</v>
      </c>
      <c r="B375" s="68" t="s">
        <v>277</v>
      </c>
      <c r="C375" s="312" t="s">
        <v>188</v>
      </c>
      <c r="D375" s="68" t="s">
        <v>102</v>
      </c>
      <c r="E375" s="665">
        <v>1</v>
      </c>
      <c r="F375" s="63">
        <v>1</v>
      </c>
      <c r="G375" t="s">
        <v>642</v>
      </c>
      <c r="H375" s="252">
        <v>1</v>
      </c>
      <c r="I375" s="673"/>
      <c r="J375" s="10">
        <v>1</v>
      </c>
      <c r="K375" s="10">
        <v>1</v>
      </c>
      <c r="L375" s="10">
        <v>2</v>
      </c>
      <c r="M375" s="10">
        <v>2</v>
      </c>
      <c r="N375" s="411">
        <f t="shared" si="7"/>
        <v>0.35859414261160716</v>
      </c>
      <c r="O375" s="510"/>
      <c r="P375" s="100" t="s">
        <v>643</v>
      </c>
    </row>
    <row r="376" spans="1:19">
      <c r="A376" s="97" t="s">
        <v>269</v>
      </c>
      <c r="B376" s="68" t="s">
        <v>277</v>
      </c>
      <c r="C376" s="312" t="s">
        <v>188</v>
      </c>
      <c r="D376" s="68" t="s">
        <v>104</v>
      </c>
      <c r="E376" s="665">
        <v>0.43243243243243251</v>
      </c>
      <c r="F376" s="63">
        <v>1</v>
      </c>
      <c r="G376" t="s">
        <v>642</v>
      </c>
      <c r="H376" s="252">
        <v>1</v>
      </c>
      <c r="I376" s="673"/>
      <c r="J376" s="10">
        <v>1</v>
      </c>
      <c r="K376" s="10">
        <v>1</v>
      </c>
      <c r="L376" s="10">
        <v>2</v>
      </c>
      <c r="M376" s="10">
        <v>2</v>
      </c>
      <c r="N376" s="411">
        <f t="shared" si="7"/>
        <v>0.35859414261160716</v>
      </c>
      <c r="O376" s="510"/>
      <c r="P376" s="100" t="s">
        <v>643</v>
      </c>
    </row>
    <row r="377" spans="1:19">
      <c r="A377" s="97" t="s">
        <v>269</v>
      </c>
      <c r="B377" s="68" t="s">
        <v>277</v>
      </c>
      <c r="C377" s="312" t="s">
        <v>188</v>
      </c>
      <c r="D377" s="68" t="s">
        <v>105</v>
      </c>
      <c r="E377" s="665">
        <v>0.66998341625207292</v>
      </c>
      <c r="F377" s="63">
        <v>1</v>
      </c>
      <c r="G377" t="s">
        <v>642</v>
      </c>
      <c r="H377" s="252">
        <v>1</v>
      </c>
      <c r="I377" s="673"/>
      <c r="J377" s="10">
        <v>1</v>
      </c>
      <c r="K377" s="10">
        <v>1</v>
      </c>
      <c r="L377" s="10">
        <v>2</v>
      </c>
      <c r="M377" s="10">
        <v>2</v>
      </c>
      <c r="N377" s="411">
        <f t="shared" si="7"/>
        <v>0.35859414261160716</v>
      </c>
      <c r="O377" s="510"/>
      <c r="P377" s="100" t="s">
        <v>643</v>
      </c>
    </row>
    <row r="378" spans="1:19">
      <c r="A378" s="97" t="s">
        <v>269</v>
      </c>
      <c r="B378" s="68" t="s">
        <v>277</v>
      </c>
      <c r="C378" s="312" t="s">
        <v>188</v>
      </c>
      <c r="D378" s="68" t="s">
        <v>103</v>
      </c>
      <c r="E378" s="665">
        <v>1</v>
      </c>
      <c r="F378" s="63">
        <v>1</v>
      </c>
      <c r="G378" t="s">
        <v>642</v>
      </c>
      <c r="H378" s="252">
        <v>1</v>
      </c>
      <c r="I378" s="673"/>
      <c r="J378" s="10">
        <v>1</v>
      </c>
      <c r="K378" s="10">
        <v>1</v>
      </c>
      <c r="L378" s="10">
        <v>2</v>
      </c>
      <c r="M378" s="10">
        <v>2</v>
      </c>
      <c r="N378" s="411">
        <f t="shared" si="7"/>
        <v>0.35859414261160716</v>
      </c>
      <c r="O378" s="510"/>
      <c r="P378" s="100" t="s">
        <v>643</v>
      </c>
    </row>
    <row r="379" spans="1:19">
      <c r="A379" s="97" t="s">
        <v>269</v>
      </c>
      <c r="B379" s="68" t="s">
        <v>277</v>
      </c>
      <c r="C379" s="312" t="s">
        <v>188</v>
      </c>
      <c r="D379" s="68" t="s">
        <v>101</v>
      </c>
      <c r="E379" s="665">
        <v>0.67391304347826086</v>
      </c>
      <c r="F379" s="63">
        <v>1</v>
      </c>
      <c r="G379" t="s">
        <v>642</v>
      </c>
      <c r="H379" s="252">
        <v>1</v>
      </c>
      <c r="I379" s="673"/>
      <c r="J379" s="10">
        <v>1</v>
      </c>
      <c r="K379" s="10">
        <v>1</v>
      </c>
      <c r="L379" s="10">
        <v>2</v>
      </c>
      <c r="M379" s="10">
        <v>2</v>
      </c>
      <c r="N379" s="411">
        <f t="shared" si="7"/>
        <v>0.35859414261160716</v>
      </c>
      <c r="O379" s="510"/>
      <c r="P379" s="100" t="s">
        <v>643</v>
      </c>
    </row>
    <row r="380" spans="1:19">
      <c r="A380" s="97" t="s">
        <v>269</v>
      </c>
      <c r="B380" s="68" t="s">
        <v>277</v>
      </c>
      <c r="C380" s="312" t="s">
        <v>188</v>
      </c>
      <c r="D380" s="68" t="s">
        <v>106</v>
      </c>
      <c r="E380" s="665">
        <v>1</v>
      </c>
      <c r="F380" s="63">
        <v>1</v>
      </c>
      <c r="G380" t="s">
        <v>642</v>
      </c>
      <c r="H380" s="252">
        <v>1</v>
      </c>
      <c r="I380" s="673"/>
      <c r="J380" s="10">
        <v>1</v>
      </c>
      <c r="K380" s="10">
        <v>1</v>
      </c>
      <c r="L380" s="10">
        <v>2</v>
      </c>
      <c r="M380" s="10">
        <v>2</v>
      </c>
      <c r="N380" s="411">
        <f t="shared" si="7"/>
        <v>0.35859414261160716</v>
      </c>
      <c r="O380" s="510"/>
      <c r="P380" s="100" t="s">
        <v>643</v>
      </c>
    </row>
    <row r="381" spans="1:19">
      <c r="A381" s="97" t="s">
        <v>269</v>
      </c>
      <c r="B381" s="68" t="s">
        <v>277</v>
      </c>
      <c r="C381" s="312" t="s">
        <v>190</v>
      </c>
      <c r="D381" s="68" t="s">
        <v>93</v>
      </c>
      <c r="E381" s="665">
        <v>0.15660919540229881</v>
      </c>
      <c r="F381" s="34">
        <v>1</v>
      </c>
      <c r="G381" t="s">
        <v>642</v>
      </c>
      <c r="H381" s="252">
        <v>1</v>
      </c>
      <c r="I381" s="671"/>
      <c r="J381" s="10">
        <v>1</v>
      </c>
      <c r="K381" s="10">
        <v>1</v>
      </c>
      <c r="L381" s="10">
        <v>2</v>
      </c>
      <c r="M381" s="10">
        <v>2</v>
      </c>
      <c r="N381" s="411">
        <f t="shared" si="7"/>
        <v>0.35859414261160716</v>
      </c>
      <c r="O381" s="510"/>
      <c r="P381" s="100" t="s">
        <v>643</v>
      </c>
    </row>
    <row r="382" spans="1:19">
      <c r="A382" s="97" t="s">
        <v>269</v>
      </c>
      <c r="B382" s="68" t="s">
        <v>277</v>
      </c>
      <c r="C382" s="312" t="s">
        <v>190</v>
      </c>
      <c r="D382" s="68" t="s">
        <v>94</v>
      </c>
      <c r="E382" s="665">
        <v>0.1689198415949747</v>
      </c>
      <c r="F382" s="34">
        <v>1</v>
      </c>
      <c r="G382" t="s">
        <v>642</v>
      </c>
      <c r="I382" s="252">
        <v>1</v>
      </c>
      <c r="J382" s="10">
        <v>1</v>
      </c>
      <c r="K382" s="10">
        <v>1</v>
      </c>
      <c r="L382" s="10">
        <v>2</v>
      </c>
      <c r="M382" s="10">
        <v>2</v>
      </c>
      <c r="N382" s="411">
        <f t="shared" ref="N382:N393" si="8">IF( OR( ISBLANK(I382),ISBLANK(J382), ISBLANK(K382), ISBLANK(L382), ISBLANK(M382) ), "", 1.5*SQRT(   EXP(2.21*(I382-1)) + EXP(2.21*(J382-1)) + EXP(2.21*(K382-1)) + EXP(2.21*(L382-1)) + EXP(2.21*M382)   )/100*2.45 )</f>
        <v>0.35859414261160716</v>
      </c>
      <c r="O382" s="510"/>
      <c r="P382" s="100" t="s">
        <v>643</v>
      </c>
    </row>
    <row r="383" spans="1:19">
      <c r="A383" s="97" t="s">
        <v>269</v>
      </c>
      <c r="B383" s="68" t="s">
        <v>277</v>
      </c>
      <c r="C383" s="312" t="s">
        <v>190</v>
      </c>
      <c r="D383" s="68" t="s">
        <v>95</v>
      </c>
      <c r="E383" s="665">
        <v>9.9585062240663894E-2</v>
      </c>
      <c r="F383" s="34">
        <v>1</v>
      </c>
      <c r="G383" t="s">
        <v>642</v>
      </c>
      <c r="I383" s="252">
        <v>1</v>
      </c>
      <c r="J383" s="10">
        <v>1</v>
      </c>
      <c r="K383" s="10">
        <v>1</v>
      </c>
      <c r="L383" s="10">
        <v>2</v>
      </c>
      <c r="M383" s="10">
        <v>2</v>
      </c>
      <c r="N383" s="411">
        <f t="shared" si="8"/>
        <v>0.35859414261160716</v>
      </c>
      <c r="O383" s="510"/>
      <c r="P383" s="100" t="s">
        <v>643</v>
      </c>
    </row>
    <row r="384" spans="1:19">
      <c r="A384" s="97" t="s">
        <v>269</v>
      </c>
      <c r="B384" s="68" t="s">
        <v>277</v>
      </c>
      <c r="C384" s="312" t="s">
        <v>190</v>
      </c>
      <c r="D384" s="68" t="s">
        <v>96</v>
      </c>
      <c r="E384" s="665">
        <v>0.16331787738279241</v>
      </c>
      <c r="F384" s="34">
        <v>1</v>
      </c>
      <c r="G384" t="s">
        <v>642</v>
      </c>
      <c r="I384" s="252">
        <v>1</v>
      </c>
      <c r="J384" s="10">
        <v>1</v>
      </c>
      <c r="K384" s="10">
        <v>1</v>
      </c>
      <c r="L384" s="10">
        <v>2</v>
      </c>
      <c r="M384" s="10">
        <v>2</v>
      </c>
      <c r="N384" s="411">
        <f t="shared" si="8"/>
        <v>0.35859414261160716</v>
      </c>
      <c r="O384" s="510"/>
      <c r="P384" s="100" t="s">
        <v>643</v>
      </c>
    </row>
    <row r="385" spans="1:16">
      <c r="A385" s="97" t="s">
        <v>269</v>
      </c>
      <c r="B385" s="68" t="s">
        <v>277</v>
      </c>
      <c r="C385" s="312" t="s">
        <v>190</v>
      </c>
      <c r="D385" s="68" t="s">
        <v>97</v>
      </c>
      <c r="E385" s="665">
        <v>4.9733570159857902E-2</v>
      </c>
      <c r="F385" s="34">
        <v>1</v>
      </c>
      <c r="G385" t="s">
        <v>642</v>
      </c>
      <c r="I385" s="252">
        <v>1</v>
      </c>
      <c r="J385" s="10">
        <v>1</v>
      </c>
      <c r="K385" s="10">
        <v>1</v>
      </c>
      <c r="L385" s="10">
        <v>2</v>
      </c>
      <c r="M385" s="10">
        <v>2</v>
      </c>
      <c r="N385" s="411">
        <f t="shared" si="8"/>
        <v>0.35859414261160716</v>
      </c>
      <c r="O385" s="510"/>
      <c r="P385" s="100" t="s">
        <v>643</v>
      </c>
    </row>
    <row r="386" spans="1:16">
      <c r="A386" s="97" t="s">
        <v>269</v>
      </c>
      <c r="B386" s="68" t="s">
        <v>277</v>
      </c>
      <c r="C386" s="312" t="s">
        <v>190</v>
      </c>
      <c r="D386" s="68" t="s">
        <v>98</v>
      </c>
      <c r="E386" s="665">
        <v>0.225984796129924</v>
      </c>
      <c r="F386" s="34">
        <v>1</v>
      </c>
      <c r="G386" t="s">
        <v>642</v>
      </c>
      <c r="I386" s="252">
        <v>1</v>
      </c>
      <c r="J386" s="10">
        <v>1</v>
      </c>
      <c r="K386" s="10">
        <v>1</v>
      </c>
      <c r="L386" s="10">
        <v>2</v>
      </c>
      <c r="M386" s="10">
        <v>2</v>
      </c>
      <c r="N386" s="411">
        <f t="shared" si="8"/>
        <v>0.35859414261160716</v>
      </c>
      <c r="O386" s="510"/>
      <c r="P386" s="100" t="s">
        <v>643</v>
      </c>
    </row>
    <row r="387" spans="1:16">
      <c r="A387" s="97" t="s">
        <v>269</v>
      </c>
      <c r="B387" s="68" t="s">
        <v>277</v>
      </c>
      <c r="C387" s="312" t="s">
        <v>190</v>
      </c>
      <c r="D387" s="68" t="s">
        <v>99</v>
      </c>
      <c r="E387" s="665">
        <v>9.5582536812193225E-2</v>
      </c>
      <c r="F387" s="34">
        <v>1</v>
      </c>
      <c r="G387" t="s">
        <v>642</v>
      </c>
      <c r="I387" s="252">
        <v>1</v>
      </c>
      <c r="J387" s="10">
        <v>1</v>
      </c>
      <c r="K387" s="10">
        <v>1</v>
      </c>
      <c r="L387" s="10">
        <v>2</v>
      </c>
      <c r="M387" s="10">
        <v>2</v>
      </c>
      <c r="N387" s="411">
        <f t="shared" si="8"/>
        <v>0.35859414261160716</v>
      </c>
      <c r="O387" s="510"/>
      <c r="P387" s="100" t="s">
        <v>643</v>
      </c>
    </row>
    <row r="388" spans="1:16">
      <c r="A388" s="97" t="s">
        <v>269</v>
      </c>
      <c r="B388" s="68" t="s">
        <v>277</v>
      </c>
      <c r="C388" s="312" t="s">
        <v>190</v>
      </c>
      <c r="D388" s="68" t="s">
        <v>102</v>
      </c>
      <c r="E388" s="665">
        <v>0.24492099322799099</v>
      </c>
      <c r="F388" s="34">
        <v>1</v>
      </c>
      <c r="G388" t="s">
        <v>642</v>
      </c>
      <c r="I388" s="252">
        <v>1</v>
      </c>
      <c r="J388" s="10">
        <v>1</v>
      </c>
      <c r="K388" s="10">
        <v>1</v>
      </c>
      <c r="L388" s="10">
        <v>2</v>
      </c>
      <c r="M388" s="10">
        <v>2</v>
      </c>
      <c r="N388" s="411">
        <f t="shared" si="8"/>
        <v>0.35859414261160716</v>
      </c>
      <c r="O388" s="510"/>
      <c r="P388" s="100" t="s">
        <v>643</v>
      </c>
    </row>
    <row r="389" spans="1:16">
      <c r="A389" s="97" t="s">
        <v>269</v>
      </c>
      <c r="B389" s="68" t="s">
        <v>277</v>
      </c>
      <c r="C389" s="312" t="s">
        <v>190</v>
      </c>
      <c r="D389" s="68" t="s">
        <v>104</v>
      </c>
      <c r="E389" s="665">
        <v>0.19953775038520799</v>
      </c>
      <c r="F389" s="34">
        <v>1</v>
      </c>
      <c r="G389" t="s">
        <v>642</v>
      </c>
      <c r="I389" s="252">
        <v>1</v>
      </c>
      <c r="J389" s="10">
        <v>1</v>
      </c>
      <c r="K389" s="10">
        <v>1</v>
      </c>
      <c r="L389" s="10">
        <v>2</v>
      </c>
      <c r="M389" s="10">
        <v>2</v>
      </c>
      <c r="N389" s="411">
        <f t="shared" si="8"/>
        <v>0.35859414261160716</v>
      </c>
      <c r="O389" s="510"/>
      <c r="P389" s="100" t="s">
        <v>643</v>
      </c>
    </row>
    <row r="390" spans="1:16">
      <c r="A390" s="97" t="s">
        <v>269</v>
      </c>
      <c r="B390" s="68" t="s">
        <v>277</v>
      </c>
      <c r="C390" s="312" t="s">
        <v>190</v>
      </c>
      <c r="D390" s="68" t="s">
        <v>105</v>
      </c>
      <c r="E390" s="665">
        <v>0.3138111888111888</v>
      </c>
      <c r="F390" s="34">
        <v>1</v>
      </c>
      <c r="G390" t="s">
        <v>642</v>
      </c>
      <c r="I390" s="252">
        <v>1</v>
      </c>
      <c r="J390" s="10">
        <v>1</v>
      </c>
      <c r="K390" s="10">
        <v>1</v>
      </c>
      <c r="L390" s="10">
        <v>2</v>
      </c>
      <c r="M390" s="10">
        <v>2</v>
      </c>
      <c r="N390" s="411">
        <f t="shared" si="8"/>
        <v>0.35859414261160716</v>
      </c>
      <c r="O390" s="510"/>
      <c r="P390" s="100" t="s">
        <v>643</v>
      </c>
    </row>
    <row r="391" spans="1:16">
      <c r="A391" s="97" t="s">
        <v>269</v>
      </c>
      <c r="B391" s="68" t="s">
        <v>277</v>
      </c>
      <c r="C391" s="312" t="s">
        <v>190</v>
      </c>
      <c r="D391" s="68" t="s">
        <v>103</v>
      </c>
      <c r="E391" s="665">
        <v>0.2368318376902068</v>
      </c>
      <c r="F391" s="34">
        <v>1</v>
      </c>
      <c r="G391" t="s">
        <v>642</v>
      </c>
      <c r="I391" s="252">
        <v>1</v>
      </c>
      <c r="J391" s="10">
        <v>1</v>
      </c>
      <c r="K391" s="10">
        <v>1</v>
      </c>
      <c r="L391" s="10">
        <v>2</v>
      </c>
      <c r="M391" s="10">
        <v>2</v>
      </c>
      <c r="N391" s="411">
        <f t="shared" si="8"/>
        <v>0.35859414261160716</v>
      </c>
      <c r="O391" s="510"/>
      <c r="P391" s="100" t="s">
        <v>643</v>
      </c>
    </row>
    <row r="392" spans="1:16">
      <c r="A392" s="97" t="s">
        <v>269</v>
      </c>
      <c r="B392" s="68" t="s">
        <v>277</v>
      </c>
      <c r="C392" s="312" t="s">
        <v>190</v>
      </c>
      <c r="D392" s="68" t="s">
        <v>101</v>
      </c>
      <c r="E392" s="665">
        <v>0.16604287172507659</v>
      </c>
      <c r="F392" s="34">
        <v>1</v>
      </c>
      <c r="G392" t="s">
        <v>642</v>
      </c>
      <c r="I392" s="252">
        <v>1</v>
      </c>
      <c r="J392" s="10">
        <v>1</v>
      </c>
      <c r="K392" s="10">
        <v>1</v>
      </c>
      <c r="L392" s="10">
        <v>2</v>
      </c>
      <c r="M392" s="10">
        <v>2</v>
      </c>
      <c r="N392" s="411">
        <f t="shared" si="8"/>
        <v>0.35859414261160716</v>
      </c>
      <c r="O392" s="510"/>
      <c r="P392" s="100" t="s">
        <v>643</v>
      </c>
    </row>
    <row r="393" spans="1:16" ht="15.75" thickBot="1">
      <c r="A393" s="98" t="s">
        <v>269</v>
      </c>
      <c r="B393" s="72" t="s">
        <v>277</v>
      </c>
      <c r="C393" s="325" t="s">
        <v>190</v>
      </c>
      <c r="D393" s="72" t="s">
        <v>106</v>
      </c>
      <c r="E393" s="665">
        <v>0.34568127636163581</v>
      </c>
      <c r="F393" s="35">
        <v>1</v>
      </c>
      <c r="G393" s="512" t="s">
        <v>642</v>
      </c>
      <c r="H393" s="669"/>
      <c r="I393" s="255">
        <v>1</v>
      </c>
      <c r="J393" s="14">
        <v>1</v>
      </c>
      <c r="K393" s="14">
        <v>1</v>
      </c>
      <c r="L393" s="14">
        <v>2</v>
      </c>
      <c r="M393" s="14">
        <v>2</v>
      </c>
      <c r="N393" s="434">
        <f t="shared" si="8"/>
        <v>0.35859414261160716</v>
      </c>
      <c r="O393" s="511"/>
      <c r="P393" s="100" t="s">
        <v>643</v>
      </c>
    </row>
    <row r="394" spans="1:16">
      <c r="A394" s="7"/>
      <c r="B394" s="7"/>
      <c r="C394" s="1"/>
      <c r="D394" s="7"/>
      <c r="E394" s="120"/>
      <c r="F394" s="7"/>
      <c r="G394" s="7"/>
      <c r="H394" s="7"/>
      <c r="I394" s="7"/>
      <c r="J394" s="7"/>
      <c r="K394" s="7"/>
      <c r="L394" s="7"/>
      <c r="M394" s="7"/>
      <c r="N394" s="7"/>
      <c r="O394" s="7"/>
      <c r="P394" s="7"/>
    </row>
    <row r="395" spans="1:16" s="420" customFormat="1">
      <c r="A395" s="787" t="s">
        <v>644</v>
      </c>
      <c r="B395" s="784"/>
      <c r="C395" s="785"/>
      <c r="D395" s="784"/>
      <c r="E395" s="786"/>
      <c r="F395" s="784"/>
      <c r="G395" s="784"/>
      <c r="H395" s="784"/>
      <c r="I395" s="784"/>
      <c r="J395" s="784"/>
      <c r="K395" s="784"/>
      <c r="L395" s="784"/>
      <c r="M395" s="784"/>
      <c r="N395" s="784"/>
      <c r="O395" s="784"/>
      <c r="P395" s="784"/>
    </row>
    <row r="396" spans="1:16">
      <c r="A396" s="9" t="s">
        <v>269</v>
      </c>
      <c r="B396" s="9" t="s">
        <v>442</v>
      </c>
      <c r="C396" s="9" t="s">
        <v>147</v>
      </c>
      <c r="D396" s="9" t="s">
        <v>147</v>
      </c>
      <c r="E396" s="788">
        <v>9.9999999999999995E-7</v>
      </c>
      <c r="F396" s="9">
        <v>2</v>
      </c>
      <c r="G396" s="187" t="s">
        <v>402</v>
      </c>
      <c r="H396" s="10">
        <v>2</v>
      </c>
      <c r="I396" s="10">
        <v>2</v>
      </c>
      <c r="J396" s="10">
        <v>3</v>
      </c>
      <c r="K396" s="10">
        <v>3</v>
      </c>
      <c r="L396" s="10">
        <v>3</v>
      </c>
      <c r="M396" s="10">
        <v>2</v>
      </c>
      <c r="N396" s="411">
        <f t="shared" ref="N396:N407" si="9">IF( OR( ISBLANK(H396),ISBLANK(J396), ISBLANK(K396), ISBLANK(L396), ISBLANK(M396) ), "", 1.5*SQRT(   EXP(2.21*(H396-1)) + EXP(2.21*(J396-1)) + EXP(2.21*(K396-1)) + EXP(2.21*(L396-1)) + EXP(2.21*M396)   )/100*2.45 )</f>
        <v>0.67913051197703389</v>
      </c>
      <c r="O396" s="411">
        <f t="shared" ref="O396:O407" si="10">IF( OR( ISBLANK(I396),ISBLANK(J396), ISBLANK(K396), ISBLANK(L396), ISBLANK(M396) ), "", 1.5*SQRT( EXP(2.21*(I396-1)) + EXP(2.21*(J396-1)) + EXP(2.21*(K396-1)) + EXP(2.21*(L396-1)) + EXP(2.21*M396)   )/100*2.45 )</f>
        <v>0.67913051197703389</v>
      </c>
      <c r="P396" s="782" t="s">
        <v>443</v>
      </c>
    </row>
    <row r="397" spans="1:16">
      <c r="A397" s="9" t="s">
        <v>269</v>
      </c>
      <c r="B397" s="9" t="s">
        <v>442</v>
      </c>
      <c r="C397" s="9" t="s">
        <v>147</v>
      </c>
      <c r="D397" s="9" t="s">
        <v>147</v>
      </c>
      <c r="E397" s="789">
        <f>0.05*(1-0.088)/100</f>
        <v>4.5600000000000003E-4</v>
      </c>
      <c r="F397" s="9">
        <v>2</v>
      </c>
      <c r="G397" s="187" t="s">
        <v>402</v>
      </c>
      <c r="H397" s="10">
        <v>2</v>
      </c>
      <c r="I397" s="10">
        <v>2</v>
      </c>
      <c r="J397" s="10">
        <v>3</v>
      </c>
      <c r="K397" s="10">
        <v>3</v>
      </c>
      <c r="L397" s="10">
        <v>3</v>
      </c>
      <c r="M397" s="10">
        <v>2</v>
      </c>
      <c r="N397" s="411">
        <f t="shared" si="9"/>
        <v>0.67913051197703389</v>
      </c>
      <c r="O397" s="411">
        <f t="shared" si="10"/>
        <v>0.67913051197703389</v>
      </c>
      <c r="P397" s="782" t="s">
        <v>443</v>
      </c>
    </row>
    <row r="398" spans="1:16">
      <c r="A398" s="227" t="s">
        <v>269</v>
      </c>
      <c r="B398" s="227" t="s">
        <v>444</v>
      </c>
      <c r="C398" s="227" t="s">
        <v>147</v>
      </c>
      <c r="D398" s="227" t="s">
        <v>147</v>
      </c>
      <c r="E398" s="788">
        <v>9.9999999999999995E-7</v>
      </c>
      <c r="F398" s="315">
        <v>2</v>
      </c>
      <c r="G398" s="187" t="s">
        <v>445</v>
      </c>
      <c r="H398" s="227">
        <v>2</v>
      </c>
      <c r="I398" s="227">
        <v>2</v>
      </c>
      <c r="J398" s="227">
        <v>3</v>
      </c>
      <c r="K398" s="227">
        <v>3</v>
      </c>
      <c r="L398" s="227">
        <v>3</v>
      </c>
      <c r="M398" s="227">
        <v>2</v>
      </c>
      <c r="N398" s="411">
        <f t="shared" si="9"/>
        <v>0.67913051197703389</v>
      </c>
      <c r="O398" s="411">
        <f t="shared" si="10"/>
        <v>0.67913051197703389</v>
      </c>
      <c r="P398" s="227"/>
    </row>
    <row r="399" spans="1:16">
      <c r="A399" s="227" t="s">
        <v>269</v>
      </c>
      <c r="B399" s="227" t="s">
        <v>444</v>
      </c>
      <c r="C399" s="227" t="s">
        <v>147</v>
      </c>
      <c r="D399" s="227" t="s">
        <v>147</v>
      </c>
      <c r="E399" s="789">
        <f>0.05*0.088/100</f>
        <v>4.4000000000000006E-5</v>
      </c>
      <c r="F399" s="315">
        <v>2</v>
      </c>
      <c r="G399" s="187" t="s">
        <v>445</v>
      </c>
      <c r="H399" s="227">
        <v>2</v>
      </c>
      <c r="I399" s="227">
        <v>2</v>
      </c>
      <c r="J399" s="227">
        <v>3</v>
      </c>
      <c r="K399" s="227">
        <v>3</v>
      </c>
      <c r="L399" s="227">
        <v>3</v>
      </c>
      <c r="M399" s="227">
        <v>2</v>
      </c>
      <c r="N399" s="411">
        <f t="shared" si="9"/>
        <v>0.67913051197703389</v>
      </c>
      <c r="O399" s="411">
        <f t="shared" si="10"/>
        <v>0.67913051197703389</v>
      </c>
      <c r="P399" s="227" t="s">
        <v>645</v>
      </c>
    </row>
    <row r="400" spans="1:16">
      <c r="A400" s="9" t="s">
        <v>442</v>
      </c>
      <c r="B400" s="9" t="s">
        <v>271</v>
      </c>
      <c r="C400" s="9" t="s">
        <v>147</v>
      </c>
      <c r="D400" s="9" t="s">
        <v>147</v>
      </c>
      <c r="E400" s="245">
        <v>0.25</v>
      </c>
      <c r="F400" s="9">
        <v>2</v>
      </c>
      <c r="G400" s="187" t="s">
        <v>446</v>
      </c>
      <c r="H400" s="10">
        <v>2</v>
      </c>
      <c r="I400" s="10">
        <v>2</v>
      </c>
      <c r="J400" s="10">
        <v>3</v>
      </c>
      <c r="K400" s="10">
        <v>3</v>
      </c>
      <c r="L400" s="10">
        <v>3</v>
      </c>
      <c r="M400" s="10">
        <v>2</v>
      </c>
      <c r="N400" s="411">
        <f t="shared" si="9"/>
        <v>0.67913051197703389</v>
      </c>
      <c r="O400" s="411">
        <f t="shared" si="10"/>
        <v>0.67913051197703389</v>
      </c>
      <c r="P400" s="9" t="s">
        <v>447</v>
      </c>
    </row>
    <row r="401" spans="1:16">
      <c r="A401" s="9" t="s">
        <v>442</v>
      </c>
      <c r="B401" s="9" t="s">
        <v>264</v>
      </c>
      <c r="C401" s="9" t="s">
        <v>147</v>
      </c>
      <c r="D401" s="9" t="s">
        <v>147</v>
      </c>
      <c r="E401" s="245">
        <v>0.75</v>
      </c>
      <c r="F401" s="9">
        <v>2</v>
      </c>
      <c r="G401" s="187" t="s">
        <v>446</v>
      </c>
      <c r="H401" s="10">
        <v>2</v>
      </c>
      <c r="I401" s="10">
        <v>2</v>
      </c>
      <c r="J401" s="10">
        <v>3</v>
      </c>
      <c r="K401" s="10">
        <v>3</v>
      </c>
      <c r="L401" s="10">
        <v>3</v>
      </c>
      <c r="M401" s="10">
        <v>2</v>
      </c>
      <c r="N401" s="411">
        <f t="shared" si="9"/>
        <v>0.67913051197703389</v>
      </c>
      <c r="O401" s="411">
        <f t="shared" si="10"/>
        <v>0.67913051197703389</v>
      </c>
      <c r="P401" s="9" t="s">
        <v>447</v>
      </c>
    </row>
    <row r="402" spans="1:16">
      <c r="A402" s="9" t="s">
        <v>272</v>
      </c>
      <c r="B402" s="9" t="s">
        <v>448</v>
      </c>
      <c r="C402" s="9" t="s">
        <v>147</v>
      </c>
      <c r="D402" s="9" t="s">
        <v>147</v>
      </c>
      <c r="E402" s="789">
        <v>9.9999999999999995E-7</v>
      </c>
      <c r="F402" s="250">
        <v>2</v>
      </c>
      <c r="G402" s="187" t="s">
        <v>402</v>
      </c>
      <c r="H402" s="173">
        <v>2</v>
      </c>
      <c r="I402" s="10">
        <v>2</v>
      </c>
      <c r="J402" s="10">
        <v>3</v>
      </c>
      <c r="K402" s="10">
        <v>3</v>
      </c>
      <c r="L402" s="10">
        <v>3</v>
      </c>
      <c r="M402" s="10">
        <v>2</v>
      </c>
      <c r="N402" s="411">
        <f t="shared" si="9"/>
        <v>0.67913051197703389</v>
      </c>
      <c r="O402" s="411">
        <f t="shared" si="10"/>
        <v>0.67913051197703389</v>
      </c>
      <c r="P402" s="782" t="s">
        <v>443</v>
      </c>
    </row>
    <row r="403" spans="1:16">
      <c r="A403" s="9" t="s">
        <v>272</v>
      </c>
      <c r="B403" s="9" t="s">
        <v>448</v>
      </c>
      <c r="C403" s="9" t="s">
        <v>147</v>
      </c>
      <c r="D403" s="9" t="s">
        <v>147</v>
      </c>
      <c r="E403" s="789">
        <v>4.0000000000000002E-4</v>
      </c>
      <c r="F403" s="250">
        <v>2</v>
      </c>
      <c r="G403" s="187" t="s">
        <v>402</v>
      </c>
      <c r="H403" s="173">
        <v>2</v>
      </c>
      <c r="I403" s="10">
        <v>2</v>
      </c>
      <c r="J403" s="10">
        <v>3</v>
      </c>
      <c r="K403" s="10">
        <v>3</v>
      </c>
      <c r="L403" s="10">
        <v>3</v>
      </c>
      <c r="M403" s="10">
        <v>2</v>
      </c>
      <c r="N403" s="411">
        <f t="shared" si="9"/>
        <v>0.67913051197703389</v>
      </c>
      <c r="O403" s="411">
        <f t="shared" si="10"/>
        <v>0.67913051197703389</v>
      </c>
      <c r="P403" s="782" t="s">
        <v>443</v>
      </c>
    </row>
    <row r="404" spans="1:16">
      <c r="A404" s="119" t="s">
        <v>118</v>
      </c>
      <c r="B404" s="119" t="s">
        <v>448</v>
      </c>
      <c r="C404" s="119" t="s">
        <v>147</v>
      </c>
      <c r="D404" s="119" t="s">
        <v>147</v>
      </c>
      <c r="E404" s="798">
        <v>9.9999999999999995E-7</v>
      </c>
      <c r="F404" s="317">
        <v>2</v>
      </c>
      <c r="G404" s="187" t="s">
        <v>402</v>
      </c>
      <c r="H404" s="176">
        <v>2</v>
      </c>
      <c r="I404" s="15">
        <v>2</v>
      </c>
      <c r="J404" s="15">
        <v>3</v>
      </c>
      <c r="K404" s="15">
        <v>3</v>
      </c>
      <c r="L404" s="15">
        <v>3</v>
      </c>
      <c r="M404" s="15">
        <v>2</v>
      </c>
      <c r="N404" s="430">
        <f t="shared" si="9"/>
        <v>0.67913051197703389</v>
      </c>
      <c r="O404" s="430">
        <f t="shared" si="10"/>
        <v>0.67913051197703389</v>
      </c>
      <c r="P404" s="119" t="s">
        <v>449</v>
      </c>
    </row>
    <row r="405" spans="1:16">
      <c r="A405" s="9" t="s">
        <v>118</v>
      </c>
      <c r="B405" s="9" t="s">
        <v>448</v>
      </c>
      <c r="C405" s="9" t="s">
        <v>147</v>
      </c>
      <c r="D405" s="9" t="s">
        <v>147</v>
      </c>
      <c r="E405" s="789">
        <v>4.0000000000000002E-4</v>
      </c>
      <c r="F405" s="250">
        <v>2</v>
      </c>
      <c r="G405" s="187" t="s">
        <v>402</v>
      </c>
      <c r="H405" s="173">
        <v>2</v>
      </c>
      <c r="I405" s="10">
        <v>2</v>
      </c>
      <c r="J405" s="10">
        <v>3</v>
      </c>
      <c r="K405" s="10">
        <v>3</v>
      </c>
      <c r="L405" s="10">
        <v>3</v>
      </c>
      <c r="M405" s="10">
        <v>2</v>
      </c>
      <c r="N405" s="411">
        <f t="shared" si="9"/>
        <v>0.67913051197703389</v>
      </c>
      <c r="O405" s="411">
        <f t="shared" si="10"/>
        <v>0.67913051197703389</v>
      </c>
      <c r="P405" s="9" t="s">
        <v>449</v>
      </c>
    </row>
    <row r="406" spans="1:16" ht="15.75" customHeight="1">
      <c r="A406" s="9" t="s">
        <v>448</v>
      </c>
      <c r="B406" s="9" t="s">
        <v>267</v>
      </c>
      <c r="C406" s="9" t="s">
        <v>147</v>
      </c>
      <c r="D406" s="9" t="s">
        <v>147</v>
      </c>
      <c r="E406" s="789">
        <v>4.0000000000000001E-3</v>
      </c>
      <c r="F406" s="250">
        <v>2</v>
      </c>
      <c r="G406" s="187" t="s">
        <v>446</v>
      </c>
      <c r="H406" s="173">
        <v>2</v>
      </c>
      <c r="I406" s="10">
        <v>2</v>
      </c>
      <c r="J406" s="10">
        <v>3</v>
      </c>
      <c r="K406" s="10">
        <v>3</v>
      </c>
      <c r="L406" s="10">
        <v>3</v>
      </c>
      <c r="M406" s="10">
        <v>2</v>
      </c>
      <c r="N406" s="411">
        <f t="shared" si="9"/>
        <v>0.67913051197703389</v>
      </c>
      <c r="O406" s="411">
        <f t="shared" si="10"/>
        <v>0.67913051197703389</v>
      </c>
      <c r="P406" s="9" t="s">
        <v>447</v>
      </c>
    </row>
    <row r="407" spans="1:16" ht="15.75" customHeight="1">
      <c r="A407" s="9" t="s">
        <v>448</v>
      </c>
      <c r="B407" s="9" t="s">
        <v>264</v>
      </c>
      <c r="C407" s="9" t="s">
        <v>147</v>
      </c>
      <c r="D407" s="9" t="s">
        <v>147</v>
      </c>
      <c r="E407" s="789">
        <v>0.996</v>
      </c>
      <c r="F407" s="250">
        <v>2</v>
      </c>
      <c r="G407" s="187" t="s">
        <v>446</v>
      </c>
      <c r="H407" s="173">
        <v>2</v>
      </c>
      <c r="I407" s="10">
        <v>2</v>
      </c>
      <c r="J407" s="10">
        <v>3</v>
      </c>
      <c r="K407" s="10">
        <v>3</v>
      </c>
      <c r="L407" s="10">
        <v>3</v>
      </c>
      <c r="M407" s="10">
        <v>2</v>
      </c>
      <c r="N407" s="411">
        <f t="shared" si="9"/>
        <v>0.67913051197703389</v>
      </c>
      <c r="O407" s="411">
        <f t="shared" si="10"/>
        <v>0.67913051197703389</v>
      </c>
      <c r="P407" s="9" t="s">
        <v>447</v>
      </c>
    </row>
    <row r="409" spans="1:16" s="957" customFormat="1">
      <c r="A409" s="957" t="s">
        <v>646</v>
      </c>
    </row>
    <row r="410" spans="1:16" s="957" customFormat="1"/>
    <row r="411" spans="1:16" s="225" customFormat="1">
      <c r="A411" s="225" t="s">
        <v>647</v>
      </c>
    </row>
    <row r="413" spans="1:16">
      <c r="A413" s="674" t="s">
        <v>648</v>
      </c>
      <c r="B413" s="674" t="s">
        <v>649</v>
      </c>
      <c r="C413" s="674" t="s">
        <v>112</v>
      </c>
      <c r="D413" s="675" t="s">
        <v>93</v>
      </c>
      <c r="E413" s="675" t="s">
        <v>94</v>
      </c>
      <c r="F413" s="675" t="s">
        <v>95</v>
      </c>
      <c r="G413" s="675" t="s">
        <v>96</v>
      </c>
      <c r="H413" s="675" t="s">
        <v>97</v>
      </c>
      <c r="I413" s="675" t="s">
        <v>98</v>
      </c>
      <c r="J413" s="675" t="s">
        <v>99</v>
      </c>
      <c r="K413" s="675" t="s">
        <v>102</v>
      </c>
      <c r="L413" s="675" t="s">
        <v>104</v>
      </c>
      <c r="M413" s="675" t="s">
        <v>105</v>
      </c>
      <c r="N413" s="675" t="s">
        <v>103</v>
      </c>
      <c r="O413" s="675" t="s">
        <v>101</v>
      </c>
      <c r="P413" s="675" t="s">
        <v>106</v>
      </c>
    </row>
    <row r="414" spans="1:16">
      <c r="A414" s="227" t="s">
        <v>650</v>
      </c>
      <c r="B414" s="227"/>
      <c r="C414" s="227" t="s">
        <v>45</v>
      </c>
      <c r="D414" s="318">
        <v>1</v>
      </c>
      <c r="E414" s="318">
        <v>0</v>
      </c>
      <c r="F414" s="318">
        <v>0</v>
      </c>
      <c r="G414" s="318">
        <v>0</v>
      </c>
      <c r="H414" s="318">
        <v>0</v>
      </c>
      <c r="I414" s="318">
        <v>0</v>
      </c>
      <c r="J414" s="318">
        <v>0</v>
      </c>
      <c r="K414" s="318">
        <v>0</v>
      </c>
      <c r="L414" s="318">
        <v>0</v>
      </c>
      <c r="M414" s="318">
        <v>0</v>
      </c>
      <c r="N414" s="318">
        <v>0</v>
      </c>
      <c r="O414" s="318">
        <v>0</v>
      </c>
      <c r="P414" s="318">
        <v>0</v>
      </c>
    </row>
    <row r="415" spans="1:16">
      <c r="A415" s="227" t="s">
        <v>650</v>
      </c>
      <c r="B415" s="227"/>
      <c r="C415" s="227" t="s">
        <v>45</v>
      </c>
      <c r="D415" s="318">
        <v>1</v>
      </c>
      <c r="E415" s="318">
        <v>0</v>
      </c>
      <c r="F415" s="318">
        <v>0</v>
      </c>
      <c r="G415" s="318">
        <v>0</v>
      </c>
      <c r="H415" s="318">
        <v>0</v>
      </c>
      <c r="I415" s="318">
        <v>0</v>
      </c>
      <c r="J415" s="318">
        <v>0</v>
      </c>
      <c r="K415" s="318">
        <v>0</v>
      </c>
      <c r="L415" s="318">
        <v>0</v>
      </c>
      <c r="M415" s="318">
        <v>0</v>
      </c>
      <c r="N415" s="318">
        <v>0</v>
      </c>
      <c r="O415" s="318">
        <v>0</v>
      </c>
      <c r="P415" s="318">
        <v>0</v>
      </c>
    </row>
    <row r="416" spans="1:16">
      <c r="A416" s="227" t="s">
        <v>651</v>
      </c>
      <c r="B416" s="227"/>
      <c r="C416" s="227" t="s">
        <v>45</v>
      </c>
      <c r="D416" s="318">
        <v>0</v>
      </c>
      <c r="E416" s="318">
        <v>1</v>
      </c>
      <c r="F416" s="318">
        <v>0</v>
      </c>
      <c r="G416" s="318">
        <v>0</v>
      </c>
      <c r="H416" s="318">
        <v>0</v>
      </c>
      <c r="I416" s="318">
        <v>0</v>
      </c>
      <c r="J416" s="318">
        <v>0</v>
      </c>
      <c r="K416" s="318">
        <v>0</v>
      </c>
      <c r="L416" s="318">
        <v>0</v>
      </c>
      <c r="M416" s="318">
        <v>0</v>
      </c>
      <c r="N416" s="318">
        <v>0</v>
      </c>
      <c r="O416" s="318">
        <v>0</v>
      </c>
      <c r="P416" s="318">
        <v>0</v>
      </c>
    </row>
    <row r="417" spans="1:16">
      <c r="A417" s="227" t="s">
        <v>652</v>
      </c>
      <c r="B417" s="227" t="s">
        <v>653</v>
      </c>
      <c r="C417" s="227" t="s">
        <v>654</v>
      </c>
      <c r="D417" s="318">
        <v>0</v>
      </c>
      <c r="E417" s="318">
        <v>0</v>
      </c>
      <c r="F417" s="318">
        <v>0</v>
      </c>
      <c r="G417" s="318">
        <v>0</v>
      </c>
      <c r="H417" s="318">
        <v>0</v>
      </c>
      <c r="I417" s="318">
        <v>0</v>
      </c>
      <c r="J417" s="318">
        <v>0</v>
      </c>
      <c r="K417" s="318">
        <v>0</v>
      </c>
      <c r="L417" s="318">
        <v>0</v>
      </c>
      <c r="M417" s="318">
        <v>0</v>
      </c>
      <c r="N417" s="318">
        <v>0</v>
      </c>
      <c r="O417" s="318">
        <v>0</v>
      </c>
      <c r="P417" s="318">
        <v>1</v>
      </c>
    </row>
    <row r="418" spans="1:16">
      <c r="A418" s="227" t="s">
        <v>655</v>
      </c>
      <c r="B418" s="227" t="s">
        <v>653</v>
      </c>
      <c r="C418" s="227" t="s">
        <v>654</v>
      </c>
      <c r="D418" s="318">
        <v>0</v>
      </c>
      <c r="E418" s="318">
        <v>0</v>
      </c>
      <c r="F418" s="318">
        <v>0</v>
      </c>
      <c r="G418" s="318">
        <v>0</v>
      </c>
      <c r="H418" s="318">
        <v>0</v>
      </c>
      <c r="I418" s="318">
        <v>0</v>
      </c>
      <c r="J418" s="318">
        <v>0</v>
      </c>
      <c r="K418" s="318">
        <v>0</v>
      </c>
      <c r="L418" s="318">
        <v>0</v>
      </c>
      <c r="M418" s="318">
        <v>0</v>
      </c>
      <c r="N418" s="318">
        <v>0</v>
      </c>
      <c r="O418" s="318">
        <v>0</v>
      </c>
      <c r="P418" s="318">
        <v>1</v>
      </c>
    </row>
    <row r="419" spans="1:16">
      <c r="A419" s="227" t="s">
        <v>656</v>
      </c>
      <c r="B419" s="227"/>
      <c r="C419" s="227" t="s">
        <v>45</v>
      </c>
      <c r="D419" s="318">
        <v>0</v>
      </c>
      <c r="E419" s="318">
        <v>0</v>
      </c>
      <c r="F419" s="318">
        <v>1</v>
      </c>
      <c r="G419" s="318">
        <v>0</v>
      </c>
      <c r="H419" s="318">
        <v>0</v>
      </c>
      <c r="I419" s="318">
        <v>0</v>
      </c>
      <c r="J419" s="318">
        <v>0</v>
      </c>
      <c r="K419" s="318">
        <v>0</v>
      </c>
      <c r="L419" s="318">
        <v>0</v>
      </c>
      <c r="M419" s="318">
        <v>0</v>
      </c>
      <c r="N419" s="318">
        <v>0</v>
      </c>
      <c r="O419" s="318">
        <v>0</v>
      </c>
      <c r="P419" s="318">
        <v>0</v>
      </c>
    </row>
    <row r="420" spans="1:16">
      <c r="A420" s="227" t="s">
        <v>657</v>
      </c>
      <c r="B420" s="227" t="s">
        <v>653</v>
      </c>
      <c r="C420" s="227" t="s">
        <v>654</v>
      </c>
      <c r="D420" s="318">
        <v>0</v>
      </c>
      <c r="E420" s="318">
        <v>0</v>
      </c>
      <c r="F420" s="318">
        <v>0</v>
      </c>
      <c r="G420" s="318">
        <v>0</v>
      </c>
      <c r="H420" s="318">
        <v>0</v>
      </c>
      <c r="I420" s="318">
        <v>0</v>
      </c>
      <c r="J420" s="318">
        <v>0</v>
      </c>
      <c r="K420" s="318">
        <v>0</v>
      </c>
      <c r="L420" s="318">
        <v>0</v>
      </c>
      <c r="M420" s="318">
        <v>0</v>
      </c>
      <c r="N420" s="318">
        <v>0</v>
      </c>
      <c r="O420" s="318">
        <v>0</v>
      </c>
      <c r="P420" s="318">
        <v>1</v>
      </c>
    </row>
    <row r="421" spans="1:16">
      <c r="A421" s="227" t="s">
        <v>658</v>
      </c>
      <c r="B421" s="227"/>
      <c r="C421" s="227" t="s">
        <v>45</v>
      </c>
      <c r="D421" s="318">
        <v>0</v>
      </c>
      <c r="E421" s="318">
        <v>0</v>
      </c>
      <c r="F421" s="318">
        <v>0</v>
      </c>
      <c r="G421" s="318">
        <v>0</v>
      </c>
      <c r="H421" s="318">
        <v>1</v>
      </c>
      <c r="I421" s="318">
        <v>0</v>
      </c>
      <c r="J421" s="318">
        <v>0</v>
      </c>
      <c r="K421" s="318">
        <v>0</v>
      </c>
      <c r="L421" s="318">
        <v>0</v>
      </c>
      <c r="M421" s="318">
        <v>0</v>
      </c>
      <c r="N421" s="318">
        <v>0</v>
      </c>
      <c r="O421" s="318">
        <v>0</v>
      </c>
      <c r="P421" s="318">
        <v>0</v>
      </c>
    </row>
    <row r="422" spans="1:16">
      <c r="A422" s="227" t="s">
        <v>659</v>
      </c>
      <c r="B422" s="227"/>
      <c r="C422" s="227" t="s">
        <v>45</v>
      </c>
      <c r="D422" s="318">
        <v>0</v>
      </c>
      <c r="E422" s="318">
        <v>0</v>
      </c>
      <c r="F422" s="318">
        <v>0</v>
      </c>
      <c r="G422" s="318">
        <v>1</v>
      </c>
      <c r="H422" s="318">
        <v>0</v>
      </c>
      <c r="I422" s="318">
        <v>0</v>
      </c>
      <c r="J422" s="318">
        <v>0</v>
      </c>
      <c r="K422" s="318">
        <v>0</v>
      </c>
      <c r="L422" s="318">
        <v>0</v>
      </c>
      <c r="M422" s="318">
        <v>0</v>
      </c>
      <c r="N422" s="318">
        <v>0</v>
      </c>
      <c r="O422" s="318">
        <v>0</v>
      </c>
      <c r="P422" s="318"/>
    </row>
    <row r="423" spans="1:16">
      <c r="A423" s="227" t="s">
        <v>660</v>
      </c>
      <c r="B423" s="227" t="s">
        <v>653</v>
      </c>
      <c r="C423" s="227" t="s">
        <v>654</v>
      </c>
      <c r="D423" s="318">
        <v>0</v>
      </c>
      <c r="E423" s="318">
        <v>0</v>
      </c>
      <c r="F423" s="318">
        <v>0</v>
      </c>
      <c r="G423" s="318">
        <v>0</v>
      </c>
      <c r="H423" s="318">
        <v>0</v>
      </c>
      <c r="I423" s="318">
        <v>0</v>
      </c>
      <c r="J423" s="318">
        <v>0</v>
      </c>
      <c r="K423" s="318">
        <v>0</v>
      </c>
      <c r="L423" s="318">
        <v>0</v>
      </c>
      <c r="M423" s="318">
        <v>0</v>
      </c>
      <c r="N423" s="318">
        <v>0</v>
      </c>
      <c r="O423" s="318">
        <v>0</v>
      </c>
      <c r="P423" s="318">
        <v>1</v>
      </c>
    </row>
    <row r="424" spans="1:16">
      <c r="A424" s="227" t="s">
        <v>661</v>
      </c>
      <c r="B424" s="227"/>
      <c r="C424" s="227" t="s">
        <v>662</v>
      </c>
      <c r="D424" s="318">
        <v>0</v>
      </c>
      <c r="E424" s="318">
        <v>0</v>
      </c>
      <c r="F424" s="318">
        <v>0</v>
      </c>
      <c r="G424" s="318">
        <v>0</v>
      </c>
      <c r="H424" s="318">
        <v>0</v>
      </c>
      <c r="I424" s="318">
        <v>0</v>
      </c>
      <c r="J424" s="318">
        <v>0</v>
      </c>
      <c r="K424" s="318">
        <v>1</v>
      </c>
      <c r="L424" s="318">
        <v>0</v>
      </c>
      <c r="M424" s="318">
        <v>0</v>
      </c>
      <c r="N424" s="318">
        <v>0</v>
      </c>
      <c r="O424" s="318">
        <v>0</v>
      </c>
      <c r="P424" s="318">
        <v>0</v>
      </c>
    </row>
    <row r="425" spans="1:16">
      <c r="A425" s="227" t="s">
        <v>663</v>
      </c>
      <c r="B425" s="227" t="s">
        <v>653</v>
      </c>
      <c r="C425" s="227" t="s">
        <v>654</v>
      </c>
      <c r="D425" s="318">
        <v>0</v>
      </c>
      <c r="E425" s="318">
        <v>0</v>
      </c>
      <c r="F425" s="318">
        <v>0</v>
      </c>
      <c r="G425" s="318">
        <v>0</v>
      </c>
      <c r="H425" s="318">
        <v>0</v>
      </c>
      <c r="I425" s="318">
        <v>0</v>
      </c>
      <c r="J425" s="318">
        <v>0</v>
      </c>
      <c r="K425" s="318">
        <v>0</v>
      </c>
      <c r="L425" s="318">
        <v>0</v>
      </c>
      <c r="M425" s="318">
        <v>0</v>
      </c>
      <c r="N425" s="318">
        <v>0</v>
      </c>
      <c r="O425" s="318">
        <v>0</v>
      </c>
      <c r="P425" s="318">
        <v>1</v>
      </c>
    </row>
    <row r="426" spans="1:16">
      <c r="A426" s="227" t="s">
        <v>664</v>
      </c>
      <c r="B426" s="227"/>
      <c r="C426" s="227" t="s">
        <v>662</v>
      </c>
      <c r="D426" s="318">
        <v>0</v>
      </c>
      <c r="E426" s="318">
        <v>0</v>
      </c>
      <c r="F426" s="318">
        <v>0</v>
      </c>
      <c r="G426" s="318">
        <v>0</v>
      </c>
      <c r="H426" s="318">
        <v>0</v>
      </c>
      <c r="I426" s="318">
        <v>1</v>
      </c>
      <c r="J426" s="318">
        <v>0</v>
      </c>
      <c r="K426" s="318">
        <v>0</v>
      </c>
      <c r="L426" s="318">
        <v>0</v>
      </c>
      <c r="M426" s="318">
        <v>0</v>
      </c>
      <c r="N426" s="318">
        <v>0</v>
      </c>
      <c r="O426" s="318">
        <v>0</v>
      </c>
      <c r="P426" s="318">
        <v>0</v>
      </c>
    </row>
    <row r="427" spans="1:16">
      <c r="A427" s="227" t="s">
        <v>665</v>
      </c>
      <c r="B427" s="227" t="s">
        <v>666</v>
      </c>
      <c r="C427" s="227" t="s">
        <v>45</v>
      </c>
      <c r="D427" s="318">
        <v>0</v>
      </c>
      <c r="E427" s="318">
        <v>0</v>
      </c>
      <c r="F427" s="318">
        <v>0</v>
      </c>
      <c r="G427" s="318">
        <v>0</v>
      </c>
      <c r="H427" s="318">
        <v>0</v>
      </c>
      <c r="I427" s="318">
        <v>0.7</v>
      </c>
      <c r="J427" s="318">
        <v>0</v>
      </c>
      <c r="K427" s="318">
        <v>0</v>
      </c>
      <c r="L427" s="318">
        <v>0</v>
      </c>
      <c r="M427" s="318">
        <v>0</v>
      </c>
      <c r="N427" s="318">
        <v>0</v>
      </c>
      <c r="O427" s="318">
        <v>0</v>
      </c>
      <c r="P427" s="318">
        <v>0</v>
      </c>
    </row>
    <row r="428" spans="1:16">
      <c r="A428" s="227" t="s">
        <v>667</v>
      </c>
      <c r="B428" s="227" t="s">
        <v>666</v>
      </c>
      <c r="C428" s="227" t="s">
        <v>45</v>
      </c>
      <c r="D428" s="318">
        <v>0</v>
      </c>
      <c r="E428" s="318">
        <v>0</v>
      </c>
      <c r="F428" s="318">
        <v>0</v>
      </c>
      <c r="G428" s="318">
        <v>0</v>
      </c>
      <c r="H428" s="318">
        <v>0</v>
      </c>
      <c r="I428" s="318">
        <v>0.7</v>
      </c>
      <c r="J428" s="318">
        <v>0</v>
      </c>
      <c r="K428" s="318">
        <v>0</v>
      </c>
      <c r="L428" s="318">
        <v>0</v>
      </c>
      <c r="M428" s="318">
        <v>0</v>
      </c>
      <c r="N428" s="318">
        <v>0</v>
      </c>
      <c r="O428" s="318">
        <v>0</v>
      </c>
      <c r="P428" s="318">
        <v>0</v>
      </c>
    </row>
    <row r="429" spans="1:16">
      <c r="A429" s="227" t="s">
        <v>668</v>
      </c>
      <c r="B429" s="227" t="s">
        <v>653</v>
      </c>
      <c r="C429" s="227" t="s">
        <v>654</v>
      </c>
      <c r="D429" s="318">
        <v>0</v>
      </c>
      <c r="E429" s="318">
        <v>0</v>
      </c>
      <c r="F429" s="318">
        <v>0</v>
      </c>
      <c r="G429" s="318">
        <v>0</v>
      </c>
      <c r="H429" s="318">
        <v>0</v>
      </c>
      <c r="I429" s="318">
        <v>0</v>
      </c>
      <c r="J429" s="318">
        <v>0</v>
      </c>
      <c r="K429" s="318">
        <v>0</v>
      </c>
      <c r="L429" s="318">
        <v>0</v>
      </c>
      <c r="M429" s="318">
        <v>0</v>
      </c>
      <c r="N429" s="318">
        <v>0</v>
      </c>
      <c r="O429" s="318">
        <v>0</v>
      </c>
      <c r="P429" s="318">
        <v>1</v>
      </c>
    </row>
    <row r="430" spans="1:16">
      <c r="A430" s="227" t="s">
        <v>669</v>
      </c>
      <c r="B430" s="227" t="s">
        <v>653</v>
      </c>
      <c r="C430" s="227" t="s">
        <v>654</v>
      </c>
      <c r="D430" s="318">
        <v>0</v>
      </c>
      <c r="E430" s="318">
        <v>0</v>
      </c>
      <c r="F430" s="318">
        <v>0</v>
      </c>
      <c r="G430" s="318">
        <v>0</v>
      </c>
      <c r="H430" s="318">
        <v>0</v>
      </c>
      <c r="I430" s="318">
        <v>0</v>
      </c>
      <c r="J430" s="318">
        <v>0</v>
      </c>
      <c r="K430" s="318">
        <v>0</v>
      </c>
      <c r="L430" s="318">
        <v>0</v>
      </c>
      <c r="M430" s="318">
        <v>0</v>
      </c>
      <c r="N430" s="318">
        <v>0</v>
      </c>
      <c r="O430" s="318">
        <v>0</v>
      </c>
      <c r="P430" s="318">
        <v>1</v>
      </c>
    </row>
    <row r="431" spans="1:16">
      <c r="A431" s="227" t="s">
        <v>670</v>
      </c>
      <c r="B431" s="227" t="s">
        <v>653</v>
      </c>
      <c r="C431" s="227" t="s">
        <v>654</v>
      </c>
      <c r="D431" s="318">
        <v>0</v>
      </c>
      <c r="E431" s="318">
        <v>0</v>
      </c>
      <c r="F431" s="318">
        <v>0</v>
      </c>
      <c r="G431" s="318">
        <v>0</v>
      </c>
      <c r="H431" s="318">
        <v>0</v>
      </c>
      <c r="I431" s="318">
        <v>0</v>
      </c>
      <c r="J431" s="318">
        <v>0</v>
      </c>
      <c r="K431" s="318">
        <v>0</v>
      </c>
      <c r="L431" s="318">
        <v>0</v>
      </c>
      <c r="M431" s="318">
        <v>0</v>
      </c>
      <c r="N431" s="318">
        <v>0</v>
      </c>
      <c r="O431" s="318">
        <v>0</v>
      </c>
      <c r="P431" s="318">
        <v>1</v>
      </c>
    </row>
    <row r="432" spans="1:16">
      <c r="A432" s="227" t="s">
        <v>671</v>
      </c>
      <c r="B432" s="227" t="s">
        <v>653</v>
      </c>
      <c r="C432" s="227" t="s">
        <v>654</v>
      </c>
      <c r="D432" s="318">
        <v>0</v>
      </c>
      <c r="E432" s="318">
        <v>0</v>
      </c>
      <c r="F432" s="318">
        <v>0</v>
      </c>
      <c r="G432" s="318">
        <v>0</v>
      </c>
      <c r="H432" s="318">
        <v>0</v>
      </c>
      <c r="I432" s="318">
        <v>0</v>
      </c>
      <c r="J432" s="318">
        <v>0</v>
      </c>
      <c r="K432" s="318">
        <v>0</v>
      </c>
      <c r="L432" s="318">
        <v>0</v>
      </c>
      <c r="M432" s="318">
        <v>0</v>
      </c>
      <c r="N432" s="318">
        <v>0</v>
      </c>
      <c r="O432" s="318">
        <v>0</v>
      </c>
      <c r="P432" s="318">
        <v>1</v>
      </c>
    </row>
    <row r="433" spans="1:16">
      <c r="A433" s="227" t="s">
        <v>672</v>
      </c>
      <c r="B433" s="227" t="s">
        <v>653</v>
      </c>
      <c r="C433" s="227" t="s">
        <v>654</v>
      </c>
      <c r="D433" s="318">
        <v>0</v>
      </c>
      <c r="E433" s="318">
        <v>0</v>
      </c>
      <c r="F433" s="318">
        <v>0</v>
      </c>
      <c r="G433" s="318">
        <v>0</v>
      </c>
      <c r="H433" s="318">
        <v>0</v>
      </c>
      <c r="I433" s="318">
        <v>0</v>
      </c>
      <c r="J433" s="318">
        <v>0</v>
      </c>
      <c r="K433" s="318">
        <v>0</v>
      </c>
      <c r="L433" s="318">
        <v>0</v>
      </c>
      <c r="M433" s="318">
        <v>0</v>
      </c>
      <c r="N433" s="318">
        <v>0</v>
      </c>
      <c r="O433" s="318">
        <v>0</v>
      </c>
      <c r="P433" s="318">
        <v>1</v>
      </c>
    </row>
    <row r="434" spans="1:16">
      <c r="A434" s="227" t="s">
        <v>673</v>
      </c>
      <c r="B434" s="227" t="s">
        <v>653</v>
      </c>
      <c r="C434" s="227" t="s">
        <v>654</v>
      </c>
      <c r="D434" s="318">
        <v>0</v>
      </c>
      <c r="E434" s="318">
        <v>0</v>
      </c>
      <c r="F434" s="318">
        <v>0</v>
      </c>
      <c r="G434" s="318">
        <v>0</v>
      </c>
      <c r="H434" s="318">
        <v>0</v>
      </c>
      <c r="I434" s="318">
        <v>0</v>
      </c>
      <c r="J434" s="318">
        <v>0</v>
      </c>
      <c r="K434" s="318">
        <v>0</v>
      </c>
      <c r="L434" s="318">
        <v>0</v>
      </c>
      <c r="M434" s="318">
        <v>0</v>
      </c>
      <c r="N434" s="318">
        <v>0</v>
      </c>
      <c r="O434" s="318">
        <v>0</v>
      </c>
      <c r="P434" s="318">
        <v>1</v>
      </c>
    </row>
    <row r="435" spans="1:16">
      <c r="A435" s="227" t="s">
        <v>674</v>
      </c>
      <c r="B435" s="227"/>
      <c r="C435" s="227" t="s">
        <v>662</v>
      </c>
      <c r="D435" s="318">
        <v>0</v>
      </c>
      <c r="E435" s="318">
        <v>0</v>
      </c>
      <c r="F435" s="318">
        <v>0</v>
      </c>
      <c r="G435" s="318">
        <v>0</v>
      </c>
      <c r="H435" s="318">
        <v>0</v>
      </c>
      <c r="I435" s="318">
        <v>0</v>
      </c>
      <c r="J435" s="318">
        <v>0</v>
      </c>
      <c r="K435" s="318">
        <v>0</v>
      </c>
      <c r="L435" s="318">
        <v>0</v>
      </c>
      <c r="M435" s="318">
        <v>1</v>
      </c>
      <c r="N435" s="318">
        <v>0</v>
      </c>
      <c r="O435" s="318">
        <v>0</v>
      </c>
      <c r="P435" s="318">
        <v>0</v>
      </c>
    </row>
    <row r="436" spans="1:16">
      <c r="A436" s="227" t="s">
        <v>675</v>
      </c>
      <c r="B436" s="227" t="s">
        <v>653</v>
      </c>
      <c r="C436" s="227" t="s">
        <v>654</v>
      </c>
      <c r="D436" s="318">
        <v>0</v>
      </c>
      <c r="E436" s="318">
        <v>0</v>
      </c>
      <c r="F436" s="318">
        <v>0</v>
      </c>
      <c r="G436" s="318">
        <v>0</v>
      </c>
      <c r="H436" s="318">
        <v>0</v>
      </c>
      <c r="I436" s="318">
        <v>0</v>
      </c>
      <c r="J436" s="318">
        <v>0</v>
      </c>
      <c r="K436" s="318">
        <v>0</v>
      </c>
      <c r="L436" s="318">
        <v>0</v>
      </c>
      <c r="M436" s="318">
        <v>1</v>
      </c>
      <c r="N436" s="318">
        <v>0</v>
      </c>
      <c r="O436" s="318">
        <v>0</v>
      </c>
      <c r="P436" s="318">
        <v>0</v>
      </c>
    </row>
    <row r="437" spans="1:16">
      <c r="A437" s="227" t="s">
        <v>676</v>
      </c>
      <c r="B437" s="227" t="s">
        <v>653</v>
      </c>
      <c r="C437" s="227" t="s">
        <v>654</v>
      </c>
      <c r="D437" s="318">
        <v>0</v>
      </c>
      <c r="E437" s="318">
        <v>0</v>
      </c>
      <c r="F437" s="318">
        <v>0</v>
      </c>
      <c r="G437" s="318">
        <v>0</v>
      </c>
      <c r="H437" s="318">
        <v>0</v>
      </c>
      <c r="I437" s="318">
        <v>0</v>
      </c>
      <c r="J437" s="318">
        <v>0</v>
      </c>
      <c r="K437" s="318">
        <v>0</v>
      </c>
      <c r="L437" s="318">
        <v>0</v>
      </c>
      <c r="M437" s="318">
        <v>0</v>
      </c>
      <c r="N437" s="318">
        <v>0</v>
      </c>
      <c r="O437" s="318">
        <v>0</v>
      </c>
      <c r="P437" s="318">
        <v>1</v>
      </c>
    </row>
    <row r="438" spans="1:16">
      <c r="A438" s="227" t="s">
        <v>677</v>
      </c>
      <c r="B438" s="227" t="s">
        <v>653</v>
      </c>
      <c r="C438" s="227" t="s">
        <v>654</v>
      </c>
      <c r="D438" s="318">
        <v>0</v>
      </c>
      <c r="E438" s="318">
        <v>0</v>
      </c>
      <c r="F438" s="318">
        <v>0</v>
      </c>
      <c r="G438" s="318">
        <v>0</v>
      </c>
      <c r="H438" s="318">
        <v>0</v>
      </c>
      <c r="I438" s="318">
        <v>0</v>
      </c>
      <c r="J438" s="318">
        <v>0</v>
      </c>
      <c r="K438" s="318">
        <v>0</v>
      </c>
      <c r="L438" s="318">
        <v>0</v>
      </c>
      <c r="M438" s="318">
        <v>0</v>
      </c>
      <c r="N438" s="318">
        <v>0</v>
      </c>
      <c r="O438" s="318">
        <v>0</v>
      </c>
      <c r="P438" s="318">
        <v>1</v>
      </c>
    </row>
    <row r="439" spans="1:16">
      <c r="A439" s="227" t="s">
        <v>678</v>
      </c>
      <c r="B439" s="227" t="s">
        <v>653</v>
      </c>
      <c r="C439" s="227" t="s">
        <v>654</v>
      </c>
      <c r="D439" s="318">
        <v>0</v>
      </c>
      <c r="E439" s="318">
        <v>0</v>
      </c>
      <c r="F439" s="318">
        <v>0</v>
      </c>
      <c r="G439" s="318">
        <v>0</v>
      </c>
      <c r="H439" s="318">
        <v>0</v>
      </c>
      <c r="I439" s="318">
        <v>0</v>
      </c>
      <c r="J439" s="318">
        <v>0</v>
      </c>
      <c r="K439" s="318">
        <v>0</v>
      </c>
      <c r="L439" s="318">
        <v>0</v>
      </c>
      <c r="M439" s="318">
        <v>0</v>
      </c>
      <c r="N439" s="318">
        <v>0</v>
      </c>
      <c r="O439" s="318">
        <v>0</v>
      </c>
      <c r="P439" s="318">
        <v>1</v>
      </c>
    </row>
    <row r="440" spans="1:16">
      <c r="A440" s="227" t="s">
        <v>679</v>
      </c>
      <c r="B440" s="227" t="s">
        <v>653</v>
      </c>
      <c r="C440" s="227" t="s">
        <v>654</v>
      </c>
      <c r="D440" s="318">
        <v>0</v>
      </c>
      <c r="E440" s="318">
        <v>0</v>
      </c>
      <c r="F440" s="318">
        <v>0</v>
      </c>
      <c r="G440" s="318">
        <v>0</v>
      </c>
      <c r="H440" s="318">
        <v>0</v>
      </c>
      <c r="I440" s="318">
        <v>0</v>
      </c>
      <c r="J440" s="318">
        <v>0</v>
      </c>
      <c r="K440" s="318">
        <v>0</v>
      </c>
      <c r="L440" s="318">
        <v>0</v>
      </c>
      <c r="M440" s="318">
        <v>0</v>
      </c>
      <c r="N440" s="318">
        <v>0</v>
      </c>
      <c r="O440" s="318">
        <v>0</v>
      </c>
      <c r="P440" s="318">
        <v>1</v>
      </c>
    </row>
    <row r="441" spans="1:16">
      <c r="A441" s="227" t="s">
        <v>680</v>
      </c>
      <c r="B441" s="227"/>
      <c r="C441" s="227" t="s">
        <v>662</v>
      </c>
      <c r="D441" s="318">
        <v>0</v>
      </c>
      <c r="E441" s="318">
        <v>0</v>
      </c>
      <c r="F441" s="318">
        <v>0</v>
      </c>
      <c r="G441" s="318">
        <v>0</v>
      </c>
      <c r="H441" s="318">
        <v>0</v>
      </c>
      <c r="I441" s="318">
        <v>0</v>
      </c>
      <c r="J441" s="318">
        <v>0</v>
      </c>
      <c r="K441" s="318">
        <v>0</v>
      </c>
      <c r="L441" s="318">
        <v>1</v>
      </c>
      <c r="M441" s="318">
        <v>0</v>
      </c>
      <c r="N441" s="318">
        <v>0</v>
      </c>
      <c r="O441" s="318">
        <v>0</v>
      </c>
      <c r="P441" s="318">
        <v>0</v>
      </c>
    </row>
    <row r="442" spans="1:16">
      <c r="A442" s="227" t="s">
        <v>681</v>
      </c>
      <c r="B442" s="227" t="s">
        <v>653</v>
      </c>
      <c r="C442" s="227" t="s">
        <v>654</v>
      </c>
      <c r="D442" s="318">
        <v>0</v>
      </c>
      <c r="E442" s="318">
        <v>0</v>
      </c>
      <c r="F442" s="318">
        <v>0</v>
      </c>
      <c r="G442" s="318">
        <v>0</v>
      </c>
      <c r="H442" s="318">
        <v>0</v>
      </c>
      <c r="I442" s="318">
        <v>0</v>
      </c>
      <c r="J442" s="318">
        <v>0</v>
      </c>
      <c r="K442" s="318">
        <v>0</v>
      </c>
      <c r="L442" s="318">
        <v>0</v>
      </c>
      <c r="M442" s="318">
        <v>0</v>
      </c>
      <c r="N442" s="318">
        <v>0</v>
      </c>
      <c r="O442" s="318">
        <v>0</v>
      </c>
      <c r="P442" s="318">
        <v>1</v>
      </c>
    </row>
    <row r="443" spans="1:16">
      <c r="A443" s="227" t="s">
        <v>682</v>
      </c>
      <c r="B443" s="227"/>
      <c r="C443" s="227" t="s">
        <v>662</v>
      </c>
      <c r="D443" s="318">
        <v>0</v>
      </c>
      <c r="E443" s="318">
        <v>0</v>
      </c>
      <c r="F443" s="318">
        <v>0</v>
      </c>
      <c r="G443" s="318">
        <v>0</v>
      </c>
      <c r="H443" s="318">
        <v>0</v>
      </c>
      <c r="I443" s="318">
        <v>0</v>
      </c>
      <c r="J443" s="318">
        <v>1</v>
      </c>
      <c r="K443" s="318">
        <v>0</v>
      </c>
      <c r="L443" s="318">
        <v>0</v>
      </c>
      <c r="M443" s="318">
        <v>0</v>
      </c>
      <c r="N443" s="318">
        <v>0</v>
      </c>
      <c r="O443" s="318">
        <v>0</v>
      </c>
      <c r="P443" s="318">
        <v>0</v>
      </c>
    </row>
    <row r="444" spans="1:16">
      <c r="A444" s="227" t="s">
        <v>683</v>
      </c>
      <c r="B444" s="227"/>
      <c r="C444" s="227" t="s">
        <v>662</v>
      </c>
      <c r="D444" s="318">
        <v>0</v>
      </c>
      <c r="E444" s="318">
        <v>0</v>
      </c>
      <c r="F444" s="318">
        <v>0</v>
      </c>
      <c r="G444" s="318">
        <v>0</v>
      </c>
      <c r="H444" s="318">
        <v>0</v>
      </c>
      <c r="I444" s="318">
        <v>0</v>
      </c>
      <c r="J444" s="318">
        <v>1</v>
      </c>
      <c r="K444" s="318">
        <v>0</v>
      </c>
      <c r="L444" s="318">
        <v>0</v>
      </c>
      <c r="M444" s="318">
        <v>0</v>
      </c>
      <c r="N444" s="318">
        <v>0</v>
      </c>
      <c r="O444" s="318">
        <v>0</v>
      </c>
      <c r="P444" s="318">
        <v>0</v>
      </c>
    </row>
    <row r="445" spans="1:16">
      <c r="A445" s="227" t="s">
        <v>684</v>
      </c>
      <c r="B445" s="227" t="s">
        <v>653</v>
      </c>
      <c r="C445" s="227" t="s">
        <v>654</v>
      </c>
      <c r="D445" s="318">
        <v>0</v>
      </c>
      <c r="E445" s="318">
        <v>0</v>
      </c>
      <c r="F445" s="318">
        <v>0</v>
      </c>
      <c r="G445" s="318">
        <v>0</v>
      </c>
      <c r="H445" s="318">
        <v>0</v>
      </c>
      <c r="I445" s="318">
        <v>0</v>
      </c>
      <c r="J445" s="318">
        <v>0</v>
      </c>
      <c r="K445" s="318">
        <v>0</v>
      </c>
      <c r="L445" s="318">
        <v>0</v>
      </c>
      <c r="M445" s="318">
        <v>0</v>
      </c>
      <c r="N445" s="318">
        <v>0</v>
      </c>
      <c r="O445" s="318">
        <v>0</v>
      </c>
      <c r="P445" s="318">
        <v>1</v>
      </c>
    </row>
    <row r="446" spans="1:16">
      <c r="A446" s="227" t="s">
        <v>685</v>
      </c>
      <c r="B446" s="227" t="s">
        <v>653</v>
      </c>
      <c r="C446" s="227" t="s">
        <v>654</v>
      </c>
      <c r="D446" s="318">
        <v>0</v>
      </c>
      <c r="E446" s="318">
        <v>0</v>
      </c>
      <c r="F446" s="318">
        <v>0</v>
      </c>
      <c r="G446" s="318">
        <v>0</v>
      </c>
      <c r="H446" s="318">
        <v>0</v>
      </c>
      <c r="I446" s="318">
        <v>0</v>
      </c>
      <c r="J446" s="318">
        <v>0</v>
      </c>
      <c r="K446" s="318">
        <v>0</v>
      </c>
      <c r="L446" s="318">
        <v>0</v>
      </c>
      <c r="M446" s="318">
        <v>0</v>
      </c>
      <c r="N446" s="318">
        <v>0</v>
      </c>
      <c r="O446" s="318">
        <v>0</v>
      </c>
      <c r="P446" s="318">
        <v>1</v>
      </c>
    </row>
    <row r="447" spans="1:16">
      <c r="A447" s="227" t="s">
        <v>685</v>
      </c>
      <c r="B447" s="227" t="s">
        <v>653</v>
      </c>
      <c r="C447" s="227" t="s">
        <v>654</v>
      </c>
      <c r="D447" s="318">
        <v>0</v>
      </c>
      <c r="E447" s="318">
        <v>0</v>
      </c>
      <c r="F447" s="318">
        <v>0</v>
      </c>
      <c r="G447" s="318">
        <v>0</v>
      </c>
      <c r="H447" s="318">
        <v>0</v>
      </c>
      <c r="I447" s="318">
        <v>0</v>
      </c>
      <c r="J447" s="318">
        <v>0</v>
      </c>
      <c r="K447" s="318">
        <v>0</v>
      </c>
      <c r="L447" s="318">
        <v>0</v>
      </c>
      <c r="M447" s="318">
        <v>0</v>
      </c>
      <c r="N447" s="318">
        <v>0</v>
      </c>
      <c r="O447" s="318">
        <v>0</v>
      </c>
      <c r="P447" s="318">
        <v>1</v>
      </c>
    </row>
    <row r="448" spans="1:16">
      <c r="A448" s="227" t="s">
        <v>686</v>
      </c>
      <c r="B448" s="227"/>
      <c r="C448" s="227" t="s">
        <v>662</v>
      </c>
      <c r="D448" s="318">
        <v>0</v>
      </c>
      <c r="E448" s="318">
        <v>0</v>
      </c>
      <c r="F448" s="318">
        <v>0</v>
      </c>
      <c r="G448" s="318">
        <v>0</v>
      </c>
      <c r="H448" s="318">
        <v>0</v>
      </c>
      <c r="I448" s="318">
        <v>0</v>
      </c>
      <c r="J448" s="318">
        <v>0</v>
      </c>
      <c r="K448" s="318">
        <v>0</v>
      </c>
      <c r="L448" s="318">
        <v>0</v>
      </c>
      <c r="M448" s="318">
        <v>0</v>
      </c>
      <c r="N448" s="318">
        <v>1</v>
      </c>
      <c r="O448" s="318">
        <v>0</v>
      </c>
      <c r="P448" s="318">
        <v>0</v>
      </c>
    </row>
    <row r="449" spans="1:16">
      <c r="A449" s="227" t="s">
        <v>687</v>
      </c>
      <c r="B449" s="227"/>
      <c r="C449" s="227" t="s">
        <v>662</v>
      </c>
      <c r="D449" s="318">
        <v>0</v>
      </c>
      <c r="E449" s="318">
        <v>0</v>
      </c>
      <c r="F449" s="318">
        <v>0</v>
      </c>
      <c r="G449" s="318">
        <v>0</v>
      </c>
      <c r="H449" s="318">
        <v>0</v>
      </c>
      <c r="I449" s="318">
        <v>0</v>
      </c>
      <c r="J449" s="318">
        <v>0</v>
      </c>
      <c r="K449" s="318">
        <v>0</v>
      </c>
      <c r="L449" s="318">
        <v>0</v>
      </c>
      <c r="M449" s="318">
        <v>0</v>
      </c>
      <c r="N449" s="318">
        <v>1</v>
      </c>
      <c r="O449" s="318">
        <v>0</v>
      </c>
      <c r="P449" s="318">
        <v>0</v>
      </c>
    </row>
    <row r="450" spans="1:16">
      <c r="A450" s="227" t="s">
        <v>688</v>
      </c>
      <c r="B450" s="227" t="s">
        <v>653</v>
      </c>
      <c r="C450" s="227" t="s">
        <v>654</v>
      </c>
      <c r="D450" s="318">
        <v>0</v>
      </c>
      <c r="E450" s="318">
        <v>0</v>
      </c>
      <c r="F450" s="318">
        <v>0</v>
      </c>
      <c r="G450" s="318">
        <v>0</v>
      </c>
      <c r="H450" s="318">
        <v>0</v>
      </c>
      <c r="I450" s="318">
        <v>0</v>
      </c>
      <c r="J450" s="318">
        <v>0</v>
      </c>
      <c r="K450" s="318">
        <v>0</v>
      </c>
      <c r="L450" s="318">
        <v>0</v>
      </c>
      <c r="M450" s="318">
        <v>0</v>
      </c>
      <c r="N450" s="318">
        <v>0</v>
      </c>
      <c r="O450" s="318">
        <v>0</v>
      </c>
      <c r="P450" s="318">
        <v>1</v>
      </c>
    </row>
    <row r="451" spans="1:16">
      <c r="A451" s="227" t="s">
        <v>689</v>
      </c>
      <c r="B451" s="227"/>
      <c r="C451" s="227" t="s">
        <v>662</v>
      </c>
      <c r="D451" s="318">
        <v>0</v>
      </c>
      <c r="E451" s="318">
        <v>0</v>
      </c>
      <c r="F451" s="318">
        <v>0</v>
      </c>
      <c r="G451" s="318">
        <v>0</v>
      </c>
      <c r="H451" s="318">
        <v>0</v>
      </c>
      <c r="I451" s="318">
        <v>0</v>
      </c>
      <c r="J451" s="318">
        <v>0</v>
      </c>
      <c r="K451" s="318">
        <v>0</v>
      </c>
      <c r="L451" s="318">
        <v>0</v>
      </c>
      <c r="M451" s="318">
        <v>0</v>
      </c>
      <c r="N451" s="318">
        <v>0</v>
      </c>
      <c r="O451" s="318">
        <v>1</v>
      </c>
      <c r="P451" s="318">
        <v>0</v>
      </c>
    </row>
    <row r="452" spans="1:16">
      <c r="A452" s="227" t="s">
        <v>690</v>
      </c>
      <c r="B452" s="227" t="s">
        <v>653</v>
      </c>
      <c r="C452" s="227" t="s">
        <v>654</v>
      </c>
      <c r="D452" s="318">
        <v>0</v>
      </c>
      <c r="E452" s="318">
        <v>0</v>
      </c>
      <c r="F452" s="318">
        <v>0</v>
      </c>
      <c r="G452" s="318">
        <v>0</v>
      </c>
      <c r="H452" s="318">
        <v>0</v>
      </c>
      <c r="I452" s="318">
        <v>0</v>
      </c>
      <c r="J452" s="318">
        <v>0</v>
      </c>
      <c r="K452" s="318">
        <v>0</v>
      </c>
      <c r="L452" s="318">
        <v>0</v>
      </c>
      <c r="M452" s="318">
        <v>0</v>
      </c>
      <c r="N452" s="318">
        <v>0</v>
      </c>
      <c r="O452" s="318">
        <v>0</v>
      </c>
      <c r="P452" s="318">
        <v>1</v>
      </c>
    </row>
    <row r="453" spans="1:16">
      <c r="A453" s="315">
        <v>390230</v>
      </c>
      <c r="B453" s="227"/>
      <c r="C453" s="227" t="s">
        <v>45</v>
      </c>
      <c r="D453" s="318">
        <v>0</v>
      </c>
      <c r="E453" s="318">
        <v>0</v>
      </c>
      <c r="F453" s="318">
        <v>1</v>
      </c>
      <c r="G453" s="318">
        <v>0</v>
      </c>
      <c r="H453" s="318">
        <v>0</v>
      </c>
      <c r="I453" s="318">
        <v>0</v>
      </c>
      <c r="J453" s="318">
        <v>0</v>
      </c>
      <c r="K453" s="318">
        <v>0</v>
      </c>
      <c r="L453" s="318">
        <v>0</v>
      </c>
      <c r="M453" s="318">
        <v>0</v>
      </c>
      <c r="N453" s="318">
        <v>0</v>
      </c>
      <c r="O453" s="318">
        <v>0</v>
      </c>
      <c r="P453" s="318">
        <v>0</v>
      </c>
    </row>
    <row r="455" spans="1:16" s="225" customFormat="1">
      <c r="A455" s="225" t="s">
        <v>691</v>
      </c>
    </row>
    <row r="457" spans="1:16">
      <c r="A457" s="227" t="s">
        <v>692</v>
      </c>
      <c r="B457" s="227" t="s">
        <v>693</v>
      </c>
      <c r="C457" s="227" t="s">
        <v>694</v>
      </c>
      <c r="D457" s="227" t="s">
        <v>648</v>
      </c>
      <c r="E457" s="227" t="s">
        <v>695</v>
      </c>
      <c r="F457" s="227" t="s">
        <v>696</v>
      </c>
      <c r="G457" s="227" t="s">
        <v>697</v>
      </c>
    </row>
    <row r="458" spans="1:16">
      <c r="A458" s="227" t="s">
        <v>698</v>
      </c>
      <c r="B458" s="227" t="s">
        <v>699</v>
      </c>
      <c r="C458" s="227" t="s">
        <v>700</v>
      </c>
      <c r="D458" s="227">
        <v>39011010</v>
      </c>
      <c r="E458" s="227" t="s">
        <v>701</v>
      </c>
      <c r="F458" s="227" t="str">
        <f t="shared" ref="F458:F505" si="11">LEFT(D458,6)</f>
        <v>390110</v>
      </c>
      <c r="G458" s="227" t="s">
        <v>93</v>
      </c>
    </row>
    <row r="459" spans="1:16">
      <c r="A459" s="227" t="s">
        <v>702</v>
      </c>
      <c r="B459" s="227" t="s">
        <v>703</v>
      </c>
      <c r="C459" s="227" t="s">
        <v>704</v>
      </c>
      <c r="D459" s="227">
        <v>39011090</v>
      </c>
      <c r="E459" s="227" t="s">
        <v>705</v>
      </c>
      <c r="F459" s="227" t="str">
        <f t="shared" si="11"/>
        <v>390110</v>
      </c>
      <c r="G459" s="227" t="s">
        <v>93</v>
      </c>
    </row>
    <row r="460" spans="1:16">
      <c r="A460" s="227" t="s">
        <v>706</v>
      </c>
      <c r="B460" s="227" t="s">
        <v>707</v>
      </c>
      <c r="C460" s="227" t="s">
        <v>708</v>
      </c>
      <c r="D460" s="227">
        <v>39012010</v>
      </c>
      <c r="E460" s="227" t="s">
        <v>709</v>
      </c>
      <c r="F460" s="227" t="str">
        <f t="shared" si="11"/>
        <v>390120</v>
      </c>
      <c r="G460" s="227" t="s">
        <v>94</v>
      </c>
    </row>
    <row r="461" spans="1:16">
      <c r="A461" s="227" t="s">
        <v>710</v>
      </c>
      <c r="B461" s="227" t="s">
        <v>711</v>
      </c>
      <c r="C461" s="227" t="s">
        <v>712</v>
      </c>
      <c r="D461" s="227">
        <v>39013000</v>
      </c>
      <c r="E461" s="227" t="s">
        <v>713</v>
      </c>
      <c r="F461" s="227" t="str">
        <f t="shared" si="11"/>
        <v>390130</v>
      </c>
      <c r="G461" s="227" t="s">
        <v>106</v>
      </c>
    </row>
    <row r="462" spans="1:16">
      <c r="A462" s="227" t="s">
        <v>714</v>
      </c>
      <c r="B462" s="227" t="s">
        <v>715</v>
      </c>
      <c r="C462" s="227" t="s">
        <v>716</v>
      </c>
      <c r="D462" s="227">
        <v>39014000</v>
      </c>
      <c r="E462" s="227" t="s">
        <v>717</v>
      </c>
      <c r="F462" s="227" t="str">
        <f t="shared" si="11"/>
        <v>390140</v>
      </c>
      <c r="G462" s="227" t="s">
        <v>106</v>
      </c>
    </row>
    <row r="463" spans="1:16">
      <c r="A463" s="227" t="s">
        <v>718</v>
      </c>
      <c r="B463" s="227" t="s">
        <v>719</v>
      </c>
      <c r="C463" s="227" t="s">
        <v>720</v>
      </c>
      <c r="D463" s="227">
        <v>39021000</v>
      </c>
      <c r="E463" s="227" t="s">
        <v>719</v>
      </c>
      <c r="F463" s="227" t="str">
        <f t="shared" si="11"/>
        <v>390210</v>
      </c>
      <c r="G463" s="227" t="s">
        <v>95</v>
      </c>
    </row>
    <row r="464" spans="1:16">
      <c r="A464" s="227" t="s">
        <v>721</v>
      </c>
      <c r="B464" s="227" t="s">
        <v>722</v>
      </c>
      <c r="C464" s="227" t="s">
        <v>723</v>
      </c>
      <c r="D464" s="227">
        <v>39022000</v>
      </c>
      <c r="E464" s="227" t="s">
        <v>724</v>
      </c>
      <c r="F464" s="227" t="str">
        <f t="shared" si="11"/>
        <v>390220</v>
      </c>
      <c r="G464" s="227" t="s">
        <v>106</v>
      </c>
    </row>
    <row r="465" spans="1:7">
      <c r="A465" s="227" t="s">
        <v>725</v>
      </c>
      <c r="B465" s="227" t="s">
        <v>726</v>
      </c>
      <c r="C465" s="227" t="s">
        <v>727</v>
      </c>
      <c r="D465" s="227">
        <v>39031100</v>
      </c>
      <c r="E465" s="227" t="s">
        <v>728</v>
      </c>
      <c r="F465" s="227" t="str">
        <f t="shared" si="11"/>
        <v>390311</v>
      </c>
      <c r="G465" s="227" t="s">
        <v>97</v>
      </c>
    </row>
    <row r="466" spans="1:7">
      <c r="A466" s="227" t="s">
        <v>729</v>
      </c>
      <c r="B466" s="227" t="s">
        <v>730</v>
      </c>
      <c r="C466" s="227" t="s">
        <v>731</v>
      </c>
      <c r="D466" s="227">
        <v>39031900</v>
      </c>
      <c r="E466" s="227" t="s">
        <v>732</v>
      </c>
      <c r="F466" s="227" t="str">
        <f t="shared" si="11"/>
        <v>390319</v>
      </c>
      <c r="G466" s="227" t="s">
        <v>96</v>
      </c>
    </row>
    <row r="467" spans="1:7">
      <c r="A467" s="227" t="s">
        <v>733</v>
      </c>
      <c r="B467" s="227" t="s">
        <v>734</v>
      </c>
      <c r="C467" s="227" t="s">
        <v>735</v>
      </c>
      <c r="D467" s="227">
        <v>39032000</v>
      </c>
      <c r="E467" s="227" t="s">
        <v>736</v>
      </c>
      <c r="F467" s="227" t="str">
        <f t="shared" si="11"/>
        <v>390320</v>
      </c>
      <c r="G467" s="227" t="s">
        <v>106</v>
      </c>
    </row>
    <row r="468" spans="1:7">
      <c r="A468" s="227" t="s">
        <v>737</v>
      </c>
      <c r="B468" s="227" t="s">
        <v>738</v>
      </c>
      <c r="C468" s="227" t="s">
        <v>739</v>
      </c>
      <c r="D468" s="227">
        <v>39033000</v>
      </c>
      <c r="E468" s="227" t="s">
        <v>740</v>
      </c>
      <c r="F468" s="227" t="str">
        <f t="shared" si="11"/>
        <v>390330</v>
      </c>
      <c r="G468" s="227" t="s">
        <v>102</v>
      </c>
    </row>
    <row r="469" spans="1:7">
      <c r="A469" s="227" t="s">
        <v>741</v>
      </c>
      <c r="B469" s="227" t="s">
        <v>742</v>
      </c>
      <c r="C469" s="227" t="s">
        <v>743</v>
      </c>
      <c r="D469" s="227">
        <v>39039010</v>
      </c>
      <c r="E469" s="227" t="s">
        <v>744</v>
      </c>
      <c r="F469" s="227" t="str">
        <f t="shared" si="11"/>
        <v>390390</v>
      </c>
      <c r="G469" s="227" t="s">
        <v>106</v>
      </c>
    </row>
    <row r="470" spans="1:7">
      <c r="A470" s="227" t="s">
        <v>745</v>
      </c>
      <c r="B470" s="227" t="s">
        <v>746</v>
      </c>
      <c r="C470" s="227" t="s">
        <v>747</v>
      </c>
      <c r="D470" s="227">
        <v>39041000</v>
      </c>
      <c r="E470" s="227" t="s">
        <v>748</v>
      </c>
      <c r="F470" s="227" t="str">
        <f t="shared" si="11"/>
        <v>390410</v>
      </c>
      <c r="G470" s="227" t="s">
        <v>98</v>
      </c>
    </row>
    <row r="471" spans="1:7">
      <c r="A471" s="227" t="s">
        <v>749</v>
      </c>
      <c r="B471" s="227" t="s">
        <v>750</v>
      </c>
      <c r="C471" s="227" t="s">
        <v>751</v>
      </c>
      <c r="D471" s="227">
        <v>39042100</v>
      </c>
      <c r="E471" s="227" t="s">
        <v>752</v>
      </c>
      <c r="F471" s="227" t="str">
        <f t="shared" si="11"/>
        <v>390421</v>
      </c>
      <c r="G471" s="227" t="s">
        <v>98</v>
      </c>
    </row>
    <row r="472" spans="1:7">
      <c r="A472" s="227" t="s">
        <v>753</v>
      </c>
      <c r="B472" s="227" t="s">
        <v>754</v>
      </c>
      <c r="C472" s="227" t="s">
        <v>755</v>
      </c>
      <c r="D472" s="227">
        <v>39042200</v>
      </c>
      <c r="E472" s="227" t="s">
        <v>756</v>
      </c>
      <c r="F472" s="227" t="str">
        <f t="shared" si="11"/>
        <v>390422</v>
      </c>
      <c r="G472" s="227" t="s">
        <v>98</v>
      </c>
    </row>
    <row r="473" spans="1:7">
      <c r="A473" s="227" t="s">
        <v>757</v>
      </c>
      <c r="B473" s="227" t="s">
        <v>758</v>
      </c>
      <c r="C473" s="227" t="s">
        <v>759</v>
      </c>
      <c r="D473" s="227">
        <v>39043000</v>
      </c>
      <c r="E473" s="227" t="s">
        <v>760</v>
      </c>
      <c r="F473" s="227" t="str">
        <f t="shared" si="11"/>
        <v>390430</v>
      </c>
      <c r="G473" s="227" t="s">
        <v>106</v>
      </c>
    </row>
    <row r="474" spans="1:7">
      <c r="A474" s="227" t="s">
        <v>761</v>
      </c>
      <c r="B474" s="227" t="s">
        <v>762</v>
      </c>
      <c r="C474" s="227" t="s">
        <v>763</v>
      </c>
      <c r="D474" s="227">
        <v>39045010</v>
      </c>
      <c r="E474" s="227" t="s">
        <v>764</v>
      </c>
      <c r="F474" s="227" t="str">
        <f t="shared" si="11"/>
        <v>390450</v>
      </c>
      <c r="G474" s="227" t="s">
        <v>106</v>
      </c>
    </row>
    <row r="475" spans="1:7">
      <c r="A475" s="227" t="s">
        <v>765</v>
      </c>
      <c r="B475" s="227" t="s">
        <v>766</v>
      </c>
      <c r="C475" s="227"/>
      <c r="D475" s="227">
        <v>39046100</v>
      </c>
      <c r="E475" s="227" t="s">
        <v>767</v>
      </c>
      <c r="F475" s="227" t="str">
        <f t="shared" si="11"/>
        <v>390461</v>
      </c>
      <c r="G475" s="227" t="s">
        <v>106</v>
      </c>
    </row>
    <row r="476" spans="1:7">
      <c r="A476" s="227" t="s">
        <v>768</v>
      </c>
      <c r="B476" s="227" t="s">
        <v>769</v>
      </c>
      <c r="C476" s="227" t="s">
        <v>770</v>
      </c>
      <c r="D476" s="227">
        <v>39051200</v>
      </c>
      <c r="E476" s="227" t="s">
        <v>771</v>
      </c>
      <c r="F476" s="227" t="str">
        <f t="shared" si="11"/>
        <v>390512</v>
      </c>
      <c r="G476" s="227" t="s">
        <v>106</v>
      </c>
    </row>
    <row r="477" spans="1:7">
      <c r="A477" s="227" t="s">
        <v>772</v>
      </c>
      <c r="B477" s="227" t="s">
        <v>773</v>
      </c>
      <c r="C477" s="227" t="s">
        <v>774</v>
      </c>
      <c r="D477" s="227">
        <v>39051900</v>
      </c>
      <c r="E477" s="227" t="s">
        <v>775</v>
      </c>
      <c r="F477" s="227" t="str">
        <f t="shared" si="11"/>
        <v>390519</v>
      </c>
      <c r="G477" s="227" t="s">
        <v>106</v>
      </c>
    </row>
    <row r="478" spans="1:7">
      <c r="A478" s="227" t="s">
        <v>776</v>
      </c>
      <c r="B478" s="227" t="s">
        <v>777</v>
      </c>
      <c r="C478" s="227" t="s">
        <v>778</v>
      </c>
      <c r="D478" s="227">
        <v>39053000</v>
      </c>
      <c r="E478" s="227" t="s">
        <v>779</v>
      </c>
      <c r="F478" s="227" t="str">
        <f t="shared" si="11"/>
        <v>390530</v>
      </c>
      <c r="G478" s="227" t="s">
        <v>106</v>
      </c>
    </row>
    <row r="479" spans="1:7">
      <c r="A479" s="227" t="s">
        <v>780</v>
      </c>
      <c r="B479" s="227" t="s">
        <v>781</v>
      </c>
      <c r="C479" s="227" t="s">
        <v>782</v>
      </c>
      <c r="D479" s="227">
        <v>39061000</v>
      </c>
      <c r="E479" s="227" t="s">
        <v>783</v>
      </c>
      <c r="F479" s="227" t="str">
        <f t="shared" si="11"/>
        <v>390610</v>
      </c>
      <c r="G479" s="227" t="s">
        <v>105</v>
      </c>
    </row>
    <row r="480" spans="1:7">
      <c r="A480" s="227" t="s">
        <v>784</v>
      </c>
      <c r="B480" s="227" t="s">
        <v>785</v>
      </c>
      <c r="C480" s="227" t="s">
        <v>786</v>
      </c>
      <c r="D480" s="227">
        <v>39069010</v>
      </c>
      <c r="E480" s="227" t="s">
        <v>787</v>
      </c>
      <c r="F480" s="227" t="str">
        <f t="shared" si="11"/>
        <v>390690</v>
      </c>
      <c r="G480" s="227" t="s">
        <v>105</v>
      </c>
    </row>
    <row r="481" spans="1:7">
      <c r="A481" s="227" t="s">
        <v>788</v>
      </c>
      <c r="B481" s="227" t="s">
        <v>789</v>
      </c>
      <c r="C481" s="227" t="s">
        <v>790</v>
      </c>
      <c r="D481" s="227">
        <v>39071000</v>
      </c>
      <c r="E481" s="227" t="s">
        <v>789</v>
      </c>
      <c r="F481" s="227" t="str">
        <f t="shared" si="11"/>
        <v>390710</v>
      </c>
      <c r="G481" s="227" t="s">
        <v>106</v>
      </c>
    </row>
    <row r="482" spans="1:7">
      <c r="A482" s="227" t="s">
        <v>791</v>
      </c>
      <c r="B482" s="227" t="s">
        <v>792</v>
      </c>
      <c r="C482" s="227" t="s">
        <v>793</v>
      </c>
      <c r="D482" s="227">
        <v>39072100</v>
      </c>
      <c r="E482" s="227" t="s">
        <v>794</v>
      </c>
      <c r="F482" s="227" t="str">
        <f t="shared" si="11"/>
        <v>390721</v>
      </c>
      <c r="G482" s="227" t="s">
        <v>106</v>
      </c>
    </row>
    <row r="483" spans="1:7">
      <c r="A483" s="227" t="s">
        <v>795</v>
      </c>
      <c r="B483" s="227" t="s">
        <v>796</v>
      </c>
      <c r="C483" s="227" t="s">
        <v>797</v>
      </c>
      <c r="D483" s="227">
        <v>39072991</v>
      </c>
      <c r="E483" s="227" t="s">
        <v>798</v>
      </c>
      <c r="F483" s="227" t="str">
        <f t="shared" si="11"/>
        <v>390729</v>
      </c>
      <c r="G483" s="227" t="s">
        <v>106</v>
      </c>
    </row>
    <row r="484" spans="1:7">
      <c r="A484" s="227" t="s">
        <v>799</v>
      </c>
      <c r="B484" s="227" t="s">
        <v>800</v>
      </c>
      <c r="C484" s="227" t="s">
        <v>801</v>
      </c>
      <c r="D484" s="227">
        <v>39073000</v>
      </c>
      <c r="E484" s="227" t="s">
        <v>800</v>
      </c>
      <c r="F484" s="227" t="str">
        <f t="shared" si="11"/>
        <v>390730</v>
      </c>
      <c r="G484" s="227" t="s">
        <v>106</v>
      </c>
    </row>
    <row r="485" spans="1:7">
      <c r="A485" s="227" t="s">
        <v>802</v>
      </c>
      <c r="B485" s="227" t="s">
        <v>803</v>
      </c>
      <c r="C485" s="227" t="s">
        <v>804</v>
      </c>
      <c r="D485" s="227">
        <v>39074000</v>
      </c>
      <c r="E485" s="227" t="s">
        <v>803</v>
      </c>
      <c r="F485" s="227" t="str">
        <f t="shared" si="11"/>
        <v>390740</v>
      </c>
      <c r="G485" s="227" t="s">
        <v>104</v>
      </c>
    </row>
    <row r="486" spans="1:7">
      <c r="A486" s="227" t="s">
        <v>805</v>
      </c>
      <c r="B486" s="227" t="s">
        <v>806</v>
      </c>
      <c r="C486" s="227" t="s">
        <v>807</v>
      </c>
      <c r="D486" s="227">
        <v>39075000</v>
      </c>
      <c r="E486" s="227" t="s">
        <v>806</v>
      </c>
      <c r="F486" s="227" t="str">
        <f t="shared" si="11"/>
        <v>390750</v>
      </c>
      <c r="G486" s="227" t="s">
        <v>106</v>
      </c>
    </row>
    <row r="487" spans="1:7">
      <c r="A487" s="227" t="s">
        <v>808</v>
      </c>
      <c r="B487" s="227" t="s">
        <v>809</v>
      </c>
      <c r="C487" s="227" t="s">
        <v>810</v>
      </c>
      <c r="D487" s="227">
        <v>39076100</v>
      </c>
      <c r="E487" s="227" t="s">
        <v>811</v>
      </c>
      <c r="F487" s="227" t="str">
        <f t="shared" si="11"/>
        <v>390761</v>
      </c>
      <c r="G487" s="227" t="s">
        <v>99</v>
      </c>
    </row>
    <row r="488" spans="1:7">
      <c r="A488" s="227" t="s">
        <v>812</v>
      </c>
      <c r="B488" s="227" t="s">
        <v>813</v>
      </c>
      <c r="C488" s="227" t="s">
        <v>814</v>
      </c>
      <c r="D488" s="227">
        <v>39076900</v>
      </c>
      <c r="E488" s="227" t="s">
        <v>815</v>
      </c>
      <c r="F488" s="227" t="str">
        <f t="shared" si="11"/>
        <v>390769</v>
      </c>
      <c r="G488" s="227" t="s">
        <v>99</v>
      </c>
    </row>
    <row r="489" spans="1:7">
      <c r="A489" s="227" t="s">
        <v>816</v>
      </c>
      <c r="B489" s="227" t="s">
        <v>817</v>
      </c>
      <c r="C489" s="227" t="s">
        <v>818</v>
      </c>
      <c r="D489" s="227">
        <v>39077000</v>
      </c>
      <c r="E489" s="227" t="s">
        <v>819</v>
      </c>
      <c r="F489" s="227" t="str">
        <f t="shared" si="11"/>
        <v>390770</v>
      </c>
      <c r="G489" s="227" t="s">
        <v>106</v>
      </c>
    </row>
    <row r="490" spans="1:7">
      <c r="A490" s="227" t="s">
        <v>820</v>
      </c>
      <c r="B490" s="227" t="s">
        <v>821</v>
      </c>
      <c r="C490" s="227" t="s">
        <v>822</v>
      </c>
      <c r="D490" s="227">
        <v>39079110</v>
      </c>
      <c r="E490" s="227" t="s">
        <v>823</v>
      </c>
      <c r="F490" s="227" t="str">
        <f t="shared" si="11"/>
        <v>390791</v>
      </c>
      <c r="G490" s="227" t="s">
        <v>106</v>
      </c>
    </row>
    <row r="491" spans="1:7">
      <c r="A491" s="227" t="s">
        <v>824</v>
      </c>
      <c r="B491" s="227" t="s">
        <v>825</v>
      </c>
      <c r="C491" s="227" t="s">
        <v>826</v>
      </c>
      <c r="D491" s="227">
        <v>39079190</v>
      </c>
      <c r="E491" s="227" t="s">
        <v>827</v>
      </c>
      <c r="F491" s="227" t="str">
        <f t="shared" si="11"/>
        <v>390791</v>
      </c>
      <c r="G491" s="227" t="s">
        <v>106</v>
      </c>
    </row>
    <row r="492" spans="1:7">
      <c r="A492" s="227" t="s">
        <v>828</v>
      </c>
      <c r="B492" s="227" t="s">
        <v>829</v>
      </c>
      <c r="C492" s="227" t="s">
        <v>830</v>
      </c>
      <c r="D492" s="227">
        <v>39081000</v>
      </c>
      <c r="E492" s="227" t="s">
        <v>831</v>
      </c>
      <c r="F492" s="227" t="str">
        <f t="shared" si="11"/>
        <v>390810</v>
      </c>
      <c r="G492" s="227" t="s">
        <v>103</v>
      </c>
    </row>
    <row r="493" spans="1:7">
      <c r="A493" s="227" t="s">
        <v>832</v>
      </c>
      <c r="B493" s="227" t="s">
        <v>833</v>
      </c>
      <c r="C493" s="227" t="s">
        <v>834</v>
      </c>
      <c r="D493" s="227">
        <v>39089000</v>
      </c>
      <c r="E493" s="227" t="s">
        <v>835</v>
      </c>
      <c r="F493" s="227" t="str">
        <f t="shared" si="11"/>
        <v>390890</v>
      </c>
      <c r="G493" s="227" t="s">
        <v>103</v>
      </c>
    </row>
    <row r="494" spans="1:7">
      <c r="A494" s="227" t="s">
        <v>836</v>
      </c>
      <c r="B494" s="227" t="s">
        <v>837</v>
      </c>
      <c r="C494" s="227" t="s">
        <v>838</v>
      </c>
      <c r="D494" s="227">
        <v>39091000</v>
      </c>
      <c r="E494" s="227" t="s">
        <v>839</v>
      </c>
      <c r="F494" s="227" t="str">
        <f t="shared" si="11"/>
        <v>390910</v>
      </c>
      <c r="G494" s="227" t="s">
        <v>26</v>
      </c>
    </row>
    <row r="495" spans="1:7">
      <c r="A495" s="227" t="s">
        <v>840</v>
      </c>
      <c r="B495" s="227" t="s">
        <v>841</v>
      </c>
      <c r="C495" s="227" t="s">
        <v>842</v>
      </c>
      <c r="D495" s="227">
        <v>39092000</v>
      </c>
      <c r="E495" s="227" t="s">
        <v>841</v>
      </c>
      <c r="F495" s="227" t="str">
        <f t="shared" si="11"/>
        <v>390920</v>
      </c>
      <c r="G495" s="227" t="s">
        <v>26</v>
      </c>
    </row>
    <row r="496" spans="1:7">
      <c r="A496" s="227" t="s">
        <v>843</v>
      </c>
      <c r="B496" s="227" t="s">
        <v>844</v>
      </c>
      <c r="C496" s="227" t="s">
        <v>845</v>
      </c>
      <c r="D496" s="227">
        <v>39093100</v>
      </c>
      <c r="E496" s="227" t="s">
        <v>846</v>
      </c>
      <c r="F496" s="227" t="str">
        <f t="shared" si="11"/>
        <v>390931</v>
      </c>
      <c r="G496" s="227" t="s">
        <v>26</v>
      </c>
    </row>
    <row r="497" spans="1:7">
      <c r="A497" s="227" t="s">
        <v>847</v>
      </c>
      <c r="B497" s="227" t="s">
        <v>848</v>
      </c>
      <c r="C497" s="227" t="s">
        <v>849</v>
      </c>
      <c r="D497" s="227">
        <v>39094000</v>
      </c>
      <c r="E497" s="227" t="s">
        <v>848</v>
      </c>
      <c r="F497" s="227" t="str">
        <f t="shared" si="11"/>
        <v>390940</v>
      </c>
      <c r="G497" s="227" t="s">
        <v>106</v>
      </c>
    </row>
    <row r="498" spans="1:7">
      <c r="A498" s="227" t="s">
        <v>850</v>
      </c>
      <c r="B498" s="227" t="s">
        <v>851</v>
      </c>
      <c r="C498" s="227" t="s">
        <v>852</v>
      </c>
      <c r="D498" s="227">
        <v>39095010</v>
      </c>
      <c r="E498" s="227" t="s">
        <v>853</v>
      </c>
      <c r="F498" s="227" t="str">
        <f t="shared" si="11"/>
        <v>390950</v>
      </c>
      <c r="G498" s="227" t="s">
        <v>101</v>
      </c>
    </row>
    <row r="499" spans="1:7">
      <c r="A499" s="227" t="s">
        <v>854</v>
      </c>
      <c r="B499" s="227" t="s">
        <v>855</v>
      </c>
      <c r="C499" s="227" t="s">
        <v>856</v>
      </c>
      <c r="D499" s="227">
        <v>39100000</v>
      </c>
      <c r="E499" s="227" t="s">
        <v>855</v>
      </c>
      <c r="F499" s="227" t="str">
        <f t="shared" si="11"/>
        <v>391000</v>
      </c>
      <c r="G499" s="227" t="s">
        <v>26</v>
      </c>
    </row>
    <row r="500" spans="1:7">
      <c r="A500" s="227" t="s">
        <v>857</v>
      </c>
      <c r="B500" s="227" t="s">
        <v>858</v>
      </c>
      <c r="C500" s="227" t="s">
        <v>859</v>
      </c>
      <c r="D500" s="227">
        <v>39111000</v>
      </c>
      <c r="E500" s="227" t="s">
        <v>860</v>
      </c>
      <c r="F500" s="227" t="str">
        <f t="shared" si="11"/>
        <v>391110</v>
      </c>
      <c r="G500" s="227" t="s">
        <v>106</v>
      </c>
    </row>
    <row r="501" spans="1:7">
      <c r="A501" s="227" t="s">
        <v>861</v>
      </c>
      <c r="B501" s="227" t="s">
        <v>862</v>
      </c>
      <c r="C501" s="227" t="s">
        <v>863</v>
      </c>
      <c r="D501" s="227">
        <v>39121100</v>
      </c>
      <c r="E501" s="227" t="s">
        <v>864</v>
      </c>
      <c r="F501" s="227" t="str">
        <f t="shared" si="11"/>
        <v>391211</v>
      </c>
      <c r="G501" s="227" t="s">
        <v>26</v>
      </c>
    </row>
    <row r="502" spans="1:7">
      <c r="A502" s="227" t="s">
        <v>865</v>
      </c>
      <c r="B502" s="227" t="s">
        <v>866</v>
      </c>
      <c r="C502" s="227"/>
      <c r="D502" s="227">
        <v>39123100</v>
      </c>
      <c r="E502" s="227" t="s">
        <v>867</v>
      </c>
      <c r="F502" s="227" t="str">
        <f t="shared" si="11"/>
        <v>391231</v>
      </c>
      <c r="G502" s="227" t="s">
        <v>26</v>
      </c>
    </row>
    <row r="503" spans="1:7">
      <c r="A503" s="227" t="s">
        <v>868</v>
      </c>
      <c r="B503" s="227" t="s">
        <v>869</v>
      </c>
      <c r="C503" s="227"/>
      <c r="D503" s="227">
        <v>39131000</v>
      </c>
      <c r="E503" s="227" t="s">
        <v>870</v>
      </c>
      <c r="F503" s="227" t="str">
        <f t="shared" si="11"/>
        <v>391310</v>
      </c>
      <c r="G503" s="227" t="s">
        <v>26</v>
      </c>
    </row>
    <row r="504" spans="1:7">
      <c r="A504" s="227" t="s">
        <v>871</v>
      </c>
      <c r="B504" s="227" t="s">
        <v>872</v>
      </c>
      <c r="C504" s="227" t="s">
        <v>873</v>
      </c>
      <c r="D504" s="227">
        <v>39139000</v>
      </c>
      <c r="E504" s="227" t="s">
        <v>874</v>
      </c>
      <c r="F504" s="227" t="str">
        <f t="shared" si="11"/>
        <v>391390</v>
      </c>
      <c r="G504" s="227" t="s">
        <v>26</v>
      </c>
    </row>
    <row r="505" spans="1:7">
      <c r="A505" s="227" t="s">
        <v>875</v>
      </c>
      <c r="B505" s="227" t="s">
        <v>876</v>
      </c>
      <c r="C505" s="227" t="s">
        <v>877</v>
      </c>
      <c r="D505" s="227">
        <v>39140000</v>
      </c>
      <c r="E505" s="227" t="s">
        <v>878</v>
      </c>
      <c r="F505" s="227" t="str">
        <f t="shared" si="11"/>
        <v>391400</v>
      </c>
      <c r="G505" s="227" t="s">
        <v>26</v>
      </c>
    </row>
  </sheetData>
  <sortState xmlns:xlrd2="http://schemas.microsoft.com/office/spreadsheetml/2017/richdata2" columnSort="1" ref="B85:U103">
    <sortCondition ref="B85:U85"/>
  </sortState>
  <mergeCells count="4">
    <mergeCell ref="A358:XFD359"/>
    <mergeCell ref="A409:XFD410"/>
    <mergeCell ref="A3:P4"/>
    <mergeCell ref="Q3:AF4"/>
  </mergeCells>
  <phoneticPr fontId="22" type="noConversion"/>
  <conditionalFormatting sqref="D414:P453">
    <cfRule type="dataBar" priority="60">
      <dataBar>
        <cfvo type="min"/>
        <cfvo type="max"/>
        <color rgb="FF63C384"/>
      </dataBar>
      <extLst>
        <ext xmlns:x14="http://schemas.microsoft.com/office/spreadsheetml/2009/9/main" uri="{B025F937-C7B1-47D3-B67F-A62EFF666E3E}">
          <x14:id>{957D7B16-265C-4623-A7A8-2B770FC37256}</x14:id>
        </ext>
      </extLst>
    </cfRule>
  </conditionalFormatting>
  <conditionalFormatting sqref="H368:H380 J368:M380">
    <cfRule type="cellIs" dxfId="138" priority="76" stopIfTrue="1" operator="notBetween">
      <formula>1</formula>
      <formula>4</formula>
    </cfRule>
    <cfRule type="dataBar" priority="86">
      <dataBar>
        <cfvo type="min"/>
        <cfvo type="num" val="4"/>
        <color rgb="FFFFC000"/>
      </dataBar>
      <extLst>
        <ext xmlns:x14="http://schemas.microsoft.com/office/spreadsheetml/2009/9/main" uri="{B025F937-C7B1-47D3-B67F-A62EFF666E3E}">
          <x14:id>{C5A53CB8-7286-4FE7-AE8E-AA89EC0DA347}</x14:id>
        </ext>
      </extLst>
    </cfRule>
  </conditionalFormatting>
  <conditionalFormatting sqref="H361:M367 H399:M403 I392:M392">
    <cfRule type="cellIs" dxfId="137" priority="82" stopIfTrue="1" operator="notBetween">
      <formula>1</formula>
      <formula>4</formula>
    </cfRule>
  </conditionalFormatting>
  <conditionalFormatting sqref="H364:M364">
    <cfRule type="dataBar" priority="81">
      <dataBar>
        <cfvo type="min"/>
        <cfvo type="num" val="4"/>
        <color rgb="FFFFC000"/>
      </dataBar>
      <extLst>
        <ext xmlns:x14="http://schemas.microsoft.com/office/spreadsheetml/2009/9/main" uri="{B025F937-C7B1-47D3-B67F-A62EFF666E3E}">
          <x14:id>{F8B1F0CB-9BC9-4040-9C43-D00C39456DD1}</x14:id>
        </ext>
      </extLst>
    </cfRule>
  </conditionalFormatting>
  <conditionalFormatting sqref="H365:M366 H361:M363">
    <cfRule type="dataBar" priority="83">
      <dataBar>
        <cfvo type="min"/>
        <cfvo type="num" val="4"/>
        <color rgb="FFFFC000"/>
      </dataBar>
      <extLst>
        <ext xmlns:x14="http://schemas.microsoft.com/office/spreadsheetml/2009/9/main" uri="{B025F937-C7B1-47D3-B67F-A62EFF666E3E}">
          <x14:id>{314B60D7-FC16-44D8-B26B-4C67A0B45523}</x14:id>
        </ext>
      </extLst>
    </cfRule>
  </conditionalFormatting>
  <conditionalFormatting sqref="H367:M367">
    <cfRule type="dataBar" priority="77">
      <dataBar>
        <cfvo type="min"/>
        <cfvo type="num" val="4"/>
        <color rgb="FFFFC000"/>
      </dataBar>
      <extLst>
        <ext xmlns:x14="http://schemas.microsoft.com/office/spreadsheetml/2009/9/main" uri="{B025F937-C7B1-47D3-B67F-A62EFF666E3E}">
          <x14:id>{A847D5C0-838A-4CB6-ABC9-B1E505FBCED8}</x14:id>
        </ext>
      </extLst>
    </cfRule>
  </conditionalFormatting>
  <conditionalFormatting sqref="H381:M381 I382:M391 I393:M393">
    <cfRule type="cellIs" dxfId="136" priority="7234" stopIfTrue="1" operator="notBetween">
      <formula>1</formula>
      <formula>4</formula>
    </cfRule>
    <cfRule type="dataBar" priority="7235">
      <dataBar>
        <cfvo type="min"/>
        <cfvo type="num" val="4"/>
        <color rgb="FFFFC000"/>
      </dataBar>
      <extLst>
        <ext xmlns:x14="http://schemas.microsoft.com/office/spreadsheetml/2009/9/main" uri="{B025F937-C7B1-47D3-B67F-A62EFF666E3E}">
          <x14:id>{DA710FBA-F523-4A4B-B5D7-85AAB235F786}</x14:id>
        </ext>
      </extLst>
    </cfRule>
  </conditionalFormatting>
  <conditionalFormatting sqref="H396:M396">
    <cfRule type="dataBar" priority="46">
      <dataBar>
        <cfvo type="min"/>
        <cfvo type="num" val="4"/>
        <color rgb="FFFFC000"/>
      </dataBar>
      <extLst>
        <ext xmlns:x14="http://schemas.microsoft.com/office/spreadsheetml/2009/9/main" uri="{B025F937-C7B1-47D3-B67F-A62EFF666E3E}">
          <x14:id>{15CA1832-E5DA-474E-8395-F35A08B234B2}</x14:id>
        </ext>
      </extLst>
    </cfRule>
  </conditionalFormatting>
  <conditionalFormatting sqref="H396:M397">
    <cfRule type="dataBar" priority="7">
      <dataBar>
        <cfvo type="min"/>
        <cfvo type="num" val="4"/>
        <color rgb="FFFFC000"/>
      </dataBar>
      <extLst>
        <ext xmlns:x14="http://schemas.microsoft.com/office/spreadsheetml/2009/9/main" uri="{B025F937-C7B1-47D3-B67F-A62EFF666E3E}">
          <x14:id>{1765B891-9FD3-4466-AC3B-51D94A9A59B5}</x14:id>
        </ext>
      </extLst>
    </cfRule>
  </conditionalFormatting>
  <conditionalFormatting sqref="H396:M398">
    <cfRule type="cellIs" dxfId="135" priority="8" stopIfTrue="1" operator="notBetween">
      <formula>1</formula>
      <formula>4</formula>
    </cfRule>
  </conditionalFormatting>
  <conditionalFormatting sqref="H396:M407">
    <cfRule type="containsBlanks" dxfId="134" priority="1">
      <formula>LEN(TRIM(H396))=0</formula>
    </cfRule>
  </conditionalFormatting>
  <conditionalFormatting sqref="H397:M397">
    <cfRule type="dataBar" priority="50">
      <dataBar>
        <cfvo type="min"/>
        <cfvo type="num" val="4"/>
        <color rgb="FFFFC000"/>
      </dataBar>
      <extLst>
        <ext xmlns:x14="http://schemas.microsoft.com/office/spreadsheetml/2009/9/main" uri="{B025F937-C7B1-47D3-B67F-A62EFF666E3E}">
          <x14:id>{B415458E-23C7-4872-A58E-3614C0AC9953}</x14:id>
        </ext>
      </extLst>
    </cfRule>
  </conditionalFormatting>
  <conditionalFormatting sqref="H398:M398">
    <cfRule type="dataBar" priority="23">
      <dataBar>
        <cfvo type="min"/>
        <cfvo type="num" val="4"/>
        <color rgb="FFFFC000"/>
      </dataBar>
      <extLst>
        <ext xmlns:x14="http://schemas.microsoft.com/office/spreadsheetml/2009/9/main" uri="{B025F937-C7B1-47D3-B67F-A62EFF666E3E}">
          <x14:id>{50D803DC-F918-44A2-9B4B-53F8F78F2E2D}</x14:id>
        </ext>
      </extLst>
    </cfRule>
  </conditionalFormatting>
  <conditionalFormatting sqref="H399:M399">
    <cfRule type="dataBar" priority="7764">
      <dataBar>
        <cfvo type="min"/>
        <cfvo type="num" val="4"/>
        <color rgb="FFFFC000"/>
      </dataBar>
      <extLst>
        <ext xmlns:x14="http://schemas.microsoft.com/office/spreadsheetml/2009/9/main" uri="{B025F937-C7B1-47D3-B67F-A62EFF666E3E}">
          <x14:id>{32F8DCD1-A21D-4A1C-BAAD-039F98995370}</x14:id>
        </ext>
      </extLst>
    </cfRule>
  </conditionalFormatting>
  <conditionalFormatting sqref="H400:M403">
    <cfRule type="dataBar" priority="55">
      <dataBar>
        <cfvo type="min"/>
        <cfvo type="num" val="4"/>
        <color rgb="FFFFC000"/>
      </dataBar>
      <extLst>
        <ext xmlns:x14="http://schemas.microsoft.com/office/spreadsheetml/2009/9/main" uri="{B025F937-C7B1-47D3-B67F-A62EFF666E3E}">
          <x14:id>{8413DB46-082A-41DF-A224-265A9591C829}</x14:id>
        </ext>
      </extLst>
    </cfRule>
  </conditionalFormatting>
  <conditionalFormatting sqref="H404:M405">
    <cfRule type="dataBar" priority="2">
      <dataBar>
        <cfvo type="min"/>
        <cfvo type="num" val="4"/>
        <color rgb="FFFFC000"/>
      </dataBar>
      <extLst>
        <ext xmlns:x14="http://schemas.microsoft.com/office/spreadsheetml/2009/9/main" uri="{B025F937-C7B1-47D3-B67F-A62EFF666E3E}">
          <x14:id>{75236DBD-38CF-4B11-8416-7AA6FC7AA87C}</x14:id>
        </ext>
      </extLst>
    </cfRule>
    <cfRule type="cellIs" dxfId="133" priority="4" stopIfTrue="1" operator="notBetween">
      <formula>1</formula>
      <formula>4</formula>
    </cfRule>
  </conditionalFormatting>
  <conditionalFormatting sqref="H406:M407">
    <cfRule type="dataBar" priority="10">
      <dataBar>
        <cfvo type="min"/>
        <cfvo type="num" val="4"/>
        <color rgb="FFFFC000"/>
      </dataBar>
      <extLst>
        <ext xmlns:x14="http://schemas.microsoft.com/office/spreadsheetml/2009/9/main" uri="{B025F937-C7B1-47D3-B67F-A62EFF666E3E}">
          <x14:id>{3A6E8455-6601-408B-9890-B5BABB8C463E}</x14:id>
        </ext>
      </extLst>
    </cfRule>
    <cfRule type="cellIs" dxfId="132" priority="12" stopIfTrue="1" operator="notBetween">
      <formula>1</formula>
      <formula>4</formula>
    </cfRule>
  </conditionalFormatting>
  <conditionalFormatting sqref="H396:O397 H361:O367 N398:O407">
    <cfRule type="containsBlanks" dxfId="131" priority="74">
      <formula>LEN(TRIM(H361))=0</formula>
    </cfRule>
  </conditionalFormatting>
  <conditionalFormatting sqref="I392:M392">
    <cfRule type="dataBar" priority="7246">
      <dataBar>
        <cfvo type="min"/>
        <cfvo type="num" val="4"/>
        <color rgb="FFFFC000"/>
      </dataBar>
      <extLst>
        <ext xmlns:x14="http://schemas.microsoft.com/office/spreadsheetml/2009/9/main" uri="{B025F937-C7B1-47D3-B67F-A62EFF666E3E}">
          <x14:id>{A2C837B7-AE95-4CC8-8AB9-469C2F7CB751}</x14:id>
        </ext>
      </extLst>
    </cfRule>
  </conditionalFormatting>
  <conditionalFormatting sqref="I382:N393 H368:H380 J368:N380 AL6:AQ31 H381:N381">
    <cfRule type="containsBlanks" dxfId="130" priority="140">
      <formula>LEN(TRIM(H6))=0</formula>
    </cfRule>
  </conditionalFormatting>
  <conditionalFormatting sqref="J6:N356">
    <cfRule type="dataBar" priority="94">
      <dataBar>
        <cfvo type="min"/>
        <cfvo type="num" val="4"/>
        <color rgb="FFFFC000"/>
      </dataBar>
      <extLst>
        <ext xmlns:x14="http://schemas.microsoft.com/office/spreadsheetml/2009/9/main" uri="{B025F937-C7B1-47D3-B67F-A62EFF666E3E}">
          <x14:id>{37D8D804-0BD8-4242-ABB5-D18A259F44D0}</x14:id>
        </ext>
      </extLst>
    </cfRule>
  </conditionalFormatting>
  <conditionalFormatting sqref="J6:O356">
    <cfRule type="containsBlanks" dxfId="129" priority="92">
      <formula>LEN(TRIM(J6))=0</formula>
    </cfRule>
  </conditionalFormatting>
  <conditionalFormatting sqref="N361:N366">
    <cfRule type="dataBar" priority="7803">
      <dataBar>
        <cfvo type="min"/>
        <cfvo type="max"/>
        <color rgb="FF3FCDFF"/>
      </dataBar>
      <extLst>
        <ext xmlns:x14="http://schemas.microsoft.com/office/spreadsheetml/2009/9/main" uri="{B025F937-C7B1-47D3-B67F-A62EFF666E3E}">
          <x14:id>{56CBFE8F-F7EC-4BFC-80CB-9A3DD0D2B040}</x14:id>
        </ext>
      </extLst>
    </cfRule>
  </conditionalFormatting>
  <conditionalFormatting sqref="N367">
    <cfRule type="dataBar" priority="7814">
      <dataBar>
        <cfvo type="min"/>
        <cfvo type="max"/>
        <color rgb="FF3FCDFF"/>
      </dataBar>
      <extLst>
        <ext xmlns:x14="http://schemas.microsoft.com/office/spreadsheetml/2009/9/main" uri="{B025F937-C7B1-47D3-B67F-A62EFF666E3E}">
          <x14:id>{6FE93D2E-655C-4C27-831E-5CA1DED7ACF5}</x14:id>
        </ext>
      </extLst>
    </cfRule>
  </conditionalFormatting>
  <conditionalFormatting sqref="N368:N380">
    <cfRule type="dataBar" priority="87">
      <dataBar>
        <cfvo type="min"/>
        <cfvo type="max"/>
        <color rgb="FF3FCDFF"/>
      </dataBar>
      <extLst>
        <ext xmlns:x14="http://schemas.microsoft.com/office/spreadsheetml/2009/9/main" uri="{B025F937-C7B1-47D3-B67F-A62EFF666E3E}">
          <x14:id>{047E5794-520E-4924-A857-97F0837ECB5A}</x14:id>
        </ext>
      </extLst>
    </cfRule>
  </conditionalFormatting>
  <conditionalFormatting sqref="N381:N391 N393">
    <cfRule type="dataBar" priority="67">
      <dataBar>
        <cfvo type="min"/>
        <cfvo type="max"/>
        <color rgb="FF3FCDFF"/>
      </dataBar>
      <extLst>
        <ext xmlns:x14="http://schemas.microsoft.com/office/spreadsheetml/2009/9/main" uri="{B025F937-C7B1-47D3-B67F-A62EFF666E3E}">
          <x14:id>{70530BA1-5CDA-43D4-8C4A-B3231D734415}</x14:id>
        </ext>
      </extLst>
    </cfRule>
  </conditionalFormatting>
  <conditionalFormatting sqref="N392">
    <cfRule type="dataBar" priority="63">
      <dataBar>
        <cfvo type="min"/>
        <cfvo type="max"/>
        <color rgb="FF3FCDFF"/>
      </dataBar>
      <extLst>
        <ext xmlns:x14="http://schemas.microsoft.com/office/spreadsheetml/2009/9/main" uri="{B025F937-C7B1-47D3-B67F-A62EFF666E3E}">
          <x14:id>{A302DE98-0780-44F9-923E-65E203657680}</x14:id>
        </ext>
      </extLst>
    </cfRule>
  </conditionalFormatting>
  <conditionalFormatting sqref="N396:N407">
    <cfRule type="dataBar" priority="51">
      <dataBar>
        <cfvo type="min"/>
        <cfvo type="max"/>
        <color rgb="FF3FCDFF"/>
      </dataBar>
      <extLst>
        <ext xmlns:x14="http://schemas.microsoft.com/office/spreadsheetml/2009/9/main" uri="{B025F937-C7B1-47D3-B67F-A62EFF666E3E}">
          <x14:id>{87103521-5D6E-47F7-9E88-9742125D88FE}</x14:id>
        </ext>
      </extLst>
    </cfRule>
  </conditionalFormatting>
  <conditionalFormatting sqref="O6:O356">
    <cfRule type="dataBar" priority="93">
      <dataBar>
        <cfvo type="min"/>
        <cfvo type="max"/>
        <color rgb="FF3FCDFF"/>
      </dataBar>
      <extLst>
        <ext xmlns:x14="http://schemas.microsoft.com/office/spreadsheetml/2009/9/main" uri="{B025F937-C7B1-47D3-B67F-A62EFF666E3E}">
          <x14:id>{E6E5D100-BB09-40AE-83ED-DF61489FE57A}</x14:id>
        </ext>
      </extLst>
    </cfRule>
  </conditionalFormatting>
  <conditionalFormatting sqref="O361:O366">
    <cfRule type="dataBar" priority="7805">
      <dataBar>
        <cfvo type="min"/>
        <cfvo type="max"/>
        <color rgb="FF3FCDFF"/>
      </dataBar>
      <extLst>
        <ext xmlns:x14="http://schemas.microsoft.com/office/spreadsheetml/2009/9/main" uri="{B025F937-C7B1-47D3-B67F-A62EFF666E3E}">
          <x14:id>{EEAECA58-0081-44D6-B716-A22A2B10F7E9}</x14:id>
        </ext>
      </extLst>
    </cfRule>
  </conditionalFormatting>
  <conditionalFormatting sqref="O367">
    <cfRule type="dataBar" priority="7816">
      <dataBar>
        <cfvo type="min"/>
        <cfvo type="max"/>
        <color rgb="FF3FCDFF"/>
      </dataBar>
      <extLst>
        <ext xmlns:x14="http://schemas.microsoft.com/office/spreadsheetml/2009/9/main" uri="{B025F937-C7B1-47D3-B67F-A62EFF666E3E}">
          <x14:id>{9AD96C49-F858-417F-A967-FF4065FDA1BA}</x14:id>
        </ext>
      </extLst>
    </cfRule>
  </conditionalFormatting>
  <conditionalFormatting sqref="O396:O407">
    <cfRule type="dataBar" priority="52">
      <dataBar>
        <cfvo type="min"/>
        <cfvo type="max"/>
        <color rgb="FF3FCDFF"/>
      </dataBar>
      <extLst>
        <ext xmlns:x14="http://schemas.microsoft.com/office/spreadsheetml/2009/9/main" uri="{B025F937-C7B1-47D3-B67F-A62EFF666E3E}">
          <x14:id>{A7BAE1DB-4773-4061-A98A-A2E1B905E283}</x14:id>
        </ext>
      </extLst>
    </cfRule>
  </conditionalFormatting>
  <conditionalFormatting sqref="P361:P367 P394:P395">
    <cfRule type="containsText" dxfId="128" priority="75" operator="containsText" text="Actual TC">
      <formula>NOT(ISERROR(SEARCH("Actual TC",P361)))</formula>
    </cfRule>
  </conditionalFormatting>
  <conditionalFormatting sqref="P398:P401">
    <cfRule type="containsText" dxfId="127" priority="35" operator="containsText" text="Actual TC">
      <formula>NOT(ISERROR(SEARCH("Actual TC",P398)))</formula>
    </cfRule>
  </conditionalFormatting>
  <conditionalFormatting sqref="P404:P407">
    <cfRule type="containsText" dxfId="126" priority="17" operator="containsText" text="Actual TC">
      <formula>NOT(ISERROR(SEARCH("Actual TC",P404)))</formula>
    </cfRule>
  </conditionalFormatting>
  <conditionalFormatting sqref="Z6:AD252">
    <cfRule type="dataBar" priority="89">
      <dataBar>
        <cfvo type="min"/>
        <cfvo type="num" val="4"/>
        <color rgb="FFFFC000"/>
      </dataBar>
      <extLst>
        <ext xmlns:x14="http://schemas.microsoft.com/office/spreadsheetml/2009/9/main" uri="{B025F937-C7B1-47D3-B67F-A62EFF666E3E}">
          <x14:id>{B2A54833-F921-45C7-86AF-14BEDB6573C7}</x14:id>
        </ext>
      </extLst>
    </cfRule>
  </conditionalFormatting>
  <conditionalFormatting sqref="Z6:AE252">
    <cfRule type="containsBlanks" dxfId="125" priority="88">
      <formula>LEN(TRIM(Z6))=0</formula>
    </cfRule>
  </conditionalFormatting>
  <conditionalFormatting sqref="AE5">
    <cfRule type="containsBlanks" dxfId="124" priority="90">
      <formula>LEN(TRIM(AE5))=0</formula>
    </cfRule>
  </conditionalFormatting>
  <conditionalFormatting sqref="AE5:AE252">
    <cfRule type="dataBar" priority="91">
      <dataBar>
        <cfvo type="min"/>
        <cfvo type="max"/>
        <color rgb="FF3FCDFF"/>
      </dataBar>
      <extLst>
        <ext xmlns:x14="http://schemas.microsoft.com/office/spreadsheetml/2009/9/main" uri="{B025F937-C7B1-47D3-B67F-A62EFF666E3E}">
          <x14:id>{89BE51AC-3D01-4EA8-B28B-4303EF3238DC}</x14:id>
        </ext>
      </extLst>
    </cfRule>
  </conditionalFormatting>
  <conditionalFormatting sqref="AL6:AP31">
    <cfRule type="dataBar" priority="141">
      <dataBar>
        <cfvo type="min"/>
        <cfvo type="num" val="4"/>
        <color rgb="FFFFC000"/>
      </dataBar>
      <extLst>
        <ext xmlns:x14="http://schemas.microsoft.com/office/spreadsheetml/2009/9/main" uri="{B025F937-C7B1-47D3-B67F-A62EFF666E3E}">
          <x14:id>{4025D62E-9601-4808-B8D7-46E4321D1A4D}</x14:id>
        </ext>
      </extLst>
    </cfRule>
  </conditionalFormatting>
  <conditionalFormatting sqref="AL35:AP60">
    <cfRule type="dataBar" priority="136">
      <dataBar>
        <cfvo type="min"/>
        <cfvo type="num" val="4"/>
        <color rgb="FFFFC000"/>
      </dataBar>
      <extLst>
        <ext xmlns:x14="http://schemas.microsoft.com/office/spreadsheetml/2009/9/main" uri="{B025F937-C7B1-47D3-B67F-A62EFF666E3E}">
          <x14:id>{9D137F0D-623C-4436-82E4-0FF64CCB4CBD}</x14:id>
        </ext>
      </extLst>
    </cfRule>
  </conditionalFormatting>
  <conditionalFormatting sqref="AL65:AP82">
    <cfRule type="dataBar" priority="130">
      <dataBar>
        <cfvo type="min"/>
        <cfvo type="num" val="4"/>
        <color rgb="FFFFC000"/>
      </dataBar>
      <extLst>
        <ext xmlns:x14="http://schemas.microsoft.com/office/spreadsheetml/2009/9/main" uri="{B025F937-C7B1-47D3-B67F-A62EFF666E3E}">
          <x14:id>{191EEFD1-35E4-43A7-8DA3-BA2547F5A824}</x14:id>
        </ext>
      </extLst>
    </cfRule>
  </conditionalFormatting>
  <conditionalFormatting sqref="AL86:AP103">
    <cfRule type="dataBar" priority="127">
      <dataBar>
        <cfvo type="min"/>
        <cfvo type="num" val="4"/>
        <color rgb="FFFFC000"/>
      </dataBar>
      <extLst>
        <ext xmlns:x14="http://schemas.microsoft.com/office/spreadsheetml/2009/9/main" uri="{B025F937-C7B1-47D3-B67F-A62EFF666E3E}">
          <x14:id>{022DCEBE-4556-43A7-BA0B-8B582A268167}</x14:id>
        </ext>
      </extLst>
    </cfRule>
  </conditionalFormatting>
  <conditionalFormatting sqref="AL35:AQ60">
    <cfRule type="containsBlanks" dxfId="123" priority="135">
      <formula>LEN(TRIM(AL35))=0</formula>
    </cfRule>
  </conditionalFormatting>
  <conditionalFormatting sqref="AL65:AQ82">
    <cfRule type="containsBlanks" dxfId="122" priority="128">
      <formula>LEN(TRIM(AL65))=0</formula>
    </cfRule>
  </conditionalFormatting>
  <conditionalFormatting sqref="AL86:AQ103">
    <cfRule type="containsBlanks" dxfId="121" priority="125">
      <formula>LEN(TRIM(AL86))=0</formula>
    </cfRule>
  </conditionalFormatting>
  <conditionalFormatting sqref="AQ5">
    <cfRule type="containsBlanks" dxfId="120" priority="138">
      <formula>LEN(TRIM(AQ5))=0</formula>
    </cfRule>
    <cfRule type="dataBar" priority="139">
      <dataBar>
        <cfvo type="min"/>
        <cfvo type="max"/>
        <color rgb="FF3FCDFF"/>
      </dataBar>
      <extLst>
        <ext xmlns:x14="http://schemas.microsoft.com/office/spreadsheetml/2009/9/main" uri="{B025F937-C7B1-47D3-B67F-A62EFF666E3E}">
          <x14:id>{CDCE2675-44D9-46E1-9BD7-620D376B4C5F}</x14:id>
        </ext>
      </extLst>
    </cfRule>
  </conditionalFormatting>
  <conditionalFormatting sqref="AQ6:AQ31">
    <cfRule type="dataBar" priority="142">
      <dataBar>
        <cfvo type="min"/>
        <cfvo type="max"/>
        <color rgb="FF3FCDFF"/>
      </dataBar>
      <extLst>
        <ext xmlns:x14="http://schemas.microsoft.com/office/spreadsheetml/2009/9/main" uri="{B025F937-C7B1-47D3-B67F-A62EFF666E3E}">
          <x14:id>{50296EDD-C114-4ADE-88F5-0FA0AC48579A}</x14:id>
        </ext>
      </extLst>
    </cfRule>
  </conditionalFormatting>
  <conditionalFormatting sqref="AQ34">
    <cfRule type="containsBlanks" dxfId="119" priority="133">
      <formula>LEN(TRIM(AQ34))=0</formula>
    </cfRule>
    <cfRule type="dataBar" priority="134">
      <dataBar>
        <cfvo type="min"/>
        <cfvo type="max"/>
        <color rgb="FF3FCDFF"/>
      </dataBar>
      <extLst>
        <ext xmlns:x14="http://schemas.microsoft.com/office/spreadsheetml/2009/9/main" uri="{B025F937-C7B1-47D3-B67F-A62EFF666E3E}">
          <x14:id>{EDC543FA-E2F2-4E9E-8D35-ADB9FAB0E485}</x14:id>
        </ext>
      </extLst>
    </cfRule>
  </conditionalFormatting>
  <conditionalFormatting sqref="AQ35:AQ60">
    <cfRule type="dataBar" priority="137">
      <dataBar>
        <cfvo type="min"/>
        <cfvo type="max"/>
        <color rgb="FF3FCDFF"/>
      </dataBar>
      <extLst>
        <ext xmlns:x14="http://schemas.microsoft.com/office/spreadsheetml/2009/9/main" uri="{B025F937-C7B1-47D3-B67F-A62EFF666E3E}">
          <x14:id>{183FCF22-9DC6-4407-BB22-645D6D64A123}</x14:id>
        </ext>
      </extLst>
    </cfRule>
  </conditionalFormatting>
  <conditionalFormatting sqref="AQ64">
    <cfRule type="containsBlanks" dxfId="118" priority="131">
      <formula>LEN(TRIM(AQ64))=0</formula>
    </cfRule>
    <cfRule type="dataBar" priority="132">
      <dataBar>
        <cfvo type="min"/>
        <cfvo type="max"/>
        <color rgb="FF3FCDFF"/>
      </dataBar>
      <extLst>
        <ext xmlns:x14="http://schemas.microsoft.com/office/spreadsheetml/2009/9/main" uri="{B025F937-C7B1-47D3-B67F-A62EFF666E3E}">
          <x14:id>{66277A20-B55F-4D0D-B4C2-D9E0600A8F6A}</x14:id>
        </ext>
      </extLst>
    </cfRule>
  </conditionalFormatting>
  <conditionalFormatting sqref="AQ65:AQ82">
    <cfRule type="dataBar" priority="129">
      <dataBar>
        <cfvo type="min"/>
        <cfvo type="max"/>
        <color rgb="FF3FCDFF"/>
      </dataBar>
      <extLst>
        <ext xmlns:x14="http://schemas.microsoft.com/office/spreadsheetml/2009/9/main" uri="{B025F937-C7B1-47D3-B67F-A62EFF666E3E}">
          <x14:id>{FFEBCA67-9D96-4735-ACE7-CC0B8953E484}</x14:id>
        </ext>
      </extLst>
    </cfRule>
  </conditionalFormatting>
  <conditionalFormatting sqref="AQ85">
    <cfRule type="containsBlanks" dxfId="117" priority="123">
      <formula>LEN(TRIM(AQ85))=0</formula>
    </cfRule>
    <cfRule type="dataBar" priority="124">
      <dataBar>
        <cfvo type="min"/>
        <cfvo type="max"/>
        <color rgb="FF3FCDFF"/>
      </dataBar>
      <extLst>
        <ext xmlns:x14="http://schemas.microsoft.com/office/spreadsheetml/2009/9/main" uri="{B025F937-C7B1-47D3-B67F-A62EFF666E3E}">
          <x14:id>{879A4CD8-B0E5-4FCA-BA5C-14C1CA131CE0}</x14:id>
        </ext>
      </extLst>
    </cfRule>
  </conditionalFormatting>
  <conditionalFormatting sqref="AQ86:AQ103">
    <cfRule type="dataBar" priority="126">
      <dataBar>
        <cfvo type="min"/>
        <cfvo type="max"/>
        <color rgb="FF3FCDFF"/>
      </dataBar>
      <extLst>
        <ext xmlns:x14="http://schemas.microsoft.com/office/spreadsheetml/2009/9/main" uri="{B025F937-C7B1-47D3-B67F-A62EFF666E3E}">
          <x14:id>{7FB02629-7082-4749-9045-14402CF85EFC}</x14:id>
        </ext>
      </extLst>
    </cfRule>
  </conditionalFormatting>
  <hyperlinks>
    <hyperlink ref="Y6" r:id="rId1" display="https://ec.europa.eu/eurostat/databrowser/view/DS-056120__custom_6262207/default/table" xr:uid="{2532401C-B5C0-485C-B3CE-34499572748E}"/>
    <hyperlink ref="Y7" r:id="rId2" display="https://ec.europa.eu/eurostat/databrowser/view/DS-056120__custom_6262207/default/table" xr:uid="{F2C39281-A432-4BC9-9A46-9A9C4A24492A}"/>
    <hyperlink ref="Y8" r:id="rId3" display="https://ec.europa.eu/eurostat/databrowser/view/DS-056120__custom_6262207/default/table" xr:uid="{2A1E9723-EDAD-4A09-AFA6-4F7FB3902A34}"/>
    <hyperlink ref="Y9" r:id="rId4" display="https://ec.europa.eu/eurostat/databrowser/view/DS-056120__custom_6262207/default/table" xr:uid="{A08ED7C8-47A4-43C5-8F82-AA334B7FDE59}"/>
    <hyperlink ref="Y10" r:id="rId5" display="https://ec.europa.eu/eurostat/databrowser/view/DS-056120__custom_6262207/default/table" xr:uid="{BDAEFBE1-0409-458C-A123-29F607056F06}"/>
    <hyperlink ref="Y11" r:id="rId6" display="https://ec.europa.eu/eurostat/databrowser/view/DS-056120__custom_6262207/default/table" xr:uid="{C8723139-0ACF-4014-ACBC-7C82DD7F491E}"/>
    <hyperlink ref="Y12" r:id="rId7" display="https://ec.europa.eu/eurostat/databrowser/view/DS-056120__custom_6262207/default/table" xr:uid="{29BDAF31-1F81-4B80-94EB-5B9A530369D0}"/>
    <hyperlink ref="Y13" r:id="rId8" display="https://ec.europa.eu/eurostat/databrowser/view/DS-056120__custom_6262207/default/table" xr:uid="{6A60C886-64ED-48E1-B916-E3C6749377F6}"/>
    <hyperlink ref="Y14" r:id="rId9" display="https://ec.europa.eu/eurostat/databrowser/view/DS-056120__custom_6262207/default/table" xr:uid="{38D911B1-1FEC-45B0-BAB5-7DEC126E27A0}"/>
    <hyperlink ref="Y15" r:id="rId10" display="https://ec.europa.eu/eurostat/databrowser/view/DS-056120__custom_6262207/default/table" xr:uid="{DF488355-3CBE-4DE1-81C6-833BE4F7F21F}"/>
    <hyperlink ref="Y16" r:id="rId11" display="https://ec.europa.eu/eurostat/databrowser/view/DS-056120__custom_6262207/default/table" xr:uid="{2C2C364C-5F81-4169-B9A6-6AD012C46786}"/>
    <hyperlink ref="Y17" r:id="rId12" display="https://ec.europa.eu/eurostat/databrowser/view/DS-056120__custom_6262207/default/table" xr:uid="{E2AE4D1A-DA78-432A-AECF-678E5B32C72E}"/>
    <hyperlink ref="Y18" r:id="rId13" display="https://ec.europa.eu/eurostat/databrowser/view/DS-056120__custom_6262207/default/table" xr:uid="{4A0D4EF2-B6E1-450C-9D0D-387A573C6756}"/>
    <hyperlink ref="Y19" r:id="rId14" display="https://ec.europa.eu/eurostat/databrowser/view/DS-056120__custom_6262207/default/table" xr:uid="{20866AB1-8053-4BE0-9EF9-82618EB43ABF}"/>
    <hyperlink ref="Y20" r:id="rId15" display="https://ec.europa.eu/eurostat/databrowser/view/DS-056120__custom_6262207/default/table" xr:uid="{52BC105D-75A8-4F77-A9A1-1C66A8376078}"/>
    <hyperlink ref="Y21" r:id="rId16" display="https://ec.europa.eu/eurostat/databrowser/view/DS-056120__custom_6262207/default/table" xr:uid="{5E210E42-840B-40CF-AE04-5C817F4BAE4E}"/>
    <hyperlink ref="Y22" r:id="rId17" display="https://ec.europa.eu/eurostat/databrowser/view/DS-056120__custom_6262207/default/table" xr:uid="{7CE4C73D-2D24-43EA-A980-623699CE308D}"/>
    <hyperlink ref="Y23" r:id="rId18" display="https://ec.europa.eu/eurostat/databrowser/view/DS-056120__custom_6262207/default/table" xr:uid="{F6294EA4-F26E-42E0-B867-03AFFBDC34C0}"/>
    <hyperlink ref="Y24" r:id="rId19" display="https://ec.europa.eu/eurostat/databrowser/view/DS-056120__custom_6262207/default/table" xr:uid="{7ED92D7C-9F44-4E35-AF26-CC1CEBB87234}"/>
    <hyperlink ref="Y25" r:id="rId20" display="https://ec.europa.eu/eurostat/databrowser/view/DS-056120__custom_6262207/default/table" xr:uid="{27911E0B-7018-40D8-B349-68ED9DC8AC72}"/>
    <hyperlink ref="Y26" r:id="rId21" display="https://ec.europa.eu/eurostat/databrowser/view/DS-056120__custom_6262207/default/table" xr:uid="{78901CE1-BE42-495E-B870-AE25041583CB}"/>
    <hyperlink ref="Y27" r:id="rId22" display="https://ec.europa.eu/eurostat/databrowser/view/DS-056120__custom_6262207/default/table" xr:uid="{5E52C520-0A21-4A56-AAD8-89530BC10525}"/>
    <hyperlink ref="Y28" r:id="rId23" display="https://ec.europa.eu/eurostat/databrowser/view/DS-056120__custom_6262207/default/table" xr:uid="{A582E0B7-E9C0-4710-AD73-1B2888E117C2}"/>
    <hyperlink ref="Y29" r:id="rId24" display="https://ec.europa.eu/eurostat/databrowser/view/DS-056120__custom_6262207/default/table" xr:uid="{3CA39AFA-6895-4806-8587-967CE002685C}"/>
    <hyperlink ref="Y30" r:id="rId25" display="https://ec.europa.eu/eurostat/databrowser/view/DS-056120__custom_6262207/default/table" xr:uid="{6AF3179C-56CF-4265-BE73-FA5AB1D237F2}"/>
    <hyperlink ref="Y31" r:id="rId26" display="https://ec.europa.eu/eurostat/databrowser/view/DS-056120__custom_6262207/default/table" xr:uid="{20BC9D64-C222-4D9B-AB22-E2AFEF6CC9B0}"/>
    <hyperlink ref="Y32" r:id="rId27" display="https://ec.europa.eu/eurostat/databrowser/view/DS-056120__custom_6262207/default/table" xr:uid="{0E3B1CEF-9545-4D2F-BB6A-C889B0AD898A}"/>
    <hyperlink ref="Y33" r:id="rId28" display="https://ec.europa.eu/eurostat/databrowser/view/DS-056120__custom_6262207/default/table" xr:uid="{DB156501-71CB-451C-A414-E60E64C75E8E}"/>
    <hyperlink ref="Y34" r:id="rId29" display="https://ec.europa.eu/eurostat/databrowser/view/DS-056120__custom_6262207/default/table" xr:uid="{1493192F-6117-4C1E-A0D1-231BD46DC34F}"/>
    <hyperlink ref="Y35" r:id="rId30" display="https://ec.europa.eu/eurostat/databrowser/view/DS-056120__custom_6262207/default/table" xr:uid="{F86E2BCA-E656-4A8A-98D5-D26E535FBB60}"/>
    <hyperlink ref="Y36" r:id="rId31" display="https://ec.europa.eu/eurostat/databrowser/view/DS-056120__custom_6262207/default/table" xr:uid="{6693E2EB-0CAA-4160-B0AE-44CD173132A5}"/>
    <hyperlink ref="Y37" r:id="rId32" display="https://ec.europa.eu/eurostat/databrowser/view/DS-056120__custom_6262207/default/table" xr:uid="{CD18DBD1-0803-4649-86C6-FCBFF2FA2EFC}"/>
    <hyperlink ref="Y38" r:id="rId33" display="https://ec.europa.eu/eurostat/databrowser/view/DS-056120__custom_6262207/default/table" xr:uid="{7FBF7F0A-E258-42FE-AD09-9F608DA16A90}"/>
    <hyperlink ref="Y39" r:id="rId34" display="https://ec.europa.eu/eurostat/databrowser/view/DS-056120__custom_6262207/default/table" xr:uid="{C73EB50C-E518-486D-9239-C9D9FE50D427}"/>
    <hyperlink ref="Y40" r:id="rId35" display="https://ec.europa.eu/eurostat/databrowser/view/DS-056120__custom_6262207/default/table" xr:uid="{41611FBD-DBE5-47C0-9E56-4B3441060704}"/>
    <hyperlink ref="Y41" r:id="rId36" display="https://ec.europa.eu/eurostat/databrowser/view/DS-056120__custom_6262207/default/table" xr:uid="{2C207456-EEA7-4DF3-876F-199C01FD4F34}"/>
    <hyperlink ref="Y42" r:id="rId37" display="https://ec.europa.eu/eurostat/databrowser/view/DS-056120__custom_6262207/default/table" xr:uid="{3C1A7158-89D5-47F4-815B-559ADDDE6732}"/>
    <hyperlink ref="Y43" r:id="rId38" display="https://ec.europa.eu/eurostat/databrowser/view/DS-056120__custom_6262207/default/table" xr:uid="{BA1660CA-2273-484B-9175-00789630DC18}"/>
    <hyperlink ref="Y44" r:id="rId39" display="https://ec.europa.eu/eurostat/databrowser/view/DS-056120__custom_6262207/default/table" xr:uid="{2D2B026F-4CEF-49FE-9735-D9FCD84BD645}"/>
    <hyperlink ref="Y45" r:id="rId40" display="https://ec.europa.eu/eurostat/databrowser/view/DS-056120__custom_6262207/default/table" xr:uid="{AA870769-4D72-4547-B777-0B408EDC2340}"/>
    <hyperlink ref="Y46" r:id="rId41" display="https://ec.europa.eu/eurostat/databrowser/view/DS-056120__custom_6262207/default/table" xr:uid="{04CB93A8-89B1-4176-BE1A-0C841338DB74}"/>
    <hyperlink ref="Y47" r:id="rId42" display="https://ec.europa.eu/eurostat/databrowser/view/DS-056120__custom_6262207/default/table" xr:uid="{4220298E-6B13-45F5-8FDA-B52F9DEC38C9}"/>
    <hyperlink ref="Y48" r:id="rId43" display="https://ec.europa.eu/eurostat/databrowser/view/DS-056120__custom_6262207/default/table" xr:uid="{00BBB445-6849-4A67-9132-6A869F8430E7}"/>
    <hyperlink ref="Y49" r:id="rId44" display="https://ec.europa.eu/eurostat/databrowser/view/DS-056120__custom_6262207/default/table" xr:uid="{5EACB9B1-A057-4F4C-8548-29E768545341}"/>
    <hyperlink ref="Y50" r:id="rId45" display="https://ec.europa.eu/eurostat/databrowser/view/DS-056120__custom_6262207/default/table" xr:uid="{06D784D7-D3C1-470A-AD63-B5351EFB4F82}"/>
    <hyperlink ref="Y51" r:id="rId46" display="https://ec.europa.eu/eurostat/databrowser/view/DS-056120__custom_6262207/default/table" xr:uid="{6712B6D2-4A7D-4F14-A457-6E1667273B8D}"/>
    <hyperlink ref="Y52" r:id="rId47" display="https://ec.europa.eu/eurostat/databrowser/view/DS-056120__custom_6262207/default/table" xr:uid="{4D7CB668-9EBD-4670-AD7B-9557BB1B25EC}"/>
    <hyperlink ref="Y53" r:id="rId48" display="https://ec.europa.eu/eurostat/databrowser/view/DS-056120__custom_6262207/default/table" xr:uid="{E36B517B-85E1-4A7A-B5EB-370687DCFC6F}"/>
    <hyperlink ref="Y54" r:id="rId49" display="https://ec.europa.eu/eurostat/databrowser/view/DS-056120__custom_6262207/default/table" xr:uid="{C6E2261B-69C8-48E0-979B-37B3D3750ED3}"/>
    <hyperlink ref="Y55" r:id="rId50" display="https://ec.europa.eu/eurostat/databrowser/view/DS-056120__custom_6262207/default/table" xr:uid="{96B4B31E-BE7D-4942-8A2E-B445E0817D19}"/>
    <hyperlink ref="Y56" r:id="rId51" display="https://ec.europa.eu/eurostat/databrowser/view/DS-056120__custom_6262207/default/table" xr:uid="{84615B4C-0E2D-4FE2-BE95-4DE17B607263}"/>
    <hyperlink ref="Y57" r:id="rId52" display="https://ec.europa.eu/eurostat/databrowser/view/DS-056120__custom_6262207/default/table" xr:uid="{16E34A55-480D-4FA7-92AC-08BAC4909B0E}"/>
    <hyperlink ref="Y58" r:id="rId53" display="https://ec.europa.eu/eurostat/databrowser/view/DS-056120__custom_6262207/default/table" xr:uid="{B4AD97B2-4C30-4FEB-A346-C6A8E74D8930}"/>
    <hyperlink ref="Y59" r:id="rId54" display="https://ec.europa.eu/eurostat/databrowser/view/DS-056120__custom_6262207/default/table" xr:uid="{FD4711DA-0499-4925-8B50-D6E771DEB584}"/>
    <hyperlink ref="Y60" r:id="rId55" display="https://ec.europa.eu/eurostat/databrowser/view/DS-056120__custom_6262207/default/table" xr:uid="{0D6C3D4E-F801-419D-963B-24A1EC627D22}"/>
    <hyperlink ref="Y61" r:id="rId56" display="https://ec.europa.eu/eurostat/databrowser/view/DS-056120__custom_6262207/default/table" xr:uid="{BCCC3F43-8BB5-4AA7-84E6-A43B10E30E56}"/>
    <hyperlink ref="Y62" r:id="rId57" display="https://ec.europa.eu/eurostat/databrowser/view/DS-056120__custom_6262207/default/table" xr:uid="{D83CF9AB-42FC-4589-BBF9-3EFE4E0E829F}"/>
    <hyperlink ref="Y63" r:id="rId58" display="https://ec.europa.eu/eurostat/databrowser/view/DS-056120__custom_6262207/default/table" xr:uid="{BF59CC96-5A42-4F72-90EE-A285125009B5}"/>
    <hyperlink ref="Y64" r:id="rId59" display="https://ec.europa.eu/eurostat/databrowser/view/DS-056120__custom_6262207/default/table" xr:uid="{0A18CC3B-0EC4-4084-A3E0-7115199AB433}"/>
    <hyperlink ref="Y65" r:id="rId60" display="https://ec.europa.eu/eurostat/databrowser/view/DS-056120__custom_6262207/default/table" xr:uid="{40C3C992-76A3-4063-9D99-F90B0036DBD8}"/>
    <hyperlink ref="Y66" r:id="rId61" display="https://ec.europa.eu/eurostat/databrowser/view/DS-056120__custom_6262207/default/table" xr:uid="{0DDBECAF-3A71-4FA3-B206-28164DF09ACE}"/>
    <hyperlink ref="Y67" r:id="rId62" display="https://ec.europa.eu/eurostat/databrowser/view/DS-056120__custom_6262207/default/table" xr:uid="{2061A951-F410-4389-8E8E-43DAA149E56A}"/>
    <hyperlink ref="Y68" r:id="rId63" display="https://ec.europa.eu/eurostat/databrowser/view/DS-056120__custom_6262207/default/table" xr:uid="{002DBF5A-2FC7-4267-A9C7-5DC0BE745DB6}"/>
    <hyperlink ref="Y69" r:id="rId64" display="https://ec.europa.eu/eurostat/databrowser/view/DS-056120__custom_6262207/default/table" xr:uid="{688E0A48-80AD-47CE-AC90-1EEFC37A3FDF}"/>
    <hyperlink ref="Y70" r:id="rId65" display="https://ec.europa.eu/eurostat/databrowser/view/DS-056120__custom_6262207/default/table" xr:uid="{796795EA-0DEC-44EE-A8F3-5125109E7641}"/>
    <hyperlink ref="Y71" r:id="rId66" display="https://ec.europa.eu/eurostat/databrowser/view/DS-056120__custom_6262207/default/table" xr:uid="{19864F3D-3C22-4669-8771-A33D0929A5D1}"/>
    <hyperlink ref="Y72" r:id="rId67" display="https://ec.europa.eu/eurostat/databrowser/view/DS-056120__custom_6262207/default/table" xr:uid="{BE85AC31-1544-470B-A374-D8F9E846F4F3}"/>
    <hyperlink ref="Y73" r:id="rId68" display="https://ec.europa.eu/eurostat/databrowser/view/DS-056120__custom_6262207/default/table" xr:uid="{BBDDEFAD-DDEB-410B-8181-19A10AFD66C8}"/>
    <hyperlink ref="Y74" r:id="rId69" display="https://ec.europa.eu/eurostat/databrowser/view/DS-056120__custom_6262207/default/table" xr:uid="{D0C6D508-AFC8-4F1D-A062-4B67BA062122}"/>
    <hyperlink ref="Y75" r:id="rId70" display="https://ec.europa.eu/eurostat/databrowser/view/DS-056120__custom_6262207/default/table" xr:uid="{54419CE0-8ECD-479E-B7B5-4A71B95F0163}"/>
    <hyperlink ref="Y76" r:id="rId71" display="https://ec.europa.eu/eurostat/databrowser/view/DS-056120__custom_6262207/default/table" xr:uid="{32427EAB-B0F6-401C-A41C-32EE5DE5A45D}"/>
    <hyperlink ref="Y77" r:id="rId72" display="https://ec.europa.eu/eurostat/databrowser/view/DS-056120__custom_6262207/default/table" xr:uid="{5D5B4631-767F-43DE-B1C5-60B6FBD473EB}"/>
    <hyperlink ref="Y78" r:id="rId73" display="https://ec.europa.eu/eurostat/databrowser/view/DS-056120__custom_6262207/default/table" xr:uid="{60C34F0E-F8AE-4224-B53C-641C957753F5}"/>
    <hyperlink ref="Y79" r:id="rId74" display="https://ec.europa.eu/eurostat/databrowser/view/DS-056120__custom_6262207/default/table" xr:uid="{41ABBED8-76BD-4174-AD3B-83293C58BD75}"/>
    <hyperlink ref="Y80" r:id="rId75" display="https://ec.europa.eu/eurostat/databrowser/view/DS-056120__custom_6262207/default/table" xr:uid="{D4BC0877-BFF4-4291-81C6-2AE2072C6050}"/>
    <hyperlink ref="Y81" r:id="rId76" display="https://ec.europa.eu/eurostat/databrowser/view/DS-056120__custom_6262207/default/table" xr:uid="{54575032-5977-4EB7-B4F3-8ECC85FB0BAC}"/>
    <hyperlink ref="Y82" r:id="rId77" display="https://ec.europa.eu/eurostat/databrowser/view/DS-056120__custom_6262207/default/table" xr:uid="{DBED5066-6A8C-40E7-8B98-A420FAF8872B}"/>
    <hyperlink ref="Y83" r:id="rId78" display="https://ec.europa.eu/eurostat/databrowser/view/DS-056120__custom_6262207/default/table" xr:uid="{3A9216A6-D896-419F-B320-EA4C0E63CD3C}"/>
    <hyperlink ref="Y84" r:id="rId79" display="https://ec.europa.eu/eurostat/databrowser/view/DS-056120__custom_6262207/default/table" xr:uid="{EC0BDEBF-5AB3-4253-8136-39D94C4BDAB9}"/>
    <hyperlink ref="Y85" r:id="rId80" display="https://ec.europa.eu/eurostat/databrowser/view/DS-056120__custom_6262207/default/table" xr:uid="{554C90A8-EB3A-41DE-81AC-81FE93B9E4FE}"/>
    <hyperlink ref="Y86" r:id="rId81" display="https://ec.europa.eu/eurostat/databrowser/view/DS-056120__custom_6262207/default/table" xr:uid="{DEFF26AA-FECD-42E2-BD8A-16BF56E5BFCE}"/>
    <hyperlink ref="Y87" r:id="rId82" display="https://ec.europa.eu/eurostat/databrowser/view/DS-056120__custom_6262207/default/table" xr:uid="{355ED88C-6484-41B5-BD50-F7454B445210}"/>
    <hyperlink ref="Y88" r:id="rId83" display="https://ec.europa.eu/eurostat/databrowser/view/DS-056120__custom_6262207/default/table" xr:uid="{25548C2D-FD13-44F7-91E8-77F573BF865D}"/>
    <hyperlink ref="Y89" r:id="rId84" display="https://ec.europa.eu/eurostat/databrowser/view/DS-056120__custom_6262207/default/table" xr:uid="{01F066F3-1BD7-4D6B-8C7F-D85FDBD38778}"/>
    <hyperlink ref="Y90" r:id="rId85" display="https://ec.europa.eu/eurostat/databrowser/view/DS-056120__custom_6262207/default/table" xr:uid="{A87D9D23-94F2-480F-B1CF-72B453C4C43C}"/>
    <hyperlink ref="Y91" r:id="rId86" display="https://ec.europa.eu/eurostat/databrowser/view/DS-056120__custom_6262207/default/table" xr:uid="{2220E0A0-9158-4DFA-8000-17BFBBB0C7FA}"/>
    <hyperlink ref="Y92" r:id="rId87" display="https://ec.europa.eu/eurostat/databrowser/view/DS-056120__custom_6262207/default/table" xr:uid="{56D0372A-70EC-4B41-A7AC-B59252734F56}"/>
    <hyperlink ref="Y93" r:id="rId88" display="https://ec.europa.eu/eurostat/databrowser/view/DS-056120__custom_6262207/default/table" xr:uid="{73BC0966-84B1-4F4A-96C3-90D516D6AA65}"/>
    <hyperlink ref="Y94" r:id="rId89" display="https://ec.europa.eu/eurostat/databrowser/view/DS-056120__custom_6262207/default/table" xr:uid="{7763A0CE-C0C2-462C-AE45-BF6142D73AF9}"/>
    <hyperlink ref="Y95" r:id="rId90" display="https://ec.europa.eu/eurostat/databrowser/view/DS-056120__custom_6262207/default/table" xr:uid="{78ED67C3-61EF-402B-A31A-5F524443BC76}"/>
    <hyperlink ref="Y96" r:id="rId91" display="https://ec.europa.eu/eurostat/databrowser/view/DS-056120__custom_6262207/default/table" xr:uid="{8CB9EC13-9095-4E94-95DF-0421361E41A1}"/>
    <hyperlink ref="Y97" r:id="rId92" display="https://ec.europa.eu/eurostat/databrowser/view/DS-056120__custom_6262207/default/table" xr:uid="{2B1E6A78-82B7-4B3E-81D4-81BAE0A1795F}"/>
    <hyperlink ref="Y98" r:id="rId93" display="https://ec.europa.eu/eurostat/databrowser/view/DS-056120__custom_6262207/default/table" xr:uid="{957C69C8-C781-4C2D-811E-38EBB61C71CA}"/>
    <hyperlink ref="Y99" r:id="rId94" display="https://ec.europa.eu/eurostat/databrowser/view/DS-056120__custom_6262207/default/table" xr:uid="{4E495C49-D04B-4665-965C-CB63667F4E5C}"/>
    <hyperlink ref="Y100" r:id="rId95" display="https://ec.europa.eu/eurostat/databrowser/view/DS-056120__custom_6262207/default/table" xr:uid="{00D6C774-5173-4797-B2ED-5BA209607DAC}"/>
    <hyperlink ref="Y101" r:id="rId96" display="https://ec.europa.eu/eurostat/databrowser/view/DS-056120__custom_6262207/default/table" xr:uid="{FF39A70A-9D53-4609-B693-ECB95E0E7689}"/>
    <hyperlink ref="Y102" r:id="rId97" display="https://ec.europa.eu/eurostat/databrowser/view/DS-056120__custom_6262207/default/table" xr:uid="{19F78673-8765-4A7B-A521-5A34E04F7904}"/>
    <hyperlink ref="Y103" r:id="rId98" display="https://ec.europa.eu/eurostat/databrowser/view/DS-056120__custom_6262207/default/table" xr:uid="{9789C94F-5528-4251-BD04-4564231D664C}"/>
    <hyperlink ref="Y104" r:id="rId99" display="https://ec.europa.eu/eurostat/databrowser/view/DS-056120__custom_6262207/default/table" xr:uid="{51A6B2E6-D9E4-4DCF-9730-FDA503FC6658}"/>
    <hyperlink ref="Y105" r:id="rId100" display="https://ec.europa.eu/eurostat/databrowser/view/DS-056120__custom_6262207/default/table" xr:uid="{656DD412-9BE0-4E57-AB80-D226E95E29E2}"/>
    <hyperlink ref="Y106" r:id="rId101" display="https://ec.europa.eu/eurostat/databrowser/view/DS-056120__custom_6262207/default/table" xr:uid="{335562E0-170D-48B3-B1BC-4904DD0CD9C8}"/>
    <hyperlink ref="Y107" r:id="rId102" display="https://ec.europa.eu/eurostat/databrowser/view/DS-056120__custom_6262207/default/table" xr:uid="{8DDBF21B-F522-4EDF-8A46-C4EB82370716}"/>
    <hyperlink ref="Y108" r:id="rId103" display="https://ec.europa.eu/eurostat/databrowser/view/DS-056120__custom_6262207/default/table" xr:uid="{FD30715B-7590-471A-9C67-D622F17480AF}"/>
    <hyperlink ref="Y109" r:id="rId104" display="https://ec.europa.eu/eurostat/databrowser/view/DS-056120__custom_6262207/default/table" xr:uid="{AEA74F5E-391E-446F-9484-C79FE6561721}"/>
    <hyperlink ref="Y110" r:id="rId105" display="https://ec.europa.eu/eurostat/databrowser/view/DS-056120__custom_6262207/default/table" xr:uid="{60352034-2390-4CD4-9D6B-69D5CA841833}"/>
    <hyperlink ref="Y111" r:id="rId106" display="https://ec.europa.eu/eurostat/databrowser/view/DS-056120__custom_6262207/default/table" xr:uid="{8D714DA1-09DF-4C4F-A386-4F82B9C02565}"/>
    <hyperlink ref="Y112" r:id="rId107" display="https://ec.europa.eu/eurostat/databrowser/view/DS-056120__custom_6262207/default/table" xr:uid="{F3102D62-3050-4145-B165-7F8F5F685AA8}"/>
    <hyperlink ref="Y113" r:id="rId108" display="https://ec.europa.eu/eurostat/databrowser/view/DS-056120__custom_6262207/default/table" xr:uid="{A04AD01A-105D-4BC3-A84F-D63D5611156A}"/>
    <hyperlink ref="Y114" r:id="rId109" display="https://ec.europa.eu/eurostat/databrowser/view/DS-056120__custom_6262207/default/table" xr:uid="{39ED6D35-6B3E-42CF-A472-28AF56295352}"/>
    <hyperlink ref="Y115" r:id="rId110" display="https://ec.europa.eu/eurostat/databrowser/view/DS-056120__custom_6262207/default/table" xr:uid="{0AA333BE-3595-4E41-8B28-B7FD3C0C3755}"/>
    <hyperlink ref="Y116" r:id="rId111" display="https://ec.europa.eu/eurostat/databrowser/view/DS-056120__custom_6262207/default/table" xr:uid="{A4859DCE-0966-4A41-A8B2-9ADCF58DFD1C}"/>
    <hyperlink ref="Y117" r:id="rId112" display="https://ec.europa.eu/eurostat/databrowser/view/DS-056120__custom_6262207/default/table" xr:uid="{4EA5EF32-4AC5-4881-A557-B59EB8280500}"/>
    <hyperlink ref="Y118" r:id="rId113" display="https://ec.europa.eu/eurostat/databrowser/view/DS-056120__custom_6262207/default/table" xr:uid="{7933828D-587E-4DC3-9AB3-2AB8106C01AF}"/>
    <hyperlink ref="Y119" r:id="rId114" display="https://ec.europa.eu/eurostat/databrowser/view/DS-056120__custom_6262207/default/table" xr:uid="{EDFB8688-8BA8-4C32-93FE-95348E8ED1AE}"/>
    <hyperlink ref="Y120" r:id="rId115" display="https://ec.europa.eu/eurostat/databrowser/view/DS-056120__custom_6262207/default/table" xr:uid="{54D1E602-379F-4980-BBEE-61887A4FAD31}"/>
    <hyperlink ref="Y121" r:id="rId116" display="https://ec.europa.eu/eurostat/databrowser/view/DS-056120__custom_6262207/default/table" xr:uid="{11B19414-4EB8-43C2-B8DA-83D6BDB7AECA}"/>
    <hyperlink ref="Y122" r:id="rId117" display="https://ec.europa.eu/eurostat/databrowser/view/DS-056120__custom_6262207/default/table" xr:uid="{C3B98125-125F-4CEA-A2CB-93D339064B39}"/>
    <hyperlink ref="Y123" r:id="rId118" display="https://ec.europa.eu/eurostat/databrowser/view/DS-056120__custom_6262207/default/table" xr:uid="{E0B368EE-2F54-4AD5-A7B5-D48EB0262486}"/>
    <hyperlink ref="Y124" r:id="rId119" display="https://ec.europa.eu/eurostat/databrowser/view/DS-056120__custom_6262207/default/table" xr:uid="{9EB99649-2663-4FDA-9DF4-3073EFFB455E}"/>
    <hyperlink ref="Y125" r:id="rId120" display="https://ec.europa.eu/eurostat/databrowser/view/DS-056120__custom_6262207/default/table" xr:uid="{1A717E65-540F-4F1E-9FDC-8B4B5B247035}"/>
    <hyperlink ref="Y126" r:id="rId121" display="https://ec.europa.eu/eurostat/databrowser/view/DS-056120__custom_6262207/default/table" xr:uid="{8BF891F5-E245-4A48-B5DE-017F58769A92}"/>
    <hyperlink ref="Y127" r:id="rId122" display="https://ec.europa.eu/eurostat/databrowser/view/DS-056120__custom_6262207/default/table" xr:uid="{7820DAC7-5D07-4DA5-B1F4-482FE5C47F12}"/>
    <hyperlink ref="Y128" r:id="rId123" display="https://ec.europa.eu/eurostat/databrowser/view/DS-056120__custom_6262207/default/table" xr:uid="{0243DE86-04B0-4A17-BD50-6C6AD5D8199F}"/>
    <hyperlink ref="Y129" r:id="rId124" display="https://ec.europa.eu/eurostat/databrowser/view/DS-056120__custom_6262207/default/table" xr:uid="{401ED45C-A29F-4248-9E01-3E664D3E7306}"/>
    <hyperlink ref="Y130" r:id="rId125" display="https://ec.europa.eu/eurostat/databrowser/view/DS-056120__custom_6262207/default/table" xr:uid="{B12837FC-8472-4763-87B2-610B83950A00}"/>
    <hyperlink ref="Y131" r:id="rId126" display="https://ec.europa.eu/eurostat/databrowser/view/DS-056120__custom_6262207/default/table" xr:uid="{65E3DF89-DEFE-45AF-951A-96D531D36B1B}"/>
    <hyperlink ref="Y132" r:id="rId127" display="https://ec.europa.eu/eurostat/databrowser/view/DS-056120__custom_6262207/default/table" xr:uid="{C0BCFC87-1D61-4184-9B9D-C1E663335696}"/>
    <hyperlink ref="Y133" r:id="rId128" display="https://ec.europa.eu/eurostat/databrowser/view/DS-056120__custom_6262207/default/table" xr:uid="{49D07438-6FD9-4DA1-A2F0-2F6982ABDE94}"/>
    <hyperlink ref="Y134" r:id="rId129" display="https://ec.europa.eu/eurostat/databrowser/view/DS-056120__custom_6262207/default/table" xr:uid="{E7F17930-6EA2-421D-81D0-97D6E7736DEF}"/>
    <hyperlink ref="Y135" r:id="rId130" display="https://ec.europa.eu/eurostat/databrowser/view/DS-056120__custom_6262207/default/table" xr:uid="{A12BF3EF-AA45-4E1B-AF98-7260DE9E886D}"/>
    <hyperlink ref="Y136" r:id="rId131" display="https://ec.europa.eu/eurostat/databrowser/view/DS-056120__custom_6262207/default/table" xr:uid="{A45EACD1-D345-4A21-BCC5-7D2D3A6BEB53}"/>
    <hyperlink ref="Y137" r:id="rId132" display="https://ec.europa.eu/eurostat/databrowser/view/DS-056120__custom_6262207/default/table" xr:uid="{FAE6600D-2D67-4474-86F7-60451EFACA81}"/>
    <hyperlink ref="Y138" r:id="rId133" display="https://ec.europa.eu/eurostat/databrowser/view/DS-056120__custom_6262207/default/table" xr:uid="{CADE381D-D03E-4460-BDFE-062AA996254E}"/>
    <hyperlink ref="Y139" r:id="rId134" display="https://ec.europa.eu/eurostat/databrowser/view/DS-056120__custom_6262207/default/table" xr:uid="{542E2038-2BD9-4868-9FE8-F3AFFF695AD7}"/>
    <hyperlink ref="Y140" r:id="rId135" display="https://ec.europa.eu/eurostat/databrowser/view/DS-056120__custom_6262207/default/table" xr:uid="{789F02DD-965C-4D86-9403-756B9D1907BD}"/>
    <hyperlink ref="Y141" r:id="rId136" display="https://ec.europa.eu/eurostat/databrowser/view/DS-056120__custom_6262207/default/table" xr:uid="{19E0A8B1-67F9-4FCA-A505-F8535C3965B7}"/>
    <hyperlink ref="Y142" r:id="rId137" display="https://ec.europa.eu/eurostat/databrowser/view/DS-056120__custom_6262207/default/table" xr:uid="{3190CB59-EE6A-4CCC-9D4B-696CA92B4538}"/>
    <hyperlink ref="Y143" r:id="rId138" display="https://ec.europa.eu/eurostat/databrowser/view/DS-056120__custom_6262207/default/table" xr:uid="{B0538B23-9F8E-470B-889E-AF2766C37622}"/>
    <hyperlink ref="Y144" r:id="rId139" display="https://ec.europa.eu/eurostat/databrowser/view/DS-056120__custom_6262207/default/table" xr:uid="{8A86B40E-561E-440D-9438-4356B91F7710}"/>
    <hyperlink ref="Y145" r:id="rId140" display="https://ec.europa.eu/eurostat/databrowser/view/DS-056120__custom_6262207/default/table" xr:uid="{5CFE90D8-4F3F-4150-8401-828ADF4066BA}"/>
    <hyperlink ref="Y146" r:id="rId141" display="https://ec.europa.eu/eurostat/databrowser/view/DS-056120__custom_6262207/default/table" xr:uid="{46C401AE-7320-43FD-8ECF-C73157EA2DD3}"/>
    <hyperlink ref="Y147" r:id="rId142" display="https://ec.europa.eu/eurostat/databrowser/view/DS-056120__custom_6262207/default/table" xr:uid="{49F03598-6044-4634-827B-FC601AE7C611}"/>
    <hyperlink ref="Y148" r:id="rId143" display="https://ec.europa.eu/eurostat/databrowser/view/DS-056120__custom_6262207/default/table" xr:uid="{C391C91F-F9C3-4EED-AD2C-3886AE0405E5}"/>
    <hyperlink ref="Y149" r:id="rId144" display="https://ec.europa.eu/eurostat/databrowser/view/DS-056120__custom_6262207/default/table" xr:uid="{276F135F-A217-4E1D-B290-6CA1557CAF54}"/>
    <hyperlink ref="Y150" r:id="rId145" display="https://ec.europa.eu/eurostat/databrowser/view/DS-056120__custom_6262207/default/table" xr:uid="{D5FE95FB-F1DC-4AD3-8C4D-4D9D30EA3F7A}"/>
    <hyperlink ref="Y151" r:id="rId146" display="https://ec.europa.eu/eurostat/databrowser/view/DS-056120__custom_6262207/default/table" xr:uid="{84BC926A-6E9F-4FE7-B812-637A4EA8CB62}"/>
    <hyperlink ref="Y152" r:id="rId147" display="https://ec.europa.eu/eurostat/databrowser/view/DS-056120__custom_6262207/default/table" xr:uid="{1ECA4B07-8F9D-4CC8-970D-0EB2FC406333}"/>
    <hyperlink ref="Y153" r:id="rId148" display="https://ec.europa.eu/eurostat/databrowser/view/DS-056120__custom_6262207/default/table" xr:uid="{25099F2F-85A8-4CE6-B774-B969A86B5EF7}"/>
    <hyperlink ref="Y154" r:id="rId149" display="https://ec.europa.eu/eurostat/databrowser/view/DS-056120__custom_6262207/default/table" xr:uid="{3BB06D3D-B0AF-4A8B-9C8B-88062045E40B}"/>
    <hyperlink ref="Y155" r:id="rId150" display="https://ec.europa.eu/eurostat/databrowser/view/DS-056120__custom_6262207/default/table" xr:uid="{B545D1C9-F4DD-4F1B-A4DE-A20CBFDA20DC}"/>
    <hyperlink ref="Y156" r:id="rId151" display="https://ec.europa.eu/eurostat/databrowser/view/DS-056120__custom_6262207/default/table" xr:uid="{6DB56DDC-156E-45B3-8E76-A5AAFDC055A4}"/>
    <hyperlink ref="Y157" r:id="rId152" display="https://ec.europa.eu/eurostat/databrowser/view/DS-056120__custom_6262207/default/table" xr:uid="{46863429-E295-42DE-86CA-1BC6324FE955}"/>
    <hyperlink ref="Y158" r:id="rId153" display="https://ec.europa.eu/eurostat/databrowser/view/DS-056120__custom_6262207/default/table" xr:uid="{055D0E8F-760B-4F17-9C41-56F9372931B6}"/>
    <hyperlink ref="Y159" r:id="rId154" display="https://ec.europa.eu/eurostat/databrowser/view/DS-056120__custom_6262207/default/table" xr:uid="{921ACE81-1154-452F-A28F-E36317261594}"/>
    <hyperlink ref="Y160" r:id="rId155" display="https://ec.europa.eu/eurostat/databrowser/view/DS-056120__custom_6262207/default/table" xr:uid="{FC8CD94C-C9FE-4A6B-A922-659D2FF5E58B}"/>
    <hyperlink ref="Y161" r:id="rId156" display="https://ec.europa.eu/eurostat/databrowser/view/DS-056120__custom_6262207/default/table" xr:uid="{978D1260-F543-42BF-88B7-ACA083F2B886}"/>
    <hyperlink ref="Y162" r:id="rId157" display="https://ec.europa.eu/eurostat/databrowser/view/DS-056120__custom_6262207/default/table" xr:uid="{6BE215AD-27F2-411B-B696-DD338997B249}"/>
    <hyperlink ref="Y163" r:id="rId158" display="https://ec.europa.eu/eurostat/databrowser/view/DS-056120__custom_6262207/default/table" xr:uid="{DCE19D8C-ABE2-41A5-9B13-BA21652BBE39}"/>
    <hyperlink ref="Y164" r:id="rId159" display="https://ec.europa.eu/eurostat/databrowser/view/DS-056120__custom_6262207/default/table" xr:uid="{F10833E3-6519-4DD8-B2F1-306B66A54BCC}"/>
    <hyperlink ref="Y165" r:id="rId160" display="https://ec.europa.eu/eurostat/databrowser/view/DS-056120__custom_6262207/default/table" xr:uid="{1522D38E-A472-4C6D-A4A5-4A579FA556D9}"/>
    <hyperlink ref="Y166" r:id="rId161" display="https://ec.europa.eu/eurostat/databrowser/view/DS-056120__custom_6262207/default/table" xr:uid="{A8A515AE-73E7-4AF4-A004-BBAC667761D6}"/>
    <hyperlink ref="Y167" r:id="rId162" display="https://ec.europa.eu/eurostat/databrowser/view/DS-056120__custom_6262207/default/table" xr:uid="{BA0AA0FA-36CF-47A4-B919-ACDF9D0C9DC3}"/>
    <hyperlink ref="Y168" r:id="rId163" display="https://ec.europa.eu/eurostat/databrowser/view/DS-056120__custom_6262207/default/table" xr:uid="{2552B7E6-338C-4CBE-94C4-38D6480D11BF}"/>
    <hyperlink ref="Y169" r:id="rId164" display="https://ec.europa.eu/eurostat/databrowser/view/DS-056120__custom_6262207/default/table" xr:uid="{640E04C5-EBBD-4FE5-A89A-8FC99BF17CD0}"/>
    <hyperlink ref="Y170" r:id="rId165" display="https://ec.europa.eu/eurostat/databrowser/view/DS-056120__custom_6262207/default/table" xr:uid="{C265DB43-85D3-40D2-BE38-CE2665CBEE49}"/>
    <hyperlink ref="Y171" r:id="rId166" display="https://ec.europa.eu/eurostat/databrowser/view/DS-056120__custom_6262207/default/table" xr:uid="{13428220-F65B-4BE7-8EB1-C78C83E606FC}"/>
    <hyperlink ref="Y172" r:id="rId167" display="https://ec.europa.eu/eurostat/databrowser/view/DS-056120__custom_6262207/default/table" xr:uid="{10B3ABC5-5ECA-4368-B0CF-F04F620C4327}"/>
    <hyperlink ref="Y173" r:id="rId168" display="https://ec.europa.eu/eurostat/databrowser/view/DS-056120__custom_6262207/default/table" xr:uid="{F1CB44EB-890C-4017-8DE3-FD3AF5D0A06F}"/>
    <hyperlink ref="Y174" r:id="rId169" display="https://ec.europa.eu/eurostat/databrowser/view/DS-056120__custom_6262207/default/table" xr:uid="{45182A93-F4ED-4654-99A7-B8EC74C4F223}"/>
    <hyperlink ref="Y175" r:id="rId170" display="https://ec.europa.eu/eurostat/databrowser/view/DS-056120__custom_6262207/default/table" xr:uid="{474B4F93-4AE0-49AC-A6D0-E809C0DBC009}"/>
    <hyperlink ref="Y176" r:id="rId171" display="https://ec.europa.eu/eurostat/databrowser/view/DS-056120__custom_6262207/default/table" xr:uid="{A9815282-8913-4B6A-8CD2-F2ECD71236F1}"/>
    <hyperlink ref="Y177" r:id="rId172" display="https://ec.europa.eu/eurostat/databrowser/view/DS-056120__custom_6262207/default/table" xr:uid="{C8EE7246-3D8E-4CD9-BE5C-E0A8D745D3F4}"/>
    <hyperlink ref="Y178" r:id="rId173" display="https://ec.europa.eu/eurostat/databrowser/view/DS-056120__custom_6262207/default/table" xr:uid="{C4DAA641-665D-42B4-9A3C-FDC9D526C620}"/>
    <hyperlink ref="Y179" r:id="rId174" display="https://ec.europa.eu/eurostat/databrowser/view/DS-056120__custom_6262207/default/table" xr:uid="{4FAAC208-9F76-4101-8C47-03F1C415997B}"/>
    <hyperlink ref="Y180" r:id="rId175" display="https://ec.europa.eu/eurostat/databrowser/view/DS-056120__custom_6262207/default/table" xr:uid="{1AB351ED-5067-4D1B-881D-7F855B9AF018}"/>
    <hyperlink ref="Y181" r:id="rId176" display="https://ec.europa.eu/eurostat/databrowser/view/DS-056120__custom_6262207/default/table" xr:uid="{51EACE68-17E2-4FCC-92F1-E4CD3E0652E1}"/>
    <hyperlink ref="Y182" r:id="rId177" display="https://ec.europa.eu/eurostat/databrowser/view/DS-056120__custom_6262207/default/table" xr:uid="{3A5FBADB-4CB6-41BE-BE3E-5096FCA5A295}"/>
    <hyperlink ref="Y183" r:id="rId178" display="https://ec.europa.eu/eurostat/databrowser/view/DS-056120__custom_6262207/default/table" xr:uid="{135ED266-88FE-4F97-A090-D281DBA4BC5E}"/>
    <hyperlink ref="Y184" r:id="rId179" display="https://ec.europa.eu/eurostat/databrowser/view/DS-056120__custom_6262207/default/table" xr:uid="{E2870E67-B3BE-411C-A76E-753999865CB9}"/>
    <hyperlink ref="Y185" r:id="rId180" display="https://ec.europa.eu/eurostat/databrowser/view/DS-056120__custom_6262207/default/table" xr:uid="{5E42F7E9-8F66-4F8F-872A-079833053551}"/>
    <hyperlink ref="Y186" r:id="rId181" display="https://ec.europa.eu/eurostat/databrowser/view/DS-056120__custom_6262207/default/table" xr:uid="{A42AFD0C-297F-46E9-965A-21ECC10D19DE}"/>
    <hyperlink ref="Y187" r:id="rId182" display="https://ec.europa.eu/eurostat/databrowser/view/DS-056120__custom_6262207/default/table" xr:uid="{3C38BEAB-779C-43C3-B6B1-D82581895508}"/>
    <hyperlink ref="Y188" r:id="rId183" display="https://ec.europa.eu/eurostat/databrowser/view/DS-056120__custom_6262207/default/table" xr:uid="{719FE2B0-B5DC-43C3-9F12-E246E77D2BEF}"/>
    <hyperlink ref="Y189" r:id="rId184" display="https://ec.europa.eu/eurostat/databrowser/view/DS-056120__custom_6262207/default/table" xr:uid="{0617E715-5175-459A-83E0-598BEBA68BE3}"/>
    <hyperlink ref="Y190" r:id="rId185" display="https://ec.europa.eu/eurostat/databrowser/view/DS-056120__custom_6262207/default/table" xr:uid="{0F317415-F1A6-4AFB-9B2D-525F18C63F95}"/>
    <hyperlink ref="Y191" r:id="rId186" display="https://ec.europa.eu/eurostat/databrowser/view/DS-056120__custom_6262207/default/table" xr:uid="{FB4D5B23-F739-43EF-BC7B-EA1E3D0AB759}"/>
    <hyperlink ref="Y192" r:id="rId187" display="https://ec.europa.eu/eurostat/databrowser/view/DS-056120__custom_6262207/default/table" xr:uid="{0DEDE10A-3933-4269-AAE5-F0C9B8B565BE}"/>
    <hyperlink ref="Y193" r:id="rId188" display="https://ec.europa.eu/eurostat/databrowser/view/DS-056120__custom_6262207/default/table" xr:uid="{A56AEFCB-36A3-4FF5-B74F-424EEC9CD282}"/>
    <hyperlink ref="Y194" r:id="rId189" display="https://ec.europa.eu/eurostat/databrowser/view/DS-056120__custom_6262207/default/table" xr:uid="{CD969810-0375-49B1-BB35-7AC60FCC94B9}"/>
    <hyperlink ref="Y195" r:id="rId190" display="https://ec.europa.eu/eurostat/databrowser/view/DS-056120__custom_6262207/default/table" xr:uid="{E00CF035-CDF5-4ED0-8B24-7C50B1BB9B90}"/>
    <hyperlink ref="Y196" r:id="rId191" display="https://ec.europa.eu/eurostat/databrowser/view/DS-056120__custom_6262207/default/table" xr:uid="{0FD394DA-D879-4055-B991-9BD05940D3A4}"/>
    <hyperlink ref="Y197" r:id="rId192" display="https://ec.europa.eu/eurostat/databrowser/view/DS-056120__custom_6262207/default/table" xr:uid="{D4F07208-2B6D-4B2F-BD35-22441BE38B23}"/>
    <hyperlink ref="Y198" r:id="rId193" display="https://ec.europa.eu/eurostat/databrowser/view/DS-056120__custom_6262207/default/table" xr:uid="{E77885F7-8F90-4EF6-A3DC-DD99F5DE7AEC}"/>
    <hyperlink ref="Y199" r:id="rId194" display="https://ec.europa.eu/eurostat/databrowser/view/DS-056120__custom_6262207/default/table" xr:uid="{F29C35B6-A038-4CF3-B5FF-69074FAACFD2}"/>
    <hyperlink ref="Y200" r:id="rId195" display="https://ec.europa.eu/eurostat/databrowser/view/DS-056120__custom_6262207/default/table" xr:uid="{2292579E-F63C-4BFC-8EDF-B85D58F9A7C1}"/>
    <hyperlink ref="Y201" r:id="rId196" display="https://ec.europa.eu/eurostat/databrowser/view/DS-056120__custom_6262207/default/table" xr:uid="{32D0FB83-516A-4A35-99F9-962000EB0DD2}"/>
    <hyperlink ref="Y202" r:id="rId197" display="https://ec.europa.eu/eurostat/databrowser/view/DS-056120__custom_6262207/default/table" xr:uid="{BC188EC3-B742-438C-AD32-9CE621A9C5FA}"/>
    <hyperlink ref="Y203" r:id="rId198" display="https://ec.europa.eu/eurostat/databrowser/view/DS-056120__custom_6262207/default/table" xr:uid="{0F29F02F-70DA-4D7C-9447-7998371F606D}"/>
    <hyperlink ref="Y204" r:id="rId199" display="https://ec.europa.eu/eurostat/databrowser/view/DS-056120__custom_6262207/default/table" xr:uid="{179546FA-8172-419B-BFBD-AE38667E6862}"/>
    <hyperlink ref="Y205" r:id="rId200" display="https://ec.europa.eu/eurostat/databrowser/view/DS-056120__custom_6262207/default/table" xr:uid="{BBACEE68-F6F7-4240-804F-ABC9F88D3EF1}"/>
    <hyperlink ref="Y206" r:id="rId201" display="https://ec.europa.eu/eurostat/databrowser/view/DS-056120__custom_6262207/default/table" xr:uid="{CD067C22-803C-459D-8C5F-9ADDCBDD9EEB}"/>
    <hyperlink ref="Y207" r:id="rId202" display="https://ec.europa.eu/eurostat/databrowser/view/DS-056120__custom_6262207/default/table" xr:uid="{9462A640-363D-4089-BCE5-2F9323B1068B}"/>
    <hyperlink ref="Y208" r:id="rId203" display="https://ec.europa.eu/eurostat/databrowser/view/DS-056120__custom_6262207/default/table" xr:uid="{84F91F04-BC8C-4703-A206-61C851989491}"/>
    <hyperlink ref="Y209" r:id="rId204" display="https://ec.europa.eu/eurostat/databrowser/view/DS-056120__custom_6262207/default/table" xr:uid="{97E869C9-CB4F-4581-87EF-0D769195E9AE}"/>
    <hyperlink ref="Y210" r:id="rId205" display="https://ec.europa.eu/eurostat/databrowser/view/DS-056120__custom_6262207/default/table" xr:uid="{66200AE5-695E-4F43-8958-987147D78442}"/>
    <hyperlink ref="Y211" r:id="rId206" display="https://ec.europa.eu/eurostat/databrowser/view/DS-056120__custom_6262207/default/table" xr:uid="{D6CFD66B-8549-412E-9596-28F32893947B}"/>
    <hyperlink ref="Y212" r:id="rId207" display="https://ec.europa.eu/eurostat/databrowser/view/DS-056120__custom_6262207/default/table" xr:uid="{C0A71988-BD9E-40E8-9F10-41D2B612FC5B}"/>
    <hyperlink ref="Y213" r:id="rId208" display="https://ec.europa.eu/eurostat/databrowser/view/DS-056120__custom_6262207/default/table" xr:uid="{0134B655-1CD6-43C5-926D-B90921FD218A}"/>
    <hyperlink ref="Y214" r:id="rId209" display="https://ec.europa.eu/eurostat/databrowser/view/DS-056120__custom_6262207/default/table" xr:uid="{EE1E0A53-577F-4FF1-9028-10B38B990980}"/>
    <hyperlink ref="Y215" r:id="rId210" display="https://ec.europa.eu/eurostat/databrowser/view/DS-056120__custom_6262207/default/table" xr:uid="{C816344D-8119-427A-9963-7E9446640CC4}"/>
    <hyperlink ref="Y216" r:id="rId211" display="https://ec.europa.eu/eurostat/databrowser/view/DS-056120__custom_6262207/default/table" xr:uid="{661EB852-610D-41E9-BB48-781DF664007A}"/>
    <hyperlink ref="Y217" r:id="rId212" display="https://ec.europa.eu/eurostat/databrowser/view/DS-056120__custom_6262207/default/table" xr:uid="{0DC1C5D9-0FB2-49A1-B30E-DB604FBEA6E9}"/>
    <hyperlink ref="Y218" r:id="rId213" display="https://ec.europa.eu/eurostat/databrowser/view/DS-056120__custom_6262207/default/table" xr:uid="{04928330-F01F-47E7-8ECA-0BFA367A544E}"/>
    <hyperlink ref="Y219" r:id="rId214" display="https://ec.europa.eu/eurostat/databrowser/view/DS-056120__custom_6262207/default/table" xr:uid="{E426F9C4-2448-4588-91F6-3C42D1FAC584}"/>
    <hyperlink ref="Y220" r:id="rId215" display="https://ec.europa.eu/eurostat/databrowser/view/DS-056120__custom_6262207/default/table" xr:uid="{2A5294DA-DC59-41E0-8FAA-238B92A23256}"/>
    <hyperlink ref="Y221" r:id="rId216" display="https://ec.europa.eu/eurostat/databrowser/view/DS-056120__custom_6262207/default/table" xr:uid="{8D886420-1AC3-42F2-ADBA-20FE8697686C}"/>
    <hyperlink ref="Y222" r:id="rId217" display="https://ec.europa.eu/eurostat/databrowser/view/DS-056120__custom_6262207/default/table" xr:uid="{3B5D8B9F-651D-4C9B-BC72-768C1E8C397F}"/>
    <hyperlink ref="Y223" r:id="rId218" display="https://ec.europa.eu/eurostat/databrowser/view/DS-056120__custom_6262207/default/table" xr:uid="{810711C7-7919-4BFE-B46E-3D80E7CAFDF3}"/>
    <hyperlink ref="Y224" r:id="rId219" display="https://ec.europa.eu/eurostat/databrowser/view/DS-056120__custom_6262207/default/table" xr:uid="{A182D5F8-B3F9-44AC-A8F0-CDCC5C2B2A8B}"/>
    <hyperlink ref="Y225" r:id="rId220" display="https://ec.europa.eu/eurostat/databrowser/view/DS-056120__custom_6262207/default/table" xr:uid="{EF6399B2-DCEA-4441-849F-72D8942937CC}"/>
    <hyperlink ref="Y226" r:id="rId221" display="https://ec.europa.eu/eurostat/databrowser/view/DS-056120__custom_6262207/default/table" xr:uid="{44599168-A5AB-4DA0-B20D-F5B131078BF8}"/>
    <hyperlink ref="Y227" r:id="rId222" display="https://ec.europa.eu/eurostat/databrowser/view/DS-056120__custom_6262207/default/table" xr:uid="{60781C66-EC30-4835-A493-884FB7818E15}"/>
    <hyperlink ref="Y228" r:id="rId223" display="https://ec.europa.eu/eurostat/databrowser/view/DS-056120__custom_6262207/default/table" xr:uid="{E32A6B78-C214-49CC-8CDF-AEB4CDF863AE}"/>
    <hyperlink ref="Y229" r:id="rId224" display="https://ec.europa.eu/eurostat/databrowser/view/DS-056120__custom_6262207/default/table" xr:uid="{A98118FC-F473-476F-B31A-F488F0F7A298}"/>
    <hyperlink ref="Y230" r:id="rId225" display="https://ec.europa.eu/eurostat/databrowser/view/DS-056120__custom_6262207/default/table" xr:uid="{AA0D0F4D-7259-4DCA-9CD0-DA58EF6F33F0}"/>
    <hyperlink ref="Y231" r:id="rId226" display="https://ec.europa.eu/eurostat/databrowser/view/DS-056120__custom_6262207/default/table" xr:uid="{5D44E765-056E-432B-816D-C6D0A49C8D57}"/>
    <hyperlink ref="Y232" r:id="rId227" display="https://ec.europa.eu/eurostat/databrowser/view/DS-056120__custom_6262207/default/table" xr:uid="{DD8A80F3-5650-4B00-A734-E4AB8392E9A5}"/>
    <hyperlink ref="Y233" r:id="rId228" display="https://ec.europa.eu/eurostat/databrowser/view/DS-056120__custom_6262207/default/table" xr:uid="{4AA22814-C2F3-4FE2-9310-6B7FA1823875}"/>
    <hyperlink ref="Y234" r:id="rId229" display="https://ec.europa.eu/eurostat/databrowser/view/DS-056120__custom_6262207/default/table" xr:uid="{13BFB366-D063-4943-9975-250C8761506E}"/>
    <hyperlink ref="Y235" r:id="rId230" display="https://ec.europa.eu/eurostat/databrowser/view/DS-056120__custom_6262207/default/table" xr:uid="{DBDD7DE4-D6DB-4F50-9179-341A0A06F862}"/>
    <hyperlink ref="Y236" r:id="rId231" display="https://ec.europa.eu/eurostat/databrowser/view/DS-056120__custom_6262207/default/table" xr:uid="{851B6413-F29C-460E-B9B2-4774171D4296}"/>
    <hyperlink ref="Y237" r:id="rId232" display="https://ec.europa.eu/eurostat/databrowser/view/DS-056120__custom_6262207/default/table" xr:uid="{EDD21B04-93AE-44C6-84D9-FB48CB56ACB6}"/>
    <hyperlink ref="Y238" r:id="rId233" display="https://ec.europa.eu/eurostat/databrowser/view/DS-056120__custom_6262207/default/table" xr:uid="{41D64DF3-5CB2-40F2-8FE8-8C91AE7AEE9E}"/>
    <hyperlink ref="Y239" r:id="rId234" display="https://ec.europa.eu/eurostat/databrowser/view/DS-056120__custom_6262207/default/table" xr:uid="{035B0496-EAFA-4198-BFBF-A544435F1E83}"/>
    <hyperlink ref="Y240" r:id="rId235" display="https://ec.europa.eu/eurostat/databrowser/view/DS-056120__custom_6262207/default/table" xr:uid="{3F0061A6-BB18-4824-8C68-2A44569094D3}"/>
    <hyperlink ref="Y241" r:id="rId236" display="https://ec.europa.eu/eurostat/databrowser/view/DS-056120__custom_6262207/default/table" xr:uid="{F5E9E301-A463-4FFC-8A70-0BA3F3E386A5}"/>
    <hyperlink ref="Y242" r:id="rId237" display="https://ec.europa.eu/eurostat/databrowser/view/DS-056120__custom_6262207/default/table" xr:uid="{0259FB23-D95D-4DF1-BDF2-4EA4889949A9}"/>
    <hyperlink ref="Y243" r:id="rId238" display="https://ec.europa.eu/eurostat/databrowser/view/DS-056120__custom_6262207/default/table" xr:uid="{517757E6-2146-4B43-AD97-980AAB4A8972}"/>
    <hyperlink ref="Y244" r:id="rId239" display="https://ec.europa.eu/eurostat/databrowser/view/DS-056120__custom_6262207/default/table" xr:uid="{BAD6E54C-C70F-42D1-BAC7-912CD49C0B77}"/>
    <hyperlink ref="Y245" r:id="rId240" display="https://ec.europa.eu/eurostat/databrowser/view/DS-056120__custom_6262207/default/table" xr:uid="{43CA15FD-687F-4670-89F3-C0A1C685360A}"/>
    <hyperlink ref="Y246" r:id="rId241" display="https://ec.europa.eu/eurostat/databrowser/view/DS-056120__custom_6262207/default/table" xr:uid="{EEA274BA-F4E9-4348-9656-ECAFFA1F5D85}"/>
    <hyperlink ref="Y247" r:id="rId242" display="https://ec.europa.eu/eurostat/databrowser/view/DS-056120__custom_6262207/default/table" xr:uid="{90D55E65-BE94-48EE-A8E0-35725D5DE336}"/>
    <hyperlink ref="Y248" r:id="rId243" display="https://ec.europa.eu/eurostat/databrowser/view/DS-056120__custom_6262207/default/table" xr:uid="{70866DCB-C39B-43C2-84BC-943124DD2A13}"/>
    <hyperlink ref="Y249" r:id="rId244" display="https://ec.europa.eu/eurostat/databrowser/view/DS-056120__custom_6262207/default/table" xr:uid="{B1ED9687-26BC-472E-A9E4-EE1AC6834918}"/>
    <hyperlink ref="Y250" r:id="rId245" display="https://ec.europa.eu/eurostat/databrowser/view/DS-056120__custom_6262207/default/table" xr:uid="{EDBD7703-AF46-4072-B9D3-CDC1AEF4C65D}"/>
    <hyperlink ref="Y251" r:id="rId246" display="https://ec.europa.eu/eurostat/databrowser/view/DS-056120__custom_6262207/default/table" xr:uid="{61CD4C07-ED2B-48A7-A0C7-AAEDEFA0E1DC}"/>
    <hyperlink ref="Y252" r:id="rId247" display="https://ec.europa.eu/eurostat/databrowser/view/DS-056120__custom_6262207/default/table" xr:uid="{E63D672E-76B7-4295-9355-B9EA16578AB2}"/>
  </hyperlinks>
  <pageMargins left="0.7" right="0.7" top="0.75" bottom="0.75" header="0.3" footer="0.3"/>
  <pageSetup orientation="portrait" r:id="rId248"/>
  <extLst>
    <ext xmlns:x14="http://schemas.microsoft.com/office/spreadsheetml/2009/9/main" uri="{78C0D931-6437-407d-A8EE-F0AAD7539E65}">
      <x14:conditionalFormattings>
        <x14:conditionalFormatting xmlns:xm="http://schemas.microsoft.com/office/excel/2006/main">
          <x14:cfRule type="dataBar" id="{957D7B16-265C-4623-A7A8-2B770FC37256}">
            <x14:dataBar minLength="0" maxLength="100" gradient="0">
              <x14:cfvo type="autoMin"/>
              <x14:cfvo type="autoMax"/>
              <x14:negativeFillColor rgb="FFFF0000"/>
              <x14:axisColor rgb="FF000000"/>
            </x14:dataBar>
          </x14:cfRule>
          <xm:sqref>D414:P453</xm:sqref>
        </x14:conditionalFormatting>
        <x14:conditionalFormatting xmlns:xm="http://schemas.microsoft.com/office/excel/2006/main">
          <x14:cfRule type="dataBar" id="{C5A53CB8-7286-4FE7-AE8E-AA89EC0DA347}">
            <x14:dataBar minLength="0" maxLength="100" gradient="0">
              <x14:cfvo type="autoMin"/>
              <x14:cfvo type="num">
                <xm:f>4</xm:f>
              </x14:cfvo>
              <x14:negativeFillColor rgb="FFFF0000"/>
              <x14:axisColor rgb="FF000000"/>
            </x14:dataBar>
          </x14:cfRule>
          <xm:sqref>H368:H380 J368:M380</xm:sqref>
        </x14:conditionalFormatting>
        <x14:conditionalFormatting xmlns:xm="http://schemas.microsoft.com/office/excel/2006/main">
          <x14:cfRule type="dataBar" id="{F8B1F0CB-9BC9-4040-9C43-D00C39456DD1}">
            <x14:dataBar minLength="0" maxLength="100" gradient="0">
              <x14:cfvo type="autoMin"/>
              <x14:cfvo type="num">
                <xm:f>4</xm:f>
              </x14:cfvo>
              <x14:negativeFillColor rgb="FFFF0000"/>
              <x14:axisColor rgb="FF000000"/>
            </x14:dataBar>
          </x14:cfRule>
          <xm:sqref>H364:M364</xm:sqref>
        </x14:conditionalFormatting>
        <x14:conditionalFormatting xmlns:xm="http://schemas.microsoft.com/office/excel/2006/main">
          <x14:cfRule type="dataBar" id="{314B60D7-FC16-44D8-B26B-4C67A0B45523}">
            <x14:dataBar minLength="0" maxLength="100" gradient="0">
              <x14:cfvo type="autoMin"/>
              <x14:cfvo type="num">
                <xm:f>4</xm:f>
              </x14:cfvo>
              <x14:negativeFillColor rgb="FFFF0000"/>
              <x14:axisColor rgb="FF000000"/>
            </x14:dataBar>
          </x14:cfRule>
          <xm:sqref>H365:M366 H361:M363</xm:sqref>
        </x14:conditionalFormatting>
        <x14:conditionalFormatting xmlns:xm="http://schemas.microsoft.com/office/excel/2006/main">
          <x14:cfRule type="dataBar" id="{A847D5C0-838A-4CB6-ABC9-B1E505FBCED8}">
            <x14:dataBar minLength="0" maxLength="100" gradient="0">
              <x14:cfvo type="autoMin"/>
              <x14:cfvo type="num">
                <xm:f>4</xm:f>
              </x14:cfvo>
              <x14:negativeFillColor rgb="FFFF0000"/>
              <x14:axisColor rgb="FF000000"/>
            </x14:dataBar>
          </x14:cfRule>
          <xm:sqref>H367:M367</xm:sqref>
        </x14:conditionalFormatting>
        <x14:conditionalFormatting xmlns:xm="http://schemas.microsoft.com/office/excel/2006/main">
          <x14:cfRule type="dataBar" id="{DA710FBA-F523-4A4B-B5D7-85AAB235F786}">
            <x14:dataBar minLength="0" maxLength="100" gradient="0">
              <x14:cfvo type="autoMin"/>
              <x14:cfvo type="num">
                <xm:f>4</xm:f>
              </x14:cfvo>
              <x14:negativeFillColor rgb="FFFF0000"/>
              <x14:axisColor rgb="FF000000"/>
            </x14:dataBar>
          </x14:cfRule>
          <xm:sqref>H381:M381 I382:M391 I393:M393</xm:sqref>
        </x14:conditionalFormatting>
        <x14:conditionalFormatting xmlns:xm="http://schemas.microsoft.com/office/excel/2006/main">
          <x14:cfRule type="dataBar" id="{15CA1832-E5DA-474E-8395-F35A08B234B2}">
            <x14:dataBar minLength="0" maxLength="100" gradient="0">
              <x14:cfvo type="autoMin"/>
              <x14:cfvo type="num">
                <xm:f>4</xm:f>
              </x14:cfvo>
              <x14:negativeFillColor rgb="FFFF0000"/>
              <x14:axisColor rgb="FF000000"/>
            </x14:dataBar>
          </x14:cfRule>
          <xm:sqref>H396:M396</xm:sqref>
        </x14:conditionalFormatting>
        <x14:conditionalFormatting xmlns:xm="http://schemas.microsoft.com/office/excel/2006/main">
          <x14:cfRule type="dataBar" id="{1765B891-9FD3-4466-AC3B-51D94A9A59B5}">
            <x14:dataBar minLength="0" maxLength="100" gradient="0">
              <x14:cfvo type="autoMin"/>
              <x14:cfvo type="num">
                <xm:f>4</xm:f>
              </x14:cfvo>
              <x14:negativeFillColor rgb="FFFF0000"/>
              <x14:axisColor rgb="FF000000"/>
            </x14:dataBar>
          </x14:cfRule>
          <xm:sqref>H396:M397</xm:sqref>
        </x14:conditionalFormatting>
        <x14:conditionalFormatting xmlns:xm="http://schemas.microsoft.com/office/excel/2006/main">
          <x14:cfRule type="dataBar" id="{B415458E-23C7-4872-A58E-3614C0AC9953}">
            <x14:dataBar minLength="0" maxLength="100" gradient="0">
              <x14:cfvo type="autoMin"/>
              <x14:cfvo type="num">
                <xm:f>4</xm:f>
              </x14:cfvo>
              <x14:negativeFillColor rgb="FFFF0000"/>
              <x14:axisColor rgb="FF000000"/>
            </x14:dataBar>
          </x14:cfRule>
          <xm:sqref>H397:M397</xm:sqref>
        </x14:conditionalFormatting>
        <x14:conditionalFormatting xmlns:xm="http://schemas.microsoft.com/office/excel/2006/main">
          <x14:cfRule type="dataBar" id="{50D803DC-F918-44A2-9B4B-53F8F78F2E2D}">
            <x14:dataBar minLength="0" maxLength="100" gradient="0">
              <x14:cfvo type="autoMin"/>
              <x14:cfvo type="num">
                <xm:f>4</xm:f>
              </x14:cfvo>
              <x14:negativeFillColor rgb="FFFF0000"/>
              <x14:axisColor rgb="FF000000"/>
            </x14:dataBar>
          </x14:cfRule>
          <xm:sqref>H398:M398</xm:sqref>
        </x14:conditionalFormatting>
        <x14:conditionalFormatting xmlns:xm="http://schemas.microsoft.com/office/excel/2006/main">
          <x14:cfRule type="dataBar" id="{32F8DCD1-A21D-4A1C-BAAD-039F98995370}">
            <x14:dataBar minLength="0" maxLength="100" gradient="0">
              <x14:cfvo type="autoMin"/>
              <x14:cfvo type="num">
                <xm:f>4</xm:f>
              </x14:cfvo>
              <x14:negativeFillColor rgb="FFFF0000"/>
              <x14:axisColor rgb="FF000000"/>
            </x14:dataBar>
          </x14:cfRule>
          <xm:sqref>H399:M399</xm:sqref>
        </x14:conditionalFormatting>
        <x14:conditionalFormatting xmlns:xm="http://schemas.microsoft.com/office/excel/2006/main">
          <x14:cfRule type="dataBar" id="{8413DB46-082A-41DF-A224-265A9591C829}">
            <x14:dataBar minLength="0" maxLength="100" gradient="0">
              <x14:cfvo type="autoMin"/>
              <x14:cfvo type="num">
                <xm:f>4</xm:f>
              </x14:cfvo>
              <x14:negativeFillColor rgb="FFFF0000"/>
              <x14:axisColor rgb="FF000000"/>
            </x14:dataBar>
          </x14:cfRule>
          <xm:sqref>H400:M403</xm:sqref>
        </x14:conditionalFormatting>
        <x14:conditionalFormatting xmlns:xm="http://schemas.microsoft.com/office/excel/2006/main">
          <x14:cfRule type="dataBar" id="{75236DBD-38CF-4B11-8416-7AA6FC7AA87C}">
            <x14:dataBar minLength="0" maxLength="100" gradient="0">
              <x14:cfvo type="autoMin"/>
              <x14:cfvo type="num">
                <xm:f>4</xm:f>
              </x14:cfvo>
              <x14:negativeFillColor rgb="FFFF0000"/>
              <x14:axisColor rgb="FF000000"/>
            </x14:dataBar>
          </x14:cfRule>
          <xm:sqref>H404:M405</xm:sqref>
        </x14:conditionalFormatting>
        <x14:conditionalFormatting xmlns:xm="http://schemas.microsoft.com/office/excel/2006/main">
          <x14:cfRule type="dataBar" id="{3A6E8455-6601-408B-9890-B5BABB8C463E}">
            <x14:dataBar minLength="0" maxLength="100" gradient="0">
              <x14:cfvo type="autoMin"/>
              <x14:cfvo type="num">
                <xm:f>4</xm:f>
              </x14:cfvo>
              <x14:negativeFillColor rgb="FFFF0000"/>
              <x14:axisColor rgb="FF000000"/>
            </x14:dataBar>
          </x14:cfRule>
          <xm:sqref>H406:M407</xm:sqref>
        </x14:conditionalFormatting>
        <x14:conditionalFormatting xmlns:xm="http://schemas.microsoft.com/office/excel/2006/main">
          <x14:cfRule type="dataBar" id="{A2C837B7-AE95-4CC8-8AB9-469C2F7CB751}">
            <x14:dataBar minLength="0" maxLength="100" gradient="0">
              <x14:cfvo type="autoMin"/>
              <x14:cfvo type="num">
                <xm:f>4</xm:f>
              </x14:cfvo>
              <x14:negativeFillColor rgb="FFFF0000"/>
              <x14:axisColor rgb="FF000000"/>
            </x14:dataBar>
          </x14:cfRule>
          <xm:sqref>I392:M392</xm:sqref>
        </x14:conditionalFormatting>
        <x14:conditionalFormatting xmlns:xm="http://schemas.microsoft.com/office/excel/2006/main">
          <x14:cfRule type="dataBar" id="{37D8D804-0BD8-4242-ABB5-D18A259F44D0}">
            <x14:dataBar minLength="0" maxLength="100" gradient="0">
              <x14:cfvo type="autoMin"/>
              <x14:cfvo type="num">
                <xm:f>4</xm:f>
              </x14:cfvo>
              <x14:negativeFillColor rgb="FFFF0000"/>
              <x14:axisColor rgb="FF000000"/>
            </x14:dataBar>
          </x14:cfRule>
          <xm:sqref>J6:N356</xm:sqref>
        </x14:conditionalFormatting>
        <x14:conditionalFormatting xmlns:xm="http://schemas.microsoft.com/office/excel/2006/main">
          <x14:cfRule type="dataBar" id="{56CBFE8F-F7EC-4BFC-80CB-9A3DD0D2B040}">
            <x14:dataBar minLength="0" maxLength="100" gradient="0">
              <x14:cfvo type="autoMin"/>
              <x14:cfvo type="autoMax"/>
              <x14:negativeFillColor rgb="FFFF0000"/>
              <x14:axisColor rgb="FF000000"/>
            </x14:dataBar>
          </x14:cfRule>
          <xm:sqref>N361:N366</xm:sqref>
        </x14:conditionalFormatting>
        <x14:conditionalFormatting xmlns:xm="http://schemas.microsoft.com/office/excel/2006/main">
          <x14:cfRule type="dataBar" id="{6FE93D2E-655C-4C27-831E-5CA1DED7ACF5}">
            <x14:dataBar minLength="0" maxLength="100" gradient="0">
              <x14:cfvo type="autoMin"/>
              <x14:cfvo type="autoMax"/>
              <x14:negativeFillColor rgb="FFFF0000"/>
              <x14:axisColor rgb="FF000000"/>
            </x14:dataBar>
          </x14:cfRule>
          <xm:sqref>N367</xm:sqref>
        </x14:conditionalFormatting>
        <x14:conditionalFormatting xmlns:xm="http://schemas.microsoft.com/office/excel/2006/main">
          <x14:cfRule type="dataBar" id="{047E5794-520E-4924-A857-97F0837ECB5A}">
            <x14:dataBar minLength="0" maxLength="100" gradient="0">
              <x14:cfvo type="autoMin"/>
              <x14:cfvo type="autoMax"/>
              <x14:negativeFillColor rgb="FFFF0000"/>
              <x14:axisColor rgb="FF000000"/>
            </x14:dataBar>
          </x14:cfRule>
          <xm:sqref>N368:N380</xm:sqref>
        </x14:conditionalFormatting>
        <x14:conditionalFormatting xmlns:xm="http://schemas.microsoft.com/office/excel/2006/main">
          <x14:cfRule type="dataBar" id="{70530BA1-5CDA-43D4-8C4A-B3231D734415}">
            <x14:dataBar minLength="0" maxLength="100" gradient="0">
              <x14:cfvo type="autoMin"/>
              <x14:cfvo type="autoMax"/>
              <x14:negativeFillColor rgb="FFFF0000"/>
              <x14:axisColor rgb="FF000000"/>
            </x14:dataBar>
          </x14:cfRule>
          <xm:sqref>N381:N391 N393</xm:sqref>
        </x14:conditionalFormatting>
        <x14:conditionalFormatting xmlns:xm="http://schemas.microsoft.com/office/excel/2006/main">
          <x14:cfRule type="dataBar" id="{A302DE98-0780-44F9-923E-65E203657680}">
            <x14:dataBar minLength="0" maxLength="100" gradient="0">
              <x14:cfvo type="autoMin"/>
              <x14:cfvo type="autoMax"/>
              <x14:negativeFillColor rgb="FFFF0000"/>
              <x14:axisColor rgb="FF000000"/>
            </x14:dataBar>
          </x14:cfRule>
          <xm:sqref>N392</xm:sqref>
        </x14:conditionalFormatting>
        <x14:conditionalFormatting xmlns:xm="http://schemas.microsoft.com/office/excel/2006/main">
          <x14:cfRule type="dataBar" id="{87103521-5D6E-47F7-9E88-9742125D88FE}">
            <x14:dataBar minLength="0" maxLength="100" gradient="0">
              <x14:cfvo type="autoMin"/>
              <x14:cfvo type="autoMax"/>
              <x14:negativeFillColor rgb="FFFF0000"/>
              <x14:axisColor rgb="FF000000"/>
            </x14:dataBar>
          </x14:cfRule>
          <xm:sqref>N396:N407</xm:sqref>
        </x14:conditionalFormatting>
        <x14:conditionalFormatting xmlns:xm="http://schemas.microsoft.com/office/excel/2006/main">
          <x14:cfRule type="dataBar" id="{E6E5D100-BB09-40AE-83ED-DF61489FE57A}">
            <x14:dataBar minLength="0" maxLength="100" gradient="0">
              <x14:cfvo type="autoMin"/>
              <x14:cfvo type="autoMax"/>
              <x14:negativeFillColor rgb="FFFF0000"/>
              <x14:axisColor rgb="FF000000"/>
            </x14:dataBar>
          </x14:cfRule>
          <xm:sqref>O6:O356</xm:sqref>
        </x14:conditionalFormatting>
        <x14:conditionalFormatting xmlns:xm="http://schemas.microsoft.com/office/excel/2006/main">
          <x14:cfRule type="dataBar" id="{EEAECA58-0081-44D6-B716-A22A2B10F7E9}">
            <x14:dataBar minLength="0" maxLength="100" gradient="0">
              <x14:cfvo type="autoMin"/>
              <x14:cfvo type="autoMax"/>
              <x14:negativeFillColor rgb="FFFF0000"/>
              <x14:axisColor rgb="FF000000"/>
            </x14:dataBar>
          </x14:cfRule>
          <xm:sqref>O361:O366</xm:sqref>
        </x14:conditionalFormatting>
        <x14:conditionalFormatting xmlns:xm="http://schemas.microsoft.com/office/excel/2006/main">
          <x14:cfRule type="dataBar" id="{9AD96C49-F858-417F-A967-FF4065FDA1BA}">
            <x14:dataBar minLength="0" maxLength="100" gradient="0">
              <x14:cfvo type="autoMin"/>
              <x14:cfvo type="autoMax"/>
              <x14:negativeFillColor rgb="FFFF0000"/>
              <x14:axisColor rgb="FF000000"/>
            </x14:dataBar>
          </x14:cfRule>
          <xm:sqref>O367</xm:sqref>
        </x14:conditionalFormatting>
        <x14:conditionalFormatting xmlns:xm="http://schemas.microsoft.com/office/excel/2006/main">
          <x14:cfRule type="dataBar" id="{A7BAE1DB-4773-4061-A98A-A2E1B905E283}">
            <x14:dataBar minLength="0" maxLength="100" gradient="0">
              <x14:cfvo type="autoMin"/>
              <x14:cfvo type="autoMax"/>
              <x14:negativeFillColor rgb="FFFF0000"/>
              <x14:axisColor rgb="FF000000"/>
            </x14:dataBar>
          </x14:cfRule>
          <xm:sqref>O396:O407</xm:sqref>
        </x14:conditionalFormatting>
        <x14:conditionalFormatting xmlns:xm="http://schemas.microsoft.com/office/excel/2006/main">
          <x14:cfRule type="dataBar" id="{B2A54833-F921-45C7-86AF-14BEDB6573C7}">
            <x14:dataBar minLength="0" maxLength="100" gradient="0">
              <x14:cfvo type="autoMin"/>
              <x14:cfvo type="num">
                <xm:f>4</xm:f>
              </x14:cfvo>
              <x14:negativeFillColor rgb="FFFF0000"/>
              <x14:axisColor rgb="FF000000"/>
            </x14:dataBar>
          </x14:cfRule>
          <xm:sqref>Z6:AD252</xm:sqref>
        </x14:conditionalFormatting>
        <x14:conditionalFormatting xmlns:xm="http://schemas.microsoft.com/office/excel/2006/main">
          <x14:cfRule type="dataBar" id="{89BE51AC-3D01-4EA8-B28B-4303EF3238DC}">
            <x14:dataBar minLength="0" maxLength="100" gradient="0">
              <x14:cfvo type="autoMin"/>
              <x14:cfvo type="autoMax"/>
              <x14:negativeFillColor rgb="FFFF0000"/>
              <x14:axisColor rgb="FF000000"/>
            </x14:dataBar>
          </x14:cfRule>
          <xm:sqref>AE5:AE252</xm:sqref>
        </x14:conditionalFormatting>
        <x14:conditionalFormatting xmlns:xm="http://schemas.microsoft.com/office/excel/2006/main">
          <x14:cfRule type="dataBar" id="{4025D62E-9601-4808-B8D7-46E4321D1A4D}">
            <x14:dataBar minLength="0" maxLength="100" gradient="0">
              <x14:cfvo type="autoMin"/>
              <x14:cfvo type="num">
                <xm:f>4</xm:f>
              </x14:cfvo>
              <x14:negativeFillColor rgb="FFFF0000"/>
              <x14:axisColor rgb="FF000000"/>
            </x14:dataBar>
          </x14:cfRule>
          <xm:sqref>AL6:AP31</xm:sqref>
        </x14:conditionalFormatting>
        <x14:conditionalFormatting xmlns:xm="http://schemas.microsoft.com/office/excel/2006/main">
          <x14:cfRule type="dataBar" id="{9D137F0D-623C-4436-82E4-0FF64CCB4CBD}">
            <x14:dataBar minLength="0" maxLength="100" gradient="0">
              <x14:cfvo type="autoMin"/>
              <x14:cfvo type="num">
                <xm:f>4</xm:f>
              </x14:cfvo>
              <x14:negativeFillColor rgb="FFFF0000"/>
              <x14:axisColor rgb="FF000000"/>
            </x14:dataBar>
          </x14:cfRule>
          <xm:sqref>AL35:AP60</xm:sqref>
        </x14:conditionalFormatting>
        <x14:conditionalFormatting xmlns:xm="http://schemas.microsoft.com/office/excel/2006/main">
          <x14:cfRule type="dataBar" id="{191EEFD1-35E4-43A7-8DA3-BA2547F5A824}">
            <x14:dataBar minLength="0" maxLength="100" gradient="0">
              <x14:cfvo type="autoMin"/>
              <x14:cfvo type="num">
                <xm:f>4</xm:f>
              </x14:cfvo>
              <x14:negativeFillColor rgb="FFFF0000"/>
              <x14:axisColor rgb="FF000000"/>
            </x14:dataBar>
          </x14:cfRule>
          <xm:sqref>AL65:AP82</xm:sqref>
        </x14:conditionalFormatting>
        <x14:conditionalFormatting xmlns:xm="http://schemas.microsoft.com/office/excel/2006/main">
          <x14:cfRule type="dataBar" id="{022DCEBE-4556-43A7-BA0B-8B582A268167}">
            <x14:dataBar minLength="0" maxLength="100" gradient="0">
              <x14:cfvo type="autoMin"/>
              <x14:cfvo type="num">
                <xm:f>4</xm:f>
              </x14:cfvo>
              <x14:negativeFillColor rgb="FFFF0000"/>
              <x14:axisColor rgb="FF000000"/>
            </x14:dataBar>
          </x14:cfRule>
          <xm:sqref>AL86:AP103</xm:sqref>
        </x14:conditionalFormatting>
        <x14:conditionalFormatting xmlns:xm="http://schemas.microsoft.com/office/excel/2006/main">
          <x14:cfRule type="dataBar" id="{CDCE2675-44D9-46E1-9BD7-620D376B4C5F}">
            <x14:dataBar minLength="0" maxLength="100" gradient="0">
              <x14:cfvo type="autoMin"/>
              <x14:cfvo type="autoMax"/>
              <x14:negativeFillColor rgb="FFFF0000"/>
              <x14:axisColor rgb="FF000000"/>
            </x14:dataBar>
          </x14:cfRule>
          <xm:sqref>AQ5</xm:sqref>
        </x14:conditionalFormatting>
        <x14:conditionalFormatting xmlns:xm="http://schemas.microsoft.com/office/excel/2006/main">
          <x14:cfRule type="dataBar" id="{50296EDD-C114-4ADE-88F5-0FA0AC48579A}">
            <x14:dataBar minLength="0" maxLength="100" gradient="0">
              <x14:cfvo type="autoMin"/>
              <x14:cfvo type="autoMax"/>
              <x14:negativeFillColor rgb="FFFF0000"/>
              <x14:axisColor rgb="FF000000"/>
            </x14:dataBar>
          </x14:cfRule>
          <xm:sqref>AQ6:AQ31</xm:sqref>
        </x14:conditionalFormatting>
        <x14:conditionalFormatting xmlns:xm="http://schemas.microsoft.com/office/excel/2006/main">
          <x14:cfRule type="dataBar" id="{EDC543FA-E2F2-4E9E-8D35-ADB9FAB0E485}">
            <x14:dataBar minLength="0" maxLength="100" gradient="0">
              <x14:cfvo type="autoMin"/>
              <x14:cfvo type="autoMax"/>
              <x14:negativeFillColor rgb="FFFF0000"/>
              <x14:axisColor rgb="FF000000"/>
            </x14:dataBar>
          </x14:cfRule>
          <xm:sqref>AQ34</xm:sqref>
        </x14:conditionalFormatting>
        <x14:conditionalFormatting xmlns:xm="http://schemas.microsoft.com/office/excel/2006/main">
          <x14:cfRule type="dataBar" id="{183FCF22-9DC6-4407-BB22-645D6D64A123}">
            <x14:dataBar minLength="0" maxLength="100" gradient="0">
              <x14:cfvo type="autoMin"/>
              <x14:cfvo type="autoMax"/>
              <x14:negativeFillColor rgb="FFFF0000"/>
              <x14:axisColor rgb="FF000000"/>
            </x14:dataBar>
          </x14:cfRule>
          <xm:sqref>AQ35:AQ60</xm:sqref>
        </x14:conditionalFormatting>
        <x14:conditionalFormatting xmlns:xm="http://schemas.microsoft.com/office/excel/2006/main">
          <x14:cfRule type="dataBar" id="{66277A20-B55F-4D0D-B4C2-D9E0600A8F6A}">
            <x14:dataBar minLength="0" maxLength="100" gradient="0">
              <x14:cfvo type="autoMin"/>
              <x14:cfvo type="autoMax"/>
              <x14:negativeFillColor rgb="FFFF0000"/>
              <x14:axisColor rgb="FF000000"/>
            </x14:dataBar>
          </x14:cfRule>
          <xm:sqref>AQ64</xm:sqref>
        </x14:conditionalFormatting>
        <x14:conditionalFormatting xmlns:xm="http://schemas.microsoft.com/office/excel/2006/main">
          <x14:cfRule type="dataBar" id="{FFEBCA67-9D96-4735-ACE7-CC0B8953E484}">
            <x14:dataBar minLength="0" maxLength="100" gradient="0">
              <x14:cfvo type="autoMin"/>
              <x14:cfvo type="autoMax"/>
              <x14:negativeFillColor rgb="FFFF0000"/>
              <x14:axisColor rgb="FF000000"/>
            </x14:dataBar>
          </x14:cfRule>
          <xm:sqref>AQ65:AQ82</xm:sqref>
        </x14:conditionalFormatting>
        <x14:conditionalFormatting xmlns:xm="http://schemas.microsoft.com/office/excel/2006/main">
          <x14:cfRule type="dataBar" id="{879A4CD8-B0E5-4FCA-BA5C-14C1CA131CE0}">
            <x14:dataBar minLength="0" maxLength="100" gradient="0">
              <x14:cfvo type="autoMin"/>
              <x14:cfvo type="autoMax"/>
              <x14:negativeFillColor rgb="FFFF0000"/>
              <x14:axisColor rgb="FF000000"/>
            </x14:dataBar>
          </x14:cfRule>
          <xm:sqref>AQ85</xm:sqref>
        </x14:conditionalFormatting>
        <x14:conditionalFormatting xmlns:xm="http://schemas.microsoft.com/office/excel/2006/main">
          <x14:cfRule type="dataBar" id="{7FB02629-7082-4749-9045-14402CF85EFC}">
            <x14:dataBar minLength="0" maxLength="100" gradient="0">
              <x14:cfvo type="autoMin"/>
              <x14:cfvo type="autoMax"/>
              <x14:negativeFillColor rgb="FFFF0000"/>
              <x14:axisColor rgb="FF000000"/>
            </x14:dataBar>
          </x14:cfRule>
          <xm:sqref>AQ86:AQ103</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9A2B4-F610-4ACA-874B-6C9943A9A89E}">
  <sheetPr>
    <tabColor theme="8"/>
  </sheetPr>
  <dimension ref="A1:AD190"/>
  <sheetViews>
    <sheetView zoomScale="85" zoomScaleNormal="85" workbookViewId="0">
      <selection activeCell="P85" sqref="P85"/>
    </sheetView>
  </sheetViews>
  <sheetFormatPr defaultRowHeight="15"/>
  <cols>
    <col min="1" max="1" width="27.140625" customWidth="1"/>
    <col min="2" max="2" width="28.7109375" customWidth="1"/>
    <col min="5" max="5" width="16.85546875" customWidth="1"/>
    <col min="6" max="6" width="17.28515625" customWidth="1"/>
    <col min="7" max="7" width="6.85546875" customWidth="1"/>
    <col min="8" max="8" width="7.85546875" customWidth="1"/>
    <col min="9" max="12" width="6.85546875" customWidth="1"/>
    <col min="13" max="13" width="10.5703125" bestFit="1" customWidth="1"/>
    <col min="14" max="14" width="6.85546875" customWidth="1"/>
    <col min="16" max="16" width="48.140625" bestFit="1" customWidth="1"/>
    <col min="20" max="20" width="20.28515625" customWidth="1"/>
    <col min="21" max="21" width="16.28515625" bestFit="1" customWidth="1"/>
    <col min="22" max="22" width="10.140625" bestFit="1" customWidth="1"/>
    <col min="23" max="23" width="8.28515625" bestFit="1" customWidth="1"/>
    <col min="24" max="24" width="14.7109375" bestFit="1" customWidth="1"/>
    <col min="25" max="25" width="12.7109375" bestFit="1" customWidth="1"/>
  </cols>
  <sheetData>
    <row r="1" spans="1:26" s="131" customFormat="1" ht="30" customHeight="1">
      <c r="R1" s="389"/>
    </row>
    <row r="2" spans="1:26" s="6" customFormat="1">
      <c r="A2" s="961" t="s">
        <v>879</v>
      </c>
      <c r="B2" s="961"/>
      <c r="C2" s="961"/>
      <c r="D2" s="961"/>
      <c r="E2" s="961"/>
      <c r="F2" s="961"/>
      <c r="G2" s="961"/>
      <c r="H2" s="961"/>
      <c r="I2" s="961"/>
      <c r="J2" s="961"/>
      <c r="K2" s="961"/>
      <c r="L2" s="961"/>
      <c r="M2" s="961"/>
      <c r="N2" s="961"/>
      <c r="O2" s="961"/>
      <c r="P2" s="961"/>
      <c r="Q2" s="961"/>
    </row>
    <row r="3" spans="1:26" s="6" customFormat="1" ht="18.75" customHeight="1">
      <c r="A3" s="962"/>
      <c r="B3" s="962"/>
      <c r="C3" s="962"/>
      <c r="D3" s="962"/>
      <c r="E3" s="962"/>
      <c r="F3" s="962"/>
      <c r="G3" s="962"/>
      <c r="H3" s="962"/>
      <c r="I3" s="962"/>
      <c r="J3" s="962"/>
      <c r="K3" s="962"/>
      <c r="L3" s="962"/>
      <c r="M3" s="962"/>
      <c r="N3" s="962"/>
      <c r="O3" s="962"/>
      <c r="P3" s="962"/>
      <c r="Q3" s="962"/>
      <c r="R3" s="389"/>
    </row>
    <row r="4" spans="1:26" s="6" customFormat="1" ht="15.75" thickBot="1">
      <c r="Z4"/>
    </row>
    <row r="5" spans="1:26" s="6" customFormat="1" ht="15.75" thickBot="1">
      <c r="A5" s="140" t="s">
        <v>139</v>
      </c>
      <c r="B5" s="140" t="s">
        <v>108</v>
      </c>
      <c r="C5" s="140" t="s">
        <v>109</v>
      </c>
      <c r="D5" s="140" t="s">
        <v>110</v>
      </c>
      <c r="E5" s="140" t="s">
        <v>880</v>
      </c>
      <c r="F5" s="228" t="s">
        <v>112</v>
      </c>
      <c r="G5" s="111" t="s">
        <v>142</v>
      </c>
      <c r="H5" s="112" t="s">
        <v>69</v>
      </c>
      <c r="I5" s="112" t="s">
        <v>75</v>
      </c>
      <c r="J5" s="112" t="s">
        <v>81</v>
      </c>
      <c r="K5" s="113" t="s">
        <v>87</v>
      </c>
      <c r="L5" s="114" t="s">
        <v>114</v>
      </c>
      <c r="M5" s="115" t="s">
        <v>132</v>
      </c>
      <c r="Z5"/>
    </row>
    <row r="6" spans="1:26" s="6" customFormat="1" ht="15.75" thickBot="1">
      <c r="A6" s="117" t="s">
        <v>188</v>
      </c>
      <c r="B6" s="143" t="s">
        <v>407</v>
      </c>
      <c r="C6" s="117">
        <v>1990</v>
      </c>
      <c r="D6" s="9" t="s">
        <v>100</v>
      </c>
      <c r="E6" s="343">
        <v>14.048770000000001</v>
      </c>
      <c r="F6" s="187" t="s">
        <v>881</v>
      </c>
      <c r="G6" s="253">
        <v>1</v>
      </c>
      <c r="H6" s="13">
        <v>1</v>
      </c>
      <c r="I6" s="13">
        <v>1</v>
      </c>
      <c r="J6" s="13">
        <v>1</v>
      </c>
      <c r="K6" s="322">
        <v>1</v>
      </c>
      <c r="L6" s="355">
        <f t="shared" ref="L6:L13" si="0">IF( OR( ISBLANK(G6),ISBLANK(H6), ISBLANK(I6), ISBLANK(J6), ISBLANK(K6) ), "", 1.5*SQRT( EXP(2.21*(G6-1)) + EXP(2.21*(H6-1)) + EXP(2.21*(I6-1)) + EXP(2.21*(J6-1)) + EXP(2.21*K6-1)   )/100*2.45 )</f>
        <v>9.9656111784768353E-2</v>
      </c>
      <c r="M6" s="33"/>
      <c r="Z6"/>
    </row>
    <row r="7" spans="1:26" s="6" customFormat="1" ht="15.75" thickBot="1">
      <c r="A7" s="117" t="s">
        <v>188</v>
      </c>
      <c r="B7" s="143" t="s">
        <v>407</v>
      </c>
      <c r="C7" s="117">
        <v>1995</v>
      </c>
      <c r="D7" s="9" t="s">
        <v>100</v>
      </c>
      <c r="E7" s="343">
        <v>15.103305000000001</v>
      </c>
      <c r="F7" s="187" t="s">
        <v>881</v>
      </c>
      <c r="G7" s="253">
        <v>1</v>
      </c>
      <c r="H7" s="13">
        <v>1</v>
      </c>
      <c r="I7" s="13">
        <v>1</v>
      </c>
      <c r="J7" s="13">
        <v>1</v>
      </c>
      <c r="K7" s="322">
        <v>1</v>
      </c>
      <c r="L7" s="355">
        <f t="shared" si="0"/>
        <v>9.9656111784768353E-2</v>
      </c>
      <c r="M7" s="33"/>
      <c r="Z7"/>
    </row>
    <row r="8" spans="1:26" s="6" customFormat="1" ht="15.75" thickBot="1">
      <c r="A8" s="117" t="s">
        <v>188</v>
      </c>
      <c r="B8" s="143" t="s">
        <v>407</v>
      </c>
      <c r="C8" s="117">
        <v>2000</v>
      </c>
      <c r="D8" s="9" t="s">
        <v>100</v>
      </c>
      <c r="E8" s="343">
        <v>16.7798639999999</v>
      </c>
      <c r="F8" s="187" t="s">
        <v>881</v>
      </c>
      <c r="G8" s="253">
        <v>1</v>
      </c>
      <c r="H8" s="13">
        <v>1</v>
      </c>
      <c r="I8" s="13">
        <v>1</v>
      </c>
      <c r="J8" s="13">
        <v>1</v>
      </c>
      <c r="K8" s="322">
        <v>1</v>
      </c>
      <c r="L8" s="355">
        <f t="shared" si="0"/>
        <v>9.9656111784768353E-2</v>
      </c>
      <c r="M8" s="33"/>
      <c r="Z8"/>
    </row>
    <row r="9" spans="1:26" s="6" customFormat="1" ht="15.75" thickBot="1">
      <c r="A9" s="117" t="s">
        <v>188</v>
      </c>
      <c r="B9" s="143" t="s">
        <v>407</v>
      </c>
      <c r="C9" s="117">
        <v>2005</v>
      </c>
      <c r="D9" s="9" t="s">
        <v>100</v>
      </c>
      <c r="E9" s="343">
        <v>17.777562999999997</v>
      </c>
      <c r="F9" s="187" t="s">
        <v>881</v>
      </c>
      <c r="G9" s="253">
        <v>1</v>
      </c>
      <c r="H9" s="13">
        <v>1</v>
      </c>
      <c r="I9" s="13">
        <v>1</v>
      </c>
      <c r="J9" s="13">
        <v>1</v>
      </c>
      <c r="K9" s="322">
        <v>1</v>
      </c>
      <c r="L9" s="355">
        <f t="shared" si="0"/>
        <v>9.9656111784768353E-2</v>
      </c>
      <c r="M9" s="33"/>
      <c r="Z9"/>
    </row>
    <row r="10" spans="1:26" s="131" customFormat="1" ht="30" customHeight="1" thickBot="1">
      <c r="A10" s="117" t="s">
        <v>188</v>
      </c>
      <c r="B10" s="143" t="s">
        <v>407</v>
      </c>
      <c r="C10" s="117">
        <v>2010</v>
      </c>
      <c r="D10" s="9" t="s">
        <v>100</v>
      </c>
      <c r="E10" s="343">
        <v>18.043420999999999</v>
      </c>
      <c r="F10" s="187" t="s">
        <v>881</v>
      </c>
      <c r="G10" s="253">
        <v>1</v>
      </c>
      <c r="H10" s="13">
        <v>1</v>
      </c>
      <c r="I10" s="13">
        <v>1</v>
      </c>
      <c r="J10" s="13">
        <v>1</v>
      </c>
      <c r="K10" s="322">
        <v>1</v>
      </c>
      <c r="L10" s="355">
        <f t="shared" si="0"/>
        <v>9.9656111784768353E-2</v>
      </c>
      <c r="M10" s="33"/>
      <c r="O10" s="6"/>
      <c r="P10" s="6"/>
      <c r="Q10" s="6"/>
      <c r="R10" s="6"/>
      <c r="Z10"/>
    </row>
    <row r="11" spans="1:26" s="6" customFormat="1" ht="30" customHeight="1" thickBot="1">
      <c r="A11" s="117" t="s">
        <v>188</v>
      </c>
      <c r="B11" s="143" t="s">
        <v>407</v>
      </c>
      <c r="C11" s="117">
        <v>2015</v>
      </c>
      <c r="D11" s="9" t="s">
        <v>100</v>
      </c>
      <c r="E11" s="343">
        <v>18.230867999999997</v>
      </c>
      <c r="F11" s="187" t="s">
        <v>881</v>
      </c>
      <c r="G11" s="253">
        <v>1</v>
      </c>
      <c r="H11" s="13">
        <v>1</v>
      </c>
      <c r="I11" s="13">
        <v>1</v>
      </c>
      <c r="J11" s="13">
        <v>1</v>
      </c>
      <c r="K11" s="322">
        <v>1</v>
      </c>
      <c r="L11" s="355">
        <f t="shared" si="0"/>
        <v>9.9656111784768353E-2</v>
      </c>
      <c r="M11" s="33"/>
      <c r="Z11"/>
    </row>
    <row r="12" spans="1:26" s="6" customFormat="1" ht="15.75" thickBot="1">
      <c r="A12" s="117" t="s">
        <v>188</v>
      </c>
      <c r="B12" s="143" t="s">
        <v>407</v>
      </c>
      <c r="C12" s="117">
        <v>2019</v>
      </c>
      <c r="D12" s="9" t="s">
        <v>100</v>
      </c>
      <c r="E12" s="343">
        <v>19.338638</v>
      </c>
      <c r="F12" s="187" t="s">
        <v>881</v>
      </c>
      <c r="G12" s="253">
        <v>1</v>
      </c>
      <c r="H12" s="13">
        <v>1</v>
      </c>
      <c r="I12" s="13">
        <v>1</v>
      </c>
      <c r="J12" s="13">
        <v>1</v>
      </c>
      <c r="K12" s="322">
        <v>1</v>
      </c>
      <c r="L12" s="355">
        <f t="shared" si="0"/>
        <v>9.9656111784768353E-2</v>
      </c>
      <c r="M12" s="33"/>
      <c r="Z12"/>
    </row>
    <row r="13" spans="1:26" s="6" customFormat="1" ht="15.75" thickBot="1">
      <c r="A13" s="117" t="s">
        <v>188</v>
      </c>
      <c r="B13" s="143" t="s">
        <v>407</v>
      </c>
      <c r="C13" s="117">
        <v>2020</v>
      </c>
      <c r="D13" s="9" t="s">
        <v>100</v>
      </c>
      <c r="E13" s="343">
        <v>16.756188426510999</v>
      </c>
      <c r="F13" s="187" t="s">
        <v>881</v>
      </c>
      <c r="G13" s="253">
        <v>1</v>
      </c>
      <c r="H13" s="13">
        <v>1</v>
      </c>
      <c r="I13" s="13">
        <v>1</v>
      </c>
      <c r="J13" s="13">
        <v>1</v>
      </c>
      <c r="K13" s="322">
        <v>1</v>
      </c>
      <c r="L13" s="355">
        <f t="shared" si="0"/>
        <v>9.9656111784768353E-2</v>
      </c>
      <c r="M13" s="33"/>
      <c r="Z13"/>
    </row>
    <row r="14" spans="1:26" s="6" customFormat="1" ht="15.75" thickBot="1">
      <c r="A14" s="140" t="s">
        <v>139</v>
      </c>
      <c r="B14" s="140" t="s">
        <v>108</v>
      </c>
      <c r="C14" s="140" t="s">
        <v>109</v>
      </c>
      <c r="D14" s="140" t="s">
        <v>110</v>
      </c>
      <c r="E14" s="140"/>
      <c r="F14" s="228" t="s">
        <v>112</v>
      </c>
      <c r="G14" s="111" t="s">
        <v>142</v>
      </c>
      <c r="H14" s="112" t="s">
        <v>69</v>
      </c>
      <c r="I14" s="112" t="s">
        <v>75</v>
      </c>
      <c r="J14" s="112" t="s">
        <v>81</v>
      </c>
      <c r="K14" s="113" t="s">
        <v>87</v>
      </c>
      <c r="L14" s="114" t="s">
        <v>114</v>
      </c>
      <c r="M14" s="115" t="s">
        <v>132</v>
      </c>
      <c r="Z14"/>
    </row>
    <row r="15" spans="1:26" s="6" customFormat="1" ht="15.75" thickBot="1">
      <c r="A15" s="117" t="s">
        <v>188</v>
      </c>
      <c r="B15" s="143" t="s">
        <v>407</v>
      </c>
      <c r="C15" s="117">
        <v>1990</v>
      </c>
      <c r="D15" s="9" t="s">
        <v>100</v>
      </c>
      <c r="E15" s="343">
        <v>9.7959110544217687</v>
      </c>
      <c r="F15" s="187" t="s">
        <v>882</v>
      </c>
      <c r="G15" s="253">
        <v>1</v>
      </c>
      <c r="H15" s="13">
        <v>1</v>
      </c>
      <c r="I15" s="13">
        <v>1</v>
      </c>
      <c r="J15" s="13">
        <v>1</v>
      </c>
      <c r="K15" s="322">
        <v>1</v>
      </c>
      <c r="L15" s="355">
        <f t="shared" ref="L15:L22" si="1">IF( OR( ISBLANK(G15),ISBLANK(H15), ISBLANK(I15), ISBLANK(J15), ISBLANK(K15) ), "", 1.5*SQRT( EXP(2.21*(G15-1)) + EXP(2.21*(H15-1)) + EXP(2.21*(I15-1)) + EXP(2.21*(J15-1)) + EXP(2.21*K15-1)   )/100*2.45 )</f>
        <v>9.9656111784768353E-2</v>
      </c>
      <c r="M15" s="33"/>
      <c r="Z15"/>
    </row>
    <row r="16" spans="1:26" s="6" customFormat="1" ht="30" customHeight="1" thickBot="1">
      <c r="A16" s="117" t="s">
        <v>188</v>
      </c>
      <c r="B16" s="143" t="s">
        <v>407</v>
      </c>
      <c r="C16" s="117">
        <v>1995</v>
      </c>
      <c r="D16" s="9" t="s">
        <v>100</v>
      </c>
      <c r="E16" s="343">
        <v>10.531216071428499</v>
      </c>
      <c r="F16" s="187" t="s">
        <v>882</v>
      </c>
      <c r="G16" s="253">
        <v>1</v>
      </c>
      <c r="H16" s="13">
        <v>1</v>
      </c>
      <c r="I16" s="13">
        <v>1</v>
      </c>
      <c r="J16" s="13">
        <v>1</v>
      </c>
      <c r="K16" s="322">
        <v>1</v>
      </c>
      <c r="L16" s="355">
        <f t="shared" si="1"/>
        <v>9.9656111784768353E-2</v>
      </c>
      <c r="M16" s="33"/>
      <c r="Z16"/>
    </row>
    <row r="17" spans="1:30" s="6" customFormat="1" ht="15.75" thickBot="1">
      <c r="A17" s="117" t="s">
        <v>188</v>
      </c>
      <c r="B17" s="143" t="s">
        <v>407</v>
      </c>
      <c r="C17" s="117">
        <v>2000</v>
      </c>
      <c r="D17" s="9" t="s">
        <v>100</v>
      </c>
      <c r="E17" s="343">
        <v>11.700245306122401</v>
      </c>
      <c r="F17" s="187" t="s">
        <v>882</v>
      </c>
      <c r="G17" s="253">
        <v>1</v>
      </c>
      <c r="H17" s="13">
        <v>1</v>
      </c>
      <c r="I17" s="13">
        <v>1</v>
      </c>
      <c r="J17" s="13">
        <v>1</v>
      </c>
      <c r="K17" s="322">
        <v>1</v>
      </c>
      <c r="L17" s="355">
        <f t="shared" si="1"/>
        <v>9.9656111784768353E-2</v>
      </c>
      <c r="M17" s="33"/>
      <c r="Z17"/>
    </row>
    <row r="18" spans="1:30" s="6" customFormat="1" ht="15.75" thickBot="1">
      <c r="A18" s="117" t="s">
        <v>188</v>
      </c>
      <c r="B18" s="143" t="s">
        <v>407</v>
      </c>
      <c r="C18" s="117">
        <v>2005</v>
      </c>
      <c r="D18" s="9" t="s">
        <v>100</v>
      </c>
      <c r="E18" s="343">
        <v>12.3959197789115</v>
      </c>
      <c r="F18" s="187" t="s">
        <v>882</v>
      </c>
      <c r="G18" s="253">
        <v>1</v>
      </c>
      <c r="H18" s="13">
        <v>1</v>
      </c>
      <c r="I18" s="13">
        <v>1</v>
      </c>
      <c r="J18" s="13">
        <v>1</v>
      </c>
      <c r="K18" s="322">
        <v>1</v>
      </c>
      <c r="L18" s="355">
        <f t="shared" si="1"/>
        <v>9.9656111784768353E-2</v>
      </c>
      <c r="M18" s="33"/>
      <c r="Z18"/>
    </row>
    <row r="19" spans="1:30" s="6" customFormat="1" ht="15.75" thickBot="1">
      <c r="A19" s="117" t="s">
        <v>188</v>
      </c>
      <c r="B19" s="143" t="s">
        <v>407</v>
      </c>
      <c r="C19" s="117">
        <v>2010</v>
      </c>
      <c r="D19" s="9" t="s">
        <v>100</v>
      </c>
      <c r="E19" s="343">
        <v>12.5812969557823</v>
      </c>
      <c r="F19" s="187" t="s">
        <v>882</v>
      </c>
      <c r="G19" s="253">
        <v>1</v>
      </c>
      <c r="H19" s="13">
        <v>1</v>
      </c>
      <c r="I19" s="13">
        <v>1</v>
      </c>
      <c r="J19" s="13">
        <v>1</v>
      </c>
      <c r="K19" s="322">
        <v>1</v>
      </c>
      <c r="L19" s="355">
        <f t="shared" si="1"/>
        <v>9.9656111784768353E-2</v>
      </c>
      <c r="M19" s="33"/>
      <c r="R19" s="389"/>
      <c r="Z19"/>
    </row>
    <row r="20" spans="1:30" s="6" customFormat="1" ht="15.75" thickBot="1">
      <c r="A20" s="117" t="s">
        <v>188</v>
      </c>
      <c r="B20" s="143" t="s">
        <v>407</v>
      </c>
      <c r="C20" s="117">
        <v>2015</v>
      </c>
      <c r="D20" s="9" t="s">
        <v>100</v>
      </c>
      <c r="E20" s="343">
        <v>12.711999795918301</v>
      </c>
      <c r="F20" s="187" t="s">
        <v>882</v>
      </c>
      <c r="G20" s="253">
        <v>1</v>
      </c>
      <c r="H20" s="13">
        <v>1</v>
      </c>
      <c r="I20" s="13">
        <v>1</v>
      </c>
      <c r="J20" s="13">
        <v>1</v>
      </c>
      <c r="K20" s="322">
        <v>1</v>
      </c>
      <c r="L20" s="355">
        <f t="shared" si="1"/>
        <v>9.9656111784768353E-2</v>
      </c>
      <c r="M20" s="33"/>
      <c r="Z20"/>
    </row>
    <row r="21" spans="1:30" s="6" customFormat="1" ht="15" customHeight="1" thickBot="1">
      <c r="A21" s="117" t="s">
        <v>188</v>
      </c>
      <c r="B21" s="143" t="s">
        <v>407</v>
      </c>
      <c r="C21" s="117">
        <v>2019</v>
      </c>
      <c r="D21" s="9" t="s">
        <v>100</v>
      </c>
      <c r="E21" s="343">
        <v>13.4844244557823</v>
      </c>
      <c r="F21" s="187" t="s">
        <v>882</v>
      </c>
      <c r="G21" s="253">
        <v>1</v>
      </c>
      <c r="H21" s="13">
        <v>1</v>
      </c>
      <c r="I21" s="13">
        <v>1</v>
      </c>
      <c r="J21" s="13">
        <v>1</v>
      </c>
      <c r="K21" s="322">
        <v>1</v>
      </c>
      <c r="L21" s="355">
        <f t="shared" si="1"/>
        <v>9.9656111784768353E-2</v>
      </c>
      <c r="M21" s="33"/>
      <c r="Z21"/>
    </row>
    <row r="22" spans="1:30" s="6" customFormat="1" ht="15" customHeight="1" thickBot="1">
      <c r="A22" s="117" t="s">
        <v>188</v>
      </c>
      <c r="B22" s="143" t="s">
        <v>407</v>
      </c>
      <c r="C22" s="117">
        <v>2020</v>
      </c>
      <c r="D22" s="9" t="s">
        <v>100</v>
      </c>
      <c r="E22" s="343">
        <v>11.683736828009399</v>
      </c>
      <c r="F22" s="187" t="s">
        <v>882</v>
      </c>
      <c r="G22" s="253">
        <v>1</v>
      </c>
      <c r="H22" s="13">
        <v>1</v>
      </c>
      <c r="I22" s="13">
        <v>1</v>
      </c>
      <c r="J22" s="13">
        <v>1</v>
      </c>
      <c r="K22" s="322">
        <v>1</v>
      </c>
      <c r="L22" s="355">
        <f t="shared" si="1"/>
        <v>9.9656111784768353E-2</v>
      </c>
      <c r="M22" s="33"/>
      <c r="Z22"/>
    </row>
    <row r="23" spans="1:30" s="6" customFormat="1" ht="15.75" thickBot="1">
      <c r="A23" s="140" t="s">
        <v>139</v>
      </c>
      <c r="B23" s="140" t="s">
        <v>108</v>
      </c>
      <c r="C23" s="140" t="s">
        <v>109</v>
      </c>
      <c r="D23" s="140" t="s">
        <v>110</v>
      </c>
      <c r="E23" s="140"/>
      <c r="F23" s="228" t="s">
        <v>112</v>
      </c>
      <c r="G23" s="111" t="s">
        <v>142</v>
      </c>
      <c r="H23" s="112" t="s">
        <v>69</v>
      </c>
      <c r="I23" s="112" t="s">
        <v>75</v>
      </c>
      <c r="J23" s="112" t="s">
        <v>81</v>
      </c>
      <c r="K23" s="113" t="s">
        <v>87</v>
      </c>
      <c r="L23" s="114" t="s">
        <v>114</v>
      </c>
      <c r="M23" s="115" t="s">
        <v>132</v>
      </c>
      <c r="Z23"/>
    </row>
    <row r="24" spans="1:30" s="6" customFormat="1" ht="15" customHeight="1" thickBot="1">
      <c r="A24" s="117" t="s">
        <v>188</v>
      </c>
      <c r="B24" s="143" t="s">
        <v>407</v>
      </c>
      <c r="C24" s="117">
        <v>1990</v>
      </c>
      <c r="D24" s="9" t="s">
        <v>100</v>
      </c>
      <c r="E24" s="343">
        <v>18.038811819727801</v>
      </c>
      <c r="F24" s="187" t="s">
        <v>883</v>
      </c>
      <c r="G24" s="253">
        <v>1</v>
      </c>
      <c r="H24" s="13">
        <v>1</v>
      </c>
      <c r="I24" s="13">
        <v>1</v>
      </c>
      <c r="J24" s="13">
        <v>1</v>
      </c>
      <c r="K24" s="322">
        <v>1</v>
      </c>
      <c r="L24" s="355">
        <f t="shared" ref="L24:L31" si="2">IF( OR( ISBLANK(G24),ISBLANK(H24), ISBLANK(I24), ISBLANK(J24), ISBLANK(K24) ), "", 1.5*SQRT( EXP(2.21*(G24-1)) + EXP(2.21*(H24-1)) + EXP(2.21*(I24-1)) + EXP(2.21*(J24-1)) + EXP(2.21*K24-1)   )/100*2.45 )</f>
        <v>9.9656111784768353E-2</v>
      </c>
      <c r="M24" s="33"/>
      <c r="Z24"/>
    </row>
    <row r="25" spans="1:30" s="6" customFormat="1" ht="15.75" thickBot="1">
      <c r="A25" s="117" t="s">
        <v>188</v>
      </c>
      <c r="B25" s="143" t="s">
        <v>407</v>
      </c>
      <c r="C25" s="117">
        <v>1995</v>
      </c>
      <c r="D25" s="9" t="s">
        <v>100</v>
      </c>
      <c r="E25" s="343">
        <v>19.392849107142801</v>
      </c>
      <c r="F25" s="187" t="s">
        <v>883</v>
      </c>
      <c r="G25" s="253">
        <v>1</v>
      </c>
      <c r="H25" s="13">
        <v>1</v>
      </c>
      <c r="I25" s="13">
        <v>1</v>
      </c>
      <c r="J25" s="13">
        <v>1</v>
      </c>
      <c r="K25" s="322">
        <v>1</v>
      </c>
      <c r="L25" s="355">
        <f t="shared" si="2"/>
        <v>9.9656111784768353E-2</v>
      </c>
      <c r="M25" s="33"/>
      <c r="Z25"/>
    </row>
    <row r="26" spans="1:30" s="131" customFormat="1" ht="30" customHeight="1" thickBot="1">
      <c r="A26" s="117" t="s">
        <v>188</v>
      </c>
      <c r="B26" s="143" t="s">
        <v>407</v>
      </c>
      <c r="C26" s="117">
        <v>2000</v>
      </c>
      <c r="D26" s="9" t="s">
        <v>100</v>
      </c>
      <c r="E26" s="343">
        <v>21.545573673469299</v>
      </c>
      <c r="F26" s="187" t="s">
        <v>883</v>
      </c>
      <c r="G26" s="253">
        <v>1</v>
      </c>
      <c r="H26" s="13">
        <v>1</v>
      </c>
      <c r="I26" s="13">
        <v>1</v>
      </c>
      <c r="J26" s="13">
        <v>1</v>
      </c>
      <c r="K26" s="322">
        <v>1</v>
      </c>
      <c r="L26" s="355">
        <f t="shared" si="2"/>
        <v>9.9656111784768353E-2</v>
      </c>
      <c r="M26" s="33"/>
      <c r="O26" s="6"/>
      <c r="P26" s="6"/>
      <c r="Q26" s="6"/>
      <c r="R26" s="6"/>
      <c r="Z26"/>
    </row>
    <row r="27" spans="1:30" s="6" customFormat="1" ht="30" customHeight="1" thickBot="1">
      <c r="A27" s="117" t="s">
        <v>188</v>
      </c>
      <c r="B27" s="143" t="s">
        <v>407</v>
      </c>
      <c r="C27" s="117">
        <v>2005</v>
      </c>
      <c r="D27" s="9" t="s">
        <v>100</v>
      </c>
      <c r="E27" s="343">
        <v>22.826632763605399</v>
      </c>
      <c r="F27" s="187" t="s">
        <v>883</v>
      </c>
      <c r="G27" s="253">
        <v>1</v>
      </c>
      <c r="H27" s="13">
        <v>1</v>
      </c>
      <c r="I27" s="13">
        <v>1</v>
      </c>
      <c r="J27" s="13">
        <v>1</v>
      </c>
      <c r="K27" s="322">
        <v>1</v>
      </c>
      <c r="L27" s="355">
        <f t="shared" si="2"/>
        <v>9.9656111784768353E-2</v>
      </c>
      <c r="M27" s="33"/>
      <c r="Z27"/>
      <c r="AA27" s="374"/>
      <c r="AB27"/>
    </row>
    <row r="28" spans="1:30" s="6" customFormat="1" ht="15.75" thickBot="1">
      <c r="A28" s="117" t="s">
        <v>188</v>
      </c>
      <c r="B28" s="143" t="s">
        <v>407</v>
      </c>
      <c r="C28" s="117">
        <v>2010</v>
      </c>
      <c r="D28" s="9" t="s">
        <v>100</v>
      </c>
      <c r="E28" s="343">
        <v>23.167998052721</v>
      </c>
      <c r="F28" s="187" t="s">
        <v>883</v>
      </c>
      <c r="G28" s="253">
        <v>1</v>
      </c>
      <c r="H28" s="13">
        <v>1</v>
      </c>
      <c r="I28" s="13">
        <v>1</v>
      </c>
      <c r="J28" s="13">
        <v>1</v>
      </c>
      <c r="K28" s="322">
        <v>1</v>
      </c>
      <c r="L28" s="355">
        <f t="shared" si="2"/>
        <v>9.9656111784768353E-2</v>
      </c>
      <c r="M28" s="33"/>
      <c r="Z28"/>
      <c r="AC28" s="374"/>
      <c r="AD28"/>
    </row>
    <row r="29" spans="1:30" s="6" customFormat="1" ht="15.75" thickBot="1">
      <c r="A29" s="117" t="s">
        <v>188</v>
      </c>
      <c r="B29" s="143" t="s">
        <v>407</v>
      </c>
      <c r="C29" s="117">
        <v>2015</v>
      </c>
      <c r="D29" s="9" t="s">
        <v>100</v>
      </c>
      <c r="E29" s="343">
        <v>23.408682551020402</v>
      </c>
      <c r="F29" s="187" t="s">
        <v>883</v>
      </c>
      <c r="G29" s="253">
        <v>1</v>
      </c>
      <c r="H29" s="13">
        <v>1</v>
      </c>
      <c r="I29" s="13">
        <v>1</v>
      </c>
      <c r="J29" s="13">
        <v>1</v>
      </c>
      <c r="K29" s="322">
        <v>1</v>
      </c>
      <c r="L29" s="355">
        <f t="shared" si="2"/>
        <v>9.9656111784768353E-2</v>
      </c>
      <c r="M29" s="33"/>
      <c r="Z29"/>
      <c r="AC29" s="374"/>
      <c r="AD29"/>
    </row>
    <row r="30" spans="1:30" s="6" customFormat="1" ht="15.75" thickBot="1">
      <c r="A30" s="117" t="s">
        <v>188</v>
      </c>
      <c r="B30" s="143" t="s">
        <v>407</v>
      </c>
      <c r="C30" s="117">
        <v>2019</v>
      </c>
      <c r="D30" s="9" t="s">
        <v>100</v>
      </c>
      <c r="E30" s="343">
        <v>24.831074302720999</v>
      </c>
      <c r="F30" s="187" t="s">
        <v>883</v>
      </c>
      <c r="G30" s="253">
        <v>1</v>
      </c>
      <c r="H30" s="13">
        <v>1</v>
      </c>
      <c r="I30" s="13">
        <v>1</v>
      </c>
      <c r="J30" s="13">
        <v>1</v>
      </c>
      <c r="K30" s="322">
        <v>1</v>
      </c>
      <c r="L30" s="355">
        <f t="shared" si="2"/>
        <v>9.9656111784768353E-2</v>
      </c>
      <c r="M30" s="33"/>
      <c r="Z30"/>
      <c r="AC30" s="374"/>
      <c r="AD30"/>
    </row>
    <row r="31" spans="1:30" s="6" customFormat="1">
      <c r="A31" s="117" t="s">
        <v>188</v>
      </c>
      <c r="B31" s="143" t="s">
        <v>407</v>
      </c>
      <c r="C31" s="117">
        <v>2020</v>
      </c>
      <c r="D31" s="9" t="s">
        <v>100</v>
      </c>
      <c r="E31" s="343">
        <v>21.5151739149929</v>
      </c>
      <c r="F31" s="187" t="s">
        <v>883</v>
      </c>
      <c r="G31" s="253">
        <v>1</v>
      </c>
      <c r="H31" s="13">
        <v>1</v>
      </c>
      <c r="I31" s="13">
        <v>1</v>
      </c>
      <c r="J31" s="13">
        <v>1</v>
      </c>
      <c r="K31" s="322">
        <v>1</v>
      </c>
      <c r="L31" s="355">
        <f t="shared" si="2"/>
        <v>9.9656111784768353E-2</v>
      </c>
      <c r="M31" s="33"/>
      <c r="Z31"/>
      <c r="AC31" s="374"/>
      <c r="AD31"/>
    </row>
    <row r="32" spans="1:30" s="6" customFormat="1">
      <c r="B32" s="883"/>
      <c r="D32" s="7"/>
      <c r="E32" s="884"/>
      <c r="F32" s="2"/>
      <c r="G32" s="1"/>
      <c r="H32" s="1"/>
      <c r="I32" s="1"/>
      <c r="J32" s="1"/>
      <c r="K32" s="1"/>
      <c r="L32" s="783"/>
      <c r="M32" s="7"/>
      <c r="Z32"/>
      <c r="AC32" s="374"/>
      <c r="AD32"/>
    </row>
    <row r="33" spans="1:30" s="6" customFormat="1">
      <c r="A33" s="882"/>
      <c r="B33" s="885"/>
      <c r="C33" s="882"/>
      <c r="D33" s="886"/>
      <c r="E33" s="887"/>
      <c r="F33" s="882"/>
      <c r="G33" s="882"/>
      <c r="H33" s="882"/>
      <c r="I33" s="882"/>
      <c r="J33" s="882"/>
      <c r="K33" s="882"/>
      <c r="L33" s="882"/>
      <c r="M33" s="882"/>
      <c r="N33" s="882"/>
      <c r="O33" s="882"/>
      <c r="P33" s="882"/>
      <c r="Q33" s="882"/>
      <c r="Z33"/>
      <c r="AC33" s="375"/>
      <c r="AD33"/>
    </row>
    <row r="34" spans="1:30" s="6" customFormat="1" ht="18.75">
      <c r="A34" s="388" t="s">
        <v>884</v>
      </c>
      <c r="B34" s="388"/>
      <c r="C34" s="388"/>
      <c r="D34" s="388"/>
      <c r="E34" s="388"/>
      <c r="F34" s="388"/>
      <c r="G34" s="388"/>
      <c r="H34" s="388"/>
      <c r="I34" s="388"/>
      <c r="J34" s="388"/>
      <c r="K34" s="388"/>
      <c r="L34" s="388"/>
      <c r="M34" s="388"/>
      <c r="N34" s="388"/>
      <c r="O34" s="388"/>
      <c r="P34" s="388"/>
      <c r="Q34" s="388"/>
      <c r="Z34"/>
    </row>
    <row r="35" spans="1:30" s="6" customFormat="1" ht="15.75" thickBot="1">
      <c r="K35"/>
      <c r="Z35"/>
    </row>
    <row r="36" spans="1:30" s="6" customFormat="1" ht="15.75" thickBot="1">
      <c r="A36" s="140" t="s">
        <v>139</v>
      </c>
      <c r="B36" s="140" t="s">
        <v>108</v>
      </c>
      <c r="C36" s="140" t="s">
        <v>109</v>
      </c>
      <c r="D36" s="140" t="s">
        <v>110</v>
      </c>
      <c r="E36" s="140"/>
      <c r="F36" s="228" t="s">
        <v>112</v>
      </c>
      <c r="G36" s="112" t="s">
        <v>143</v>
      </c>
      <c r="H36" s="112" t="s">
        <v>69</v>
      </c>
      <c r="I36" s="112" t="s">
        <v>75</v>
      </c>
      <c r="J36" s="112" t="s">
        <v>81</v>
      </c>
      <c r="K36" s="113" t="s">
        <v>87</v>
      </c>
      <c r="L36" s="114" t="s">
        <v>114</v>
      </c>
      <c r="M36" s="115" t="s">
        <v>132</v>
      </c>
      <c r="Z36"/>
    </row>
    <row r="37" spans="1:30" s="6" customFormat="1" ht="15.75" thickBot="1">
      <c r="A37" s="117" t="s">
        <v>190</v>
      </c>
      <c r="B37" s="143" t="s">
        <v>407</v>
      </c>
      <c r="C37" s="117">
        <v>1990</v>
      </c>
      <c r="D37" s="9" t="s">
        <v>100</v>
      </c>
      <c r="E37" s="222">
        <f>_xlfn.XLOOKUP('Tyre wear'!C37,'Scaling tables'!$B$3:$B$12,'Scaling tables'!$H$3:$H$12)*_xlfn.XLOOKUP('Tyre wear'!C37,'Tyre wear'!$C$6:$C$13,'Tyre wear'!$E$6:$E$13)</f>
        <v>393.48030195907643</v>
      </c>
      <c r="F37" s="187" t="s">
        <v>885</v>
      </c>
      <c r="G37" s="13">
        <v>1</v>
      </c>
      <c r="H37" s="13">
        <v>1</v>
      </c>
      <c r="I37" s="13">
        <v>1</v>
      </c>
      <c r="J37" s="13">
        <v>1</v>
      </c>
      <c r="K37" s="322">
        <v>2</v>
      </c>
      <c r="L37" s="355">
        <f>IF( OR( ISBLANK(G37),ISBLANK(H37), ISBLANK(I37), ISBLANK(J37), ISBLANK(K37) ), "", 1.5*SQRT( EXP(2.21*(G37-1)) + EXP(2.21*(H37-1)) + EXP(2.21*(I37-1)) + EXP(2.21*(J37-1)) + EXP(2.21*K37-1)   )/100*2.45 )</f>
        <v>0.2160744213792255</v>
      </c>
      <c r="M37" s="33"/>
      <c r="Z37"/>
    </row>
    <row r="38" spans="1:30" s="6" customFormat="1" ht="15.75" thickBot="1">
      <c r="A38" s="117" t="s">
        <v>190</v>
      </c>
      <c r="B38" s="143" t="s">
        <v>407</v>
      </c>
      <c r="C38" s="117">
        <v>1995</v>
      </c>
      <c r="D38" s="9" t="s">
        <v>100</v>
      </c>
      <c r="E38" s="222">
        <f>_xlfn.XLOOKUP('Tyre wear'!C38,'Scaling tables'!$B$3:$B$12,'Scaling tables'!$H$3:$H$12)*_xlfn.XLOOKUP('Tyre wear'!C38,'Tyre wear'!$C$6:$C$13,'Tyre wear'!$E$6:$E$13)</f>
        <v>414.53829746083062</v>
      </c>
      <c r="F38" s="187" t="s">
        <v>885</v>
      </c>
      <c r="G38" s="13">
        <v>1</v>
      </c>
      <c r="H38" s="13">
        <v>1</v>
      </c>
      <c r="I38" s="13">
        <v>1</v>
      </c>
      <c r="J38" s="13">
        <v>1</v>
      </c>
      <c r="K38" s="322">
        <v>2</v>
      </c>
      <c r="L38" s="355">
        <f t="shared" ref="L38:L44" si="3">IF( OR( ISBLANK(G38),ISBLANK(H38), ISBLANK(I38), ISBLANK(J38), ISBLANK(K38) ), "", 1.5*SQRT( EXP(2.21*(G38-1)) + EXP(2.21*(H38-1)) + EXP(2.21*(I38-1)) + EXP(2.21*(J38-1)) + EXP(2.21*K38-1)   )/100*2.45 )</f>
        <v>0.2160744213792255</v>
      </c>
      <c r="M38" s="33"/>
      <c r="Z38"/>
    </row>
    <row r="39" spans="1:30" s="6" customFormat="1" ht="15.75" thickBot="1">
      <c r="A39" s="117" t="s">
        <v>190</v>
      </c>
      <c r="B39" s="143" t="s">
        <v>407</v>
      </c>
      <c r="C39" s="117">
        <v>2000</v>
      </c>
      <c r="D39" s="9" t="s">
        <v>100</v>
      </c>
      <c r="E39" s="222">
        <f>_xlfn.XLOOKUP('Tyre wear'!C39,'Scaling tables'!$B$3:$B$12,'Scaling tables'!$H$3:$H$12)*_xlfn.XLOOKUP('Tyre wear'!C39,'Tyre wear'!$C$6:$C$13,'Tyre wear'!$E$6:$E$13)</f>
        <v>451.93964163246113</v>
      </c>
      <c r="F39" s="187" t="s">
        <v>885</v>
      </c>
      <c r="G39" s="13">
        <v>1</v>
      </c>
      <c r="H39" s="13">
        <v>1</v>
      </c>
      <c r="I39" s="13">
        <v>1</v>
      </c>
      <c r="J39" s="13">
        <v>1</v>
      </c>
      <c r="K39" s="322">
        <v>2</v>
      </c>
      <c r="L39" s="355">
        <f t="shared" si="3"/>
        <v>0.2160744213792255</v>
      </c>
      <c r="M39" s="33"/>
      <c r="R39"/>
      <c r="Z39"/>
    </row>
    <row r="40" spans="1:30" s="6" customFormat="1" ht="15.75" thickBot="1">
      <c r="A40" s="117" t="s">
        <v>190</v>
      </c>
      <c r="B40" s="143" t="s">
        <v>407</v>
      </c>
      <c r="C40" s="117">
        <v>2005</v>
      </c>
      <c r="D40" s="9" t="s">
        <v>100</v>
      </c>
      <c r="E40" s="222">
        <f>_xlfn.XLOOKUP('Tyre wear'!C40,'Scaling tables'!$B$3:$B$12,'Scaling tables'!$H$3:$H$12)*_xlfn.XLOOKUP('Tyre wear'!C40,'Tyre wear'!$C$6:$C$13,'Tyre wear'!$E$6:$E$13)</f>
        <v>473.98095485876485</v>
      </c>
      <c r="F40" s="187" t="s">
        <v>885</v>
      </c>
      <c r="G40" s="13">
        <v>1</v>
      </c>
      <c r="H40" s="13">
        <v>1</v>
      </c>
      <c r="I40" s="13">
        <v>1</v>
      </c>
      <c r="J40" s="13">
        <v>1</v>
      </c>
      <c r="K40" s="322">
        <v>2</v>
      </c>
      <c r="L40" s="355">
        <f t="shared" si="3"/>
        <v>0.2160744213792255</v>
      </c>
      <c r="M40" s="33"/>
      <c r="R40"/>
      <c r="Z40"/>
    </row>
    <row r="41" spans="1:30" s="6" customFormat="1" ht="15.75" thickBot="1">
      <c r="A41" s="117" t="s">
        <v>190</v>
      </c>
      <c r="B41" s="143" t="s">
        <v>407</v>
      </c>
      <c r="C41" s="117">
        <v>2010</v>
      </c>
      <c r="D41" s="9" t="s">
        <v>100</v>
      </c>
      <c r="E41" s="222">
        <f>_xlfn.XLOOKUP('Tyre wear'!C41,'Scaling tables'!$B$3:$B$12,'Scaling tables'!$H$3:$H$12)*_xlfn.XLOOKUP('Tyre wear'!C41,'Tyre wear'!$C$6:$C$13,'Tyre wear'!$E$6:$E$13)</f>
        <v>478.9472033360608</v>
      </c>
      <c r="F41" s="187" t="s">
        <v>885</v>
      </c>
      <c r="G41" s="13">
        <v>1</v>
      </c>
      <c r="H41" s="13">
        <v>1</v>
      </c>
      <c r="I41" s="13">
        <v>1</v>
      </c>
      <c r="J41" s="13">
        <v>1</v>
      </c>
      <c r="K41" s="322">
        <v>2</v>
      </c>
      <c r="L41" s="355">
        <f t="shared" si="3"/>
        <v>0.2160744213792255</v>
      </c>
      <c r="M41" s="33"/>
      <c r="R41"/>
      <c r="Z41"/>
    </row>
    <row r="42" spans="1:30" ht="15.75" thickBot="1">
      <c r="A42" s="117" t="s">
        <v>190</v>
      </c>
      <c r="B42" s="143" t="s">
        <v>407</v>
      </c>
      <c r="C42" s="117">
        <v>2015</v>
      </c>
      <c r="D42" s="9" t="s">
        <v>100</v>
      </c>
      <c r="E42" s="222">
        <f>_xlfn.XLOOKUP('Tyre wear'!C42,'Scaling tables'!$B$3:$B$12,'Scaling tables'!$H$3:$H$12)*_xlfn.XLOOKUP('Tyre wear'!C42,'Tyre wear'!$C$6:$C$13,'Tyre wear'!$E$6:$E$13)</f>
        <v>478.08873645143643</v>
      </c>
      <c r="F42" s="187" t="s">
        <v>885</v>
      </c>
      <c r="G42" s="13">
        <v>1</v>
      </c>
      <c r="H42" s="13">
        <v>1</v>
      </c>
      <c r="I42" s="13">
        <v>1</v>
      </c>
      <c r="J42" s="13">
        <v>1</v>
      </c>
      <c r="K42" s="322">
        <v>2</v>
      </c>
      <c r="L42" s="355">
        <f t="shared" si="3"/>
        <v>0.2160744213792255</v>
      </c>
      <c r="M42" s="33"/>
      <c r="P42" s="6"/>
      <c r="Q42" s="6"/>
    </row>
    <row r="43" spans="1:30" ht="15.75" thickBot="1">
      <c r="A43" s="117" t="s">
        <v>190</v>
      </c>
      <c r="B43" s="143" t="s">
        <v>407</v>
      </c>
      <c r="C43" s="117">
        <v>2019</v>
      </c>
      <c r="D43" s="9" t="s">
        <v>100</v>
      </c>
      <c r="E43" s="222">
        <f>_xlfn.XLOOKUP('Tyre wear'!C43,'Scaling tables'!$B$3:$B$12,'Scaling tables'!$H$3:$H$12)*_xlfn.XLOOKUP('Tyre wear'!C43,'Tyre wear'!$C$6:$C$13,'Tyre wear'!$E$6:$E$13)</f>
        <v>498.40670894401939</v>
      </c>
      <c r="F43" s="187" t="s">
        <v>885</v>
      </c>
      <c r="G43" s="13">
        <v>1</v>
      </c>
      <c r="H43" s="13">
        <v>1</v>
      </c>
      <c r="I43" s="13">
        <v>1</v>
      </c>
      <c r="J43" s="13">
        <v>1</v>
      </c>
      <c r="K43" s="322">
        <v>2</v>
      </c>
      <c r="L43" s="355">
        <f t="shared" si="3"/>
        <v>0.2160744213792255</v>
      </c>
      <c r="M43" s="33"/>
      <c r="P43" s="6"/>
      <c r="Q43" s="6"/>
    </row>
    <row r="44" spans="1:30" ht="15.75" thickBot="1">
      <c r="A44" s="117" t="s">
        <v>190</v>
      </c>
      <c r="B44" s="143" t="s">
        <v>407</v>
      </c>
      <c r="C44" s="117">
        <v>2020</v>
      </c>
      <c r="D44" s="9" t="s">
        <v>100</v>
      </c>
      <c r="E44" s="222">
        <f>_xlfn.XLOOKUP('Tyre wear'!C44,'Scaling tables'!$B$3:$B$12,'Scaling tables'!$H$3:$H$12)*_xlfn.XLOOKUP('Tyre wear'!C44,'Tyre wear'!$C$6:$C$13,'Tyre wear'!$E$6:$E$13)</f>
        <v>429.76922283483776</v>
      </c>
      <c r="F44" s="187" t="s">
        <v>885</v>
      </c>
      <c r="G44" s="13">
        <v>1</v>
      </c>
      <c r="H44" s="13">
        <v>1</v>
      </c>
      <c r="I44" s="13">
        <v>1</v>
      </c>
      <c r="J44" s="13">
        <v>1</v>
      </c>
      <c r="K44" s="322">
        <v>2</v>
      </c>
      <c r="L44" s="355">
        <f t="shared" si="3"/>
        <v>0.2160744213792255</v>
      </c>
      <c r="M44" s="33"/>
      <c r="P44" s="6"/>
      <c r="Q44" s="6"/>
    </row>
    <row r="45" spans="1:30" ht="15.75" thickBot="1">
      <c r="A45" s="140" t="s">
        <v>139</v>
      </c>
      <c r="B45" s="140" t="s">
        <v>108</v>
      </c>
      <c r="C45" s="140" t="s">
        <v>109</v>
      </c>
      <c r="D45" s="140" t="s">
        <v>110</v>
      </c>
      <c r="E45" s="140"/>
      <c r="F45" s="228" t="s">
        <v>112</v>
      </c>
      <c r="G45" s="112" t="s">
        <v>143</v>
      </c>
      <c r="H45" s="112" t="s">
        <v>69</v>
      </c>
      <c r="I45" s="112" t="s">
        <v>75</v>
      </c>
      <c r="J45" s="112" t="s">
        <v>81</v>
      </c>
      <c r="K45" s="113" t="s">
        <v>87</v>
      </c>
      <c r="L45" s="114" t="s">
        <v>114</v>
      </c>
      <c r="M45" s="115" t="s">
        <v>132</v>
      </c>
      <c r="P45" s="6"/>
      <c r="Q45" s="6"/>
    </row>
    <row r="46" spans="1:30" ht="15.75" thickBot="1">
      <c r="A46" s="117" t="s">
        <v>190</v>
      </c>
      <c r="B46" s="143" t="s">
        <v>407</v>
      </c>
      <c r="C46" s="117">
        <v>1990</v>
      </c>
      <c r="D46" s="9" t="s">
        <v>100</v>
      </c>
      <c r="E46" s="222">
        <f>_xlfn.XLOOKUP('Tyre wear'!C46,'Scaling tables'!$B$3:$B$12,'Scaling tables'!$H$3:$H$12)*_xlfn.XLOOKUP('Tyre wear'!C46,'Tyre wear'!$C$15:$C$22,'Tyre wear'!$E$15:$E$22)</f>
        <v>274.36551667214508</v>
      </c>
      <c r="F46" s="187" t="s">
        <v>886</v>
      </c>
      <c r="G46" s="13">
        <v>1</v>
      </c>
      <c r="H46" s="13">
        <v>1</v>
      </c>
      <c r="I46" s="13">
        <v>1</v>
      </c>
      <c r="J46" s="13">
        <v>1</v>
      </c>
      <c r="K46" s="322">
        <v>2</v>
      </c>
      <c r="L46" s="355">
        <f t="shared" ref="L46:L53" si="4">IF( OR( ISBLANK(G46),ISBLANK(H46), ISBLANK(I46), ISBLANK(J46), ISBLANK(K46) ), "", 1.5*SQRT( EXP(2.21*(G46-1)) + EXP(2.21*(H46-1)) + EXP(2.21*(I46-1)) + EXP(2.21*(J46-1)) + EXP(2.21*K46-1)   )/100*2.45 )</f>
        <v>0.2160744213792255</v>
      </c>
      <c r="M46" s="33"/>
      <c r="P46" s="6"/>
      <c r="Q46" s="6"/>
    </row>
    <row r="47" spans="1:30" ht="15.75" thickBot="1">
      <c r="A47" s="117" t="s">
        <v>190</v>
      </c>
      <c r="B47" s="143" t="s">
        <v>407</v>
      </c>
      <c r="C47" s="117">
        <v>1995</v>
      </c>
      <c r="D47" s="9" t="s">
        <v>100</v>
      </c>
      <c r="E47" s="222">
        <f>_xlfn.XLOOKUP('Tyre wear'!C47,'Scaling tables'!$B$3:$B$12,'Scaling tables'!$H$3:$H$12)*_xlfn.XLOOKUP('Tyre wear'!C47,'Tyre wear'!$C$15:$C$22,'Tyre wear'!$E$15:$E$22)</f>
        <v>289.04881285533907</v>
      </c>
      <c r="F47" s="187" t="s">
        <v>886</v>
      </c>
      <c r="G47" s="13">
        <v>1</v>
      </c>
      <c r="H47" s="13">
        <v>1</v>
      </c>
      <c r="I47" s="13">
        <v>1</v>
      </c>
      <c r="J47" s="13">
        <v>1</v>
      </c>
      <c r="K47" s="322">
        <v>2</v>
      </c>
      <c r="L47" s="355">
        <f t="shared" si="4"/>
        <v>0.2160744213792255</v>
      </c>
      <c r="M47" s="33"/>
      <c r="P47" s="6"/>
      <c r="Q47" s="6"/>
    </row>
    <row r="48" spans="1:30" ht="15.75" thickBot="1">
      <c r="A48" s="117" t="s">
        <v>190</v>
      </c>
      <c r="B48" s="143" t="s">
        <v>407</v>
      </c>
      <c r="C48" s="117">
        <v>2000</v>
      </c>
      <c r="D48" s="9" t="s">
        <v>100</v>
      </c>
      <c r="E48" s="222">
        <f>_xlfn.XLOOKUP('Tyre wear'!C48,'Scaling tables'!$B$3:$B$12,'Scaling tables'!$H$3:$H$12)*_xlfn.XLOOKUP('Tyre wear'!C48,'Tyre wear'!$C$15:$C$22,'Tyre wear'!$E$15:$E$22)</f>
        <v>315.12798141039013</v>
      </c>
      <c r="F48" s="187" t="s">
        <v>886</v>
      </c>
      <c r="G48" s="13">
        <v>1</v>
      </c>
      <c r="H48" s="13">
        <v>1</v>
      </c>
      <c r="I48" s="13">
        <v>1</v>
      </c>
      <c r="J48" s="13">
        <v>1</v>
      </c>
      <c r="K48" s="322">
        <v>2</v>
      </c>
      <c r="L48" s="355">
        <f t="shared" si="4"/>
        <v>0.2160744213792255</v>
      </c>
      <c r="M48" s="33"/>
      <c r="P48" s="6"/>
      <c r="Q48" s="6"/>
    </row>
    <row r="49" spans="1:17" ht="15.75" thickBot="1">
      <c r="A49" s="117" t="s">
        <v>190</v>
      </c>
      <c r="B49" s="143" t="s">
        <v>407</v>
      </c>
      <c r="C49" s="117">
        <v>2005</v>
      </c>
      <c r="D49" s="9" t="s">
        <v>100</v>
      </c>
      <c r="E49" s="222">
        <f>_xlfn.XLOOKUP('Tyre wear'!C49,'Scaling tables'!$B$3:$B$12,'Scaling tables'!$H$3:$H$12)*_xlfn.XLOOKUP('Tyre wear'!C49,'Tyre wear'!$C$15:$C$22,'Tyre wear'!$E$15:$E$22)</f>
        <v>330.49692430627994</v>
      </c>
      <c r="F49" s="187" t="s">
        <v>886</v>
      </c>
      <c r="G49" s="13">
        <v>1</v>
      </c>
      <c r="H49" s="13">
        <v>1</v>
      </c>
      <c r="I49" s="13">
        <v>1</v>
      </c>
      <c r="J49" s="13">
        <v>1</v>
      </c>
      <c r="K49" s="322">
        <v>2</v>
      </c>
      <c r="L49" s="355">
        <f t="shared" si="4"/>
        <v>0.2160744213792255</v>
      </c>
      <c r="M49" s="33"/>
      <c r="P49" s="6"/>
      <c r="Q49" s="6"/>
    </row>
    <row r="50" spans="1:17" ht="15.75" thickBot="1">
      <c r="A50" s="117" t="s">
        <v>190</v>
      </c>
      <c r="B50" s="143" t="s">
        <v>407</v>
      </c>
      <c r="C50" s="117">
        <v>2010</v>
      </c>
      <c r="D50" s="9" t="s">
        <v>100</v>
      </c>
      <c r="E50" s="222">
        <f>_xlfn.XLOOKUP('Tyre wear'!C50,'Scaling tables'!$B$3:$B$12,'Scaling tables'!$H$3:$H$12)*_xlfn.XLOOKUP('Tyre wear'!C50,'Tyre wear'!$C$15:$C$22,'Tyre wear'!$E$15:$E$22)</f>
        <v>333.95978463908972</v>
      </c>
      <c r="F50" s="187" t="s">
        <v>886</v>
      </c>
      <c r="G50" s="13">
        <v>1</v>
      </c>
      <c r="H50" s="13">
        <v>1</v>
      </c>
      <c r="I50" s="13">
        <v>1</v>
      </c>
      <c r="J50" s="13">
        <v>1</v>
      </c>
      <c r="K50" s="322">
        <v>2</v>
      </c>
      <c r="L50" s="355">
        <f t="shared" si="4"/>
        <v>0.2160744213792255</v>
      </c>
      <c r="M50" s="33"/>
      <c r="P50" s="6"/>
      <c r="Q50" s="6"/>
    </row>
    <row r="51" spans="1:17" ht="15.75" thickBot="1">
      <c r="A51" s="117" t="s">
        <v>190</v>
      </c>
      <c r="B51" s="143" t="s">
        <v>407</v>
      </c>
      <c r="C51" s="117">
        <v>2015</v>
      </c>
      <c r="D51" s="9" t="s">
        <v>100</v>
      </c>
      <c r="E51" s="222">
        <f>_xlfn.XLOOKUP('Tyre wear'!C51,'Scaling tables'!$B$3:$B$12,'Scaling tables'!$H$3:$H$12)*_xlfn.XLOOKUP('Tyre wear'!C51,'Tyre wear'!$C$15:$C$22,'Tyre wear'!$E$15:$E$22)</f>
        <v>333.36119378416316</v>
      </c>
      <c r="F51" s="187" t="s">
        <v>886</v>
      </c>
      <c r="G51" s="13">
        <v>1</v>
      </c>
      <c r="H51" s="13">
        <v>1</v>
      </c>
      <c r="I51" s="13">
        <v>1</v>
      </c>
      <c r="J51" s="13">
        <v>1</v>
      </c>
      <c r="K51" s="322">
        <v>2</v>
      </c>
      <c r="L51" s="355">
        <f t="shared" si="4"/>
        <v>0.2160744213792255</v>
      </c>
      <c r="M51" s="33"/>
      <c r="P51" s="6"/>
      <c r="Q51" s="6"/>
    </row>
    <row r="52" spans="1:17" ht="15.75" thickBot="1">
      <c r="A52" s="117" t="s">
        <v>190</v>
      </c>
      <c r="B52" s="143" t="s">
        <v>407</v>
      </c>
      <c r="C52" s="117">
        <v>2019</v>
      </c>
      <c r="D52" s="9" t="s">
        <v>100</v>
      </c>
      <c r="E52" s="222">
        <f>_xlfn.XLOOKUP('Tyre wear'!C52,'Scaling tables'!$B$3:$B$12,'Scaling tables'!$H$3:$H$12)*_xlfn.XLOOKUP('Tyre wear'!C52,'Tyre wear'!$C$15:$C$22,'Tyre wear'!$E$15:$E$22)</f>
        <v>347.5284875289928</v>
      </c>
      <c r="F52" s="187" t="s">
        <v>886</v>
      </c>
      <c r="G52" s="13">
        <v>1</v>
      </c>
      <c r="H52" s="13">
        <v>1</v>
      </c>
      <c r="I52" s="13">
        <v>1</v>
      </c>
      <c r="J52" s="13">
        <v>1</v>
      </c>
      <c r="K52" s="322">
        <v>2</v>
      </c>
      <c r="L52" s="355">
        <f t="shared" si="4"/>
        <v>0.2160744213792255</v>
      </c>
      <c r="M52" s="33"/>
      <c r="P52" s="6"/>
      <c r="Q52" s="6"/>
    </row>
    <row r="53" spans="1:17" ht="15.75" thickBot="1">
      <c r="A53" s="117" t="s">
        <v>190</v>
      </c>
      <c r="B53" s="143" t="s">
        <v>407</v>
      </c>
      <c r="C53" s="117">
        <v>2020</v>
      </c>
      <c r="D53" s="9" t="s">
        <v>100</v>
      </c>
      <c r="E53" s="222">
        <f>_xlfn.XLOOKUP('Tyre wear'!C53,'Scaling tables'!$B$3:$B$12,'Scaling tables'!$H$3:$H$12)*_xlfn.XLOOKUP('Tyre wear'!C53,'Tyre wear'!$C$15:$C$22,'Tyre wear'!$E$15:$E$22)</f>
        <v>299.66901592225156</v>
      </c>
      <c r="F53" s="187" t="s">
        <v>886</v>
      </c>
      <c r="G53" s="13">
        <v>1</v>
      </c>
      <c r="H53" s="13">
        <v>1</v>
      </c>
      <c r="I53" s="13">
        <v>1</v>
      </c>
      <c r="J53" s="13">
        <v>1</v>
      </c>
      <c r="K53" s="322">
        <v>2</v>
      </c>
      <c r="L53" s="355">
        <f t="shared" si="4"/>
        <v>0.2160744213792255</v>
      </c>
      <c r="M53" s="33"/>
      <c r="P53" s="6"/>
      <c r="Q53" s="6"/>
    </row>
    <row r="54" spans="1:17" ht="15.75" thickBot="1">
      <c r="A54" s="140" t="s">
        <v>139</v>
      </c>
      <c r="B54" s="140" t="s">
        <v>108</v>
      </c>
      <c r="C54" s="140" t="s">
        <v>109</v>
      </c>
      <c r="D54" s="140" t="s">
        <v>110</v>
      </c>
      <c r="E54" s="140"/>
      <c r="F54" s="228" t="s">
        <v>112</v>
      </c>
      <c r="G54" s="112" t="s">
        <v>143</v>
      </c>
      <c r="H54" s="112" t="s">
        <v>69</v>
      </c>
      <c r="I54" s="112" t="s">
        <v>75</v>
      </c>
      <c r="J54" s="112" t="s">
        <v>81</v>
      </c>
      <c r="K54" s="113" t="s">
        <v>87</v>
      </c>
      <c r="L54" s="114" t="s">
        <v>114</v>
      </c>
      <c r="M54" s="115" t="s">
        <v>132</v>
      </c>
      <c r="P54" s="6"/>
      <c r="Q54" s="6"/>
    </row>
    <row r="55" spans="1:17" ht="15.75" thickBot="1">
      <c r="A55" s="117" t="s">
        <v>190</v>
      </c>
      <c r="B55" s="143" t="s">
        <v>407</v>
      </c>
      <c r="C55" s="117">
        <v>1990</v>
      </c>
      <c r="D55" s="9" t="s">
        <v>100</v>
      </c>
      <c r="E55" s="222">
        <f>_xlfn.XLOOKUP('Tyre wear'!C55,'Scaling tables'!$B$3:$B$12,'Scaling tables'!$H$3:$H$12)*_xlfn.XLOOKUP('Tyre wear'!C55,'Tyre wear'!$C$24:$C$31,'Tyre wear'!$E$24:$E$31)</f>
        <v>505.23406118894758</v>
      </c>
      <c r="F55" s="187" t="s">
        <v>887</v>
      </c>
      <c r="G55" s="13">
        <v>1</v>
      </c>
      <c r="H55" s="13">
        <v>1</v>
      </c>
      <c r="I55" s="13">
        <v>1</v>
      </c>
      <c r="J55" s="13">
        <v>1</v>
      </c>
      <c r="K55" s="322">
        <v>2</v>
      </c>
      <c r="L55" s="355">
        <f t="shared" ref="L55:L62" si="5">IF( OR( ISBLANK(G55),ISBLANK(H55), ISBLANK(I55), ISBLANK(J55), ISBLANK(K55) ), "", 1.5*SQRT( EXP(2.21*(G55-1)) + EXP(2.21*(H55-1)) + EXP(2.21*(I55-1)) + EXP(2.21*(J55-1)) + EXP(2.21*K55-1)   )/100*2.45 )</f>
        <v>0.2160744213792255</v>
      </c>
      <c r="M55" s="33"/>
      <c r="P55" s="6"/>
      <c r="Q55" s="6"/>
    </row>
    <row r="56" spans="1:17" ht="15.75" thickBot="1">
      <c r="A56" s="117" t="s">
        <v>190</v>
      </c>
      <c r="B56" s="143" t="s">
        <v>407</v>
      </c>
      <c r="C56" s="117">
        <v>1995</v>
      </c>
      <c r="D56" s="9" t="s">
        <v>100</v>
      </c>
      <c r="E56" s="222">
        <f>_xlfn.XLOOKUP('Tyre wear'!C56,'Scaling tables'!$B$3:$B$12,'Scaling tables'!$H$3:$H$12)*_xlfn.XLOOKUP('Tyre wear'!C56,'Tyre wear'!$C$24:$C$31,'Tyre wear'!$E$24:$E$31)</f>
        <v>532.27281391654117</v>
      </c>
      <c r="F56" s="187" t="s">
        <v>887</v>
      </c>
      <c r="G56" s="13">
        <v>1</v>
      </c>
      <c r="H56" s="13">
        <v>1</v>
      </c>
      <c r="I56" s="13">
        <v>1</v>
      </c>
      <c r="J56" s="13">
        <v>1</v>
      </c>
      <c r="K56" s="322">
        <v>2</v>
      </c>
      <c r="L56" s="355">
        <f t="shared" si="5"/>
        <v>0.2160744213792255</v>
      </c>
      <c r="M56" s="33"/>
      <c r="P56" s="6"/>
      <c r="Q56" s="6"/>
    </row>
    <row r="57" spans="1:17" ht="15.75" thickBot="1">
      <c r="A57" s="117" t="s">
        <v>190</v>
      </c>
      <c r="B57" s="143" t="s">
        <v>407</v>
      </c>
      <c r="C57" s="117">
        <v>2000</v>
      </c>
      <c r="D57" s="9" t="s">
        <v>100</v>
      </c>
      <c r="E57" s="222">
        <f>_xlfn.XLOOKUP('Tyre wear'!C57,'Scaling tables'!$B$3:$B$12,'Scaling tables'!$H$3:$H$12)*_xlfn.XLOOKUP('Tyre wear'!C57,'Tyre wear'!$C$24:$C$31,'Tyre wear'!$E$24:$E$31)</f>
        <v>580.29664869474288</v>
      </c>
      <c r="F57" s="187" t="s">
        <v>887</v>
      </c>
      <c r="G57" s="13">
        <v>1</v>
      </c>
      <c r="H57" s="13">
        <v>1</v>
      </c>
      <c r="I57" s="13">
        <v>1</v>
      </c>
      <c r="J57" s="13">
        <v>1</v>
      </c>
      <c r="K57" s="322">
        <v>2</v>
      </c>
      <c r="L57" s="355">
        <f t="shared" si="5"/>
        <v>0.2160744213792255</v>
      </c>
      <c r="M57" s="33"/>
      <c r="P57" s="6"/>
      <c r="Q57" s="6"/>
    </row>
    <row r="58" spans="1:17" ht="15.75" thickBot="1">
      <c r="A58" s="117" t="s">
        <v>190</v>
      </c>
      <c r="B58" s="143" t="s">
        <v>407</v>
      </c>
      <c r="C58" s="117">
        <v>2005</v>
      </c>
      <c r="D58" s="9" t="s">
        <v>100</v>
      </c>
      <c r="E58" s="222">
        <f>_xlfn.XLOOKUP('Tyre wear'!C58,'Scaling tables'!$B$3:$B$12,'Scaling tables'!$H$3:$H$12)*_xlfn.XLOOKUP('Tyre wear'!C58,'Tyre wear'!$C$24:$C$31,'Tyre wear'!$E$24:$E$31)</f>
        <v>608.59799475912735</v>
      </c>
      <c r="F58" s="187" t="s">
        <v>887</v>
      </c>
      <c r="G58" s="13">
        <v>1</v>
      </c>
      <c r="H58" s="13">
        <v>1</v>
      </c>
      <c r="I58" s="13">
        <v>1</v>
      </c>
      <c r="J58" s="13">
        <v>1</v>
      </c>
      <c r="K58" s="322">
        <v>2</v>
      </c>
      <c r="L58" s="355">
        <f t="shared" si="5"/>
        <v>0.2160744213792255</v>
      </c>
      <c r="M58" s="33"/>
      <c r="P58" s="6"/>
      <c r="Q58" s="6"/>
    </row>
    <row r="59" spans="1:17" ht="15.75" thickBot="1">
      <c r="A59" s="117" t="s">
        <v>190</v>
      </c>
      <c r="B59" s="143" t="s">
        <v>407</v>
      </c>
      <c r="C59" s="117">
        <v>2010</v>
      </c>
      <c r="D59" s="9" t="s">
        <v>100</v>
      </c>
      <c r="E59" s="222">
        <f>_xlfn.XLOOKUP('Tyre wear'!C59,'Scaling tables'!$B$3:$B$12,'Scaling tables'!$H$3:$H$12)*_xlfn.XLOOKUP('Tyre wear'!C59,'Tyre wear'!$C$24:$C$31,'Tyre wear'!$E$24:$E$31)</f>
        <v>614.97472537198053</v>
      </c>
      <c r="F59" s="187" t="s">
        <v>887</v>
      </c>
      <c r="G59" s="13">
        <v>1</v>
      </c>
      <c r="H59" s="13">
        <v>1</v>
      </c>
      <c r="I59" s="13">
        <v>1</v>
      </c>
      <c r="J59" s="13">
        <v>1</v>
      </c>
      <c r="K59" s="322">
        <v>2</v>
      </c>
      <c r="L59" s="355">
        <f t="shared" si="5"/>
        <v>0.2160744213792255</v>
      </c>
      <c r="M59" s="33"/>
      <c r="P59" s="6"/>
      <c r="Q59" s="6"/>
    </row>
    <row r="60" spans="1:17" ht="15.75" thickBot="1">
      <c r="A60" s="117" t="s">
        <v>190</v>
      </c>
      <c r="B60" s="143" t="s">
        <v>407</v>
      </c>
      <c r="C60" s="117">
        <v>2015</v>
      </c>
      <c r="D60" s="9" t="s">
        <v>100</v>
      </c>
      <c r="E60" s="222">
        <f>_xlfn.XLOOKUP('Tyre wear'!C60,'Scaling tables'!$B$3:$B$12,'Scaling tables'!$H$3:$H$12)*_xlfn.XLOOKUP('Tyre wear'!C60,'Tyre wear'!$C$24:$C$31,'Tyre wear'!$E$24:$E$31)</f>
        <v>613.87244221230344</v>
      </c>
      <c r="F60" s="187" t="s">
        <v>887</v>
      </c>
      <c r="G60" s="13">
        <v>1</v>
      </c>
      <c r="H60" s="13">
        <v>1</v>
      </c>
      <c r="I60" s="13">
        <v>1</v>
      </c>
      <c r="J60" s="13">
        <v>1</v>
      </c>
      <c r="K60" s="322">
        <v>2</v>
      </c>
      <c r="L60" s="355">
        <f t="shared" si="5"/>
        <v>0.2160744213792255</v>
      </c>
      <c r="M60" s="33"/>
      <c r="P60" s="6"/>
      <c r="Q60" s="6"/>
    </row>
    <row r="61" spans="1:17" ht="15.75" thickBot="1">
      <c r="A61" s="117" t="s">
        <v>190</v>
      </c>
      <c r="B61" s="143" t="s">
        <v>407</v>
      </c>
      <c r="C61" s="117">
        <v>2019</v>
      </c>
      <c r="D61" s="9" t="s">
        <v>100</v>
      </c>
      <c r="E61" s="222">
        <f>_xlfn.XLOOKUP('Tyre wear'!C61,'Scaling tables'!$B$3:$B$12,'Scaling tables'!$H$3:$H$12)*_xlfn.XLOOKUP('Tyre wear'!C61,'Tyre wear'!$C$24:$C$31,'Tyre wear'!$E$24:$E$31)</f>
        <v>639.96099532777771</v>
      </c>
      <c r="F61" s="187" t="s">
        <v>887</v>
      </c>
      <c r="G61" s="13">
        <v>1</v>
      </c>
      <c r="H61" s="13">
        <v>1</v>
      </c>
      <c r="I61" s="13">
        <v>1</v>
      </c>
      <c r="J61" s="13">
        <v>1</v>
      </c>
      <c r="K61" s="322">
        <v>2</v>
      </c>
      <c r="L61" s="355">
        <f t="shared" si="5"/>
        <v>0.2160744213792255</v>
      </c>
      <c r="M61" s="33"/>
      <c r="P61" s="6"/>
      <c r="Q61" s="6"/>
    </row>
    <row r="62" spans="1:17">
      <c r="A62" s="117" t="s">
        <v>190</v>
      </c>
      <c r="B62" s="143" t="s">
        <v>407</v>
      </c>
      <c r="C62" s="117">
        <v>2020</v>
      </c>
      <c r="D62" s="9" t="s">
        <v>100</v>
      </c>
      <c r="E62" s="222">
        <f>_xlfn.XLOOKUP('Tyre wear'!C62,'Scaling tables'!$B$3:$B$12,'Scaling tables'!$H$3:$H$12)*_xlfn.XLOOKUP('Tyre wear'!C62,'Tyre wear'!$C$24:$C$31,'Tyre wear'!$E$24:$E$31)</f>
        <v>551.8295293202433</v>
      </c>
      <c r="F62" s="187" t="s">
        <v>887</v>
      </c>
      <c r="G62" s="13">
        <v>1</v>
      </c>
      <c r="H62" s="13">
        <v>1</v>
      </c>
      <c r="I62" s="13">
        <v>1</v>
      </c>
      <c r="J62" s="13">
        <v>1</v>
      </c>
      <c r="K62" s="322">
        <v>2</v>
      </c>
      <c r="L62" s="355">
        <f t="shared" si="5"/>
        <v>0.2160744213792255</v>
      </c>
      <c r="M62" s="33"/>
      <c r="P62" s="6"/>
      <c r="Q62" s="6"/>
    </row>
    <row r="63" spans="1:17">
      <c r="A63" s="6"/>
      <c r="B63" s="6"/>
      <c r="C63" s="6"/>
      <c r="D63" s="6"/>
      <c r="E63" s="6"/>
      <c r="F63" s="6"/>
      <c r="G63" s="6"/>
      <c r="H63" s="6"/>
      <c r="I63" s="6"/>
      <c r="J63" s="6"/>
      <c r="K63" s="6"/>
      <c r="L63" s="6"/>
      <c r="M63" s="6"/>
      <c r="N63" s="6"/>
      <c r="O63" s="6"/>
      <c r="P63" s="6"/>
      <c r="Q63" s="6"/>
    </row>
    <row r="64" spans="1:17" ht="19.5" thickBot="1">
      <c r="A64" s="388" t="s">
        <v>15</v>
      </c>
      <c r="B64" s="388"/>
      <c r="C64" s="388"/>
      <c r="D64" s="388"/>
      <c r="E64" s="388"/>
      <c r="F64" s="388"/>
      <c r="G64" s="388"/>
      <c r="H64" s="388"/>
      <c r="I64" s="388"/>
      <c r="J64" s="388"/>
      <c r="K64" s="388"/>
      <c r="L64" s="388"/>
      <c r="M64" s="388"/>
      <c r="N64" s="388"/>
      <c r="O64" s="388"/>
      <c r="P64" s="388"/>
      <c r="Q64" s="388"/>
    </row>
    <row r="65" spans="1:17" ht="15.75" thickBot="1">
      <c r="A65" s="508" t="s">
        <v>137</v>
      </c>
      <c r="B65" s="520" t="s">
        <v>138</v>
      </c>
      <c r="C65" s="508" t="s">
        <v>109</v>
      </c>
      <c r="D65" s="508" t="s">
        <v>139</v>
      </c>
      <c r="E65" s="507" t="s">
        <v>110</v>
      </c>
      <c r="F65" s="521" t="s">
        <v>140</v>
      </c>
      <c r="G65" s="521" t="s">
        <v>141</v>
      </c>
      <c r="H65" s="367" t="s">
        <v>112</v>
      </c>
      <c r="I65" s="111" t="s">
        <v>142</v>
      </c>
      <c r="J65" s="112" t="s">
        <v>143</v>
      </c>
      <c r="K65" s="112" t="s">
        <v>69</v>
      </c>
      <c r="L65" s="112" t="s">
        <v>75</v>
      </c>
      <c r="M65" s="112" t="s">
        <v>81</v>
      </c>
      <c r="N65" s="113" t="s">
        <v>87</v>
      </c>
      <c r="O65" s="114" t="s">
        <v>114</v>
      </c>
      <c r="P65" s="115" t="s">
        <v>132</v>
      </c>
      <c r="Q65" s="6"/>
    </row>
    <row r="66" spans="1:17">
      <c r="A66" t="s">
        <v>407</v>
      </c>
      <c r="B66" s="95" t="s">
        <v>279</v>
      </c>
      <c r="C66" s="522">
        <v>2020</v>
      </c>
      <c r="D66" s="95" t="s">
        <v>188</v>
      </c>
      <c r="E66" s="324" t="s">
        <v>888</v>
      </c>
      <c r="F66" s="525">
        <v>0.51183817172326096</v>
      </c>
      <c r="G66" s="324">
        <v>1</v>
      </c>
      <c r="H66" s="528" t="s">
        <v>889</v>
      </c>
      <c r="I66" s="407">
        <v>1</v>
      </c>
      <c r="J66" s="13"/>
      <c r="K66" s="13">
        <v>1</v>
      </c>
      <c r="L66" s="13">
        <v>1</v>
      </c>
      <c r="M66" s="13">
        <v>1</v>
      </c>
      <c r="N66" s="13">
        <v>1</v>
      </c>
      <c r="O66" s="177" t="str">
        <f>IF( OR( ISBLANK(J66),ISBLANK(K66), ISBLANK(L66), ISBLANK(M66), ISBLANK(N66) ), "", 1.5*SQRT( EXP(2.21*(J66-1)) + EXP(2.21*(K66-1)) + EXP(2.21*(L66-1)) + EXP(2.21*(M66-1)) + EXP(2.21*N66-1)   )/100*2.45 )</f>
        <v/>
      </c>
      <c r="P66" s="33"/>
      <c r="Q66" s="6"/>
    </row>
    <row r="67" spans="1:17">
      <c r="A67" t="s">
        <v>407</v>
      </c>
      <c r="B67" s="68" t="s">
        <v>409</v>
      </c>
      <c r="C67" s="523">
        <v>2020</v>
      </c>
      <c r="D67" s="68" t="s">
        <v>188</v>
      </c>
      <c r="E67" s="312" t="s">
        <v>888</v>
      </c>
      <c r="F67" s="526">
        <v>0.23042071552195001</v>
      </c>
      <c r="G67" s="312">
        <v>1</v>
      </c>
      <c r="H67" s="529" t="s">
        <v>889</v>
      </c>
      <c r="I67" s="173">
        <v>1</v>
      </c>
      <c r="J67" s="10"/>
      <c r="K67" s="10">
        <v>1</v>
      </c>
      <c r="L67" s="10">
        <v>1</v>
      </c>
      <c r="M67" s="10">
        <v>1</v>
      </c>
      <c r="N67" s="10">
        <v>1</v>
      </c>
      <c r="O67" s="178" t="str">
        <f t="shared" ref="O67:O68" si="6">IF( OR( ISBLANK(J67),ISBLANK(K67), ISBLANK(L67), ISBLANK(M67), ISBLANK(N67) ), "", 1.5*SQRT( EXP(2.21*(J67-1)) + EXP(2.21*(K67-1)) + EXP(2.21*(L67-1)) + EXP(2.21*(M67-1)) + EXP(2.21*N67-1)   )/100*2.45 )</f>
        <v/>
      </c>
      <c r="P67" s="34"/>
      <c r="Q67" s="6"/>
    </row>
    <row r="68" spans="1:17">
      <c r="A68" t="s">
        <v>407</v>
      </c>
      <c r="B68" s="68" t="s">
        <v>406</v>
      </c>
      <c r="C68" s="523">
        <v>2020</v>
      </c>
      <c r="D68" s="68" t="s">
        <v>188</v>
      </c>
      <c r="E68" s="312" t="s">
        <v>888</v>
      </c>
      <c r="F68" s="526">
        <v>0.257741112754788</v>
      </c>
      <c r="G68" s="312">
        <v>1</v>
      </c>
      <c r="H68" s="529" t="s">
        <v>889</v>
      </c>
      <c r="I68" s="173">
        <v>1</v>
      </c>
      <c r="J68" s="10"/>
      <c r="K68" s="10">
        <v>1</v>
      </c>
      <c r="L68" s="10">
        <v>1</v>
      </c>
      <c r="M68" s="10">
        <v>1</v>
      </c>
      <c r="N68" s="10">
        <v>1</v>
      </c>
      <c r="O68" s="178" t="str">
        <f t="shared" si="6"/>
        <v/>
      </c>
      <c r="P68" s="34"/>
      <c r="Q68" s="6"/>
    </row>
    <row r="69" spans="1:17">
      <c r="A69" t="s">
        <v>407</v>
      </c>
      <c r="B69" s="68" t="s">
        <v>279</v>
      </c>
      <c r="C69" s="523">
        <v>2020</v>
      </c>
      <c r="D69" s="68" t="s">
        <v>190</v>
      </c>
      <c r="E69" s="312" t="s">
        <v>888</v>
      </c>
      <c r="F69" s="526">
        <v>0.51183817172326096</v>
      </c>
      <c r="G69" s="312">
        <v>1</v>
      </c>
      <c r="H69" s="529" t="s">
        <v>890</v>
      </c>
      <c r="I69" s="173"/>
      <c r="J69" s="10">
        <v>1</v>
      </c>
      <c r="K69" s="10">
        <v>1</v>
      </c>
      <c r="L69" s="10">
        <v>1</v>
      </c>
      <c r="M69" s="10">
        <v>1</v>
      </c>
      <c r="N69" s="10">
        <v>3</v>
      </c>
      <c r="O69" s="178">
        <f>IF( OR( ISBLANK(J69),ISBLANK(K69), ISBLANK(L69), ISBLANK(M69), ISBLANK(N69) ), "", 1.5*SQRT( EXP(2.21*(J69-1)) + EXP(2.21*(K69-1)) + EXP(2.21*(L69-1)) + EXP(2.21*(M69-1)) + EXP(2.21*(N69-1))   )/100*2.45 )</f>
        <v>0.34297081055722239</v>
      </c>
      <c r="P69" s="34"/>
      <c r="Q69" s="6"/>
    </row>
    <row r="70" spans="1:17">
      <c r="A70" t="s">
        <v>407</v>
      </c>
      <c r="B70" s="68" t="s">
        <v>409</v>
      </c>
      <c r="C70" s="523">
        <v>2020</v>
      </c>
      <c r="D70" s="68" t="s">
        <v>190</v>
      </c>
      <c r="E70" s="312" t="s">
        <v>888</v>
      </c>
      <c r="F70" s="526">
        <v>0.23042071552195001</v>
      </c>
      <c r="G70" s="312">
        <v>1</v>
      </c>
      <c r="H70" s="529" t="s">
        <v>890</v>
      </c>
      <c r="I70" s="173"/>
      <c r="J70" s="10">
        <v>1</v>
      </c>
      <c r="K70" s="10">
        <v>1</v>
      </c>
      <c r="L70" s="10">
        <v>1</v>
      </c>
      <c r="M70" s="10">
        <v>1</v>
      </c>
      <c r="N70" s="10">
        <v>3</v>
      </c>
      <c r="O70" s="178">
        <f>IF( OR( ISBLANK(J70),ISBLANK(K70), ISBLANK(L70), ISBLANK(M70), ISBLANK(N70) ), "", 1.5*SQRT( EXP(2.21*(J70-1)) + EXP(2.21*(K70-1)) + EXP(2.21*(L70-1)) + EXP(2.21*(M70-1)) + EXP(2.21*(N70-1))   )/100*2.45 )</f>
        <v>0.34297081055722239</v>
      </c>
      <c r="P70" s="34"/>
      <c r="Q70" s="6"/>
    </row>
    <row r="71" spans="1:17" ht="15.75" thickBot="1">
      <c r="A71" t="s">
        <v>407</v>
      </c>
      <c r="B71" s="72" t="s">
        <v>406</v>
      </c>
      <c r="C71" s="524">
        <v>2020</v>
      </c>
      <c r="D71" s="72" t="s">
        <v>190</v>
      </c>
      <c r="E71" s="325" t="s">
        <v>888</v>
      </c>
      <c r="F71" s="527">
        <v>0.257741112754788</v>
      </c>
      <c r="G71" s="325">
        <v>1</v>
      </c>
      <c r="H71" s="530" t="s">
        <v>890</v>
      </c>
      <c r="I71" s="174"/>
      <c r="J71" s="14">
        <v>1</v>
      </c>
      <c r="K71" s="14">
        <v>1</v>
      </c>
      <c r="L71" s="14">
        <v>1</v>
      </c>
      <c r="M71" s="14">
        <v>1</v>
      </c>
      <c r="N71" s="14">
        <v>3</v>
      </c>
      <c r="O71" s="179">
        <f>IF( OR( ISBLANK(J71),ISBLANK(K71), ISBLANK(L71), ISBLANK(M71), ISBLANK(N71) ), "", 1.5*SQRT( EXP(2.21*(J71-1)) + EXP(2.21*(K71-1)) + EXP(2.21*(L71-1)) + EXP(2.21*(M71-1)) + EXP(2.21*(N71-1))   )/100*2.45 )</f>
        <v>0.34297081055722239</v>
      </c>
      <c r="P71" s="35"/>
      <c r="Q71" s="6"/>
    </row>
    <row r="72" spans="1:17" ht="15.75" thickBot="1">
      <c r="O72" s="6"/>
      <c r="P72" s="6"/>
      <c r="Q72" s="6"/>
    </row>
    <row r="73" spans="1:17" ht="15.75" thickBot="1">
      <c r="A73" s="65" t="s">
        <v>137</v>
      </c>
      <c r="B73" s="107" t="s">
        <v>138</v>
      </c>
      <c r="C73" s="109" t="s">
        <v>109</v>
      </c>
      <c r="D73" s="108" t="s">
        <v>139</v>
      </c>
      <c r="E73" s="109" t="s">
        <v>110</v>
      </c>
      <c r="F73" s="229" t="s">
        <v>140</v>
      </c>
      <c r="G73" s="108" t="s">
        <v>141</v>
      </c>
      <c r="H73" s="110" t="s">
        <v>112</v>
      </c>
      <c r="I73" s="111" t="s">
        <v>142</v>
      </c>
      <c r="J73" s="112" t="s">
        <v>143</v>
      </c>
      <c r="K73" s="112" t="s">
        <v>69</v>
      </c>
      <c r="L73" s="112" t="s">
        <v>75</v>
      </c>
      <c r="M73" s="112" t="s">
        <v>81</v>
      </c>
      <c r="N73" s="113" t="s">
        <v>87</v>
      </c>
      <c r="O73" s="114" t="s">
        <v>114</v>
      </c>
      <c r="P73" s="115" t="s">
        <v>132</v>
      </c>
    </row>
    <row r="74" spans="1:17" ht="15.75" thickBot="1">
      <c r="A74" s="152" t="s">
        <v>281</v>
      </c>
      <c r="B74" s="151" t="s">
        <v>244</v>
      </c>
      <c r="C74" s="33">
        <v>2020</v>
      </c>
      <c r="D74" s="39" t="s">
        <v>147</v>
      </c>
      <c r="E74" s="33" t="s">
        <v>147</v>
      </c>
      <c r="F74" s="264">
        <v>0.05</v>
      </c>
      <c r="G74" s="234">
        <v>2</v>
      </c>
      <c r="H74" s="531" t="s">
        <v>286</v>
      </c>
      <c r="I74" s="253">
        <v>1</v>
      </c>
      <c r="J74" s="13">
        <v>2</v>
      </c>
      <c r="K74" s="13">
        <v>1</v>
      </c>
      <c r="L74" s="13">
        <v>1</v>
      </c>
      <c r="M74" s="13">
        <v>2</v>
      </c>
      <c r="N74" s="13">
        <v>3</v>
      </c>
      <c r="O74" s="432">
        <f t="shared" ref="O74:O111" si="7">IF( OR( ISBLANK(I74),ISBLANK(K74), ISBLANK(L74), ISBLANK(M74), ISBLANK(N74) ), "", 1.5*SQRT( EXP(2.21*(I74-1)) + EXP(2.21*(K74-1)) + EXP(2.21*(L74-1)) + EXP(2.21*(M74-1)) + EXP(2.21*N74-1)   )/100*2.45 )</f>
        <v>0.62666868317065927</v>
      </c>
      <c r="P74" s="351"/>
    </row>
    <row r="75" spans="1:17">
      <c r="A75" s="152" t="s">
        <v>280</v>
      </c>
      <c r="B75" s="151" t="s">
        <v>244</v>
      </c>
      <c r="C75" s="33">
        <v>2020</v>
      </c>
      <c r="D75" s="39" t="s">
        <v>147</v>
      </c>
      <c r="E75" s="33" t="s">
        <v>147</v>
      </c>
      <c r="F75" s="264">
        <v>0.05</v>
      </c>
      <c r="G75" s="234">
        <v>2</v>
      </c>
      <c r="H75" s="531" t="s">
        <v>286</v>
      </c>
      <c r="I75" s="253">
        <v>1</v>
      </c>
      <c r="J75" s="13">
        <v>2</v>
      </c>
      <c r="K75" s="13">
        <v>1</v>
      </c>
      <c r="L75" s="13">
        <v>1</v>
      </c>
      <c r="M75" s="13">
        <v>2</v>
      </c>
      <c r="N75" s="13">
        <v>3</v>
      </c>
      <c r="O75" s="432">
        <f t="shared" ref="O75" si="8">IF( OR( ISBLANK(I75),ISBLANK(K75), ISBLANK(L75), ISBLANK(M75), ISBLANK(N75) ), "", 1.5*SQRT( EXP(2.21*(I75-1)) + EXP(2.21*(K75-1)) + EXP(2.21*(L75-1)) + EXP(2.21*(M75-1)) + EXP(2.21*N75-1)   )/100*2.45 )</f>
        <v>0.62666868317065927</v>
      </c>
      <c r="P75" s="232"/>
    </row>
    <row r="76" spans="1:17">
      <c r="A76" s="152" t="s">
        <v>409</v>
      </c>
      <c r="B76" s="152" t="s">
        <v>244</v>
      </c>
      <c r="C76" s="34">
        <v>2020</v>
      </c>
      <c r="D76" s="40" t="s">
        <v>147</v>
      </c>
      <c r="E76" s="34" t="s">
        <v>147</v>
      </c>
      <c r="F76" s="265">
        <v>0.05</v>
      </c>
      <c r="G76" s="235">
        <v>2</v>
      </c>
      <c r="H76" s="532" t="s">
        <v>286</v>
      </c>
      <c r="I76" s="252">
        <v>1</v>
      </c>
      <c r="J76" s="10">
        <v>2</v>
      </c>
      <c r="K76" s="10">
        <v>1</v>
      </c>
      <c r="L76" s="10">
        <v>1</v>
      </c>
      <c r="M76" s="10">
        <v>2</v>
      </c>
      <c r="N76" s="10">
        <v>3</v>
      </c>
      <c r="O76" s="433">
        <f t="shared" si="7"/>
        <v>0.62666868317065927</v>
      </c>
      <c r="P76" s="63"/>
    </row>
    <row r="77" spans="1:17">
      <c r="A77" s="152" t="s">
        <v>406</v>
      </c>
      <c r="B77" s="152" t="s">
        <v>244</v>
      </c>
      <c r="C77" s="34">
        <v>2020</v>
      </c>
      <c r="D77" s="40" t="s">
        <v>147</v>
      </c>
      <c r="E77" s="34" t="s">
        <v>147</v>
      </c>
      <c r="F77" s="265">
        <v>0.05</v>
      </c>
      <c r="G77" s="235">
        <v>2</v>
      </c>
      <c r="H77" s="532" t="s">
        <v>286</v>
      </c>
      <c r="I77" s="252">
        <v>1</v>
      </c>
      <c r="J77" s="10">
        <v>2</v>
      </c>
      <c r="K77" s="10">
        <v>1</v>
      </c>
      <c r="L77" s="10">
        <v>1</v>
      </c>
      <c r="M77" s="10">
        <v>2</v>
      </c>
      <c r="N77" s="10">
        <v>3</v>
      </c>
      <c r="O77" s="433">
        <f t="shared" si="7"/>
        <v>0.62666868317065927</v>
      </c>
      <c r="P77" s="63"/>
    </row>
    <row r="78" spans="1:17" ht="15.75" thickBot="1">
      <c r="A78" s="152" t="s">
        <v>281</v>
      </c>
      <c r="B78" s="152" t="s">
        <v>244</v>
      </c>
      <c r="C78" s="34">
        <v>2014</v>
      </c>
      <c r="D78" s="40" t="s">
        <v>147</v>
      </c>
      <c r="E78" s="34" t="s">
        <v>147</v>
      </c>
      <c r="F78" s="265">
        <v>0.1</v>
      </c>
      <c r="G78" s="235">
        <v>2</v>
      </c>
      <c r="H78" s="533" t="s">
        <v>287</v>
      </c>
      <c r="I78" s="252">
        <v>1</v>
      </c>
      <c r="J78" s="10">
        <v>2</v>
      </c>
      <c r="K78" s="10">
        <v>2</v>
      </c>
      <c r="L78" s="10">
        <v>1</v>
      </c>
      <c r="M78" s="10">
        <v>2</v>
      </c>
      <c r="N78" s="10">
        <v>3</v>
      </c>
      <c r="O78" s="433">
        <f t="shared" si="7"/>
        <v>0.63535377600823584</v>
      </c>
      <c r="P78" s="63"/>
    </row>
    <row r="79" spans="1:17">
      <c r="A79" s="152" t="s">
        <v>280</v>
      </c>
      <c r="B79" s="151" t="s">
        <v>244</v>
      </c>
      <c r="C79" s="34">
        <v>2014</v>
      </c>
      <c r="D79" s="40" t="s">
        <v>147</v>
      </c>
      <c r="E79" s="34" t="s">
        <v>147</v>
      </c>
      <c r="F79" s="265">
        <v>0.1</v>
      </c>
      <c r="G79" s="235">
        <v>2</v>
      </c>
      <c r="H79" s="533" t="s">
        <v>287</v>
      </c>
      <c r="I79" s="252">
        <v>1</v>
      </c>
      <c r="J79" s="10">
        <v>2</v>
      </c>
      <c r="K79" s="10">
        <v>2</v>
      </c>
      <c r="L79" s="10">
        <v>1</v>
      </c>
      <c r="M79" s="10">
        <v>2</v>
      </c>
      <c r="N79" s="10">
        <v>3</v>
      </c>
      <c r="O79" s="433">
        <f t="shared" ref="O79" si="9">IF( OR( ISBLANK(I79),ISBLANK(K79), ISBLANK(L79), ISBLANK(M79), ISBLANK(N79) ), "", 1.5*SQRT( EXP(2.21*(I79-1)) + EXP(2.21*(K79-1)) + EXP(2.21*(L79-1)) + EXP(2.21*(M79-1)) + EXP(2.21*N79-1)   )/100*2.45 )</f>
        <v>0.63535377600823584</v>
      </c>
      <c r="P79" s="63"/>
    </row>
    <row r="80" spans="1:17">
      <c r="A80" s="152" t="s">
        <v>409</v>
      </c>
      <c r="B80" s="152" t="s">
        <v>244</v>
      </c>
      <c r="C80" s="34">
        <v>2014</v>
      </c>
      <c r="D80" s="40" t="s">
        <v>147</v>
      </c>
      <c r="E80" s="34" t="s">
        <v>147</v>
      </c>
      <c r="F80" s="265">
        <v>0.1</v>
      </c>
      <c r="G80" s="235">
        <v>2</v>
      </c>
      <c r="H80" s="533" t="s">
        <v>287</v>
      </c>
      <c r="I80" s="252">
        <v>1</v>
      </c>
      <c r="J80" s="10">
        <v>2</v>
      </c>
      <c r="K80" s="10">
        <v>2</v>
      </c>
      <c r="L80" s="10">
        <v>1</v>
      </c>
      <c r="M80" s="10">
        <v>2</v>
      </c>
      <c r="N80" s="10">
        <v>3</v>
      </c>
      <c r="O80" s="433">
        <f t="shared" si="7"/>
        <v>0.63535377600823584</v>
      </c>
      <c r="P80" s="63"/>
    </row>
    <row r="81" spans="1:16">
      <c r="A81" s="152" t="s">
        <v>406</v>
      </c>
      <c r="B81" s="152" t="s">
        <v>244</v>
      </c>
      <c r="C81" s="34">
        <v>2014</v>
      </c>
      <c r="D81" s="40" t="s">
        <v>147</v>
      </c>
      <c r="E81" s="34" t="s">
        <v>147</v>
      </c>
      <c r="F81" s="265">
        <v>0.1</v>
      </c>
      <c r="G81" s="235">
        <v>2</v>
      </c>
      <c r="H81" s="533" t="s">
        <v>287</v>
      </c>
      <c r="I81" s="252">
        <v>1</v>
      </c>
      <c r="J81" s="10">
        <v>2</v>
      </c>
      <c r="K81" s="10">
        <v>2</v>
      </c>
      <c r="L81" s="10">
        <v>1</v>
      </c>
      <c r="M81" s="10">
        <v>2</v>
      </c>
      <c r="N81" s="10">
        <v>3</v>
      </c>
      <c r="O81" s="433">
        <f t="shared" si="7"/>
        <v>0.63535377600823584</v>
      </c>
      <c r="P81" s="63"/>
    </row>
    <row r="82" spans="1:16">
      <c r="A82" s="152" t="s">
        <v>279</v>
      </c>
      <c r="B82" s="152" t="s">
        <v>280</v>
      </c>
      <c r="C82" s="34" t="s">
        <v>147</v>
      </c>
      <c r="D82" s="40" t="s">
        <v>188</v>
      </c>
      <c r="E82" s="34" t="s">
        <v>147</v>
      </c>
      <c r="F82" s="265" t="s">
        <v>158</v>
      </c>
      <c r="G82" s="235">
        <v>1</v>
      </c>
      <c r="H82" s="40"/>
      <c r="I82" s="254"/>
      <c r="J82" s="66"/>
      <c r="K82" s="66"/>
      <c r="L82" s="66"/>
      <c r="M82" s="66"/>
      <c r="N82" s="300"/>
      <c r="O82" s="433" t="str">
        <f t="shared" si="7"/>
        <v/>
      </c>
      <c r="P82" s="63" t="s">
        <v>891</v>
      </c>
    </row>
    <row r="83" spans="1:16">
      <c r="A83" s="152" t="s">
        <v>279</v>
      </c>
      <c r="B83" s="152" t="s">
        <v>281</v>
      </c>
      <c r="C83" s="34">
        <v>2020</v>
      </c>
      <c r="D83" s="40" t="s">
        <v>188</v>
      </c>
      <c r="E83" s="34" t="s">
        <v>147</v>
      </c>
      <c r="F83" s="265">
        <v>0.9</v>
      </c>
      <c r="G83" s="235">
        <v>1</v>
      </c>
      <c r="H83" s="532" t="s">
        <v>286</v>
      </c>
      <c r="I83" s="252">
        <v>1</v>
      </c>
      <c r="J83" s="66"/>
      <c r="K83" s="10">
        <v>1</v>
      </c>
      <c r="L83" s="10">
        <v>1</v>
      </c>
      <c r="M83" s="10">
        <v>1</v>
      </c>
      <c r="N83" s="10">
        <v>1</v>
      </c>
      <c r="O83" s="433">
        <f t="shared" si="7"/>
        <v>9.9656111784768353E-2</v>
      </c>
      <c r="P83" s="63" t="s">
        <v>282</v>
      </c>
    </row>
    <row r="84" spans="1:16">
      <c r="A84" s="152" t="s">
        <v>409</v>
      </c>
      <c r="B84" s="152" t="s">
        <v>311</v>
      </c>
      <c r="C84" s="34">
        <v>2005</v>
      </c>
      <c r="D84" s="40" t="s">
        <v>147</v>
      </c>
      <c r="E84" s="34" t="s">
        <v>147</v>
      </c>
      <c r="F84" s="265">
        <v>0.1</v>
      </c>
      <c r="G84" s="235">
        <v>2</v>
      </c>
      <c r="H84" s="40" t="s">
        <v>312</v>
      </c>
      <c r="I84" s="252">
        <v>2</v>
      </c>
      <c r="J84" s="10">
        <v>2</v>
      </c>
      <c r="K84" s="10">
        <v>2</v>
      </c>
      <c r="L84" s="10">
        <v>2</v>
      </c>
      <c r="M84" s="10">
        <v>1</v>
      </c>
      <c r="N84" s="10">
        <v>1</v>
      </c>
      <c r="O84" s="433">
        <f t="shared" si="7"/>
        <v>0.20691468599228219</v>
      </c>
      <c r="P84" s="63"/>
    </row>
    <row r="85" spans="1:16">
      <c r="A85" s="152" t="s">
        <v>406</v>
      </c>
      <c r="B85" s="152" t="s">
        <v>311</v>
      </c>
      <c r="C85" s="34">
        <v>2005</v>
      </c>
      <c r="D85" s="40" t="s">
        <v>147</v>
      </c>
      <c r="E85" s="34" t="s">
        <v>147</v>
      </c>
      <c r="F85" s="265">
        <v>0.01</v>
      </c>
      <c r="G85" s="235">
        <v>2</v>
      </c>
      <c r="H85" s="40" t="s">
        <v>312</v>
      </c>
      <c r="I85" s="252">
        <v>2</v>
      </c>
      <c r="J85" s="10">
        <v>2</v>
      </c>
      <c r="K85" s="10">
        <v>2</v>
      </c>
      <c r="L85" s="10">
        <v>2</v>
      </c>
      <c r="M85" s="10">
        <v>1</v>
      </c>
      <c r="N85" s="10">
        <v>1</v>
      </c>
      <c r="O85" s="433">
        <f t="shared" si="7"/>
        <v>0.20691468599228219</v>
      </c>
      <c r="P85" s="63"/>
    </row>
    <row r="86" spans="1:16">
      <c r="A86" s="152" t="s">
        <v>279</v>
      </c>
      <c r="B86" s="152" t="s">
        <v>281</v>
      </c>
      <c r="C86" s="34">
        <v>2020</v>
      </c>
      <c r="D86" s="40" t="s">
        <v>190</v>
      </c>
      <c r="E86" s="34" t="s">
        <v>147</v>
      </c>
      <c r="F86" s="265">
        <v>0.05</v>
      </c>
      <c r="G86" s="235">
        <v>2</v>
      </c>
      <c r="H86" s="40" t="s">
        <v>283</v>
      </c>
      <c r="I86" s="66"/>
      <c r="J86" s="10">
        <v>1</v>
      </c>
      <c r="K86" s="10">
        <v>1</v>
      </c>
      <c r="L86" s="10">
        <v>2</v>
      </c>
      <c r="M86" s="10">
        <v>1</v>
      </c>
      <c r="N86" s="10">
        <v>4</v>
      </c>
      <c r="O86" s="433" t="str">
        <f t="shared" si="7"/>
        <v/>
      </c>
      <c r="P86" s="63" t="s">
        <v>284</v>
      </c>
    </row>
    <row r="87" spans="1:16">
      <c r="A87" s="152" t="s">
        <v>279</v>
      </c>
      <c r="B87" s="152" t="s">
        <v>280</v>
      </c>
      <c r="C87" s="34">
        <v>2020</v>
      </c>
      <c r="D87" s="40" t="s">
        <v>190</v>
      </c>
      <c r="E87" s="34" t="s">
        <v>147</v>
      </c>
      <c r="F87" s="265" t="s">
        <v>158</v>
      </c>
      <c r="G87" s="235">
        <v>1</v>
      </c>
      <c r="H87" s="40"/>
      <c r="I87" s="254"/>
      <c r="J87" s="66"/>
      <c r="K87" s="66"/>
      <c r="L87" s="66"/>
      <c r="M87" s="66"/>
      <c r="N87" s="300"/>
      <c r="O87" s="433" t="str">
        <f t="shared" si="7"/>
        <v/>
      </c>
      <c r="P87" s="63"/>
    </row>
    <row r="88" spans="1:16">
      <c r="A88" s="152" t="s">
        <v>409</v>
      </c>
      <c r="B88" s="152" t="s">
        <v>311</v>
      </c>
      <c r="C88" s="34">
        <v>2005</v>
      </c>
      <c r="D88" s="40" t="s">
        <v>147</v>
      </c>
      <c r="E88" s="34" t="s">
        <v>147</v>
      </c>
      <c r="F88" s="265">
        <v>0.02</v>
      </c>
      <c r="G88" s="235">
        <v>2</v>
      </c>
      <c r="H88" s="40" t="s">
        <v>312</v>
      </c>
      <c r="I88" s="252">
        <v>2</v>
      </c>
      <c r="J88" s="10">
        <v>2</v>
      </c>
      <c r="K88" s="10">
        <v>2</v>
      </c>
      <c r="L88" s="10">
        <v>2</v>
      </c>
      <c r="M88" s="10">
        <v>1</v>
      </c>
      <c r="N88" s="10">
        <v>1</v>
      </c>
      <c r="O88" s="433">
        <f t="shared" si="7"/>
        <v>0.20691468599228219</v>
      </c>
      <c r="P88" s="63"/>
    </row>
    <row r="89" spans="1:16">
      <c r="A89" s="152" t="s">
        <v>406</v>
      </c>
      <c r="B89" s="152" t="s">
        <v>311</v>
      </c>
      <c r="C89" s="34">
        <v>2005</v>
      </c>
      <c r="D89" s="40" t="s">
        <v>147</v>
      </c>
      <c r="E89" s="34" t="s">
        <v>147</v>
      </c>
      <c r="F89" s="265">
        <v>0.02</v>
      </c>
      <c r="G89" s="235">
        <v>2</v>
      </c>
      <c r="H89" s="40" t="s">
        <v>312</v>
      </c>
      <c r="I89" s="252">
        <v>2</v>
      </c>
      <c r="J89" s="10">
        <v>2</v>
      </c>
      <c r="K89" s="10">
        <v>2</v>
      </c>
      <c r="L89" s="10">
        <v>2</v>
      </c>
      <c r="M89" s="10">
        <v>1</v>
      </c>
      <c r="N89" s="10">
        <v>1</v>
      </c>
      <c r="O89" s="433">
        <f t="shared" si="7"/>
        <v>0.20691468599228219</v>
      </c>
      <c r="P89" s="63"/>
    </row>
    <row r="90" spans="1:16">
      <c r="A90" s="152" t="s">
        <v>281</v>
      </c>
      <c r="B90" s="152" t="s">
        <v>311</v>
      </c>
      <c r="C90" s="34">
        <v>2020</v>
      </c>
      <c r="D90" s="40" t="s">
        <v>147</v>
      </c>
      <c r="E90" s="34" t="s">
        <v>147</v>
      </c>
      <c r="F90" s="265">
        <v>0.8</v>
      </c>
      <c r="G90" s="235">
        <v>2</v>
      </c>
      <c r="H90" s="40" t="s">
        <v>391</v>
      </c>
      <c r="I90" s="252">
        <v>1</v>
      </c>
      <c r="J90" s="10">
        <v>2</v>
      </c>
      <c r="K90" s="10">
        <v>1</v>
      </c>
      <c r="L90" s="10">
        <v>1</v>
      </c>
      <c r="M90" s="10">
        <v>3</v>
      </c>
      <c r="N90" s="10">
        <v>3</v>
      </c>
      <c r="O90" s="433">
        <f t="shared" si="7"/>
        <v>0.70187535976129745</v>
      </c>
      <c r="P90" s="63"/>
    </row>
    <row r="91" spans="1:16">
      <c r="A91" s="152" t="s">
        <v>280</v>
      </c>
      <c r="B91" s="152" t="s">
        <v>311</v>
      </c>
      <c r="C91" s="34">
        <v>2005</v>
      </c>
      <c r="D91" s="40" t="s">
        <v>147</v>
      </c>
      <c r="E91" s="34" t="s">
        <v>147</v>
      </c>
      <c r="F91" s="265">
        <v>0.01</v>
      </c>
      <c r="G91" s="235">
        <v>2</v>
      </c>
      <c r="H91" s="40" t="s">
        <v>312</v>
      </c>
      <c r="I91" s="252">
        <v>2</v>
      </c>
      <c r="J91" s="10">
        <v>2</v>
      </c>
      <c r="K91" s="10">
        <v>2</v>
      </c>
      <c r="L91" s="10">
        <v>2</v>
      </c>
      <c r="M91" s="10">
        <v>1</v>
      </c>
      <c r="N91" s="10">
        <v>1</v>
      </c>
      <c r="O91" s="433">
        <f t="shared" si="7"/>
        <v>0.20691468599228219</v>
      </c>
      <c r="P91" s="63"/>
    </row>
    <row r="92" spans="1:16">
      <c r="A92" s="152" t="s">
        <v>281</v>
      </c>
      <c r="B92" s="152" t="s">
        <v>311</v>
      </c>
      <c r="C92" s="34">
        <v>2015</v>
      </c>
      <c r="D92" s="40" t="s">
        <v>147</v>
      </c>
      <c r="E92" s="34" t="s">
        <v>147</v>
      </c>
      <c r="F92" s="265">
        <v>0.9</v>
      </c>
      <c r="G92" s="235">
        <v>2</v>
      </c>
      <c r="H92" s="40" t="s">
        <v>389</v>
      </c>
      <c r="I92" s="252">
        <v>1</v>
      </c>
      <c r="J92" s="10">
        <v>2</v>
      </c>
      <c r="K92" s="10">
        <v>1</v>
      </c>
      <c r="L92" s="10">
        <v>1</v>
      </c>
      <c r="M92" s="10">
        <v>3</v>
      </c>
      <c r="N92" s="10">
        <v>3</v>
      </c>
      <c r="O92" s="433">
        <f t="shared" si="7"/>
        <v>0.70187535976129745</v>
      </c>
      <c r="P92" s="63"/>
    </row>
    <row r="93" spans="1:16">
      <c r="A93" s="152" t="s">
        <v>280</v>
      </c>
      <c r="B93" s="152" t="s">
        <v>311</v>
      </c>
      <c r="C93" s="34">
        <v>2005</v>
      </c>
      <c r="D93" s="40" t="s">
        <v>147</v>
      </c>
      <c r="E93" s="34" t="s">
        <v>147</v>
      </c>
      <c r="F93" s="265">
        <v>0.02</v>
      </c>
      <c r="G93" s="235">
        <v>2</v>
      </c>
      <c r="H93" s="40" t="s">
        <v>312</v>
      </c>
      <c r="I93" s="252">
        <v>2</v>
      </c>
      <c r="J93" s="10">
        <v>2</v>
      </c>
      <c r="K93" s="10">
        <v>2</v>
      </c>
      <c r="L93" s="10">
        <v>2</v>
      </c>
      <c r="M93" s="10">
        <v>1</v>
      </c>
      <c r="N93" s="10">
        <v>1</v>
      </c>
      <c r="O93" s="433">
        <f t="shared" si="7"/>
        <v>0.20691468599228219</v>
      </c>
      <c r="P93" s="63"/>
    </row>
    <row r="94" spans="1:16">
      <c r="A94" s="152" t="s">
        <v>280</v>
      </c>
      <c r="B94" s="152" t="s">
        <v>285</v>
      </c>
      <c r="C94" s="150" t="s">
        <v>147</v>
      </c>
      <c r="D94" s="154" t="s">
        <v>147</v>
      </c>
      <c r="E94" s="150" t="s">
        <v>147</v>
      </c>
      <c r="F94" s="293" t="s">
        <v>158</v>
      </c>
      <c r="G94" s="238">
        <v>1</v>
      </c>
      <c r="H94" s="154"/>
      <c r="I94" s="254"/>
      <c r="J94" s="66"/>
      <c r="K94" s="66"/>
      <c r="L94" s="66"/>
      <c r="M94" s="66"/>
      <c r="N94" s="300"/>
      <c r="O94" s="438"/>
      <c r="P94" s="513"/>
    </row>
    <row r="95" spans="1:16" ht="15.75" thickBot="1">
      <c r="A95" s="153" t="s">
        <v>281</v>
      </c>
      <c r="B95" s="153" t="s">
        <v>390</v>
      </c>
      <c r="C95" s="35" t="s">
        <v>147</v>
      </c>
      <c r="D95" s="41" t="s">
        <v>147</v>
      </c>
      <c r="E95" s="35" t="s">
        <v>147</v>
      </c>
      <c r="F95" s="41" t="s">
        <v>158</v>
      </c>
      <c r="G95" s="236">
        <v>1</v>
      </c>
      <c r="H95" s="41"/>
      <c r="I95" s="254"/>
      <c r="J95" s="66"/>
      <c r="K95" s="66"/>
      <c r="L95" s="66"/>
      <c r="M95" s="66"/>
      <c r="N95" s="300"/>
      <c r="O95" s="435" t="str">
        <f t="shared" si="7"/>
        <v/>
      </c>
      <c r="P95" s="62"/>
    </row>
    <row r="96" spans="1:16">
      <c r="I96" s="389"/>
      <c r="J96" s="389"/>
      <c r="K96" s="389"/>
      <c r="L96" s="389"/>
      <c r="M96" s="389"/>
      <c r="N96" s="389"/>
      <c r="O96" s="389" t="str">
        <f t="shared" si="7"/>
        <v/>
      </c>
      <c r="P96" s="389"/>
    </row>
    <row r="97" spans="1:16" ht="15.75" thickBot="1">
      <c r="A97" s="225" t="s">
        <v>892</v>
      </c>
      <c r="I97" s="389"/>
      <c r="J97" s="389"/>
      <c r="K97" s="389"/>
      <c r="L97" s="389"/>
      <c r="M97" s="389"/>
      <c r="N97" s="389"/>
      <c r="O97" s="389" t="str">
        <f t="shared" si="7"/>
        <v/>
      </c>
      <c r="P97" s="389"/>
    </row>
    <row r="98" spans="1:16">
      <c r="A98" s="33" t="s">
        <v>409</v>
      </c>
      <c r="B98" s="351" t="s">
        <v>405</v>
      </c>
      <c r="C98" s="39" t="s">
        <v>147</v>
      </c>
      <c r="D98" s="33" t="s">
        <v>147</v>
      </c>
      <c r="E98" s="39" t="s">
        <v>147</v>
      </c>
      <c r="F98" s="54" t="s">
        <v>158</v>
      </c>
      <c r="G98" s="168">
        <v>1</v>
      </c>
      <c r="H98" s="33"/>
      <c r="I98" s="254"/>
      <c r="J98" s="66"/>
      <c r="K98" s="66"/>
      <c r="L98" s="66"/>
      <c r="M98" s="66"/>
      <c r="N98" s="300"/>
      <c r="O98" s="177" t="str">
        <f t="shared" si="7"/>
        <v/>
      </c>
      <c r="P98" s="33" t="s">
        <v>893</v>
      </c>
    </row>
    <row r="99" spans="1:16">
      <c r="A99" s="34" t="s">
        <v>406</v>
      </c>
      <c r="B99" s="63" t="s">
        <v>271</v>
      </c>
      <c r="C99" s="40" t="s">
        <v>147</v>
      </c>
      <c r="D99" s="34" t="s">
        <v>147</v>
      </c>
      <c r="E99" s="40" t="s">
        <v>147</v>
      </c>
      <c r="F99" s="55">
        <v>0.1</v>
      </c>
      <c r="G99" s="169">
        <v>1</v>
      </c>
      <c r="H99" s="34" t="s">
        <v>389</v>
      </c>
      <c r="I99" s="173">
        <v>1</v>
      </c>
      <c r="J99" s="10">
        <v>3</v>
      </c>
      <c r="K99" s="10">
        <v>2</v>
      </c>
      <c r="L99" s="10">
        <v>1</v>
      </c>
      <c r="M99" s="10">
        <v>1</v>
      </c>
      <c r="N99" s="10">
        <v>2</v>
      </c>
      <c r="O99" s="178">
        <f t="shared" si="7"/>
        <v>0.24010193209435579</v>
      </c>
      <c r="P99" s="34"/>
    </row>
    <row r="100" spans="1:16">
      <c r="A100" s="34" t="s">
        <v>390</v>
      </c>
      <c r="B100" s="63" t="s">
        <v>271</v>
      </c>
      <c r="C100" s="40" t="s">
        <v>147</v>
      </c>
      <c r="D100" s="34" t="s">
        <v>147</v>
      </c>
      <c r="E100" s="40" t="s">
        <v>147</v>
      </c>
      <c r="F100" s="55">
        <v>0.1</v>
      </c>
      <c r="G100" s="169">
        <v>2</v>
      </c>
      <c r="H100" s="34" t="s">
        <v>389</v>
      </c>
      <c r="I100" s="173">
        <v>1</v>
      </c>
      <c r="J100" s="10">
        <v>3</v>
      </c>
      <c r="K100" s="10">
        <v>2</v>
      </c>
      <c r="L100" s="10">
        <v>1</v>
      </c>
      <c r="M100" s="10">
        <v>1</v>
      </c>
      <c r="N100" s="10">
        <v>2</v>
      </c>
      <c r="O100" s="178">
        <f t="shared" si="7"/>
        <v>0.24010193209435579</v>
      </c>
      <c r="P100" s="34"/>
    </row>
    <row r="101" spans="1:16">
      <c r="A101" s="34" t="s">
        <v>285</v>
      </c>
      <c r="B101" s="63" t="s">
        <v>271</v>
      </c>
      <c r="C101" s="40" t="s">
        <v>147</v>
      </c>
      <c r="D101" s="34" t="s">
        <v>147</v>
      </c>
      <c r="E101" s="40" t="s">
        <v>147</v>
      </c>
      <c r="F101" s="55">
        <v>0.1</v>
      </c>
      <c r="G101" s="169">
        <v>2</v>
      </c>
      <c r="H101" s="34" t="s">
        <v>389</v>
      </c>
      <c r="I101" s="173">
        <v>1</v>
      </c>
      <c r="J101" s="10">
        <v>3</v>
      </c>
      <c r="K101" s="10">
        <v>2</v>
      </c>
      <c r="L101" s="10">
        <v>1</v>
      </c>
      <c r="M101" s="10">
        <v>1</v>
      </c>
      <c r="N101" s="10">
        <v>2</v>
      </c>
      <c r="O101" s="178">
        <f>IF( OR( ISBLANK(I101),ISBLANK(K101), ISBLANK(L101), ISBLANK(M101), ISBLANK(N101) ), "", 1.5*SQRT( EXP(2.21*(I101-1)) + EXP(2.21*(K101-1)) + EXP(2.21*(L101-1)) + EXP(2.21*(M101-1)) + EXP(2.21*N101-1)   )/100*2.45 )</f>
        <v>0.24010193209435579</v>
      </c>
      <c r="P101" s="34" t="s">
        <v>894</v>
      </c>
    </row>
    <row r="102" spans="1:16">
      <c r="A102" s="34" t="s">
        <v>409</v>
      </c>
      <c r="B102" s="63" t="s">
        <v>388</v>
      </c>
      <c r="C102" s="312">
        <v>2015</v>
      </c>
      <c r="D102" s="34" t="s">
        <v>147</v>
      </c>
      <c r="E102" s="40" t="s">
        <v>147</v>
      </c>
      <c r="F102" s="55">
        <v>0.4</v>
      </c>
      <c r="G102" s="169">
        <v>2</v>
      </c>
      <c r="H102" s="34" t="s">
        <v>389</v>
      </c>
      <c r="I102" s="173">
        <v>1</v>
      </c>
      <c r="J102" s="10">
        <v>3</v>
      </c>
      <c r="K102" s="10">
        <v>2</v>
      </c>
      <c r="L102" s="10">
        <v>1</v>
      </c>
      <c r="M102" s="10">
        <v>1</v>
      </c>
      <c r="N102" s="10">
        <v>2</v>
      </c>
      <c r="O102" s="178">
        <f t="shared" si="7"/>
        <v>0.24010193209435579</v>
      </c>
      <c r="P102" s="34" t="s">
        <v>895</v>
      </c>
    </row>
    <row r="103" spans="1:16">
      <c r="A103" s="34" t="s">
        <v>406</v>
      </c>
      <c r="B103" s="63" t="s">
        <v>388</v>
      </c>
      <c r="C103" s="312">
        <v>2015</v>
      </c>
      <c r="D103" s="34" t="s">
        <v>147</v>
      </c>
      <c r="E103" s="40" t="s">
        <v>147</v>
      </c>
      <c r="F103" s="55">
        <v>0.9</v>
      </c>
      <c r="G103" s="169">
        <v>1</v>
      </c>
      <c r="H103" s="34" t="s">
        <v>389</v>
      </c>
      <c r="I103" s="173">
        <v>1</v>
      </c>
      <c r="J103" s="10">
        <v>3</v>
      </c>
      <c r="K103" s="10">
        <v>2</v>
      </c>
      <c r="L103" s="10">
        <v>1</v>
      </c>
      <c r="M103" s="10">
        <v>1</v>
      </c>
      <c r="N103" s="10">
        <v>2</v>
      </c>
      <c r="O103" s="178">
        <f t="shared" si="7"/>
        <v>0.24010193209435579</v>
      </c>
      <c r="P103" s="34"/>
    </row>
    <row r="104" spans="1:16">
      <c r="A104" s="34" t="s">
        <v>285</v>
      </c>
      <c r="B104" s="63" t="s">
        <v>388</v>
      </c>
      <c r="C104" s="312">
        <v>2015</v>
      </c>
      <c r="D104" s="34" t="s">
        <v>147</v>
      </c>
      <c r="E104" s="40" t="s">
        <v>147</v>
      </c>
      <c r="F104" s="55">
        <v>0.9</v>
      </c>
      <c r="G104" s="169">
        <v>2</v>
      </c>
      <c r="H104" s="34" t="s">
        <v>389</v>
      </c>
      <c r="I104" s="173">
        <v>1</v>
      </c>
      <c r="J104" s="10">
        <v>3</v>
      </c>
      <c r="K104" s="10">
        <v>2</v>
      </c>
      <c r="L104" s="10">
        <v>1</v>
      </c>
      <c r="M104" s="10">
        <v>1</v>
      </c>
      <c r="N104" s="10">
        <v>2</v>
      </c>
      <c r="O104" s="178">
        <f t="shared" si="7"/>
        <v>0.24010193209435579</v>
      </c>
      <c r="P104" s="34"/>
    </row>
    <row r="105" spans="1:16">
      <c r="A105" s="34" t="s">
        <v>390</v>
      </c>
      <c r="B105" s="63" t="s">
        <v>388</v>
      </c>
      <c r="C105" s="312">
        <v>2015</v>
      </c>
      <c r="D105" s="34" t="s">
        <v>147</v>
      </c>
      <c r="E105" s="40" t="s">
        <v>147</v>
      </c>
      <c r="F105" s="55">
        <v>0.9</v>
      </c>
      <c r="G105" s="169">
        <v>2</v>
      </c>
      <c r="H105" s="34" t="s">
        <v>389</v>
      </c>
      <c r="I105" s="173">
        <v>1</v>
      </c>
      <c r="J105" s="10">
        <v>3</v>
      </c>
      <c r="K105" s="10">
        <v>2</v>
      </c>
      <c r="L105" s="10">
        <v>1</v>
      </c>
      <c r="M105" s="10">
        <v>1</v>
      </c>
      <c r="N105" s="10">
        <v>2</v>
      </c>
      <c r="O105" s="178">
        <f t="shared" si="7"/>
        <v>0.24010193209435579</v>
      </c>
      <c r="P105" s="34"/>
    </row>
    <row r="106" spans="1:16">
      <c r="A106" s="34" t="s">
        <v>311</v>
      </c>
      <c r="B106" s="63" t="s">
        <v>187</v>
      </c>
      <c r="C106" s="40"/>
      <c r="D106" s="34" t="s">
        <v>147</v>
      </c>
      <c r="E106" s="40" t="s">
        <v>147</v>
      </c>
      <c r="F106" s="55" t="s">
        <v>158</v>
      </c>
      <c r="G106" s="169">
        <v>1</v>
      </c>
      <c r="H106" s="34" t="s">
        <v>312</v>
      </c>
      <c r="I106" s="254"/>
      <c r="J106" s="66"/>
      <c r="K106" s="66"/>
      <c r="L106" s="66"/>
      <c r="M106" s="66"/>
      <c r="N106" s="300"/>
      <c r="O106" s="178" t="str">
        <f t="shared" si="7"/>
        <v/>
      </c>
      <c r="P106" s="34"/>
    </row>
    <row r="107" spans="1:16">
      <c r="A107" s="34" t="s">
        <v>311</v>
      </c>
      <c r="B107" s="63" t="s">
        <v>245</v>
      </c>
      <c r="C107" s="40">
        <v>2020</v>
      </c>
      <c r="D107" s="34" t="s">
        <v>147</v>
      </c>
      <c r="E107" s="40" t="s">
        <v>147</v>
      </c>
      <c r="F107" s="55">
        <v>0.05</v>
      </c>
      <c r="G107" s="169">
        <v>2</v>
      </c>
      <c r="H107" s="34" t="s">
        <v>404</v>
      </c>
      <c r="I107" s="173">
        <v>1</v>
      </c>
      <c r="J107" s="10">
        <v>2</v>
      </c>
      <c r="K107" s="10">
        <v>1</v>
      </c>
      <c r="L107" s="10">
        <v>2</v>
      </c>
      <c r="M107" s="10">
        <v>2</v>
      </c>
      <c r="N107" s="10">
        <v>4</v>
      </c>
      <c r="O107" s="178">
        <f t="shared" si="7"/>
        <v>1.8595776954264098</v>
      </c>
      <c r="P107" s="34"/>
    </row>
    <row r="108" spans="1:16">
      <c r="A108" s="34" t="s">
        <v>405</v>
      </c>
      <c r="B108" s="63" t="s">
        <v>388</v>
      </c>
      <c r="C108" s="40">
        <v>2014</v>
      </c>
      <c r="D108" s="34" t="s">
        <v>188</v>
      </c>
      <c r="E108" s="40" t="s">
        <v>147</v>
      </c>
      <c r="F108" s="55" t="s">
        <v>158</v>
      </c>
      <c r="G108" s="169">
        <v>1</v>
      </c>
      <c r="H108" s="34" t="s">
        <v>391</v>
      </c>
      <c r="I108" s="173">
        <v>1</v>
      </c>
      <c r="J108" s="10">
        <v>2</v>
      </c>
      <c r="K108" s="10">
        <v>3</v>
      </c>
      <c r="L108" s="10">
        <v>1</v>
      </c>
      <c r="M108" s="10">
        <v>2</v>
      </c>
      <c r="N108" s="10">
        <v>1</v>
      </c>
      <c r="O108" s="178">
        <f t="shared" si="7"/>
        <v>0.36299901822375763</v>
      </c>
      <c r="P108" s="34"/>
    </row>
    <row r="109" spans="1:16">
      <c r="A109" s="34" t="s">
        <v>405</v>
      </c>
      <c r="B109" s="63" t="s">
        <v>271</v>
      </c>
      <c r="C109" s="40">
        <v>2014</v>
      </c>
      <c r="D109" s="34" t="s">
        <v>188</v>
      </c>
      <c r="E109" s="40" t="s">
        <v>147</v>
      </c>
      <c r="F109" s="55">
        <v>0.255</v>
      </c>
      <c r="G109" s="169">
        <v>2</v>
      </c>
      <c r="H109" s="34" t="s">
        <v>391</v>
      </c>
      <c r="I109" s="173">
        <v>1</v>
      </c>
      <c r="J109" s="10">
        <v>2</v>
      </c>
      <c r="K109" s="10">
        <v>3</v>
      </c>
      <c r="L109" s="10">
        <v>1</v>
      </c>
      <c r="M109" s="10">
        <v>2</v>
      </c>
      <c r="N109" s="10">
        <v>1</v>
      </c>
      <c r="O109" s="178">
        <f t="shared" si="7"/>
        <v>0.36299901822375763</v>
      </c>
      <c r="P109" s="34"/>
    </row>
    <row r="110" spans="1:16">
      <c r="A110" s="34" t="s">
        <v>405</v>
      </c>
      <c r="B110" s="63" t="s">
        <v>245</v>
      </c>
      <c r="C110" s="40">
        <v>2014</v>
      </c>
      <c r="D110" s="34" t="s">
        <v>188</v>
      </c>
      <c r="E110" s="40" t="s">
        <v>147</v>
      </c>
      <c r="F110" s="55">
        <f>0.526*0.66</f>
        <v>0.34716000000000002</v>
      </c>
      <c r="G110" s="169">
        <v>2</v>
      </c>
      <c r="H110" s="34" t="s">
        <v>391</v>
      </c>
      <c r="I110" s="173">
        <v>1</v>
      </c>
      <c r="J110" s="10">
        <v>2</v>
      </c>
      <c r="K110" s="10">
        <v>3</v>
      </c>
      <c r="L110" s="10">
        <v>1</v>
      </c>
      <c r="M110" s="10">
        <v>2</v>
      </c>
      <c r="N110" s="10">
        <v>1</v>
      </c>
      <c r="O110" s="178">
        <f t="shared" si="7"/>
        <v>0.36299901822375763</v>
      </c>
      <c r="P110" s="34" t="s">
        <v>896</v>
      </c>
    </row>
    <row r="111" spans="1:16" ht="15.75" thickBot="1">
      <c r="A111" s="35" t="s">
        <v>405</v>
      </c>
      <c r="B111" s="62" t="s">
        <v>276</v>
      </c>
      <c r="C111" s="41">
        <v>2014</v>
      </c>
      <c r="D111" s="35" t="s">
        <v>188</v>
      </c>
      <c r="E111" s="41" t="s">
        <v>147</v>
      </c>
      <c r="F111" s="56">
        <f>0.526*0.34</f>
        <v>0.17884000000000003</v>
      </c>
      <c r="G111" s="170">
        <v>2</v>
      </c>
      <c r="H111" s="35" t="s">
        <v>391</v>
      </c>
      <c r="I111" s="174">
        <v>1</v>
      </c>
      <c r="J111" s="14">
        <v>2</v>
      </c>
      <c r="K111" s="14">
        <v>3</v>
      </c>
      <c r="L111" s="14">
        <v>1</v>
      </c>
      <c r="M111" s="14">
        <v>2</v>
      </c>
      <c r="N111" s="14">
        <v>1</v>
      </c>
      <c r="O111" s="179">
        <f t="shared" si="7"/>
        <v>0.36299901822375763</v>
      </c>
      <c r="P111" s="35" t="s">
        <v>897</v>
      </c>
    </row>
    <row r="114" spans="1:17">
      <c r="A114" s="957" t="s">
        <v>898</v>
      </c>
      <c r="B114" s="957"/>
      <c r="C114" s="957"/>
      <c r="D114" s="957"/>
      <c r="E114" s="957"/>
      <c r="F114" s="957"/>
      <c r="G114" s="957"/>
      <c r="H114" s="957"/>
      <c r="I114" s="957"/>
      <c r="J114" s="957"/>
      <c r="K114" s="957"/>
      <c r="L114" s="957"/>
      <c r="M114" s="957"/>
      <c r="N114" s="957"/>
      <c r="O114" s="957"/>
      <c r="P114" s="957"/>
      <c r="Q114" s="957"/>
    </row>
    <row r="115" spans="1:17">
      <c r="A115" s="957"/>
      <c r="B115" s="957"/>
      <c r="C115" s="957"/>
      <c r="D115" s="957"/>
      <c r="E115" s="957"/>
      <c r="F115" s="957"/>
      <c r="G115" s="957"/>
      <c r="H115" s="957"/>
      <c r="I115" s="957"/>
      <c r="J115" s="957"/>
      <c r="K115" s="957"/>
      <c r="L115" s="957"/>
      <c r="M115" s="957"/>
      <c r="N115" s="957"/>
      <c r="O115" s="957"/>
      <c r="P115" s="957"/>
      <c r="Q115" s="957"/>
    </row>
    <row r="117" spans="1:17">
      <c r="A117" s="117" t="s">
        <v>899</v>
      </c>
      <c r="B117" s="117"/>
      <c r="C117" s="117"/>
      <c r="D117" s="117"/>
      <c r="E117" s="117"/>
      <c r="F117" s="117"/>
    </row>
    <row r="118" spans="1:17">
      <c r="A118" s="227" t="s">
        <v>900</v>
      </c>
      <c r="B118" s="227" t="s">
        <v>901</v>
      </c>
      <c r="C118" s="227" t="s">
        <v>902</v>
      </c>
      <c r="D118" s="227" t="s">
        <v>903</v>
      </c>
      <c r="E118" s="227" t="s">
        <v>904</v>
      </c>
      <c r="F118" s="227" t="s">
        <v>905</v>
      </c>
    </row>
    <row r="119" spans="1:17">
      <c r="A119" s="227">
        <v>1990</v>
      </c>
      <c r="B119" s="227" t="s">
        <v>906</v>
      </c>
      <c r="C119" s="888">
        <v>9795.9110544217692</v>
      </c>
      <c r="D119" s="227" t="s">
        <v>907</v>
      </c>
      <c r="E119" s="889">
        <v>3605.0184353741402</v>
      </c>
      <c r="F119" s="889">
        <v>0.36801257334271897</v>
      </c>
    </row>
    <row r="120" spans="1:17">
      <c r="A120" s="227">
        <v>1990</v>
      </c>
      <c r="B120" s="227" t="s">
        <v>906</v>
      </c>
      <c r="C120" s="888">
        <v>14048.77</v>
      </c>
      <c r="D120" s="227" t="s">
        <v>908</v>
      </c>
      <c r="E120" s="227">
        <v>5170.1239999999998</v>
      </c>
      <c r="F120" s="889">
        <v>0.36801257334271897</v>
      </c>
    </row>
    <row r="121" spans="1:17">
      <c r="A121" s="227">
        <v>1990</v>
      </c>
      <c r="B121" s="227" t="s">
        <v>906</v>
      </c>
      <c r="C121" s="890">
        <v>18038.811819727802</v>
      </c>
      <c r="D121" s="227" t="s">
        <v>909</v>
      </c>
      <c r="E121" s="889">
        <v>6638.5095578231203</v>
      </c>
      <c r="F121" s="889">
        <v>0.36801257334271897</v>
      </c>
    </row>
    <row r="122" spans="1:17">
      <c r="A122" s="227">
        <v>1990</v>
      </c>
      <c r="B122" s="227" t="s">
        <v>910</v>
      </c>
      <c r="C122" s="888">
        <v>9795.9110544217692</v>
      </c>
      <c r="D122" s="227" t="s">
        <v>907</v>
      </c>
      <c r="E122" s="889">
        <v>3470.8689455782301</v>
      </c>
      <c r="F122" s="889">
        <v>0.35431813603610801</v>
      </c>
    </row>
    <row r="123" spans="1:17">
      <c r="A123" s="227">
        <v>1990</v>
      </c>
      <c r="B123" s="227" t="s">
        <v>910</v>
      </c>
      <c r="C123" s="888">
        <v>14048.77</v>
      </c>
      <c r="D123" s="227" t="s">
        <v>908</v>
      </c>
      <c r="E123" s="227">
        <v>4977.7340000000004</v>
      </c>
      <c r="F123" s="889">
        <v>0.35431813603610801</v>
      </c>
    </row>
    <row r="124" spans="1:17">
      <c r="A124" s="227">
        <v>1990</v>
      </c>
      <c r="B124" s="227" t="s">
        <v>910</v>
      </c>
      <c r="C124" s="890">
        <v>18038.811819727802</v>
      </c>
      <c r="D124" s="227" t="s">
        <v>909</v>
      </c>
      <c r="E124" s="889">
        <v>6391.4781802721</v>
      </c>
      <c r="F124" s="889">
        <v>0.35431813603610801</v>
      </c>
    </row>
    <row r="125" spans="1:17">
      <c r="A125" s="227">
        <v>1990</v>
      </c>
      <c r="B125" s="227" t="s">
        <v>911</v>
      </c>
      <c r="C125" s="888">
        <v>9795.9110544217692</v>
      </c>
      <c r="D125" s="227" t="s">
        <v>907</v>
      </c>
      <c r="E125" s="889">
        <v>2720.0236734693799</v>
      </c>
      <c r="F125" s="889">
        <v>0.27766929062117102</v>
      </c>
    </row>
    <row r="126" spans="1:17">
      <c r="A126" s="227">
        <v>1990</v>
      </c>
      <c r="B126" s="227" t="s">
        <v>911</v>
      </c>
      <c r="C126" s="888">
        <v>14048.77</v>
      </c>
      <c r="D126" s="227" t="s">
        <v>908</v>
      </c>
      <c r="E126" s="227">
        <v>3900.9119999999998</v>
      </c>
      <c r="F126" s="889">
        <v>0.27766929062117102</v>
      </c>
    </row>
    <row r="127" spans="1:17">
      <c r="A127" s="227">
        <v>1990</v>
      </c>
      <c r="B127" s="227" t="s">
        <v>911</v>
      </c>
      <c r="C127" s="890">
        <v>18038.811819727802</v>
      </c>
      <c r="D127" s="227" t="s">
        <v>909</v>
      </c>
      <c r="E127" s="889">
        <v>5008.8240816326497</v>
      </c>
      <c r="F127" s="889">
        <v>0.27766929062117102</v>
      </c>
    </row>
    <row r="128" spans="1:17">
      <c r="A128" s="227">
        <v>1995</v>
      </c>
      <c r="B128" s="227" t="s">
        <v>906</v>
      </c>
      <c r="C128" s="890">
        <v>10531.2160714285</v>
      </c>
      <c r="D128" s="227" t="s">
        <v>907</v>
      </c>
      <c r="E128" s="889">
        <v>4567.2933163265297</v>
      </c>
      <c r="F128" s="889">
        <v>0.43369097028762899</v>
      </c>
    </row>
    <row r="129" spans="1:6">
      <c r="A129" s="227">
        <v>1995</v>
      </c>
      <c r="B129" s="227" t="s">
        <v>906</v>
      </c>
      <c r="C129" s="888">
        <v>15103.305</v>
      </c>
      <c r="D129" s="227" t="s">
        <v>908</v>
      </c>
      <c r="E129" s="227">
        <v>6550.1670000000004</v>
      </c>
      <c r="F129" s="889">
        <v>0.43369097028762899</v>
      </c>
    </row>
    <row r="130" spans="1:6">
      <c r="A130" s="227">
        <v>1995</v>
      </c>
      <c r="B130" s="227" t="s">
        <v>906</v>
      </c>
      <c r="C130" s="890">
        <v>19392.8491071428</v>
      </c>
      <c r="D130" s="227" t="s">
        <v>909</v>
      </c>
      <c r="E130" s="889">
        <v>8410.50354591836</v>
      </c>
      <c r="F130" s="889">
        <v>0.43369097028762899</v>
      </c>
    </row>
    <row r="131" spans="1:6">
      <c r="A131" s="227">
        <v>1995</v>
      </c>
      <c r="B131" s="227" t="s">
        <v>910</v>
      </c>
      <c r="C131" s="890">
        <v>10531.2160714285</v>
      </c>
      <c r="D131" s="227" t="s">
        <v>907</v>
      </c>
      <c r="E131" s="889">
        <v>3200.3805102040801</v>
      </c>
      <c r="F131" s="227">
        <v>0.30389467735704201</v>
      </c>
    </row>
    <row r="132" spans="1:6">
      <c r="A132" s="227">
        <v>1995</v>
      </c>
      <c r="B132" s="227" t="s">
        <v>910</v>
      </c>
      <c r="C132" s="888">
        <v>15103.305</v>
      </c>
      <c r="D132" s="227" t="s">
        <v>908</v>
      </c>
      <c r="E132" s="889">
        <v>4589.8139999999903</v>
      </c>
      <c r="F132" s="227">
        <v>0.30389467735704201</v>
      </c>
    </row>
    <row r="133" spans="1:6">
      <c r="A133" s="227">
        <v>1995</v>
      </c>
      <c r="B133" s="227" t="s">
        <v>910</v>
      </c>
      <c r="C133" s="890">
        <v>19392.8491071428</v>
      </c>
      <c r="D133" s="227" t="s">
        <v>909</v>
      </c>
      <c r="E133" s="227">
        <v>5893.3836224489796</v>
      </c>
      <c r="F133" s="889">
        <v>0.30389467735704201</v>
      </c>
    </row>
    <row r="134" spans="1:6">
      <c r="A134" s="227">
        <v>1995</v>
      </c>
      <c r="B134" s="227" t="s">
        <v>911</v>
      </c>
      <c r="C134" s="890">
        <v>10531.2160714285</v>
      </c>
      <c r="D134" s="227" t="s">
        <v>907</v>
      </c>
      <c r="E134" s="889">
        <v>2763.5422448979498</v>
      </c>
      <c r="F134" s="889">
        <v>0.26241435235532801</v>
      </c>
    </row>
    <row r="135" spans="1:6">
      <c r="A135" s="227">
        <v>1995</v>
      </c>
      <c r="B135" s="227" t="s">
        <v>911</v>
      </c>
      <c r="C135" s="888">
        <v>15103.305</v>
      </c>
      <c r="D135" s="227" t="s">
        <v>908</v>
      </c>
      <c r="E135" s="227">
        <v>3963.3240000000001</v>
      </c>
      <c r="F135" s="889">
        <v>0.26241435235532801</v>
      </c>
    </row>
    <row r="136" spans="1:6">
      <c r="A136" s="227">
        <v>1995</v>
      </c>
      <c r="B136" s="227" t="s">
        <v>911</v>
      </c>
      <c r="C136" s="890">
        <v>19392.8491071428</v>
      </c>
      <c r="D136" s="227" t="s">
        <v>909</v>
      </c>
      <c r="E136" s="227">
        <v>5088.9619387755101</v>
      </c>
      <c r="F136" s="889">
        <v>0.26241435235532801</v>
      </c>
    </row>
    <row r="137" spans="1:6">
      <c r="A137" s="227">
        <v>2000</v>
      </c>
      <c r="B137" s="227" t="s">
        <v>906</v>
      </c>
      <c r="C137" s="890">
        <v>11700.245306122401</v>
      </c>
      <c r="D137" s="227" t="s">
        <v>907</v>
      </c>
      <c r="E137" s="889">
        <v>6023.5603231292498</v>
      </c>
      <c r="F137" s="227">
        <v>0.51482342169161799</v>
      </c>
    </row>
    <row r="138" spans="1:6">
      <c r="A138" s="227">
        <v>2000</v>
      </c>
      <c r="B138" s="227" t="s">
        <v>906</v>
      </c>
      <c r="C138" s="890">
        <v>16779.8639999999</v>
      </c>
      <c r="D138" s="227" t="s">
        <v>908</v>
      </c>
      <c r="E138" s="227">
        <v>8638.6669999999995</v>
      </c>
      <c r="F138" s="227">
        <v>0.51482342169161799</v>
      </c>
    </row>
    <row r="139" spans="1:6">
      <c r="A139" s="227">
        <v>2000</v>
      </c>
      <c r="B139" s="227" t="s">
        <v>906</v>
      </c>
      <c r="C139" s="890">
        <v>21545.573673469298</v>
      </c>
      <c r="D139" s="227" t="s">
        <v>909</v>
      </c>
      <c r="E139" s="889">
        <v>11092.1659608843</v>
      </c>
      <c r="F139" s="889">
        <v>0.51482342169161699</v>
      </c>
    </row>
    <row r="140" spans="1:6">
      <c r="A140" s="227">
        <v>2000</v>
      </c>
      <c r="B140" s="227" t="s">
        <v>910</v>
      </c>
      <c r="C140" s="890">
        <v>11700.245306122401</v>
      </c>
      <c r="D140" s="227" t="s">
        <v>907</v>
      </c>
      <c r="E140" s="889">
        <v>2729.0597108843499</v>
      </c>
      <c r="F140" s="889">
        <v>0.23324807638488601</v>
      </c>
    </row>
    <row r="141" spans="1:6">
      <c r="A141" s="227">
        <v>2000</v>
      </c>
      <c r="B141" s="227" t="s">
        <v>910</v>
      </c>
      <c r="C141" s="890">
        <v>16779.8639999999</v>
      </c>
      <c r="D141" s="227" t="s">
        <v>908</v>
      </c>
      <c r="E141" s="227">
        <v>3913.8710000000001</v>
      </c>
      <c r="F141" s="889">
        <v>0.23324807638488601</v>
      </c>
    </row>
    <row r="142" spans="1:6">
      <c r="A142" s="227">
        <v>2000</v>
      </c>
      <c r="B142" s="227" t="s">
        <v>910</v>
      </c>
      <c r="C142" s="890">
        <v>21545.573673469298</v>
      </c>
      <c r="D142" s="227" t="s">
        <v>909</v>
      </c>
      <c r="E142" s="889">
        <v>5025.4636139455697</v>
      </c>
      <c r="F142" s="889">
        <v>0.23324807638488601</v>
      </c>
    </row>
    <row r="143" spans="1:6">
      <c r="A143" s="227">
        <v>2000</v>
      </c>
      <c r="B143" s="227" t="s">
        <v>911</v>
      </c>
      <c r="C143" s="890">
        <v>11700.245306122401</v>
      </c>
      <c r="D143" s="227" t="s">
        <v>907</v>
      </c>
      <c r="E143" s="889">
        <v>2947.6252721088399</v>
      </c>
      <c r="F143" s="227">
        <v>0.25192850192349597</v>
      </c>
    </row>
    <row r="144" spans="1:6">
      <c r="A144" s="227">
        <v>2000</v>
      </c>
      <c r="B144" s="227" t="s">
        <v>911</v>
      </c>
      <c r="C144" s="890">
        <v>16779.8639999999</v>
      </c>
      <c r="D144" s="227" t="s">
        <v>908</v>
      </c>
      <c r="E144" s="227">
        <v>4227.326</v>
      </c>
      <c r="F144" s="227">
        <v>0.25192850192349597</v>
      </c>
    </row>
    <row r="145" spans="1:6">
      <c r="A145" s="227">
        <v>2000</v>
      </c>
      <c r="B145" s="227" t="s">
        <v>911</v>
      </c>
      <c r="C145" s="890">
        <v>21545.573673469298</v>
      </c>
      <c r="D145" s="227" t="s">
        <v>909</v>
      </c>
      <c r="E145" s="889">
        <v>5427.9440986394502</v>
      </c>
      <c r="F145" s="889">
        <v>0.25192850192349497</v>
      </c>
    </row>
    <row r="146" spans="1:6">
      <c r="A146" s="227">
        <v>2005</v>
      </c>
      <c r="B146" s="227" t="s">
        <v>906</v>
      </c>
      <c r="C146" s="890">
        <v>12395.919778911501</v>
      </c>
      <c r="D146" s="227" t="s">
        <v>907</v>
      </c>
      <c r="E146" s="889">
        <v>6396.0460204081601</v>
      </c>
      <c r="F146" s="889">
        <v>0.51597994618272403</v>
      </c>
    </row>
    <row r="147" spans="1:6">
      <c r="A147" s="227">
        <v>2005</v>
      </c>
      <c r="B147" s="227" t="s">
        <v>906</v>
      </c>
      <c r="C147" s="888">
        <v>17777.562999999998</v>
      </c>
      <c r="D147" s="227" t="s">
        <v>908</v>
      </c>
      <c r="E147" s="227">
        <v>9172.866</v>
      </c>
      <c r="F147" s="889">
        <v>0.51597994618272403</v>
      </c>
    </row>
    <row r="148" spans="1:6">
      <c r="A148" s="227">
        <v>2005</v>
      </c>
      <c r="B148" s="227" t="s">
        <v>906</v>
      </c>
      <c r="C148" s="890">
        <v>22826.632763605401</v>
      </c>
      <c r="D148" s="227" t="s">
        <v>909</v>
      </c>
      <c r="E148" s="889">
        <v>11778.0847448979</v>
      </c>
      <c r="F148" s="889">
        <v>0.51597994618272403</v>
      </c>
    </row>
    <row r="149" spans="1:6">
      <c r="A149" s="227">
        <v>2005</v>
      </c>
      <c r="B149" s="227" t="s">
        <v>910</v>
      </c>
      <c r="C149" s="890">
        <v>12395.919778911501</v>
      </c>
      <c r="D149" s="227" t="s">
        <v>907</v>
      </c>
      <c r="E149" s="889">
        <v>2854.1864115646199</v>
      </c>
      <c r="F149" s="889">
        <v>0.23025208798303701</v>
      </c>
    </row>
    <row r="150" spans="1:6">
      <c r="A150" s="227">
        <v>2005</v>
      </c>
      <c r="B150" s="227" t="s">
        <v>910</v>
      </c>
      <c r="C150" s="888">
        <v>17777.562999999998</v>
      </c>
      <c r="D150" s="227" t="s">
        <v>908</v>
      </c>
      <c r="E150" s="227">
        <v>4093.3209999999999</v>
      </c>
      <c r="F150" s="889">
        <v>0.23025208798303701</v>
      </c>
    </row>
    <row r="151" spans="1:6">
      <c r="A151" s="227">
        <v>2005</v>
      </c>
      <c r="B151" s="227" t="s">
        <v>910</v>
      </c>
      <c r="C151" s="890">
        <v>22826.632763605401</v>
      </c>
      <c r="D151" s="227" t="s">
        <v>909</v>
      </c>
      <c r="E151" s="889">
        <v>5255.8798554421701</v>
      </c>
      <c r="F151" s="889">
        <v>0.23025208798303701</v>
      </c>
    </row>
    <row r="152" spans="1:6">
      <c r="A152" s="227">
        <v>2005</v>
      </c>
      <c r="B152" s="227" t="s">
        <v>911</v>
      </c>
      <c r="C152" s="890">
        <v>12395.919778911501</v>
      </c>
      <c r="D152" s="227" t="s">
        <v>907</v>
      </c>
      <c r="E152" s="889">
        <v>3145.6873469387701</v>
      </c>
      <c r="F152" s="889">
        <v>0.253767965834237</v>
      </c>
    </row>
    <row r="153" spans="1:6">
      <c r="A153" s="227">
        <v>2005</v>
      </c>
      <c r="B153" s="227" t="s">
        <v>911</v>
      </c>
      <c r="C153" s="888">
        <v>17777.562999999998</v>
      </c>
      <c r="D153" s="227" t="s">
        <v>908</v>
      </c>
      <c r="E153" s="227">
        <v>4511.3760000000002</v>
      </c>
      <c r="F153" s="889">
        <v>0.253767965834237</v>
      </c>
    </row>
    <row r="154" spans="1:6">
      <c r="A154" s="227">
        <v>2005</v>
      </c>
      <c r="B154" s="227" t="s">
        <v>911</v>
      </c>
      <c r="C154" s="890">
        <v>22826.632763605401</v>
      </c>
      <c r="D154" s="227" t="s">
        <v>909</v>
      </c>
      <c r="E154" s="889">
        <v>5792.6681632652999</v>
      </c>
      <c r="F154" s="889">
        <v>0.253767965834237</v>
      </c>
    </row>
    <row r="155" spans="1:6">
      <c r="A155" s="227">
        <v>2010</v>
      </c>
      <c r="B155" s="227" t="s">
        <v>906</v>
      </c>
      <c r="C155" s="890">
        <v>12581.2969557823</v>
      </c>
      <c r="D155" s="227" t="s">
        <v>907</v>
      </c>
      <c r="E155" s="889">
        <v>6475.2931632652999</v>
      </c>
      <c r="F155" s="227">
        <v>0.51467612488784698</v>
      </c>
    </row>
    <row r="156" spans="1:6">
      <c r="A156" s="227">
        <v>2010</v>
      </c>
      <c r="B156" s="227" t="s">
        <v>906</v>
      </c>
      <c r="C156" s="888">
        <v>18043.420999999998</v>
      </c>
      <c r="D156" s="227" t="s">
        <v>908</v>
      </c>
      <c r="E156" s="227">
        <v>9286.518</v>
      </c>
      <c r="F156" s="227">
        <v>0.51467612488784698</v>
      </c>
    </row>
    <row r="157" spans="1:6">
      <c r="A157" s="227">
        <v>2010</v>
      </c>
      <c r="B157" s="227" t="s">
        <v>906</v>
      </c>
      <c r="C157" s="890">
        <v>23167.998052720999</v>
      </c>
      <c r="D157" s="227" t="s">
        <v>909</v>
      </c>
      <c r="E157" s="889">
        <v>11924.0154591836</v>
      </c>
      <c r="F157" s="889">
        <v>0.51467612488784598</v>
      </c>
    </row>
    <row r="158" spans="1:6">
      <c r="A158" s="227">
        <v>2010</v>
      </c>
      <c r="B158" s="227" t="s">
        <v>910</v>
      </c>
      <c r="C158" s="890">
        <v>12581.2969557823</v>
      </c>
      <c r="D158" s="227" t="s">
        <v>907</v>
      </c>
      <c r="E158" s="889">
        <v>2894.6230102040799</v>
      </c>
      <c r="F158" s="889">
        <v>0.230073498811561</v>
      </c>
    </row>
    <row r="159" spans="1:6">
      <c r="A159" s="227">
        <v>2010</v>
      </c>
      <c r="B159" s="227" t="s">
        <v>910</v>
      </c>
      <c r="C159" s="888">
        <v>18043.420999999998</v>
      </c>
      <c r="D159" s="227" t="s">
        <v>908</v>
      </c>
      <c r="E159" s="227">
        <v>4151.3130000000001</v>
      </c>
      <c r="F159" s="889">
        <v>0.230073498811561</v>
      </c>
    </row>
    <row r="160" spans="1:6">
      <c r="A160" s="227">
        <v>2010</v>
      </c>
      <c r="B160" s="227" t="s">
        <v>910</v>
      </c>
      <c r="C160" s="890">
        <v>23167.998052720999</v>
      </c>
      <c r="D160" s="227" t="s">
        <v>909</v>
      </c>
      <c r="E160" s="227">
        <v>5330.3423724489803</v>
      </c>
      <c r="F160" s="889">
        <v>0.230073498811561</v>
      </c>
    </row>
    <row r="161" spans="1:6">
      <c r="A161" s="227">
        <v>2010</v>
      </c>
      <c r="B161" s="227" t="s">
        <v>911</v>
      </c>
      <c r="C161" s="890">
        <v>12581.2969557823</v>
      </c>
      <c r="D161" s="227" t="s">
        <v>907</v>
      </c>
      <c r="E161" s="889">
        <v>3211.38078231292</v>
      </c>
      <c r="F161" s="889">
        <v>0.255250376300591</v>
      </c>
    </row>
    <row r="162" spans="1:6">
      <c r="A162" s="227">
        <v>2010</v>
      </c>
      <c r="B162" s="227" t="s">
        <v>911</v>
      </c>
      <c r="C162" s="888">
        <v>18043.420999999998</v>
      </c>
      <c r="D162" s="227" t="s">
        <v>908</v>
      </c>
      <c r="E162" s="227">
        <v>4605.59</v>
      </c>
      <c r="F162" s="889">
        <v>0.255250376300591</v>
      </c>
    </row>
    <row r="163" spans="1:6">
      <c r="A163" s="227">
        <v>2010</v>
      </c>
      <c r="B163" s="227" t="s">
        <v>911</v>
      </c>
      <c r="C163" s="890">
        <v>23167.998052720999</v>
      </c>
      <c r="D163" s="227" t="s">
        <v>909</v>
      </c>
      <c r="E163" s="889">
        <v>5913.6402210884298</v>
      </c>
      <c r="F163" s="889">
        <v>0.255250376300591</v>
      </c>
    </row>
    <row r="164" spans="1:6">
      <c r="A164" s="227">
        <v>2015</v>
      </c>
      <c r="B164" s="227" t="s">
        <v>906</v>
      </c>
      <c r="C164" s="890">
        <v>12711.9997959183</v>
      </c>
      <c r="D164" s="227" t="s">
        <v>907</v>
      </c>
      <c r="E164" s="889">
        <v>6532.1520748299299</v>
      </c>
      <c r="F164" s="889">
        <v>0.51385715699329204</v>
      </c>
    </row>
    <row r="165" spans="1:6">
      <c r="A165" s="227">
        <v>2015</v>
      </c>
      <c r="B165" s="227" t="s">
        <v>906</v>
      </c>
      <c r="C165" s="888">
        <v>18230.867999999999</v>
      </c>
      <c r="D165" s="227" t="s">
        <v>908</v>
      </c>
      <c r="E165" s="227">
        <v>9368.0619999999999</v>
      </c>
      <c r="F165" s="889">
        <v>0.51385715699329204</v>
      </c>
    </row>
    <row r="166" spans="1:6">
      <c r="A166" s="227">
        <v>2015</v>
      </c>
      <c r="B166" s="227" t="s">
        <v>906</v>
      </c>
      <c r="C166" s="890">
        <v>23408.6825510204</v>
      </c>
      <c r="D166" s="227" t="s">
        <v>909</v>
      </c>
      <c r="E166" s="889">
        <v>12028.7190646258</v>
      </c>
      <c r="F166" s="889">
        <v>0.51385715699329204</v>
      </c>
    </row>
    <row r="167" spans="1:6">
      <c r="A167" s="227">
        <v>2015</v>
      </c>
      <c r="B167" s="227" t="s">
        <v>910</v>
      </c>
      <c r="C167" s="890">
        <v>12711.9997959183</v>
      </c>
      <c r="D167" s="227" t="s">
        <v>907</v>
      </c>
      <c r="E167" s="889">
        <v>2919.1442176870701</v>
      </c>
      <c r="F167" s="889">
        <v>0.22963689935114401</v>
      </c>
    </row>
    <row r="168" spans="1:6">
      <c r="A168" s="227">
        <v>2015</v>
      </c>
      <c r="B168" s="227" t="s">
        <v>910</v>
      </c>
      <c r="C168" s="888">
        <v>18230.867999999999</v>
      </c>
      <c r="D168" s="227" t="s">
        <v>908</v>
      </c>
      <c r="E168" s="227">
        <v>4186.4799999999996</v>
      </c>
      <c r="F168" s="889">
        <v>0.22963689935114401</v>
      </c>
    </row>
    <row r="169" spans="1:6">
      <c r="A169" s="227">
        <v>2015</v>
      </c>
      <c r="B169" s="227" t="s">
        <v>910</v>
      </c>
      <c r="C169" s="890">
        <v>23408.6825510204</v>
      </c>
      <c r="D169" s="227" t="s">
        <v>909</v>
      </c>
      <c r="E169" s="889">
        <v>5375.49727891156</v>
      </c>
      <c r="F169" s="889">
        <v>0.22963689935114401</v>
      </c>
    </row>
    <row r="170" spans="1:6">
      <c r="A170" s="227">
        <v>2015</v>
      </c>
      <c r="B170" s="227" t="s">
        <v>911</v>
      </c>
      <c r="C170" s="890">
        <v>12711.9997959183</v>
      </c>
      <c r="D170" s="227" t="s">
        <v>907</v>
      </c>
      <c r="E170" s="889">
        <v>3260.7035034013602</v>
      </c>
      <c r="F170" s="889">
        <v>0.25650594365556201</v>
      </c>
    </row>
    <row r="171" spans="1:6">
      <c r="A171" s="227">
        <v>2015</v>
      </c>
      <c r="B171" s="227" t="s">
        <v>911</v>
      </c>
      <c r="C171" s="888">
        <v>18230.867999999999</v>
      </c>
      <c r="D171" s="227" t="s">
        <v>908</v>
      </c>
      <c r="E171" s="227">
        <v>4676.326</v>
      </c>
      <c r="F171" s="889">
        <v>0.25650594365556201</v>
      </c>
    </row>
    <row r="172" spans="1:6">
      <c r="A172" s="227">
        <v>2015</v>
      </c>
      <c r="B172" s="227" t="s">
        <v>911</v>
      </c>
      <c r="C172" s="890">
        <v>23408.6825510204</v>
      </c>
      <c r="D172" s="227" t="s">
        <v>909</v>
      </c>
      <c r="E172" s="889">
        <v>6004.4662074829903</v>
      </c>
      <c r="F172" s="889">
        <v>0.25650594365556201</v>
      </c>
    </row>
    <row r="173" spans="1:6">
      <c r="A173" s="227">
        <v>2019</v>
      </c>
      <c r="B173" s="227" t="s">
        <v>906</v>
      </c>
      <c r="C173" s="890">
        <v>13484.4244557823</v>
      </c>
      <c r="D173" s="227" t="s">
        <v>907</v>
      </c>
      <c r="E173" s="889">
        <v>6901.6436564625801</v>
      </c>
      <c r="F173" s="889">
        <v>0.51182337659973698</v>
      </c>
    </row>
    <row r="174" spans="1:6">
      <c r="A174" s="227">
        <v>2019</v>
      </c>
      <c r="B174" s="227" t="s">
        <v>906</v>
      </c>
      <c r="C174" s="888">
        <v>19338.637999999999</v>
      </c>
      <c r="D174" s="227" t="s">
        <v>908</v>
      </c>
      <c r="E174" s="227">
        <v>9897.9670000000006</v>
      </c>
      <c r="F174" s="889">
        <v>0.51182337659973698</v>
      </c>
    </row>
    <row r="175" spans="1:6">
      <c r="A175" s="227">
        <v>2019</v>
      </c>
      <c r="B175" s="227" t="s">
        <v>906</v>
      </c>
      <c r="C175" s="890">
        <v>24831.074302721001</v>
      </c>
      <c r="D175" s="227" t="s">
        <v>909</v>
      </c>
      <c r="E175" s="889">
        <v>12709.1242942176</v>
      </c>
      <c r="F175" s="889">
        <v>0.51182337659973698</v>
      </c>
    </row>
    <row r="176" spans="1:6">
      <c r="A176" s="227">
        <v>2019</v>
      </c>
      <c r="B176" s="227" t="s">
        <v>910</v>
      </c>
      <c r="C176" s="890">
        <v>13484.4244557823</v>
      </c>
      <c r="D176" s="227" t="s">
        <v>907</v>
      </c>
      <c r="E176" s="889">
        <v>3107.2547278911502</v>
      </c>
      <c r="F176" s="889">
        <v>0.23043287743428401</v>
      </c>
    </row>
    <row r="177" spans="1:6">
      <c r="A177" s="227">
        <v>2019</v>
      </c>
      <c r="B177" s="227" t="s">
        <v>910</v>
      </c>
      <c r="C177" s="888">
        <v>19338.637999999999</v>
      </c>
      <c r="D177" s="227" t="s">
        <v>908</v>
      </c>
      <c r="E177" s="227">
        <v>4456.2579999999998</v>
      </c>
      <c r="F177" s="889">
        <v>0.23043287743428401</v>
      </c>
    </row>
    <row r="178" spans="1:6">
      <c r="A178" s="227">
        <v>2019</v>
      </c>
      <c r="B178" s="227" t="s">
        <v>910</v>
      </c>
      <c r="C178" s="890">
        <v>24831.074302721001</v>
      </c>
      <c r="D178" s="227" t="s">
        <v>909</v>
      </c>
      <c r="E178" s="889">
        <v>5721.8959013605399</v>
      </c>
      <c r="F178" s="889">
        <v>0.23043287743428401</v>
      </c>
    </row>
    <row r="179" spans="1:6">
      <c r="A179" s="227">
        <v>2019</v>
      </c>
      <c r="B179" s="227" t="s">
        <v>911</v>
      </c>
      <c r="C179" s="890">
        <v>13484.4244557823</v>
      </c>
      <c r="D179" s="227" t="s">
        <v>907</v>
      </c>
      <c r="E179" s="889">
        <v>3475.52607142857</v>
      </c>
      <c r="F179" s="889">
        <v>0.25774374596597699</v>
      </c>
    </row>
    <row r="180" spans="1:6">
      <c r="A180" s="227">
        <v>2019</v>
      </c>
      <c r="B180" s="227" t="s">
        <v>911</v>
      </c>
      <c r="C180" s="888">
        <v>19338.637999999999</v>
      </c>
      <c r="D180" s="227" t="s">
        <v>908</v>
      </c>
      <c r="E180" s="889">
        <v>4984.4129999999996</v>
      </c>
      <c r="F180" s="889">
        <v>0.25774374596597699</v>
      </c>
    </row>
    <row r="181" spans="1:6">
      <c r="A181" s="227">
        <v>2019</v>
      </c>
      <c r="B181" s="227" t="s">
        <v>911</v>
      </c>
      <c r="C181" s="890">
        <v>24831.074302721001</v>
      </c>
      <c r="D181" s="227" t="s">
        <v>909</v>
      </c>
      <c r="E181" s="889">
        <v>6400.0541071428497</v>
      </c>
      <c r="F181" s="889">
        <v>0.25774374596597699</v>
      </c>
    </row>
    <row r="182" spans="1:6">
      <c r="A182" s="227">
        <v>2020</v>
      </c>
      <c r="B182" s="227" t="s">
        <v>906</v>
      </c>
      <c r="C182" s="890">
        <v>11683.7368280094</v>
      </c>
      <c r="D182" s="227" t="s">
        <v>907</v>
      </c>
      <c r="E182" s="889">
        <v>6118.5902748969302</v>
      </c>
      <c r="F182" s="889">
        <v>0.52368436271423302</v>
      </c>
    </row>
    <row r="183" spans="1:6">
      <c r="A183" s="227">
        <v>2020</v>
      </c>
      <c r="B183" s="227" t="s">
        <v>906</v>
      </c>
      <c r="C183" s="890">
        <v>16756.188426510998</v>
      </c>
      <c r="D183" s="227" t="s">
        <v>908</v>
      </c>
      <c r="E183" s="889">
        <v>8774.9538576570594</v>
      </c>
      <c r="F183" s="889">
        <v>0.52368436271423302</v>
      </c>
    </row>
    <row r="184" spans="1:6">
      <c r="A184" s="227">
        <v>2020</v>
      </c>
      <c r="B184" s="227" t="s">
        <v>906</v>
      </c>
      <c r="C184" s="890">
        <v>21515.173914992902</v>
      </c>
      <c r="D184" s="227" t="s">
        <v>909</v>
      </c>
      <c r="E184" s="889">
        <v>11267.160140358899</v>
      </c>
      <c r="F184" s="227">
        <v>0.52368436271423302</v>
      </c>
    </row>
    <row r="185" spans="1:6">
      <c r="A185" s="227">
        <v>2020</v>
      </c>
      <c r="B185" s="227" t="s">
        <v>910</v>
      </c>
      <c r="C185" s="890">
        <v>11683.7368280094</v>
      </c>
      <c r="D185" s="227" t="s">
        <v>907</v>
      </c>
      <c r="E185" s="889">
        <v>2584.5872312710599</v>
      </c>
      <c r="F185" s="889">
        <v>0.221212380021692</v>
      </c>
    </row>
    <row r="186" spans="1:6">
      <c r="A186" s="227">
        <v>2020</v>
      </c>
      <c r="B186" s="227" t="s">
        <v>910</v>
      </c>
      <c r="C186" s="890">
        <v>16756.188426510998</v>
      </c>
      <c r="D186" s="227" t="s">
        <v>908</v>
      </c>
      <c r="E186" s="889">
        <v>3706.6763219204599</v>
      </c>
      <c r="F186" s="889">
        <v>0.221212380021692</v>
      </c>
    </row>
    <row r="187" spans="1:6">
      <c r="A187" s="227">
        <v>2020</v>
      </c>
      <c r="B187" s="227" t="s">
        <v>910</v>
      </c>
      <c r="C187" s="890">
        <v>21515.173914992902</v>
      </c>
      <c r="D187" s="227" t="s">
        <v>909</v>
      </c>
      <c r="E187" s="889">
        <v>4759.4228283162302</v>
      </c>
      <c r="F187" s="889">
        <v>0.221212380021692</v>
      </c>
    </row>
    <row r="188" spans="1:6">
      <c r="A188" s="227">
        <v>2020</v>
      </c>
      <c r="B188" s="227" t="s">
        <v>911</v>
      </c>
      <c r="C188" s="890">
        <v>11683.7368280094</v>
      </c>
      <c r="D188" s="227" t="s">
        <v>907</v>
      </c>
      <c r="E188" s="889">
        <v>2980.5593218414201</v>
      </c>
      <c r="F188" s="889">
        <v>0.25510325726407401</v>
      </c>
    </row>
    <row r="189" spans="1:6">
      <c r="A189" s="227">
        <v>2020</v>
      </c>
      <c r="B189" s="227" t="s">
        <v>911</v>
      </c>
      <c r="C189" s="890">
        <v>16756.188426510998</v>
      </c>
      <c r="D189" s="227" t="s">
        <v>908</v>
      </c>
      <c r="E189" s="889">
        <v>4274.5582469335604</v>
      </c>
      <c r="F189" s="889">
        <v>0.25510325726407401</v>
      </c>
    </row>
    <row r="190" spans="1:6">
      <c r="A190" s="227">
        <v>2020</v>
      </c>
      <c r="B190" s="227" t="s">
        <v>911</v>
      </c>
      <c r="C190" s="890">
        <v>21515.173914992902</v>
      </c>
      <c r="D190" s="227" t="s">
        <v>909</v>
      </c>
      <c r="E190" s="889">
        <v>5488.5909463177504</v>
      </c>
      <c r="F190" s="889">
        <v>0.25510325726407401</v>
      </c>
    </row>
  </sheetData>
  <mergeCells count="2">
    <mergeCell ref="A114:Q115"/>
    <mergeCell ref="A2:Q3"/>
  </mergeCells>
  <conditionalFormatting sqref="G6:K13 G15:K22 G24:K32">
    <cfRule type="cellIs" dxfId="116" priority="7074" stopIfTrue="1" operator="notBetween">
      <formula>1</formula>
      <formula>4</formula>
    </cfRule>
    <cfRule type="dataBar" priority="7075">
      <dataBar>
        <cfvo type="min"/>
        <cfvo type="num" val="4"/>
        <color rgb="FFFFC000"/>
      </dataBar>
      <extLst>
        <ext xmlns:x14="http://schemas.microsoft.com/office/spreadsheetml/2009/9/main" uri="{B025F937-C7B1-47D3-B67F-A62EFF666E3E}">
          <x14:id>{DCB540DE-36C9-4332-BAD4-CAB1F9DBAEDD}</x14:id>
        </ext>
      </extLst>
    </cfRule>
  </conditionalFormatting>
  <conditionalFormatting sqref="G37:K44 G46:K53 G55:K62">
    <cfRule type="cellIs" dxfId="115" priority="7072" stopIfTrue="1" operator="notBetween">
      <formula>1</formula>
      <formula>4</formula>
    </cfRule>
    <cfRule type="dataBar" priority="7073">
      <dataBar>
        <cfvo type="min"/>
        <cfvo type="num" val="4"/>
        <color rgb="FFFFC000"/>
      </dataBar>
      <extLst>
        <ext xmlns:x14="http://schemas.microsoft.com/office/spreadsheetml/2009/9/main" uri="{B025F937-C7B1-47D3-B67F-A62EFF666E3E}">
          <x14:id>{ADB92FAB-58BB-4A44-BD27-F6CCA440A7CD}</x14:id>
        </ext>
      </extLst>
    </cfRule>
  </conditionalFormatting>
  <conditionalFormatting sqref="I86">
    <cfRule type="containsBlanks" dxfId="114" priority="1">
      <formula>LEN(TRIM(I86))=0</formula>
    </cfRule>
    <cfRule type="dataBar" priority="3">
      <dataBar>
        <cfvo type="min"/>
        <cfvo type="num" val="4"/>
        <color rgb="FFFFC000"/>
      </dataBar>
      <extLst>
        <ext xmlns:x14="http://schemas.microsoft.com/office/spreadsheetml/2009/9/main" uri="{B025F937-C7B1-47D3-B67F-A62EFF666E3E}">
          <x14:id>{30155963-B8E7-438D-B598-5CEE74DA6116}</x14:id>
        </ext>
      </extLst>
    </cfRule>
  </conditionalFormatting>
  <conditionalFormatting sqref="I66:N71">
    <cfRule type="cellIs" dxfId="113" priority="52" stopIfTrue="1" operator="notBetween">
      <formula>1</formula>
      <formula>4</formula>
    </cfRule>
    <cfRule type="dataBar" priority="53">
      <dataBar>
        <cfvo type="min"/>
        <cfvo type="num" val="4"/>
        <color rgb="FFFFC000"/>
      </dataBar>
      <extLst>
        <ext xmlns:x14="http://schemas.microsoft.com/office/spreadsheetml/2009/9/main" uri="{B025F937-C7B1-47D3-B67F-A62EFF666E3E}">
          <x14:id>{56B0826E-DB05-4F46-9EA0-83C8C7A7759C}</x14:id>
        </ext>
      </extLst>
    </cfRule>
  </conditionalFormatting>
  <conditionalFormatting sqref="I74:N81 I84:N85 I88:N89 I83 K83:N83 J86:N86">
    <cfRule type="dataBar" priority="6199">
      <dataBar>
        <cfvo type="min"/>
        <cfvo type="num" val="4"/>
        <color rgb="FFFFC000"/>
      </dataBar>
      <extLst>
        <ext xmlns:x14="http://schemas.microsoft.com/office/spreadsheetml/2009/9/main" uri="{B025F937-C7B1-47D3-B67F-A62EFF666E3E}">
          <x14:id>{152975D8-AA7B-48FF-96C8-A3635D86F63F}</x14:id>
        </ext>
      </extLst>
    </cfRule>
  </conditionalFormatting>
  <conditionalFormatting sqref="I74:N82">
    <cfRule type="cellIs" dxfId="112" priority="23" stopIfTrue="1" operator="notBetween">
      <formula>1</formula>
      <formula>4</formula>
    </cfRule>
  </conditionalFormatting>
  <conditionalFormatting sqref="I82:N82">
    <cfRule type="dataBar" priority="24">
      <dataBar>
        <cfvo type="min"/>
        <cfvo type="num" val="4"/>
        <color rgb="FFFFC000"/>
      </dataBar>
      <extLst>
        <ext xmlns:x14="http://schemas.microsoft.com/office/spreadsheetml/2009/9/main" uri="{B025F937-C7B1-47D3-B67F-A62EFF666E3E}">
          <x14:id>{CD33A977-1C24-4834-9920-1C263E4A3C54}</x14:id>
        </ext>
      </extLst>
    </cfRule>
  </conditionalFormatting>
  <conditionalFormatting sqref="I83:N85">
    <cfRule type="cellIs" dxfId="111" priority="5" stopIfTrue="1" operator="notBetween">
      <formula>1</formula>
      <formula>4</formula>
    </cfRule>
  </conditionalFormatting>
  <conditionalFormatting sqref="I86:N86">
    <cfRule type="cellIs" dxfId="110" priority="2" stopIfTrue="1" operator="notBetween">
      <formula>1</formula>
      <formula>4</formula>
    </cfRule>
  </conditionalFormatting>
  <conditionalFormatting sqref="I87:N87">
    <cfRule type="containsBlanks" dxfId="109" priority="19">
      <formula>LEN(TRIM(I87))=0</formula>
    </cfRule>
    <cfRule type="dataBar" priority="21">
      <dataBar>
        <cfvo type="min"/>
        <cfvo type="num" val="4"/>
        <color rgb="FFFFC000"/>
      </dataBar>
      <extLst>
        <ext xmlns:x14="http://schemas.microsoft.com/office/spreadsheetml/2009/9/main" uri="{B025F937-C7B1-47D3-B67F-A62EFF666E3E}">
          <x14:id>{9612EF93-58C4-4663-9A0C-7E810B1E0D57}</x14:id>
        </ext>
      </extLst>
    </cfRule>
  </conditionalFormatting>
  <conditionalFormatting sqref="I87:N93">
    <cfRule type="cellIs" dxfId="108" priority="20" stopIfTrue="1" operator="notBetween">
      <formula>1</formula>
      <formula>4</formula>
    </cfRule>
  </conditionalFormatting>
  <conditionalFormatting sqref="I90:N90 I92:N92 I99:N105">
    <cfRule type="dataBar" priority="7052">
      <dataBar>
        <cfvo type="min"/>
        <cfvo type="num" val="4"/>
        <color rgb="FFFFC000"/>
      </dataBar>
      <extLst>
        <ext xmlns:x14="http://schemas.microsoft.com/office/spreadsheetml/2009/9/main" uri="{B025F937-C7B1-47D3-B67F-A62EFF666E3E}">
          <x14:id>{6B8C1DD6-10C5-4D14-8A53-7C18EAC20BAD}</x14:id>
        </ext>
      </extLst>
    </cfRule>
  </conditionalFormatting>
  <conditionalFormatting sqref="I91:N91">
    <cfRule type="dataBar" priority="74">
      <dataBar>
        <cfvo type="min"/>
        <cfvo type="num" val="4"/>
        <color rgb="FFFFC000"/>
      </dataBar>
      <extLst>
        <ext xmlns:x14="http://schemas.microsoft.com/office/spreadsheetml/2009/9/main" uri="{B025F937-C7B1-47D3-B67F-A62EFF666E3E}">
          <x14:id>{711D344D-A5F7-440B-AF92-3C409F3D22EA}</x14:id>
        </ext>
      </extLst>
    </cfRule>
  </conditionalFormatting>
  <conditionalFormatting sqref="I93:N93">
    <cfRule type="dataBar" priority="71">
      <dataBar>
        <cfvo type="min"/>
        <cfvo type="num" val="4"/>
        <color rgb="FFFFC000"/>
      </dataBar>
      <extLst>
        <ext xmlns:x14="http://schemas.microsoft.com/office/spreadsheetml/2009/9/main" uri="{B025F937-C7B1-47D3-B67F-A62EFF666E3E}">
          <x14:id>{27A81EB9-B538-4A61-9CAF-D128D989E8C2}</x14:id>
        </ext>
      </extLst>
    </cfRule>
  </conditionalFormatting>
  <conditionalFormatting sqref="I94:N94">
    <cfRule type="dataBar" priority="18">
      <dataBar>
        <cfvo type="min"/>
        <cfvo type="num" val="4"/>
        <color rgb="FFFFC000"/>
      </dataBar>
      <extLst>
        <ext xmlns:x14="http://schemas.microsoft.com/office/spreadsheetml/2009/9/main" uri="{B025F937-C7B1-47D3-B67F-A62EFF666E3E}">
          <x14:id>{C9F98A99-3F58-482A-88AB-05F7BEBC7614}</x14:id>
        </ext>
      </extLst>
    </cfRule>
  </conditionalFormatting>
  <conditionalFormatting sqref="I94:N95">
    <cfRule type="cellIs" dxfId="107" priority="14" stopIfTrue="1" operator="notBetween">
      <formula>1</formula>
      <formula>4</formula>
    </cfRule>
  </conditionalFormatting>
  <conditionalFormatting sqref="I95:N95">
    <cfRule type="dataBar" priority="15">
      <dataBar>
        <cfvo type="min"/>
        <cfvo type="num" val="4"/>
        <color rgb="FFFFC000"/>
      </dataBar>
      <extLst>
        <ext xmlns:x14="http://schemas.microsoft.com/office/spreadsheetml/2009/9/main" uri="{B025F937-C7B1-47D3-B67F-A62EFF666E3E}">
          <x14:id>{E41DE07D-63BC-42CE-9DC5-C4AADB3EDE1F}</x14:id>
        </ext>
      </extLst>
    </cfRule>
  </conditionalFormatting>
  <conditionalFormatting sqref="I98:N98">
    <cfRule type="dataBar" priority="12">
      <dataBar>
        <cfvo type="min"/>
        <cfvo type="num" val="4"/>
        <color rgb="FFFFC000"/>
      </dataBar>
      <extLst>
        <ext xmlns:x14="http://schemas.microsoft.com/office/spreadsheetml/2009/9/main" uri="{B025F937-C7B1-47D3-B67F-A62EFF666E3E}">
          <x14:id>{F11D9087-F61B-44AB-A8AC-79DAA6843418}</x14:id>
        </ext>
      </extLst>
    </cfRule>
  </conditionalFormatting>
  <conditionalFormatting sqref="I98:N105">
    <cfRule type="cellIs" dxfId="106" priority="11" stopIfTrue="1" operator="notBetween">
      <formula>1</formula>
      <formula>4</formula>
    </cfRule>
  </conditionalFormatting>
  <conditionalFormatting sqref="I106:N106">
    <cfRule type="dataBar" priority="9">
      <dataBar>
        <cfvo type="min"/>
        <cfvo type="num" val="4"/>
        <color rgb="FFFFC000"/>
      </dataBar>
      <extLst>
        <ext xmlns:x14="http://schemas.microsoft.com/office/spreadsheetml/2009/9/main" uri="{B025F937-C7B1-47D3-B67F-A62EFF666E3E}">
          <x14:id>{96721975-CDD2-4502-AB05-8F23B05BF476}</x14:id>
        </ext>
      </extLst>
    </cfRule>
  </conditionalFormatting>
  <conditionalFormatting sqref="I106:N111">
    <cfRule type="cellIs" dxfId="105" priority="8" stopIfTrue="1" operator="notBetween">
      <formula>1</formula>
      <formula>4</formula>
    </cfRule>
  </conditionalFormatting>
  <conditionalFormatting sqref="I107:N111">
    <cfRule type="dataBar" priority="68">
      <dataBar>
        <cfvo type="min"/>
        <cfvo type="num" val="4"/>
        <color rgb="FFFFC000"/>
      </dataBar>
      <extLst>
        <ext xmlns:x14="http://schemas.microsoft.com/office/spreadsheetml/2009/9/main" uri="{B025F937-C7B1-47D3-B67F-A62EFF666E3E}">
          <x14:id>{63AF278D-6551-4FB1-B290-744D45B9329C}</x14:id>
        </ext>
      </extLst>
    </cfRule>
  </conditionalFormatting>
  <conditionalFormatting sqref="I66:O71">
    <cfRule type="containsBlanks" dxfId="104" priority="48">
      <formula>LEN(TRIM(I66))=0</formula>
    </cfRule>
  </conditionalFormatting>
  <conditionalFormatting sqref="I74:O81 I88:O93 I83 K83:O83 I84:O85 J86:O86 G6:L13 G15:L22 G24:L32 G37:L44 G46:L53 G55:L62 O86:O87">
    <cfRule type="containsBlanks" dxfId="103" priority="54">
      <formula>LEN(TRIM(G6))=0</formula>
    </cfRule>
  </conditionalFormatting>
  <conditionalFormatting sqref="I82:O82">
    <cfRule type="containsBlanks" dxfId="102" priority="22">
      <formula>LEN(TRIM(I82))=0</formula>
    </cfRule>
  </conditionalFormatting>
  <conditionalFormatting sqref="I94:O95">
    <cfRule type="containsBlanks" dxfId="101" priority="13">
      <formula>LEN(TRIM(I94))=0</formula>
    </cfRule>
  </conditionalFormatting>
  <conditionalFormatting sqref="I98:O98">
    <cfRule type="containsBlanks" dxfId="100" priority="10">
      <formula>LEN(TRIM(I98))=0</formula>
    </cfRule>
  </conditionalFormatting>
  <conditionalFormatting sqref="I99:O105">
    <cfRule type="containsBlanks" dxfId="99" priority="61">
      <formula>LEN(TRIM(I99))=0</formula>
    </cfRule>
  </conditionalFormatting>
  <conditionalFormatting sqref="I106:O111">
    <cfRule type="containsBlanks" dxfId="98" priority="7">
      <formula>LEN(TRIM(I106))=0</formula>
    </cfRule>
  </conditionalFormatting>
  <conditionalFormatting sqref="J83">
    <cfRule type="containsBlanks" dxfId="97" priority="4">
      <formula>LEN(TRIM(J83))=0</formula>
    </cfRule>
    <cfRule type="dataBar" priority="6">
      <dataBar>
        <cfvo type="min"/>
        <cfvo type="num" val="4"/>
        <color rgb="FFFFC000"/>
      </dataBar>
      <extLst>
        <ext xmlns:x14="http://schemas.microsoft.com/office/spreadsheetml/2009/9/main" uri="{B025F937-C7B1-47D3-B67F-A62EFF666E3E}">
          <x14:id>{14B3B793-97DA-44DC-AA59-3D827B7767A8}</x14:id>
        </ext>
      </extLst>
    </cfRule>
  </conditionalFormatting>
  <conditionalFormatting sqref="L6:L13 L15:L22 L24:L32">
    <cfRule type="dataBar" priority="65">
      <dataBar>
        <cfvo type="min"/>
        <cfvo type="max"/>
        <color rgb="FF3FCDFF"/>
      </dataBar>
      <extLst>
        <ext xmlns:x14="http://schemas.microsoft.com/office/spreadsheetml/2009/9/main" uri="{B025F937-C7B1-47D3-B67F-A62EFF666E3E}">
          <x14:id>{F1D4216C-C9FF-4C0F-BA74-EC395E595ED5}</x14:id>
        </ext>
      </extLst>
    </cfRule>
  </conditionalFormatting>
  <conditionalFormatting sqref="L37:L44 L46:L53 L55:L62">
    <cfRule type="dataBar" priority="55">
      <dataBar>
        <cfvo type="min"/>
        <cfvo type="max"/>
        <color rgb="FF3FCDFF"/>
      </dataBar>
      <extLst>
        <ext xmlns:x14="http://schemas.microsoft.com/office/spreadsheetml/2009/9/main" uri="{B025F937-C7B1-47D3-B67F-A62EFF666E3E}">
          <x14:id>{456EBB81-E99B-46FC-9949-767AFA9F3E04}</x14:id>
        </ext>
      </extLst>
    </cfRule>
  </conditionalFormatting>
  <conditionalFormatting sqref="M6:M13 M15:M22 M24:M32 P74:P95 P98:P111">
    <cfRule type="containsText" dxfId="96" priority="62" operator="containsText" text="Actual TC">
      <formula>NOT(ISERROR(SEARCH("Actual TC",M6)))</formula>
    </cfRule>
  </conditionalFormatting>
  <conditionalFormatting sqref="M37:M44">
    <cfRule type="containsText" dxfId="95" priority="57" operator="containsText" text="Actual TC">
      <formula>NOT(ISERROR(SEARCH("Actual TC",M37)))</formula>
    </cfRule>
  </conditionalFormatting>
  <conditionalFormatting sqref="M46:M53">
    <cfRule type="containsText" dxfId="94" priority="26" operator="containsText" text="Actual TC">
      <formula>NOT(ISERROR(SEARCH("Actual TC",M46)))</formula>
    </cfRule>
  </conditionalFormatting>
  <conditionalFormatting sqref="M55:M62">
    <cfRule type="containsText" dxfId="93" priority="25" operator="containsText" text="Actual TC">
      <formula>NOT(ISERROR(SEARCH("Actual TC",M55)))</formula>
    </cfRule>
  </conditionalFormatting>
  <conditionalFormatting sqref="O66:O71">
    <cfRule type="dataBar" priority="49">
      <dataBar>
        <cfvo type="min"/>
        <cfvo type="max"/>
        <color rgb="FF3FCDFF"/>
      </dataBar>
      <extLst>
        <ext xmlns:x14="http://schemas.microsoft.com/office/spreadsheetml/2009/9/main" uri="{B025F937-C7B1-47D3-B67F-A62EFF666E3E}">
          <x14:id>{E76B985C-F8AB-4C78-A7B7-935AA2595120}</x14:id>
        </ext>
      </extLst>
    </cfRule>
  </conditionalFormatting>
  <conditionalFormatting sqref="O98:O111 O74:O95">
    <cfRule type="dataBar" priority="7062">
      <dataBar>
        <cfvo type="min"/>
        <cfvo type="max"/>
        <color rgb="FF3FCDFF"/>
      </dataBar>
      <extLst>
        <ext xmlns:x14="http://schemas.microsoft.com/office/spreadsheetml/2009/9/main" uri="{B025F937-C7B1-47D3-B67F-A62EFF666E3E}">
          <x14:id>{CD7F0C31-ED61-44FF-B686-52F2EDCD8991}</x14:id>
        </ext>
      </extLst>
    </cfRule>
  </conditionalFormatting>
  <conditionalFormatting sqref="P66:P71">
    <cfRule type="containsText" dxfId="92" priority="51" operator="containsText" text="Actual TC">
      <formula>NOT(ISERROR(SEARCH("Actual TC",P66)))</formula>
    </cfRule>
  </conditionalFormatting>
  <hyperlinks>
    <hyperlink ref="H78" r:id="rId1" display="https://doi.org/10.1016/j.resconrec.2023.107389" xr:uid="{EBB46BC3-E32D-4856-87C0-507F496CDDCA}"/>
    <hyperlink ref="H80" r:id="rId2" display="https://doi.org/10.1016/j.resconrec.2023.107389" xr:uid="{7724DFB2-8084-4E36-B02A-550522E673EA}"/>
    <hyperlink ref="H81" r:id="rId3" display="https://doi.org/10.1016/j.resconrec.2023.107389" xr:uid="{44FC5FA4-6753-4640-ACAB-E79234432100}"/>
    <hyperlink ref="H79" r:id="rId4" display="https://doi.org/10.1016/j.resconrec.2023.107389" xr:uid="{9722A920-0406-4E92-AF66-8F6C41D0F478}"/>
  </hyperlinks>
  <pageMargins left="0.7" right="0.7" top="0.75" bottom="0.75" header="0.3" footer="0.3"/>
  <pageSetup orientation="portrait" r:id="rId5"/>
  <extLst>
    <ext xmlns:x14="http://schemas.microsoft.com/office/spreadsheetml/2009/9/main" uri="{78C0D931-6437-407d-A8EE-F0AAD7539E65}">
      <x14:conditionalFormattings>
        <x14:conditionalFormatting xmlns:xm="http://schemas.microsoft.com/office/excel/2006/main">
          <x14:cfRule type="dataBar" id="{DCB540DE-36C9-4332-BAD4-CAB1F9DBAEDD}">
            <x14:dataBar minLength="0" maxLength="100" gradient="0">
              <x14:cfvo type="autoMin"/>
              <x14:cfvo type="num">
                <xm:f>4</xm:f>
              </x14:cfvo>
              <x14:negativeFillColor rgb="FFFF0000"/>
              <x14:axisColor rgb="FF000000"/>
            </x14:dataBar>
          </x14:cfRule>
          <xm:sqref>G6:K13 G15:K22 G24:K32</xm:sqref>
        </x14:conditionalFormatting>
        <x14:conditionalFormatting xmlns:xm="http://schemas.microsoft.com/office/excel/2006/main">
          <x14:cfRule type="dataBar" id="{ADB92FAB-58BB-4A44-BD27-F6CCA440A7CD}">
            <x14:dataBar minLength="0" maxLength="100" gradient="0">
              <x14:cfvo type="autoMin"/>
              <x14:cfvo type="num">
                <xm:f>4</xm:f>
              </x14:cfvo>
              <x14:negativeFillColor rgb="FFFF0000"/>
              <x14:axisColor rgb="FF000000"/>
            </x14:dataBar>
          </x14:cfRule>
          <xm:sqref>G37:K44 G46:K53 G55:K62</xm:sqref>
        </x14:conditionalFormatting>
        <x14:conditionalFormatting xmlns:xm="http://schemas.microsoft.com/office/excel/2006/main">
          <x14:cfRule type="dataBar" id="{30155963-B8E7-438D-B598-5CEE74DA6116}">
            <x14:dataBar minLength="0" maxLength="100" gradient="0">
              <x14:cfvo type="autoMin"/>
              <x14:cfvo type="num">
                <xm:f>4</xm:f>
              </x14:cfvo>
              <x14:negativeFillColor rgb="FFFF0000"/>
              <x14:axisColor rgb="FF000000"/>
            </x14:dataBar>
          </x14:cfRule>
          <xm:sqref>I86</xm:sqref>
        </x14:conditionalFormatting>
        <x14:conditionalFormatting xmlns:xm="http://schemas.microsoft.com/office/excel/2006/main">
          <x14:cfRule type="dataBar" id="{56B0826E-DB05-4F46-9EA0-83C8C7A7759C}">
            <x14:dataBar minLength="0" maxLength="100" gradient="0">
              <x14:cfvo type="autoMin"/>
              <x14:cfvo type="num">
                <xm:f>4</xm:f>
              </x14:cfvo>
              <x14:negativeFillColor rgb="FFFF0000"/>
              <x14:axisColor rgb="FF000000"/>
            </x14:dataBar>
          </x14:cfRule>
          <xm:sqref>I66:N71</xm:sqref>
        </x14:conditionalFormatting>
        <x14:conditionalFormatting xmlns:xm="http://schemas.microsoft.com/office/excel/2006/main">
          <x14:cfRule type="dataBar" id="{152975D8-AA7B-48FF-96C8-A3635D86F63F}">
            <x14:dataBar minLength="0" maxLength="100" gradient="0">
              <x14:cfvo type="autoMin"/>
              <x14:cfvo type="num">
                <xm:f>4</xm:f>
              </x14:cfvo>
              <x14:negativeFillColor rgb="FFFF0000"/>
              <x14:axisColor rgb="FF000000"/>
            </x14:dataBar>
          </x14:cfRule>
          <xm:sqref>I74:N81 I84:N85 I88:N89 I83 K83:N83 J86:N86</xm:sqref>
        </x14:conditionalFormatting>
        <x14:conditionalFormatting xmlns:xm="http://schemas.microsoft.com/office/excel/2006/main">
          <x14:cfRule type="dataBar" id="{CD33A977-1C24-4834-9920-1C263E4A3C54}">
            <x14:dataBar minLength="0" maxLength="100" gradient="0">
              <x14:cfvo type="autoMin"/>
              <x14:cfvo type="num">
                <xm:f>4</xm:f>
              </x14:cfvo>
              <x14:negativeFillColor rgb="FFFF0000"/>
              <x14:axisColor rgb="FF000000"/>
            </x14:dataBar>
          </x14:cfRule>
          <xm:sqref>I82:N82</xm:sqref>
        </x14:conditionalFormatting>
        <x14:conditionalFormatting xmlns:xm="http://schemas.microsoft.com/office/excel/2006/main">
          <x14:cfRule type="dataBar" id="{9612EF93-58C4-4663-9A0C-7E810B1E0D57}">
            <x14:dataBar minLength="0" maxLength="100" gradient="0">
              <x14:cfvo type="autoMin"/>
              <x14:cfvo type="num">
                <xm:f>4</xm:f>
              </x14:cfvo>
              <x14:negativeFillColor rgb="FFFF0000"/>
              <x14:axisColor rgb="FF000000"/>
            </x14:dataBar>
          </x14:cfRule>
          <xm:sqref>I87:N87</xm:sqref>
        </x14:conditionalFormatting>
        <x14:conditionalFormatting xmlns:xm="http://schemas.microsoft.com/office/excel/2006/main">
          <x14:cfRule type="dataBar" id="{6B8C1DD6-10C5-4D14-8A53-7C18EAC20BAD}">
            <x14:dataBar minLength="0" maxLength="100" gradient="0">
              <x14:cfvo type="autoMin"/>
              <x14:cfvo type="num">
                <xm:f>4</xm:f>
              </x14:cfvo>
              <x14:negativeFillColor rgb="FFFF0000"/>
              <x14:axisColor rgb="FF000000"/>
            </x14:dataBar>
          </x14:cfRule>
          <xm:sqref>I90:N90 I92:N92 I99:N105</xm:sqref>
        </x14:conditionalFormatting>
        <x14:conditionalFormatting xmlns:xm="http://schemas.microsoft.com/office/excel/2006/main">
          <x14:cfRule type="dataBar" id="{711D344D-A5F7-440B-AF92-3C409F3D22EA}">
            <x14:dataBar minLength="0" maxLength="100" gradient="0">
              <x14:cfvo type="autoMin"/>
              <x14:cfvo type="num">
                <xm:f>4</xm:f>
              </x14:cfvo>
              <x14:negativeFillColor rgb="FFFF0000"/>
              <x14:axisColor rgb="FF000000"/>
            </x14:dataBar>
          </x14:cfRule>
          <xm:sqref>I91:N91</xm:sqref>
        </x14:conditionalFormatting>
        <x14:conditionalFormatting xmlns:xm="http://schemas.microsoft.com/office/excel/2006/main">
          <x14:cfRule type="dataBar" id="{27A81EB9-B538-4A61-9CAF-D128D989E8C2}">
            <x14:dataBar minLength="0" maxLength="100" gradient="0">
              <x14:cfvo type="autoMin"/>
              <x14:cfvo type="num">
                <xm:f>4</xm:f>
              </x14:cfvo>
              <x14:negativeFillColor rgb="FFFF0000"/>
              <x14:axisColor rgb="FF000000"/>
            </x14:dataBar>
          </x14:cfRule>
          <xm:sqref>I93:N93</xm:sqref>
        </x14:conditionalFormatting>
        <x14:conditionalFormatting xmlns:xm="http://schemas.microsoft.com/office/excel/2006/main">
          <x14:cfRule type="dataBar" id="{C9F98A99-3F58-482A-88AB-05F7BEBC7614}">
            <x14:dataBar minLength="0" maxLength="100" gradient="0">
              <x14:cfvo type="autoMin"/>
              <x14:cfvo type="num">
                <xm:f>4</xm:f>
              </x14:cfvo>
              <x14:negativeFillColor rgb="FFFF0000"/>
              <x14:axisColor rgb="FF000000"/>
            </x14:dataBar>
          </x14:cfRule>
          <xm:sqref>I94:N94</xm:sqref>
        </x14:conditionalFormatting>
        <x14:conditionalFormatting xmlns:xm="http://schemas.microsoft.com/office/excel/2006/main">
          <x14:cfRule type="dataBar" id="{E41DE07D-63BC-42CE-9DC5-C4AADB3EDE1F}">
            <x14:dataBar minLength="0" maxLength="100" gradient="0">
              <x14:cfvo type="autoMin"/>
              <x14:cfvo type="num">
                <xm:f>4</xm:f>
              </x14:cfvo>
              <x14:negativeFillColor rgb="FFFF0000"/>
              <x14:axisColor rgb="FF000000"/>
            </x14:dataBar>
          </x14:cfRule>
          <xm:sqref>I95:N95</xm:sqref>
        </x14:conditionalFormatting>
        <x14:conditionalFormatting xmlns:xm="http://schemas.microsoft.com/office/excel/2006/main">
          <x14:cfRule type="dataBar" id="{F11D9087-F61B-44AB-A8AC-79DAA6843418}">
            <x14:dataBar minLength="0" maxLength="100" gradient="0">
              <x14:cfvo type="autoMin"/>
              <x14:cfvo type="num">
                <xm:f>4</xm:f>
              </x14:cfvo>
              <x14:negativeFillColor rgb="FFFF0000"/>
              <x14:axisColor rgb="FF000000"/>
            </x14:dataBar>
          </x14:cfRule>
          <xm:sqref>I98:N98</xm:sqref>
        </x14:conditionalFormatting>
        <x14:conditionalFormatting xmlns:xm="http://schemas.microsoft.com/office/excel/2006/main">
          <x14:cfRule type="dataBar" id="{96721975-CDD2-4502-AB05-8F23B05BF476}">
            <x14:dataBar minLength="0" maxLength="100" gradient="0">
              <x14:cfvo type="autoMin"/>
              <x14:cfvo type="num">
                <xm:f>4</xm:f>
              </x14:cfvo>
              <x14:negativeFillColor rgb="FFFF0000"/>
              <x14:axisColor rgb="FF000000"/>
            </x14:dataBar>
          </x14:cfRule>
          <xm:sqref>I106:N106</xm:sqref>
        </x14:conditionalFormatting>
        <x14:conditionalFormatting xmlns:xm="http://schemas.microsoft.com/office/excel/2006/main">
          <x14:cfRule type="dataBar" id="{63AF278D-6551-4FB1-B290-744D45B9329C}">
            <x14:dataBar minLength="0" maxLength="100" gradient="0">
              <x14:cfvo type="autoMin"/>
              <x14:cfvo type="num">
                <xm:f>4</xm:f>
              </x14:cfvo>
              <x14:negativeFillColor rgb="FFFF0000"/>
              <x14:axisColor rgb="FF000000"/>
            </x14:dataBar>
          </x14:cfRule>
          <xm:sqref>I107:N111</xm:sqref>
        </x14:conditionalFormatting>
        <x14:conditionalFormatting xmlns:xm="http://schemas.microsoft.com/office/excel/2006/main">
          <x14:cfRule type="dataBar" id="{14B3B793-97DA-44DC-AA59-3D827B7767A8}">
            <x14:dataBar minLength="0" maxLength="100" gradient="0">
              <x14:cfvo type="autoMin"/>
              <x14:cfvo type="num">
                <xm:f>4</xm:f>
              </x14:cfvo>
              <x14:negativeFillColor rgb="FFFF0000"/>
              <x14:axisColor rgb="FF000000"/>
            </x14:dataBar>
          </x14:cfRule>
          <xm:sqref>J83</xm:sqref>
        </x14:conditionalFormatting>
        <x14:conditionalFormatting xmlns:xm="http://schemas.microsoft.com/office/excel/2006/main">
          <x14:cfRule type="dataBar" id="{F1D4216C-C9FF-4C0F-BA74-EC395E595ED5}">
            <x14:dataBar minLength="0" maxLength="100" gradient="0">
              <x14:cfvo type="autoMin"/>
              <x14:cfvo type="autoMax"/>
              <x14:negativeFillColor rgb="FFFF0000"/>
              <x14:axisColor rgb="FF000000"/>
            </x14:dataBar>
          </x14:cfRule>
          <xm:sqref>L6:L13 L15:L22 L24:L32</xm:sqref>
        </x14:conditionalFormatting>
        <x14:conditionalFormatting xmlns:xm="http://schemas.microsoft.com/office/excel/2006/main">
          <x14:cfRule type="dataBar" id="{456EBB81-E99B-46FC-9949-767AFA9F3E04}">
            <x14:dataBar minLength="0" maxLength="100" gradient="0">
              <x14:cfvo type="autoMin"/>
              <x14:cfvo type="autoMax"/>
              <x14:negativeFillColor rgb="FFFF0000"/>
              <x14:axisColor rgb="FF000000"/>
            </x14:dataBar>
          </x14:cfRule>
          <xm:sqref>L37:L44 L46:L53 L55:L62</xm:sqref>
        </x14:conditionalFormatting>
        <x14:conditionalFormatting xmlns:xm="http://schemas.microsoft.com/office/excel/2006/main">
          <x14:cfRule type="dataBar" id="{E76B985C-F8AB-4C78-A7B7-935AA2595120}">
            <x14:dataBar minLength="0" maxLength="100" gradient="0">
              <x14:cfvo type="autoMin"/>
              <x14:cfvo type="autoMax"/>
              <x14:negativeFillColor rgb="FFFF0000"/>
              <x14:axisColor rgb="FF000000"/>
            </x14:dataBar>
          </x14:cfRule>
          <xm:sqref>O66:O71</xm:sqref>
        </x14:conditionalFormatting>
        <x14:conditionalFormatting xmlns:xm="http://schemas.microsoft.com/office/excel/2006/main">
          <x14:cfRule type="dataBar" id="{CD7F0C31-ED61-44FF-B686-52F2EDCD8991}">
            <x14:dataBar minLength="0" maxLength="100" gradient="0">
              <x14:cfvo type="autoMin"/>
              <x14:cfvo type="autoMax"/>
              <x14:negativeFillColor rgb="FFFF0000"/>
              <x14:axisColor rgb="FF000000"/>
            </x14:dataBar>
          </x14:cfRule>
          <xm:sqref>O98:O111 O74:O95</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38EDF-3B93-4267-BDF4-561D15195B80}">
  <sheetPr>
    <tabColor theme="8"/>
  </sheetPr>
  <dimension ref="A1:AGJ323"/>
  <sheetViews>
    <sheetView topLeftCell="A302" zoomScale="85" zoomScaleNormal="85" workbookViewId="0">
      <selection activeCell="A319" sqref="A319"/>
    </sheetView>
  </sheetViews>
  <sheetFormatPr defaultRowHeight="15"/>
  <cols>
    <col min="1" max="1" width="55.7109375" customWidth="1"/>
    <col min="2" max="2" width="45.28515625" customWidth="1"/>
    <col min="3" max="5" width="15.7109375" customWidth="1"/>
    <col min="6" max="6" width="10.7109375" style="6" customWidth="1"/>
    <col min="7" max="7" width="25.7109375" customWidth="1"/>
    <col min="8" max="15" width="10.7109375" hidden="1" customWidth="1"/>
    <col min="16" max="16" width="171.7109375" customWidth="1"/>
    <col min="18" max="18" width="14.140625" bestFit="1" customWidth="1"/>
  </cols>
  <sheetData>
    <row r="1" spans="1:19" s="6" customFormat="1" ht="30" customHeight="1">
      <c r="A1" s="966" t="s">
        <v>912</v>
      </c>
      <c r="B1" s="966"/>
      <c r="C1" s="966"/>
      <c r="D1" s="966"/>
      <c r="E1" s="966"/>
      <c r="F1" s="966"/>
      <c r="G1" s="966"/>
      <c r="H1" s="966"/>
      <c r="I1" s="966"/>
      <c r="J1" s="966"/>
      <c r="K1" s="966"/>
      <c r="L1" s="966"/>
      <c r="M1" s="966"/>
      <c r="N1" s="966"/>
      <c r="O1" s="966"/>
      <c r="P1" s="966"/>
      <c r="Q1" s="966"/>
      <c r="R1" s="966"/>
      <c r="S1" s="966"/>
    </row>
    <row r="2" spans="1:19">
      <c r="A2" s="321" t="s">
        <v>913</v>
      </c>
      <c r="B2" s="321" t="s">
        <v>139</v>
      </c>
      <c r="C2" s="321" t="s">
        <v>109</v>
      </c>
      <c r="D2" s="321" t="s">
        <v>914</v>
      </c>
      <c r="E2" s="987" t="s">
        <v>112</v>
      </c>
      <c r="F2" s="988"/>
      <c r="G2" s="988"/>
      <c r="H2" s="988"/>
      <c r="I2" s="988"/>
      <c r="J2" s="988"/>
      <c r="K2" s="988"/>
      <c r="L2" s="988"/>
      <c r="M2" s="988"/>
      <c r="N2" s="988"/>
      <c r="O2" s="988"/>
    </row>
    <row r="3" spans="1:19">
      <c r="A3" s="117" t="s">
        <v>915</v>
      </c>
      <c r="B3" s="117" t="s">
        <v>188</v>
      </c>
      <c r="C3" s="117">
        <v>2014</v>
      </c>
      <c r="D3" s="320">
        <v>161.19999999999999</v>
      </c>
      <c r="E3" s="963" t="s">
        <v>916</v>
      </c>
      <c r="F3" s="963"/>
      <c r="G3" s="963"/>
      <c r="H3" s="964" t="s">
        <v>917</v>
      </c>
      <c r="I3" s="964"/>
      <c r="J3" s="964"/>
      <c r="K3" s="964"/>
      <c r="L3" s="964"/>
      <c r="M3" s="964"/>
      <c r="N3" s="964"/>
      <c r="O3" s="964"/>
    </row>
    <row r="4" spans="1:19">
      <c r="A4" s="117" t="s">
        <v>915</v>
      </c>
      <c r="B4" s="117" t="s">
        <v>188</v>
      </c>
      <c r="C4" s="117">
        <v>2015</v>
      </c>
      <c r="D4" s="320">
        <v>138.19999999999999</v>
      </c>
      <c r="E4" s="963" t="s">
        <v>918</v>
      </c>
      <c r="F4" s="963"/>
      <c r="G4" s="963"/>
      <c r="H4" s="965" t="s">
        <v>919</v>
      </c>
      <c r="I4" s="965"/>
      <c r="J4" s="965"/>
      <c r="K4" s="965"/>
      <c r="L4" s="965"/>
      <c r="M4" s="965"/>
      <c r="N4" s="965"/>
      <c r="O4" s="965"/>
    </row>
    <row r="5" spans="1:19">
      <c r="A5" s="117" t="s">
        <v>915</v>
      </c>
      <c r="B5" s="117" t="s">
        <v>188</v>
      </c>
      <c r="C5" s="117">
        <v>2016</v>
      </c>
      <c r="D5" s="117">
        <v>110</v>
      </c>
      <c r="E5" s="963" t="s">
        <v>918</v>
      </c>
      <c r="F5" s="963"/>
      <c r="G5" s="963"/>
      <c r="H5" s="965" t="s">
        <v>919</v>
      </c>
      <c r="I5" s="965"/>
      <c r="J5" s="965"/>
      <c r="K5" s="965"/>
      <c r="L5" s="965"/>
      <c r="M5" s="965"/>
      <c r="N5" s="965"/>
      <c r="O5" s="965"/>
    </row>
    <row r="6" spans="1:19">
      <c r="A6" s="117" t="s">
        <v>915</v>
      </c>
      <c r="B6" s="117" t="s">
        <v>188</v>
      </c>
      <c r="C6" s="117">
        <v>2017</v>
      </c>
      <c r="D6" s="117">
        <v>109.1</v>
      </c>
      <c r="E6" s="963" t="s">
        <v>920</v>
      </c>
      <c r="F6" s="963"/>
      <c r="G6" s="963"/>
      <c r="H6" s="965" t="s">
        <v>921</v>
      </c>
      <c r="I6" s="965"/>
      <c r="J6" s="965"/>
      <c r="K6" s="965"/>
      <c r="L6" s="965"/>
      <c r="M6" s="965"/>
      <c r="N6" s="965"/>
      <c r="O6" s="965"/>
    </row>
    <row r="7" spans="1:19">
      <c r="A7" s="117" t="s">
        <v>915</v>
      </c>
      <c r="B7" s="117" t="s">
        <v>188</v>
      </c>
      <c r="C7" s="117">
        <v>2018</v>
      </c>
      <c r="D7" s="117">
        <v>108.2</v>
      </c>
      <c r="E7" s="963" t="s">
        <v>920</v>
      </c>
      <c r="F7" s="963"/>
      <c r="G7" s="963"/>
      <c r="H7" s="965" t="s">
        <v>921</v>
      </c>
      <c r="I7" s="965"/>
      <c r="J7" s="965"/>
      <c r="K7" s="965"/>
      <c r="L7" s="965"/>
      <c r="M7" s="965"/>
      <c r="N7" s="965"/>
      <c r="O7" s="965"/>
    </row>
    <row r="8" spans="1:19">
      <c r="A8" s="117" t="s">
        <v>915</v>
      </c>
      <c r="B8" s="117" t="s">
        <v>188</v>
      </c>
      <c r="C8" s="117">
        <v>2019</v>
      </c>
      <c r="D8" s="117">
        <v>106.1</v>
      </c>
      <c r="E8" s="963" t="s">
        <v>922</v>
      </c>
      <c r="F8" s="963"/>
      <c r="G8" s="963"/>
      <c r="H8" s="965" t="s">
        <v>923</v>
      </c>
      <c r="I8" s="965"/>
      <c r="J8" s="965"/>
      <c r="K8" s="965"/>
      <c r="L8" s="965"/>
      <c r="M8" s="965"/>
      <c r="N8" s="965"/>
      <c r="O8" s="965"/>
    </row>
    <row r="9" spans="1:19">
      <c r="A9" s="117" t="s">
        <v>915</v>
      </c>
      <c r="B9" s="117" t="s">
        <v>188</v>
      </c>
      <c r="C9" s="117">
        <v>2020</v>
      </c>
      <c r="D9" s="320">
        <v>112</v>
      </c>
      <c r="E9" s="963" t="s">
        <v>924</v>
      </c>
      <c r="F9" s="963"/>
      <c r="G9" s="963"/>
      <c r="H9" s="965" t="s">
        <v>925</v>
      </c>
      <c r="I9" s="965"/>
      <c r="J9" s="965"/>
      <c r="K9" s="965"/>
      <c r="L9" s="965"/>
      <c r="M9" s="965"/>
      <c r="N9" s="965"/>
      <c r="O9" s="965"/>
    </row>
    <row r="10" spans="1:19">
      <c r="A10" s="117" t="s">
        <v>915</v>
      </c>
      <c r="B10" s="117" t="s">
        <v>188</v>
      </c>
      <c r="C10" s="117">
        <v>2021</v>
      </c>
      <c r="D10" s="117">
        <v>109.5</v>
      </c>
      <c r="E10" s="963" t="s">
        <v>924</v>
      </c>
      <c r="F10" s="963"/>
      <c r="G10" s="963"/>
      <c r="H10" s="965" t="s">
        <v>925</v>
      </c>
      <c r="I10" s="965"/>
      <c r="J10" s="965"/>
      <c r="K10" s="965"/>
      <c r="L10" s="965"/>
      <c r="M10" s="965"/>
      <c r="N10" s="965"/>
      <c r="O10" s="965"/>
    </row>
    <row r="11" spans="1:19">
      <c r="A11" s="117" t="s">
        <v>915</v>
      </c>
      <c r="B11" s="117" t="s">
        <v>188</v>
      </c>
      <c r="C11" s="117">
        <v>2022</v>
      </c>
      <c r="D11" s="117">
        <v>98.2</v>
      </c>
      <c r="E11" s="963" t="s">
        <v>924</v>
      </c>
      <c r="F11" s="963"/>
      <c r="G11" s="963"/>
      <c r="H11" s="965" t="s">
        <v>925</v>
      </c>
      <c r="I11" s="965"/>
      <c r="J11" s="965"/>
      <c r="K11" s="965"/>
      <c r="L11" s="965"/>
      <c r="M11" s="965"/>
      <c r="N11" s="965"/>
      <c r="O11" s="965"/>
    </row>
    <row r="12" spans="1:19">
      <c r="G12" s="342">
        <v>2015</v>
      </c>
      <c r="H12" s="342">
        <v>2016</v>
      </c>
      <c r="I12" s="342">
        <v>2017</v>
      </c>
      <c r="J12" s="342">
        <v>2018</v>
      </c>
      <c r="K12" s="342">
        <v>2019</v>
      </c>
      <c r="L12" s="342">
        <v>2020</v>
      </c>
      <c r="M12" s="342">
        <v>2021</v>
      </c>
      <c r="N12" s="342">
        <v>2022</v>
      </c>
    </row>
    <row r="13" spans="1:19" s="76" customFormat="1" ht="45" customHeight="1">
      <c r="A13" s="182" t="s">
        <v>137</v>
      </c>
      <c r="B13" s="182" t="s">
        <v>138</v>
      </c>
      <c r="C13" s="182" t="s">
        <v>926</v>
      </c>
      <c r="D13" s="978" t="s">
        <v>112</v>
      </c>
      <c r="E13" s="978"/>
      <c r="F13" s="182" t="s">
        <v>927</v>
      </c>
      <c r="G13" s="639" t="s">
        <v>914</v>
      </c>
      <c r="H13" s="639" t="s">
        <v>914</v>
      </c>
      <c r="I13" s="639" t="s">
        <v>914</v>
      </c>
      <c r="J13" s="639" t="s">
        <v>914</v>
      </c>
      <c r="K13" s="639" t="s">
        <v>914</v>
      </c>
      <c r="L13" s="639" t="s">
        <v>914</v>
      </c>
      <c r="M13" s="639" t="s">
        <v>914</v>
      </c>
      <c r="N13" s="639" t="s">
        <v>914</v>
      </c>
    </row>
    <row r="14" spans="1:19">
      <c r="A14" s="227" t="s">
        <v>915</v>
      </c>
      <c r="B14" s="227" t="s">
        <v>928</v>
      </c>
      <c r="C14" s="315">
        <v>0.48</v>
      </c>
      <c r="D14" s="976" t="s">
        <v>929</v>
      </c>
      <c r="E14" s="977"/>
      <c r="F14" s="117" t="s">
        <v>930</v>
      </c>
      <c r="G14" s="320">
        <f>$D$4*$C14</f>
        <v>66.335999999999999</v>
      </c>
      <c r="H14" s="320">
        <f>$D$5*$C14</f>
        <v>52.8</v>
      </c>
      <c r="I14" s="320">
        <f>$D$6*$C14</f>
        <v>52.367999999999995</v>
      </c>
      <c r="J14" s="320">
        <f>$D$7*$C14</f>
        <v>51.936</v>
      </c>
      <c r="K14" s="320">
        <f>$D$8*$C14</f>
        <v>50.927999999999997</v>
      </c>
      <c r="L14" s="320">
        <f>$D$9*$C14</f>
        <v>53.76</v>
      </c>
      <c r="M14" s="320">
        <f>$D$10*$C14</f>
        <v>52.559999999999995</v>
      </c>
      <c r="N14" s="320">
        <f>$D$11*$C14</f>
        <v>47.136000000000003</v>
      </c>
    </row>
    <row r="15" spans="1:19">
      <c r="A15" s="227" t="s">
        <v>915</v>
      </c>
      <c r="B15" s="227" t="s">
        <v>931</v>
      </c>
      <c r="C15" s="315">
        <v>0.24</v>
      </c>
      <c r="D15" s="976" t="s">
        <v>929</v>
      </c>
      <c r="E15" s="977"/>
      <c r="F15" s="117" t="s">
        <v>930</v>
      </c>
      <c r="G15" s="320">
        <f t="shared" ref="G15:G19" si="0">$D$4*$C15</f>
        <v>33.167999999999999</v>
      </c>
      <c r="H15" s="320">
        <f t="shared" ref="H15:H19" si="1">$D$5*$C15</f>
        <v>26.4</v>
      </c>
      <c r="I15" s="320">
        <f t="shared" ref="I15:I19" si="2">$D$6*$C15</f>
        <v>26.183999999999997</v>
      </c>
      <c r="J15" s="320">
        <f t="shared" ref="J15:J19" si="3">$D$7*$C15</f>
        <v>25.968</v>
      </c>
      <c r="K15" s="320">
        <f t="shared" ref="K15:K19" si="4">$D$8*$C15</f>
        <v>25.463999999999999</v>
      </c>
      <c r="L15" s="320">
        <f t="shared" ref="L15:L19" si="5">$D$9*$C15</f>
        <v>26.88</v>
      </c>
      <c r="M15" s="320">
        <f t="shared" ref="M15:M19" si="6">$D$10*$C15</f>
        <v>26.279999999999998</v>
      </c>
      <c r="N15" s="320">
        <f t="shared" ref="N15:N19" si="7">$D$11*$C15</f>
        <v>23.568000000000001</v>
      </c>
    </row>
    <row r="16" spans="1:19">
      <c r="A16" s="227" t="s">
        <v>915</v>
      </c>
      <c r="B16" s="227" t="s">
        <v>932</v>
      </c>
      <c r="C16" s="315">
        <v>0.09</v>
      </c>
      <c r="D16" s="976" t="s">
        <v>929</v>
      </c>
      <c r="E16" s="977"/>
      <c r="F16" s="117" t="s">
        <v>930</v>
      </c>
      <c r="G16" s="320">
        <f t="shared" si="0"/>
        <v>12.437999999999999</v>
      </c>
      <c r="H16" s="320">
        <f t="shared" si="1"/>
        <v>9.9</v>
      </c>
      <c r="I16" s="320">
        <f t="shared" si="2"/>
        <v>9.8189999999999991</v>
      </c>
      <c r="J16" s="320">
        <f t="shared" si="3"/>
        <v>9.7379999999999995</v>
      </c>
      <c r="K16" s="320">
        <f t="shared" si="4"/>
        <v>9.5489999999999995</v>
      </c>
      <c r="L16" s="320">
        <f t="shared" si="5"/>
        <v>10.08</v>
      </c>
      <c r="M16" s="320">
        <f t="shared" si="6"/>
        <v>9.8550000000000004</v>
      </c>
      <c r="N16" s="320">
        <f t="shared" si="7"/>
        <v>8.8379999999999992</v>
      </c>
    </row>
    <row r="17" spans="1:14">
      <c r="A17" s="318" t="s">
        <v>915</v>
      </c>
      <c r="B17" s="318" t="s">
        <v>933</v>
      </c>
      <c r="C17" s="637">
        <v>0.08</v>
      </c>
      <c r="D17" s="985" t="s">
        <v>929</v>
      </c>
      <c r="E17" s="986"/>
      <c r="F17" s="117" t="s">
        <v>934</v>
      </c>
      <c r="G17" s="320">
        <f t="shared" si="0"/>
        <v>11.055999999999999</v>
      </c>
      <c r="H17" s="320">
        <f t="shared" si="1"/>
        <v>8.8000000000000007</v>
      </c>
      <c r="I17" s="320">
        <f t="shared" si="2"/>
        <v>8.7279999999999998</v>
      </c>
      <c r="J17" s="320">
        <f t="shared" si="3"/>
        <v>8.6560000000000006</v>
      </c>
      <c r="K17" s="320">
        <f t="shared" si="4"/>
        <v>8.4879999999999995</v>
      </c>
      <c r="L17" s="320">
        <f t="shared" si="5"/>
        <v>8.9600000000000009</v>
      </c>
      <c r="M17" s="320">
        <f t="shared" si="6"/>
        <v>8.76</v>
      </c>
      <c r="N17" s="320">
        <f t="shared" si="7"/>
        <v>7.8560000000000008</v>
      </c>
    </row>
    <row r="18" spans="1:14">
      <c r="A18" s="318" t="s">
        <v>915</v>
      </c>
      <c r="B18" s="318" t="s">
        <v>935</v>
      </c>
      <c r="C18" s="637">
        <v>7.0000000000000007E-2</v>
      </c>
      <c r="D18" s="985" t="s">
        <v>929</v>
      </c>
      <c r="E18" s="986"/>
      <c r="F18" s="117" t="s">
        <v>934</v>
      </c>
      <c r="G18" s="320">
        <f t="shared" si="0"/>
        <v>9.6739999999999995</v>
      </c>
      <c r="H18" s="320">
        <f t="shared" si="1"/>
        <v>7.7000000000000011</v>
      </c>
      <c r="I18" s="320">
        <f t="shared" si="2"/>
        <v>7.6370000000000005</v>
      </c>
      <c r="J18" s="320">
        <f t="shared" si="3"/>
        <v>7.5740000000000007</v>
      </c>
      <c r="K18" s="320">
        <f t="shared" si="4"/>
        <v>7.4270000000000005</v>
      </c>
      <c r="L18" s="320">
        <f t="shared" si="5"/>
        <v>7.8400000000000007</v>
      </c>
      <c r="M18" s="320">
        <f t="shared" si="6"/>
        <v>7.6650000000000009</v>
      </c>
      <c r="N18" s="320">
        <f t="shared" si="7"/>
        <v>6.8740000000000006</v>
      </c>
    </row>
    <row r="19" spans="1:14">
      <c r="A19" s="318" t="s">
        <v>915</v>
      </c>
      <c r="B19" s="318" t="s">
        <v>936</v>
      </c>
      <c r="C19" s="637">
        <v>0.04</v>
      </c>
      <c r="D19" s="985" t="s">
        <v>929</v>
      </c>
      <c r="E19" s="986"/>
      <c r="F19" s="117" t="s">
        <v>934</v>
      </c>
      <c r="G19" s="320">
        <f t="shared" si="0"/>
        <v>5.5279999999999996</v>
      </c>
      <c r="H19" s="320">
        <f t="shared" si="1"/>
        <v>4.4000000000000004</v>
      </c>
      <c r="I19" s="320">
        <f t="shared" si="2"/>
        <v>4.3639999999999999</v>
      </c>
      <c r="J19" s="320">
        <f t="shared" si="3"/>
        <v>4.3280000000000003</v>
      </c>
      <c r="K19" s="320">
        <f t="shared" si="4"/>
        <v>4.2439999999999998</v>
      </c>
      <c r="L19" s="320">
        <f t="shared" si="5"/>
        <v>4.4800000000000004</v>
      </c>
      <c r="M19" s="320">
        <f t="shared" si="6"/>
        <v>4.38</v>
      </c>
      <c r="N19" s="320">
        <f t="shared" si="7"/>
        <v>3.9280000000000004</v>
      </c>
    </row>
    <row r="20" spans="1:14" s="76" customFormat="1" ht="45" customHeight="1">
      <c r="A20" s="182" t="s">
        <v>137</v>
      </c>
      <c r="B20" s="182" t="s">
        <v>138</v>
      </c>
      <c r="C20" s="182" t="s">
        <v>926</v>
      </c>
      <c r="D20" s="978" t="s">
        <v>112</v>
      </c>
      <c r="E20" s="978"/>
      <c r="F20" s="182" t="s">
        <v>927</v>
      </c>
      <c r="G20" s="640" t="s">
        <v>914</v>
      </c>
      <c r="H20" s="640" t="s">
        <v>914</v>
      </c>
      <c r="I20" s="640" t="s">
        <v>914</v>
      </c>
      <c r="J20" s="640" t="s">
        <v>914</v>
      </c>
      <c r="K20" s="640" t="s">
        <v>914</v>
      </c>
      <c r="L20" s="640" t="s">
        <v>914</v>
      </c>
      <c r="M20" s="640" t="s">
        <v>914</v>
      </c>
      <c r="N20" s="640" t="s">
        <v>914</v>
      </c>
    </row>
    <row r="21" spans="1:14">
      <c r="A21" s="227" t="s">
        <v>928</v>
      </c>
      <c r="B21" s="227" t="s">
        <v>450</v>
      </c>
      <c r="C21" s="636">
        <f>1/7</f>
        <v>0.14285714285714285</v>
      </c>
      <c r="D21" s="979" t="s">
        <v>937</v>
      </c>
      <c r="E21" s="980"/>
      <c r="F21" s="117" t="s">
        <v>930</v>
      </c>
      <c r="G21" s="130">
        <f>$C21*$G$14</f>
        <v>9.4765714285714271</v>
      </c>
      <c r="H21" s="130">
        <f>$C21*$H$14</f>
        <v>7.5428571428571418</v>
      </c>
      <c r="I21" s="130">
        <f t="shared" ref="I21:I27" si="8">$C21*$I$14</f>
        <v>7.4811428571428564</v>
      </c>
      <c r="J21" s="130">
        <f t="shared" ref="J21:J27" si="9">$C21*$J$14</f>
        <v>7.419428571428571</v>
      </c>
      <c r="K21" s="130">
        <f t="shared" ref="K21:K27" si="10">$C21*$K$14</f>
        <v>7.2754285714285709</v>
      </c>
      <c r="L21" s="130">
        <f t="shared" ref="L21:L27" si="11">$C21*$L$14</f>
        <v>7.68</v>
      </c>
      <c r="M21" s="130">
        <f t="shared" ref="M21:M27" si="12">$C21*$M$14</f>
        <v>7.5085714285714271</v>
      </c>
      <c r="N21" s="130">
        <f t="shared" ref="N21:N27" si="13">$C21*$N$14</f>
        <v>6.733714285714286</v>
      </c>
    </row>
    <row r="22" spans="1:14">
      <c r="A22" s="227" t="s">
        <v>928</v>
      </c>
      <c r="B22" s="227" t="s">
        <v>452</v>
      </c>
      <c r="C22" s="636">
        <f t="shared" ref="C22:C27" si="14">1/7</f>
        <v>0.14285714285714285</v>
      </c>
      <c r="D22" s="981"/>
      <c r="E22" s="982"/>
      <c r="F22" s="117" t="s">
        <v>930</v>
      </c>
      <c r="G22" s="130">
        <f t="shared" ref="G22:G27" si="15">$C22*$G$14</f>
        <v>9.4765714285714271</v>
      </c>
      <c r="H22" s="130">
        <f t="shared" ref="H22:H27" si="16">$C22*$H$14</f>
        <v>7.5428571428571418</v>
      </c>
      <c r="I22" s="130">
        <f t="shared" si="8"/>
        <v>7.4811428571428564</v>
      </c>
      <c r="J22" s="130">
        <f t="shared" si="9"/>
        <v>7.419428571428571</v>
      </c>
      <c r="K22" s="130">
        <f t="shared" si="10"/>
        <v>7.2754285714285709</v>
      </c>
      <c r="L22" s="130">
        <f t="shared" si="11"/>
        <v>7.68</v>
      </c>
      <c r="M22" s="130">
        <f t="shared" si="12"/>
        <v>7.5085714285714271</v>
      </c>
      <c r="N22" s="130">
        <f t="shared" si="13"/>
        <v>6.733714285714286</v>
      </c>
    </row>
    <row r="23" spans="1:14">
      <c r="A23" s="227" t="s">
        <v>928</v>
      </c>
      <c r="B23" s="227" t="s">
        <v>453</v>
      </c>
      <c r="C23" s="636">
        <f t="shared" si="14"/>
        <v>0.14285714285714285</v>
      </c>
      <c r="D23" s="981"/>
      <c r="E23" s="982"/>
      <c r="F23" s="117" t="s">
        <v>930</v>
      </c>
      <c r="G23" s="130">
        <f t="shared" si="15"/>
        <v>9.4765714285714271</v>
      </c>
      <c r="H23" s="130">
        <f t="shared" si="16"/>
        <v>7.5428571428571418</v>
      </c>
      <c r="I23" s="130">
        <f t="shared" si="8"/>
        <v>7.4811428571428564</v>
      </c>
      <c r="J23" s="130">
        <f t="shared" si="9"/>
        <v>7.419428571428571</v>
      </c>
      <c r="K23" s="130">
        <f t="shared" si="10"/>
        <v>7.2754285714285709</v>
      </c>
      <c r="L23" s="130">
        <f t="shared" si="11"/>
        <v>7.68</v>
      </c>
      <c r="M23" s="130">
        <f t="shared" si="12"/>
        <v>7.5085714285714271</v>
      </c>
      <c r="N23" s="130">
        <f t="shared" si="13"/>
        <v>6.733714285714286</v>
      </c>
    </row>
    <row r="24" spans="1:14">
      <c r="A24" s="227" t="s">
        <v>928</v>
      </c>
      <c r="B24" s="227" t="s">
        <v>454</v>
      </c>
      <c r="C24" s="636">
        <f t="shared" si="14"/>
        <v>0.14285714285714285</v>
      </c>
      <c r="D24" s="981"/>
      <c r="E24" s="982"/>
      <c r="F24" s="117" t="s">
        <v>930</v>
      </c>
      <c r="G24" s="130">
        <f t="shared" si="15"/>
        <v>9.4765714285714271</v>
      </c>
      <c r="H24" s="130">
        <f t="shared" si="16"/>
        <v>7.5428571428571418</v>
      </c>
      <c r="I24" s="130">
        <f t="shared" si="8"/>
        <v>7.4811428571428564</v>
      </c>
      <c r="J24" s="130">
        <f t="shared" si="9"/>
        <v>7.419428571428571</v>
      </c>
      <c r="K24" s="130">
        <f t="shared" si="10"/>
        <v>7.2754285714285709</v>
      </c>
      <c r="L24" s="130">
        <f t="shared" si="11"/>
        <v>7.68</v>
      </c>
      <c r="M24" s="130">
        <f t="shared" si="12"/>
        <v>7.5085714285714271</v>
      </c>
      <c r="N24" s="130">
        <f t="shared" si="13"/>
        <v>6.733714285714286</v>
      </c>
    </row>
    <row r="25" spans="1:14">
      <c r="A25" s="227" t="s">
        <v>928</v>
      </c>
      <c r="B25" s="227" t="s">
        <v>455</v>
      </c>
      <c r="C25" s="636">
        <f t="shared" si="14"/>
        <v>0.14285714285714285</v>
      </c>
      <c r="D25" s="981"/>
      <c r="E25" s="982"/>
      <c r="F25" s="117" t="s">
        <v>930</v>
      </c>
      <c r="G25" s="130">
        <f t="shared" si="15"/>
        <v>9.4765714285714271</v>
      </c>
      <c r="H25" s="130">
        <f t="shared" si="16"/>
        <v>7.5428571428571418</v>
      </c>
      <c r="I25" s="130">
        <f t="shared" si="8"/>
        <v>7.4811428571428564</v>
      </c>
      <c r="J25" s="130">
        <f t="shared" si="9"/>
        <v>7.419428571428571</v>
      </c>
      <c r="K25" s="130">
        <f t="shared" si="10"/>
        <v>7.2754285714285709</v>
      </c>
      <c r="L25" s="130">
        <f t="shared" si="11"/>
        <v>7.68</v>
      </c>
      <c r="M25" s="130">
        <f t="shared" si="12"/>
        <v>7.5085714285714271</v>
      </c>
      <c r="N25" s="130">
        <f t="shared" si="13"/>
        <v>6.733714285714286</v>
      </c>
    </row>
    <row r="26" spans="1:14">
      <c r="A26" s="227" t="s">
        <v>928</v>
      </c>
      <c r="B26" s="227" t="s">
        <v>456</v>
      </c>
      <c r="C26" s="636">
        <f t="shared" si="14"/>
        <v>0.14285714285714285</v>
      </c>
      <c r="D26" s="981"/>
      <c r="E26" s="982"/>
      <c r="F26" s="117" t="s">
        <v>930</v>
      </c>
      <c r="G26" s="130">
        <f t="shared" si="15"/>
        <v>9.4765714285714271</v>
      </c>
      <c r="H26" s="130">
        <f t="shared" si="16"/>
        <v>7.5428571428571418</v>
      </c>
      <c r="I26" s="130">
        <f t="shared" si="8"/>
        <v>7.4811428571428564</v>
      </c>
      <c r="J26" s="130">
        <f t="shared" si="9"/>
        <v>7.419428571428571</v>
      </c>
      <c r="K26" s="130">
        <f t="shared" si="10"/>
        <v>7.2754285714285709</v>
      </c>
      <c r="L26" s="130">
        <f t="shared" si="11"/>
        <v>7.68</v>
      </c>
      <c r="M26" s="130">
        <f t="shared" si="12"/>
        <v>7.5085714285714271</v>
      </c>
      <c r="N26" s="130">
        <f t="shared" si="13"/>
        <v>6.733714285714286</v>
      </c>
    </row>
    <row r="27" spans="1:14">
      <c r="A27" s="227" t="s">
        <v>928</v>
      </c>
      <c r="B27" s="227" t="s">
        <v>938</v>
      </c>
      <c r="C27" s="636">
        <f t="shared" si="14"/>
        <v>0.14285714285714285</v>
      </c>
      <c r="D27" s="983"/>
      <c r="E27" s="984"/>
      <c r="F27" s="117" t="s">
        <v>930</v>
      </c>
      <c r="G27" s="130">
        <f t="shared" si="15"/>
        <v>9.4765714285714271</v>
      </c>
      <c r="H27" s="130">
        <f t="shared" si="16"/>
        <v>7.5428571428571418</v>
      </c>
      <c r="I27" s="130">
        <f t="shared" si="8"/>
        <v>7.4811428571428564</v>
      </c>
      <c r="J27" s="130">
        <f t="shared" si="9"/>
        <v>7.419428571428571</v>
      </c>
      <c r="K27" s="130">
        <f t="shared" si="10"/>
        <v>7.2754285714285709</v>
      </c>
      <c r="L27" s="130">
        <f t="shared" si="11"/>
        <v>7.68</v>
      </c>
      <c r="M27" s="130">
        <f t="shared" si="12"/>
        <v>7.5085714285714271</v>
      </c>
      <c r="N27" s="130">
        <f t="shared" si="13"/>
        <v>6.733714285714286</v>
      </c>
    </row>
    <row r="28" spans="1:14">
      <c r="A28" s="227" t="s">
        <v>931</v>
      </c>
      <c r="B28" s="227" t="s">
        <v>458</v>
      </c>
      <c r="C28" s="130">
        <f>1/5</f>
        <v>0.2</v>
      </c>
      <c r="D28" s="979" t="s">
        <v>937</v>
      </c>
      <c r="E28" s="980"/>
      <c r="F28" s="117" t="s">
        <v>930</v>
      </c>
      <c r="G28" s="130">
        <f>C28*$G$15</f>
        <v>6.6336000000000004</v>
      </c>
      <c r="H28" s="130">
        <f>$C28*$H$15</f>
        <v>5.28</v>
      </c>
      <c r="I28" s="130">
        <f>$C28*$I$15</f>
        <v>5.2367999999999997</v>
      </c>
      <c r="J28" s="130">
        <f>$C28*$J$15</f>
        <v>5.1936</v>
      </c>
      <c r="K28" s="130">
        <f>$C28*$K$15</f>
        <v>5.0928000000000004</v>
      </c>
      <c r="L28" s="130">
        <f>$C28*$L$15</f>
        <v>5.3760000000000003</v>
      </c>
      <c r="M28" s="130">
        <f>$C28*$M$15</f>
        <v>5.2560000000000002</v>
      </c>
      <c r="N28" s="130">
        <f>$C28*$N$15</f>
        <v>4.7136000000000005</v>
      </c>
    </row>
    <row r="29" spans="1:14">
      <c r="A29" s="227" t="s">
        <v>931</v>
      </c>
      <c r="B29" s="227" t="s">
        <v>459</v>
      </c>
      <c r="C29" s="130">
        <f t="shared" ref="C29:C32" si="17">1/5</f>
        <v>0.2</v>
      </c>
      <c r="D29" s="981"/>
      <c r="E29" s="982"/>
      <c r="F29" s="117" t="s">
        <v>930</v>
      </c>
      <c r="G29" s="130">
        <f t="shared" ref="G29:G32" si="18">C29*$G$15</f>
        <v>6.6336000000000004</v>
      </c>
      <c r="H29" s="130">
        <f t="shared" ref="H29:H32" si="19">$C29*$H$15</f>
        <v>5.28</v>
      </c>
      <c r="I29" s="130">
        <f>$C29*$I$15</f>
        <v>5.2367999999999997</v>
      </c>
      <c r="J29" s="130">
        <f>$C29*$J$15</f>
        <v>5.1936</v>
      </c>
      <c r="K29" s="130">
        <f>$C29*$K$15</f>
        <v>5.0928000000000004</v>
      </c>
      <c r="L29" s="130">
        <f>$C29*$L$15</f>
        <v>5.3760000000000003</v>
      </c>
      <c r="M29" s="130">
        <f>$C29*$M$15</f>
        <v>5.2560000000000002</v>
      </c>
      <c r="N29" s="130">
        <f>$C29*$N$15</f>
        <v>4.7136000000000005</v>
      </c>
    </row>
    <row r="30" spans="1:14">
      <c r="A30" s="227" t="s">
        <v>931</v>
      </c>
      <c r="B30" s="227" t="s">
        <v>460</v>
      </c>
      <c r="C30" s="130">
        <f t="shared" si="17"/>
        <v>0.2</v>
      </c>
      <c r="D30" s="981"/>
      <c r="E30" s="982"/>
      <c r="F30" s="117" t="s">
        <v>930</v>
      </c>
      <c r="G30" s="130">
        <f t="shared" si="18"/>
        <v>6.6336000000000004</v>
      </c>
      <c r="H30" s="130">
        <f t="shared" si="19"/>
        <v>5.28</v>
      </c>
      <c r="I30" s="130">
        <f>$C30*$I$15</f>
        <v>5.2367999999999997</v>
      </c>
      <c r="J30" s="130">
        <f>$C30*$J$15</f>
        <v>5.1936</v>
      </c>
      <c r="K30" s="130">
        <f>$C30*$K$15</f>
        <v>5.0928000000000004</v>
      </c>
      <c r="L30" s="130">
        <f>$C30*$L$15</f>
        <v>5.3760000000000003</v>
      </c>
      <c r="M30" s="130">
        <f>$C30*$M$15</f>
        <v>5.2560000000000002</v>
      </c>
      <c r="N30" s="130">
        <f>$C30*$N$15</f>
        <v>4.7136000000000005</v>
      </c>
    </row>
    <row r="31" spans="1:14">
      <c r="A31" s="227" t="s">
        <v>931</v>
      </c>
      <c r="B31" s="227" t="s">
        <v>461</v>
      </c>
      <c r="C31" s="130">
        <f t="shared" si="17"/>
        <v>0.2</v>
      </c>
      <c r="D31" s="981"/>
      <c r="E31" s="982"/>
      <c r="F31" s="117" t="s">
        <v>930</v>
      </c>
      <c r="G31" s="130">
        <f t="shared" si="18"/>
        <v>6.6336000000000004</v>
      </c>
      <c r="H31" s="130">
        <f t="shared" si="19"/>
        <v>5.28</v>
      </c>
      <c r="I31" s="130">
        <f>$C31*$I$15</f>
        <v>5.2367999999999997</v>
      </c>
      <c r="J31" s="130">
        <f>$C31*$J$15</f>
        <v>5.1936</v>
      </c>
      <c r="K31" s="130">
        <f>$C31*$K$15</f>
        <v>5.0928000000000004</v>
      </c>
      <c r="L31" s="130">
        <f>$C31*$L$15</f>
        <v>5.3760000000000003</v>
      </c>
      <c r="M31" s="130">
        <f>$C31*$M$15</f>
        <v>5.2560000000000002</v>
      </c>
      <c r="N31" s="130">
        <f>$C31*$N$15</f>
        <v>4.7136000000000005</v>
      </c>
    </row>
    <row r="32" spans="1:14">
      <c r="A32" s="227" t="s">
        <v>931</v>
      </c>
      <c r="B32" s="227" t="s">
        <v>462</v>
      </c>
      <c r="C32" s="130">
        <f t="shared" si="17"/>
        <v>0.2</v>
      </c>
      <c r="D32" s="983"/>
      <c r="E32" s="984"/>
      <c r="F32" s="117" t="s">
        <v>930</v>
      </c>
      <c r="G32" s="130">
        <f t="shared" si="18"/>
        <v>6.6336000000000004</v>
      </c>
      <c r="H32" s="130">
        <f t="shared" si="19"/>
        <v>5.28</v>
      </c>
      <c r="I32" s="130">
        <f>$C32*$I$15</f>
        <v>5.2367999999999997</v>
      </c>
      <c r="J32" s="130">
        <f>$C32*$J$15</f>
        <v>5.1936</v>
      </c>
      <c r="K32" s="130">
        <f>$C32*$K$15</f>
        <v>5.0928000000000004</v>
      </c>
      <c r="L32" s="130">
        <f>$C32*$L$15</f>
        <v>5.3760000000000003</v>
      </c>
      <c r="M32" s="130">
        <f>$C32*$M$15</f>
        <v>5.2560000000000002</v>
      </c>
      <c r="N32" s="130">
        <f>$C32*$N$15</f>
        <v>4.7136000000000005</v>
      </c>
    </row>
    <row r="33" spans="1:19">
      <c r="A33" s="227" t="s">
        <v>932</v>
      </c>
      <c r="B33" s="227" t="s">
        <v>463</v>
      </c>
      <c r="C33" s="130">
        <v>0.5</v>
      </c>
      <c r="D33" s="979" t="s">
        <v>937</v>
      </c>
      <c r="E33" s="980"/>
      <c r="F33" s="117" t="s">
        <v>930</v>
      </c>
      <c r="G33" s="130">
        <f>C33*$G$16</f>
        <v>6.2189999999999994</v>
      </c>
      <c r="H33" s="130">
        <f>$C33*$H$16</f>
        <v>4.95</v>
      </c>
      <c r="I33" s="130">
        <f>$C33*$I$16</f>
        <v>4.9094999999999995</v>
      </c>
      <c r="J33" s="130">
        <f>$C33*$J$16</f>
        <v>4.8689999999999998</v>
      </c>
      <c r="K33" s="130">
        <f>$C33*$K$16</f>
        <v>4.7744999999999997</v>
      </c>
      <c r="L33" s="130">
        <f>$C33*$L$16</f>
        <v>5.04</v>
      </c>
      <c r="M33" s="130">
        <f>$C33*$M$16</f>
        <v>4.9275000000000002</v>
      </c>
      <c r="N33" s="130">
        <f>$C33*$N$16</f>
        <v>4.4189999999999996</v>
      </c>
    </row>
    <row r="34" spans="1:19">
      <c r="A34" s="227" t="s">
        <v>932</v>
      </c>
      <c r="B34" s="227" t="s">
        <v>464</v>
      </c>
      <c r="C34" s="130">
        <v>0.5</v>
      </c>
      <c r="D34" s="983"/>
      <c r="E34" s="984"/>
      <c r="F34" s="117" t="s">
        <v>930</v>
      </c>
      <c r="G34" s="130">
        <f>C34*$G$16</f>
        <v>6.2189999999999994</v>
      </c>
      <c r="H34" s="130">
        <f>$C34*$H$16</f>
        <v>4.95</v>
      </c>
      <c r="I34" s="130">
        <f>$C34*$I$16</f>
        <v>4.9094999999999995</v>
      </c>
      <c r="J34" s="130">
        <f>$C34*$J$16</f>
        <v>4.8689999999999998</v>
      </c>
      <c r="K34" s="130">
        <f>$C34*$K$16</f>
        <v>4.7744999999999997</v>
      </c>
      <c r="L34" s="130">
        <f>$C34*$L$16</f>
        <v>5.04</v>
      </c>
      <c r="M34" s="130">
        <f>$C34*$M$16</f>
        <v>4.9275000000000002</v>
      </c>
      <c r="N34" s="130">
        <f>$C34*$N$16</f>
        <v>4.4189999999999996</v>
      </c>
    </row>
    <row r="35" spans="1:19" s="76" customFormat="1" ht="45" customHeight="1">
      <c r="A35" s="182" t="s">
        <v>137</v>
      </c>
      <c r="B35" s="182" t="s">
        <v>138</v>
      </c>
      <c r="C35" s="182" t="s">
        <v>926</v>
      </c>
      <c r="D35" s="978" t="s">
        <v>112</v>
      </c>
      <c r="E35" s="978"/>
      <c r="F35" s="182" t="s">
        <v>927</v>
      </c>
      <c r="G35" s="639" t="s">
        <v>939</v>
      </c>
      <c r="H35" s="639" t="s">
        <v>939</v>
      </c>
      <c r="I35" s="639" t="s">
        <v>939</v>
      </c>
      <c r="J35" s="639" t="s">
        <v>939</v>
      </c>
      <c r="K35" s="639" t="s">
        <v>939</v>
      </c>
      <c r="L35" s="639" t="s">
        <v>939</v>
      </c>
      <c r="M35" s="639" t="s">
        <v>939</v>
      </c>
      <c r="N35" s="639" t="s">
        <v>939</v>
      </c>
    </row>
    <row r="36" spans="1:19">
      <c r="A36" s="227" t="s">
        <v>450</v>
      </c>
      <c r="B36" s="227" t="s">
        <v>940</v>
      </c>
      <c r="C36" s="636">
        <v>0.75</v>
      </c>
      <c r="D36" s="963" t="s">
        <v>941</v>
      </c>
      <c r="E36" s="963"/>
      <c r="F36" s="117" t="s">
        <v>930</v>
      </c>
      <c r="G36" s="130">
        <f>$C36*G21</f>
        <v>7.1074285714285708</v>
      </c>
      <c r="H36" s="130">
        <f t="shared" ref="H36:N36" si="20">$C36*H21</f>
        <v>5.6571428571428566</v>
      </c>
      <c r="I36" s="130">
        <f t="shared" si="20"/>
        <v>5.6108571428571423</v>
      </c>
      <c r="J36" s="130">
        <f t="shared" si="20"/>
        <v>5.5645714285714281</v>
      </c>
      <c r="K36" s="130">
        <f t="shared" si="20"/>
        <v>5.4565714285714284</v>
      </c>
      <c r="L36" s="130">
        <f t="shared" si="20"/>
        <v>5.76</v>
      </c>
      <c r="M36" s="130">
        <f t="shared" si="20"/>
        <v>5.6314285714285699</v>
      </c>
      <c r="N36" s="130">
        <f t="shared" si="20"/>
        <v>5.0502857142857147</v>
      </c>
    </row>
    <row r="37" spans="1:19">
      <c r="A37" s="227" t="s">
        <v>452</v>
      </c>
      <c r="B37" s="227" t="s">
        <v>942</v>
      </c>
      <c r="C37" s="636">
        <v>0.8</v>
      </c>
      <c r="D37" s="963" t="s">
        <v>941</v>
      </c>
      <c r="E37" s="963"/>
      <c r="F37" s="117" t="s">
        <v>930</v>
      </c>
      <c r="G37" s="130">
        <f t="shared" ref="G37:N49" si="21">$C37*G22</f>
        <v>7.581257142857142</v>
      </c>
      <c r="H37" s="130">
        <f t="shared" si="21"/>
        <v>6.0342857142857138</v>
      </c>
      <c r="I37" s="130">
        <f t="shared" si="21"/>
        <v>5.9849142857142859</v>
      </c>
      <c r="J37" s="130">
        <f t="shared" si="21"/>
        <v>5.935542857142857</v>
      </c>
      <c r="K37" s="130">
        <f t="shared" si="21"/>
        <v>5.8203428571428573</v>
      </c>
      <c r="L37" s="130">
        <f t="shared" si="21"/>
        <v>6.1440000000000001</v>
      </c>
      <c r="M37" s="130">
        <f t="shared" si="21"/>
        <v>6.0068571428571422</v>
      </c>
      <c r="N37" s="130">
        <f t="shared" si="21"/>
        <v>5.386971428571429</v>
      </c>
    </row>
    <row r="38" spans="1:19">
      <c r="A38" s="227" t="s">
        <v>453</v>
      </c>
      <c r="B38" s="227" t="s">
        <v>943</v>
      </c>
      <c r="C38" s="636">
        <v>0.5</v>
      </c>
      <c r="D38" s="963" t="s">
        <v>941</v>
      </c>
      <c r="E38" s="963"/>
      <c r="F38" s="117" t="s">
        <v>930</v>
      </c>
      <c r="G38" s="130">
        <f t="shared" si="21"/>
        <v>4.7382857142857135</v>
      </c>
      <c r="H38" s="130">
        <f t="shared" si="21"/>
        <v>3.7714285714285709</v>
      </c>
      <c r="I38" s="130">
        <f t="shared" si="21"/>
        <v>3.7405714285714282</v>
      </c>
      <c r="J38" s="130">
        <f t="shared" si="21"/>
        <v>3.7097142857142855</v>
      </c>
      <c r="K38" s="130">
        <f t="shared" si="21"/>
        <v>3.6377142857142855</v>
      </c>
      <c r="L38" s="130">
        <f t="shared" si="21"/>
        <v>3.84</v>
      </c>
      <c r="M38" s="130">
        <f t="shared" si="21"/>
        <v>3.7542857142857136</v>
      </c>
      <c r="N38" s="130">
        <f t="shared" si="21"/>
        <v>3.366857142857143</v>
      </c>
    </row>
    <row r="39" spans="1:19">
      <c r="A39" s="227" t="s">
        <v>454</v>
      </c>
      <c r="B39" s="227" t="s">
        <v>944</v>
      </c>
      <c r="C39" s="636">
        <v>0.55000000000000004</v>
      </c>
      <c r="D39" s="963" t="s">
        <v>941</v>
      </c>
      <c r="E39" s="963"/>
      <c r="F39" s="117" t="s">
        <v>930</v>
      </c>
      <c r="G39" s="130">
        <f t="shared" si="21"/>
        <v>5.2121142857142857</v>
      </c>
      <c r="H39" s="130">
        <f t="shared" si="21"/>
        <v>4.1485714285714286</v>
      </c>
      <c r="I39" s="130">
        <f t="shared" si="21"/>
        <v>4.1146285714285717</v>
      </c>
      <c r="J39" s="130">
        <f t="shared" si="21"/>
        <v>4.080685714285714</v>
      </c>
      <c r="K39" s="130">
        <f t="shared" si="21"/>
        <v>4.0014857142857148</v>
      </c>
      <c r="L39" s="130">
        <f t="shared" si="21"/>
        <v>4.2240000000000002</v>
      </c>
      <c r="M39" s="130">
        <f t="shared" si="21"/>
        <v>4.129714285714285</v>
      </c>
      <c r="N39" s="130">
        <f t="shared" si="21"/>
        <v>3.7035428571428577</v>
      </c>
    </row>
    <row r="40" spans="1:19">
      <c r="A40" s="227" t="s">
        <v>455</v>
      </c>
      <c r="B40" s="227" t="s">
        <v>945</v>
      </c>
      <c r="C40" s="636">
        <v>0.55000000000000004</v>
      </c>
      <c r="D40" s="963" t="s">
        <v>941</v>
      </c>
      <c r="E40" s="963"/>
      <c r="F40" s="117" t="s">
        <v>930</v>
      </c>
      <c r="G40" s="130">
        <f t="shared" si="21"/>
        <v>5.2121142857142857</v>
      </c>
      <c r="H40" s="130">
        <f t="shared" si="21"/>
        <v>4.1485714285714286</v>
      </c>
      <c r="I40" s="130">
        <f t="shared" si="21"/>
        <v>4.1146285714285717</v>
      </c>
      <c r="J40" s="130">
        <f t="shared" si="21"/>
        <v>4.080685714285714</v>
      </c>
      <c r="K40" s="130">
        <f t="shared" si="21"/>
        <v>4.0014857142857148</v>
      </c>
      <c r="L40" s="130">
        <f t="shared" si="21"/>
        <v>4.2240000000000002</v>
      </c>
      <c r="M40" s="130">
        <f t="shared" si="21"/>
        <v>4.129714285714285</v>
      </c>
      <c r="N40" s="130">
        <f t="shared" si="21"/>
        <v>3.7035428571428577</v>
      </c>
    </row>
    <row r="41" spans="1:19">
      <c r="A41" s="227" t="s">
        <v>456</v>
      </c>
      <c r="B41" s="227" t="s">
        <v>946</v>
      </c>
      <c r="C41" s="636">
        <v>0.75</v>
      </c>
      <c r="D41" s="963" t="s">
        <v>941</v>
      </c>
      <c r="E41" s="963"/>
      <c r="F41" s="117" t="s">
        <v>930</v>
      </c>
      <c r="G41" s="130">
        <f t="shared" si="21"/>
        <v>7.1074285714285708</v>
      </c>
      <c r="H41" s="130">
        <f t="shared" si="21"/>
        <v>5.6571428571428566</v>
      </c>
      <c r="I41" s="130">
        <f t="shared" si="21"/>
        <v>5.6108571428571423</v>
      </c>
      <c r="J41" s="130">
        <f t="shared" si="21"/>
        <v>5.5645714285714281</v>
      </c>
      <c r="K41" s="130">
        <f t="shared" si="21"/>
        <v>5.4565714285714284</v>
      </c>
      <c r="L41" s="130">
        <f t="shared" si="21"/>
        <v>5.76</v>
      </c>
      <c r="M41" s="130">
        <f t="shared" si="21"/>
        <v>5.6314285714285699</v>
      </c>
      <c r="N41" s="130">
        <f t="shared" si="21"/>
        <v>5.0502857142857147</v>
      </c>
    </row>
    <row r="42" spans="1:19">
      <c r="A42" s="227" t="s">
        <v>938</v>
      </c>
      <c r="B42" s="227" t="s">
        <v>947</v>
      </c>
      <c r="C42" s="636">
        <v>0.6</v>
      </c>
      <c r="D42" s="963" t="s">
        <v>941</v>
      </c>
      <c r="E42" s="963"/>
      <c r="F42" s="117" t="s">
        <v>930</v>
      </c>
      <c r="G42" s="130">
        <f t="shared" si="21"/>
        <v>5.6859428571428561</v>
      </c>
      <c r="H42" s="130">
        <f t="shared" si="21"/>
        <v>4.5257142857142849</v>
      </c>
      <c r="I42" s="130">
        <f t="shared" si="21"/>
        <v>4.4886857142857135</v>
      </c>
      <c r="J42" s="130">
        <f t="shared" si="21"/>
        <v>4.4516571428571421</v>
      </c>
      <c r="K42" s="130">
        <f t="shared" si="21"/>
        <v>4.3652571428571427</v>
      </c>
      <c r="L42" s="130">
        <f t="shared" si="21"/>
        <v>4.6079999999999997</v>
      </c>
      <c r="M42" s="130">
        <f t="shared" si="21"/>
        <v>4.5051428571428564</v>
      </c>
      <c r="N42" s="130">
        <f t="shared" si="21"/>
        <v>4.0402285714285711</v>
      </c>
    </row>
    <row r="43" spans="1:19">
      <c r="A43" s="227" t="s">
        <v>458</v>
      </c>
      <c r="B43" s="227" t="s">
        <v>948</v>
      </c>
      <c r="C43" s="130">
        <v>0.65</v>
      </c>
      <c r="D43" s="963" t="s">
        <v>941</v>
      </c>
      <c r="E43" s="963"/>
      <c r="F43" s="117" t="s">
        <v>930</v>
      </c>
      <c r="G43" s="130">
        <f t="shared" si="21"/>
        <v>4.3118400000000001</v>
      </c>
      <c r="H43" s="130">
        <f t="shared" si="21"/>
        <v>3.4320000000000004</v>
      </c>
      <c r="I43" s="130">
        <f t="shared" si="21"/>
        <v>3.4039199999999998</v>
      </c>
      <c r="J43" s="130">
        <f t="shared" si="21"/>
        <v>3.3758400000000002</v>
      </c>
      <c r="K43" s="130">
        <f t="shared" si="21"/>
        <v>3.3103200000000004</v>
      </c>
      <c r="L43" s="130">
        <f t="shared" si="21"/>
        <v>3.4944000000000002</v>
      </c>
      <c r="M43" s="130">
        <f t="shared" si="21"/>
        <v>3.4164000000000003</v>
      </c>
      <c r="N43" s="130">
        <f t="shared" si="21"/>
        <v>3.0638400000000003</v>
      </c>
    </row>
    <row r="44" spans="1:19" ht="15" customHeight="1">
      <c r="A44" s="227" t="s">
        <v>459</v>
      </c>
      <c r="B44" s="227" t="s">
        <v>949</v>
      </c>
      <c r="C44" s="130">
        <v>0.2</v>
      </c>
      <c r="D44" s="963" t="s">
        <v>941</v>
      </c>
      <c r="E44" s="963"/>
      <c r="F44" s="117" t="s">
        <v>930</v>
      </c>
      <c r="G44" s="130">
        <f t="shared" si="21"/>
        <v>1.3267200000000001</v>
      </c>
      <c r="H44" s="130">
        <f t="shared" si="21"/>
        <v>1.056</v>
      </c>
      <c r="I44" s="130">
        <f t="shared" si="21"/>
        <v>1.0473600000000001</v>
      </c>
      <c r="J44" s="130">
        <f t="shared" si="21"/>
        <v>1.0387200000000001</v>
      </c>
      <c r="K44" s="130">
        <f t="shared" si="21"/>
        <v>1.0185600000000001</v>
      </c>
      <c r="L44" s="130">
        <f t="shared" si="21"/>
        <v>1.0752000000000002</v>
      </c>
      <c r="M44" s="130">
        <f t="shared" si="21"/>
        <v>1.0512000000000001</v>
      </c>
      <c r="N44" s="130">
        <f t="shared" si="21"/>
        <v>0.94272000000000011</v>
      </c>
    </row>
    <row r="45" spans="1:19" s="6" customFormat="1" ht="15" customHeight="1">
      <c r="A45" s="227" t="s">
        <v>460</v>
      </c>
      <c r="B45" s="227" t="s">
        <v>950</v>
      </c>
      <c r="C45" s="130">
        <v>0.55000000000000004</v>
      </c>
      <c r="D45" s="963" t="s">
        <v>941</v>
      </c>
      <c r="E45" s="963"/>
      <c r="F45" s="117" t="s">
        <v>930</v>
      </c>
      <c r="G45" s="130">
        <f t="shared" si="21"/>
        <v>3.6484800000000006</v>
      </c>
      <c r="H45" s="130">
        <f t="shared" si="21"/>
        <v>2.9040000000000004</v>
      </c>
      <c r="I45" s="130">
        <f t="shared" si="21"/>
        <v>2.8802400000000001</v>
      </c>
      <c r="J45" s="130">
        <f t="shared" si="21"/>
        <v>2.8564800000000004</v>
      </c>
      <c r="K45" s="130">
        <f t="shared" si="21"/>
        <v>2.8010400000000004</v>
      </c>
      <c r="L45" s="130">
        <f t="shared" si="21"/>
        <v>2.9568000000000003</v>
      </c>
      <c r="M45" s="130">
        <f t="shared" si="21"/>
        <v>2.8908000000000005</v>
      </c>
      <c r="N45" s="130">
        <f t="shared" si="21"/>
        <v>2.5924800000000006</v>
      </c>
      <c r="O45"/>
      <c r="P45"/>
      <c r="Q45"/>
      <c r="R45"/>
      <c r="S45"/>
    </row>
    <row r="46" spans="1:19">
      <c r="A46" s="227" t="s">
        <v>461</v>
      </c>
      <c r="B46" s="227" t="s">
        <v>951</v>
      </c>
      <c r="C46" s="130">
        <v>0.55000000000000004</v>
      </c>
      <c r="D46" s="963" t="s">
        <v>941</v>
      </c>
      <c r="E46" s="963"/>
      <c r="F46" s="117" t="s">
        <v>930</v>
      </c>
      <c r="G46" s="130">
        <f t="shared" si="21"/>
        <v>3.6484800000000006</v>
      </c>
      <c r="H46" s="130">
        <f t="shared" si="21"/>
        <v>2.9040000000000004</v>
      </c>
      <c r="I46" s="130">
        <f t="shared" si="21"/>
        <v>2.8802400000000001</v>
      </c>
      <c r="J46" s="130">
        <f t="shared" si="21"/>
        <v>2.8564800000000004</v>
      </c>
      <c r="K46" s="130">
        <f t="shared" si="21"/>
        <v>2.8010400000000004</v>
      </c>
      <c r="L46" s="130">
        <f t="shared" si="21"/>
        <v>2.9568000000000003</v>
      </c>
      <c r="M46" s="130">
        <f t="shared" si="21"/>
        <v>2.8908000000000005</v>
      </c>
      <c r="N46" s="130">
        <f t="shared" si="21"/>
        <v>2.5924800000000006</v>
      </c>
    </row>
    <row r="47" spans="1:19">
      <c r="A47" s="227" t="s">
        <v>462</v>
      </c>
      <c r="B47" s="227" t="s">
        <v>952</v>
      </c>
      <c r="C47" s="130">
        <v>0.65</v>
      </c>
      <c r="D47" s="963" t="s">
        <v>941</v>
      </c>
      <c r="E47" s="963"/>
      <c r="F47" s="117" t="s">
        <v>930</v>
      </c>
      <c r="G47" s="130">
        <f t="shared" si="21"/>
        <v>4.3118400000000001</v>
      </c>
      <c r="H47" s="130">
        <f t="shared" si="21"/>
        <v>3.4320000000000004</v>
      </c>
      <c r="I47" s="130">
        <f t="shared" si="21"/>
        <v>3.4039199999999998</v>
      </c>
      <c r="J47" s="130">
        <f t="shared" si="21"/>
        <v>3.3758400000000002</v>
      </c>
      <c r="K47" s="130">
        <f t="shared" si="21"/>
        <v>3.3103200000000004</v>
      </c>
      <c r="L47" s="130">
        <f t="shared" si="21"/>
        <v>3.4944000000000002</v>
      </c>
      <c r="M47" s="130">
        <f t="shared" si="21"/>
        <v>3.4164000000000003</v>
      </c>
      <c r="N47" s="130">
        <f t="shared" si="21"/>
        <v>3.0638400000000003</v>
      </c>
    </row>
    <row r="48" spans="1:19">
      <c r="A48" s="227" t="s">
        <v>463</v>
      </c>
      <c r="B48" s="227" t="s">
        <v>953</v>
      </c>
      <c r="C48" s="130">
        <v>0.5</v>
      </c>
      <c r="D48" s="963" t="s">
        <v>941</v>
      </c>
      <c r="E48" s="963"/>
      <c r="F48" s="117" t="s">
        <v>930</v>
      </c>
      <c r="G48" s="130">
        <f t="shared" si="21"/>
        <v>3.1094999999999997</v>
      </c>
      <c r="H48" s="130">
        <f t="shared" si="21"/>
        <v>2.4750000000000001</v>
      </c>
      <c r="I48" s="130">
        <f t="shared" si="21"/>
        <v>2.4547499999999998</v>
      </c>
      <c r="J48" s="130">
        <f t="shared" si="21"/>
        <v>2.4344999999999999</v>
      </c>
      <c r="K48" s="130">
        <f t="shared" si="21"/>
        <v>2.3872499999999999</v>
      </c>
      <c r="L48" s="130">
        <f t="shared" si="21"/>
        <v>2.52</v>
      </c>
      <c r="M48" s="130">
        <f t="shared" si="21"/>
        <v>2.4637500000000001</v>
      </c>
      <c r="N48" s="130">
        <f t="shared" si="21"/>
        <v>2.2094999999999998</v>
      </c>
    </row>
    <row r="49" spans="1:868">
      <c r="A49" s="227" t="s">
        <v>464</v>
      </c>
      <c r="B49" s="227" t="s">
        <v>954</v>
      </c>
      <c r="C49" s="130">
        <v>0.6</v>
      </c>
      <c r="D49" s="963" t="s">
        <v>941</v>
      </c>
      <c r="E49" s="963"/>
      <c r="F49" s="117" t="s">
        <v>930</v>
      </c>
      <c r="G49" s="130">
        <f t="shared" si="21"/>
        <v>3.7313999999999994</v>
      </c>
      <c r="H49" s="130">
        <f t="shared" si="21"/>
        <v>2.97</v>
      </c>
      <c r="I49" s="130">
        <f t="shared" si="21"/>
        <v>2.9456999999999995</v>
      </c>
      <c r="J49" s="130">
        <f t="shared" si="21"/>
        <v>2.9213999999999998</v>
      </c>
      <c r="K49" s="130">
        <f t="shared" si="21"/>
        <v>2.8646999999999996</v>
      </c>
      <c r="L49" s="130">
        <f t="shared" si="21"/>
        <v>3.024</v>
      </c>
      <c r="M49" s="130">
        <f t="shared" si="21"/>
        <v>2.9565000000000001</v>
      </c>
      <c r="N49" s="130">
        <f t="shared" si="21"/>
        <v>2.6513999999999998</v>
      </c>
    </row>
    <row r="50" spans="1:868">
      <c r="C50" s="106"/>
      <c r="D50" s="16"/>
      <c r="E50" s="16"/>
      <c r="G50" s="106"/>
      <c r="H50" s="106"/>
      <c r="I50" s="106"/>
      <c r="J50" s="106"/>
      <c r="K50" s="106"/>
      <c r="L50" s="106"/>
      <c r="M50" s="106"/>
      <c r="N50" s="106"/>
    </row>
    <row r="51" spans="1:868" s="6" customFormat="1" ht="30" customHeight="1">
      <c r="A51" s="973" t="s">
        <v>955</v>
      </c>
      <c r="B51" s="974"/>
      <c r="C51" s="974"/>
      <c r="D51" s="974"/>
      <c r="E51" s="974"/>
      <c r="F51" s="974"/>
      <c r="G51" s="975"/>
      <c r="H51" s="106"/>
      <c r="I51" s="106"/>
      <c r="J51" s="106"/>
      <c r="K51" s="106"/>
      <c r="L51" s="106"/>
      <c r="M51" s="106"/>
      <c r="N51" s="106"/>
    </row>
    <row r="52" spans="1:868" ht="30" customHeight="1">
      <c r="A52" s="632" t="s">
        <v>108</v>
      </c>
      <c r="B52" s="642" t="s">
        <v>109</v>
      </c>
      <c r="C52" s="633" t="s">
        <v>110</v>
      </c>
      <c r="D52" s="633" t="s">
        <v>111</v>
      </c>
      <c r="E52" s="633" t="s">
        <v>112</v>
      </c>
      <c r="F52" s="634" t="s">
        <v>113</v>
      </c>
      <c r="G52" s="634" t="s">
        <v>69</v>
      </c>
      <c r="H52" s="634" t="s">
        <v>75</v>
      </c>
      <c r="I52" s="634" t="s">
        <v>81</v>
      </c>
      <c r="J52" s="634" t="s">
        <v>87</v>
      </c>
      <c r="K52" s="641" t="s">
        <v>114</v>
      </c>
      <c r="L52" s="967" t="s">
        <v>115</v>
      </c>
      <c r="M52" s="968"/>
      <c r="N52" s="969"/>
      <c r="O52" s="6"/>
    </row>
    <row r="53" spans="1:868" s="2" customFormat="1">
      <c r="A53" s="227" t="s">
        <v>127</v>
      </c>
      <c r="B53" s="122">
        <v>2019</v>
      </c>
      <c r="C53" s="9" t="s">
        <v>107</v>
      </c>
      <c r="D53" s="814">
        <f>SUM(L36:L49)</f>
        <v>54.081600000000002</v>
      </c>
      <c r="E53" s="227" t="s">
        <v>916</v>
      </c>
      <c r="F53" s="9">
        <v>1</v>
      </c>
      <c r="G53" s="9">
        <v>1</v>
      </c>
      <c r="H53" s="9">
        <v>2</v>
      </c>
      <c r="I53" s="9">
        <v>1</v>
      </c>
      <c r="J53" s="9">
        <v>2</v>
      </c>
      <c r="K53" s="186">
        <f>IF( OR( ISBLANK(F53),ISBLANK(G53), ISBLANK(H53), ISBLANK(I53), ISBLANK(J53) ), "", 1.5*SQRT(   EXP(2.21*(F53-1)) + EXP(2.21*(G53-1)) + EXP(2.21*(H53-1)) + EXP(2.21*(I53-1)) + EXP(2.21*J53)   )/100*2.45 )</f>
        <v>0.35859414261160716</v>
      </c>
      <c r="L53" s="970" t="s">
        <v>129</v>
      </c>
      <c r="M53" s="971"/>
      <c r="N53" s="972"/>
      <c r="O53" s="6"/>
    </row>
    <row r="54" spans="1:868" s="6" customFormat="1" ht="30" customHeight="1">
      <c r="C54" s="106"/>
      <c r="G54" s="106"/>
      <c r="H54" s="106"/>
      <c r="I54" s="106"/>
      <c r="J54" s="106"/>
      <c r="K54" s="106"/>
      <c r="L54" s="106"/>
      <c r="M54" s="106"/>
      <c r="N54" s="106"/>
    </row>
    <row r="55" spans="1:868" s="6" customFormat="1" ht="30" customHeight="1">
      <c r="A55" s="973" t="s">
        <v>956</v>
      </c>
      <c r="B55" s="974"/>
      <c r="C55" s="974"/>
      <c r="D55" s="974"/>
      <c r="E55" s="974"/>
      <c r="F55" s="974"/>
      <c r="G55" s="975"/>
      <c r="H55" s="106"/>
      <c r="I55" s="106"/>
      <c r="J55" s="106"/>
      <c r="K55" s="106"/>
      <c r="L55" s="106"/>
      <c r="M55" s="106"/>
      <c r="N55" s="106"/>
    </row>
    <row r="56" spans="1:868" ht="30" customHeight="1">
      <c r="A56" s="632" t="s">
        <v>108</v>
      </c>
      <c r="B56" s="642" t="s">
        <v>109</v>
      </c>
      <c r="C56" s="633" t="s">
        <v>110</v>
      </c>
      <c r="D56" s="633" t="s">
        <v>111</v>
      </c>
      <c r="E56" s="633" t="s">
        <v>112</v>
      </c>
      <c r="F56" s="634" t="s">
        <v>113</v>
      </c>
      <c r="G56" s="634" t="s">
        <v>69</v>
      </c>
      <c r="H56" s="634" t="s">
        <v>75</v>
      </c>
      <c r="I56" s="634" t="s">
        <v>81</v>
      </c>
      <c r="J56" s="634" t="s">
        <v>87</v>
      </c>
      <c r="K56" s="641" t="s">
        <v>114</v>
      </c>
      <c r="L56" s="967" t="s">
        <v>115</v>
      </c>
      <c r="M56" s="968"/>
      <c r="N56" s="969"/>
      <c r="O56" s="6"/>
    </row>
    <row r="57" spans="1:868" s="2" customFormat="1">
      <c r="A57" s="227" t="s">
        <v>127</v>
      </c>
      <c r="B57" s="9">
        <v>2019</v>
      </c>
      <c r="C57" s="9" t="s">
        <v>107</v>
      </c>
      <c r="D57" s="320">
        <v>2326</v>
      </c>
      <c r="E57" s="227" t="s">
        <v>136</v>
      </c>
      <c r="F57" s="9">
        <v>1</v>
      </c>
      <c r="G57" s="9">
        <v>1</v>
      </c>
      <c r="H57" s="9">
        <v>2</v>
      </c>
      <c r="I57" s="9">
        <v>1</v>
      </c>
      <c r="J57" s="9">
        <v>2</v>
      </c>
      <c r="K57" s="186">
        <v>0.47802211380704585</v>
      </c>
      <c r="L57" s="970"/>
      <c r="M57" s="971"/>
      <c r="N57" s="972"/>
      <c r="O57" s="6"/>
    </row>
    <row r="58" spans="1:868">
      <c r="C58" s="106"/>
      <c r="D58" s="16"/>
      <c r="E58" s="16"/>
      <c r="G58" s="106"/>
    </row>
    <row r="59" spans="1:868" s="6" customFormat="1" ht="30" customHeight="1">
      <c r="A59" s="966" t="s">
        <v>957</v>
      </c>
      <c r="B59" s="966"/>
      <c r="C59" s="966"/>
      <c r="D59" s="966"/>
      <c r="E59" s="966"/>
      <c r="F59" s="966"/>
      <c r="G59" s="966"/>
      <c r="H59" s="966"/>
      <c r="I59" s="966"/>
      <c r="J59" s="966"/>
      <c r="K59" s="966"/>
      <c r="L59" s="966"/>
      <c r="M59" s="966"/>
      <c r="N59" s="966"/>
      <c r="O59" s="966"/>
      <c r="P59" s="966"/>
      <c r="Q59" s="966"/>
      <c r="R59" s="966"/>
      <c r="S59" s="966"/>
    </row>
    <row r="60" spans="1:868" s="2" customFormat="1" ht="30" customHeight="1" thickBot="1">
      <c r="A60" s="758" t="s">
        <v>137</v>
      </c>
      <c r="B60" s="758" t="s">
        <v>138</v>
      </c>
      <c r="C60" s="759" t="s">
        <v>139</v>
      </c>
      <c r="D60" s="759" t="s">
        <v>110</v>
      </c>
      <c r="E60" s="760" t="s">
        <v>140</v>
      </c>
      <c r="F60" s="759" t="s">
        <v>141</v>
      </c>
      <c r="G60" s="759" t="s">
        <v>112</v>
      </c>
      <c r="H60" s="761" t="s">
        <v>142</v>
      </c>
      <c r="I60" s="761" t="s">
        <v>143</v>
      </c>
      <c r="J60" s="761" t="s">
        <v>69</v>
      </c>
      <c r="K60" s="761" t="s">
        <v>75</v>
      </c>
      <c r="L60" s="761" t="s">
        <v>81</v>
      </c>
      <c r="M60" s="761" t="s">
        <v>87</v>
      </c>
      <c r="N60" s="762" t="s">
        <v>144</v>
      </c>
      <c r="O60" s="762" t="s">
        <v>145</v>
      </c>
      <c r="P60" s="763" t="s">
        <v>132</v>
      </c>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c r="NG60"/>
      <c r="NH60"/>
      <c r="NI60"/>
      <c r="NJ60"/>
      <c r="NK60"/>
      <c r="NL60"/>
      <c r="NM60"/>
      <c r="NN60"/>
      <c r="NO60"/>
      <c r="NP60"/>
      <c r="NQ60"/>
      <c r="NR60"/>
      <c r="NS60"/>
      <c r="NT60"/>
      <c r="NU60"/>
      <c r="NV60"/>
      <c r="NW60"/>
      <c r="NX60"/>
      <c r="NY60"/>
      <c r="NZ60"/>
      <c r="OA60"/>
      <c r="OB60"/>
      <c r="OC60"/>
      <c r="OD60"/>
      <c r="OE60"/>
      <c r="OF60"/>
      <c r="OG60"/>
      <c r="OH60"/>
      <c r="OI60"/>
      <c r="OJ60"/>
      <c r="OK60"/>
      <c r="OL60"/>
      <c r="OM60"/>
      <c r="ON60"/>
      <c r="OO60"/>
      <c r="OP60"/>
      <c r="OQ60"/>
      <c r="OR60"/>
      <c r="OS60"/>
      <c r="OT60"/>
      <c r="OU60"/>
      <c r="OV60"/>
      <c r="OW60"/>
      <c r="OX60"/>
      <c r="OY60"/>
      <c r="OZ60"/>
      <c r="PA60"/>
      <c r="PB60"/>
      <c r="PC60"/>
      <c r="PD60"/>
      <c r="PE60"/>
      <c r="PF60"/>
      <c r="PG60"/>
      <c r="PH60"/>
      <c r="PI60"/>
      <c r="PJ60"/>
      <c r="PK60"/>
      <c r="PL60"/>
      <c r="PM60"/>
      <c r="PN60"/>
      <c r="PO60"/>
      <c r="PP60"/>
      <c r="PQ60"/>
      <c r="PR60"/>
      <c r="PS60"/>
      <c r="PT60"/>
      <c r="PU60"/>
      <c r="PV60"/>
      <c r="PW60"/>
      <c r="PX60"/>
      <c r="PY60"/>
      <c r="PZ60"/>
      <c r="QA60"/>
      <c r="QB60"/>
      <c r="QC60"/>
      <c r="QD60"/>
      <c r="QE60"/>
      <c r="QF60"/>
      <c r="QG60"/>
      <c r="QH60"/>
      <c r="QI60"/>
      <c r="QJ60"/>
      <c r="QK60"/>
      <c r="QL60"/>
      <c r="QM60"/>
      <c r="QN60"/>
      <c r="QO60"/>
      <c r="QP60"/>
      <c r="QQ60"/>
      <c r="QR60"/>
      <c r="QS60"/>
      <c r="QT60"/>
      <c r="QU60"/>
      <c r="QV60"/>
      <c r="QW60"/>
      <c r="QX60"/>
      <c r="QY60"/>
      <c r="QZ60"/>
      <c r="RA60"/>
      <c r="RB60"/>
      <c r="RC60"/>
      <c r="RD60"/>
      <c r="RE60"/>
      <c r="RF60"/>
      <c r="RG60"/>
      <c r="RH60"/>
      <c r="RI60"/>
      <c r="RJ60"/>
      <c r="RK60"/>
      <c r="RL60"/>
      <c r="RM60"/>
      <c r="RN60"/>
      <c r="RO60"/>
      <c r="RP60"/>
      <c r="RQ60"/>
      <c r="RR60"/>
      <c r="RS60"/>
      <c r="RT60"/>
      <c r="RU60"/>
      <c r="RV60"/>
      <c r="RW60"/>
      <c r="RX60"/>
      <c r="RY60"/>
      <c r="RZ60"/>
      <c r="SA60"/>
      <c r="SB60"/>
      <c r="SC60"/>
      <c r="SD60"/>
      <c r="SE60"/>
      <c r="SF60"/>
      <c r="SG60"/>
      <c r="SH60"/>
      <c r="SI60"/>
      <c r="SJ60"/>
      <c r="SK60"/>
      <c r="SL60"/>
      <c r="SM60"/>
      <c r="SN60"/>
      <c r="SO60"/>
      <c r="SP60"/>
      <c r="SQ60"/>
      <c r="SR60"/>
      <c r="SS60"/>
      <c r="ST60"/>
      <c r="SU60"/>
      <c r="SV60"/>
      <c r="SW60"/>
      <c r="SX60"/>
      <c r="SY60"/>
      <c r="SZ60"/>
      <c r="TA60"/>
      <c r="TB60"/>
      <c r="TC60"/>
      <c r="TD60"/>
      <c r="TE60"/>
      <c r="TF60"/>
      <c r="TG60"/>
      <c r="TH60"/>
      <c r="TI60"/>
      <c r="TJ60"/>
      <c r="TK60"/>
      <c r="TL60"/>
      <c r="TM60"/>
      <c r="TN60"/>
      <c r="TO60"/>
      <c r="TP60"/>
      <c r="TQ60"/>
      <c r="TR60"/>
      <c r="TS60"/>
      <c r="TT60"/>
      <c r="TU60"/>
      <c r="TV60"/>
      <c r="TW60"/>
      <c r="TX60"/>
      <c r="TY60"/>
      <c r="TZ60"/>
      <c r="UA60"/>
      <c r="UB60"/>
      <c r="UC60"/>
      <c r="UD60"/>
      <c r="UE60"/>
      <c r="UF60"/>
      <c r="UG60"/>
      <c r="UH60"/>
      <c r="UI60"/>
      <c r="UJ60"/>
      <c r="UK60"/>
      <c r="UL60"/>
      <c r="UM60"/>
      <c r="UN60"/>
      <c r="UO60"/>
      <c r="UP60"/>
      <c r="UQ60"/>
      <c r="UR60"/>
      <c r="US60"/>
      <c r="UT60"/>
      <c r="UU60"/>
      <c r="UV60"/>
      <c r="UW60"/>
      <c r="UX60"/>
      <c r="UY60"/>
      <c r="UZ60"/>
      <c r="VA60"/>
      <c r="VB60"/>
      <c r="VC60"/>
      <c r="VD60"/>
      <c r="VE60"/>
      <c r="VF60"/>
      <c r="VG60"/>
      <c r="VH60"/>
      <c r="VI60"/>
      <c r="VJ60"/>
      <c r="VK60"/>
      <c r="VL60"/>
      <c r="VM60"/>
      <c r="VN60"/>
      <c r="VO60"/>
      <c r="VP60"/>
      <c r="VQ60"/>
      <c r="VR60"/>
      <c r="VS60"/>
      <c r="VT60"/>
      <c r="VU60"/>
      <c r="VV60"/>
      <c r="VW60"/>
      <c r="VX60"/>
      <c r="VY60"/>
      <c r="VZ60"/>
      <c r="WA60"/>
      <c r="WB60"/>
      <c r="WC60"/>
      <c r="WD60"/>
      <c r="WE60"/>
      <c r="WF60"/>
      <c r="WG60"/>
      <c r="WH60"/>
      <c r="WI60"/>
      <c r="WJ60"/>
      <c r="WK60"/>
      <c r="WL60"/>
      <c r="WM60"/>
      <c r="WN60"/>
      <c r="WO60"/>
      <c r="WP60"/>
      <c r="WQ60"/>
      <c r="WR60"/>
      <c r="WS60"/>
      <c r="WT60"/>
      <c r="WU60"/>
      <c r="WV60"/>
      <c r="WW60"/>
      <c r="WX60"/>
      <c r="WY60"/>
      <c r="WZ60"/>
      <c r="XA60"/>
      <c r="XB60"/>
      <c r="XC60"/>
      <c r="XD60"/>
      <c r="XE60"/>
      <c r="XF60"/>
      <c r="XG60"/>
      <c r="XH60"/>
      <c r="XI60"/>
      <c r="XJ60"/>
      <c r="XK60"/>
      <c r="XL60"/>
      <c r="XM60"/>
      <c r="XN60"/>
      <c r="XO60"/>
      <c r="XP60"/>
      <c r="XQ60"/>
      <c r="XR60"/>
      <c r="XS60"/>
      <c r="XT60"/>
      <c r="XU60"/>
      <c r="XV60"/>
      <c r="XW60"/>
      <c r="XX60"/>
      <c r="XY60"/>
      <c r="XZ60"/>
      <c r="YA60"/>
      <c r="YB60"/>
      <c r="YC60"/>
      <c r="YD60"/>
      <c r="YE60"/>
      <c r="YF60"/>
      <c r="YG60"/>
      <c r="YH60"/>
      <c r="YI60"/>
      <c r="YJ60"/>
      <c r="YK60"/>
      <c r="YL60"/>
      <c r="YM60"/>
      <c r="YN60"/>
      <c r="YO60"/>
      <c r="YP60"/>
      <c r="YQ60"/>
      <c r="YR60"/>
      <c r="YS60"/>
      <c r="YT60"/>
      <c r="YU60"/>
      <c r="YV60"/>
      <c r="YW60"/>
      <c r="YX60"/>
      <c r="YY60"/>
      <c r="YZ60"/>
      <c r="ZA60"/>
      <c r="ZB60"/>
      <c r="ZC60"/>
      <c r="ZD60"/>
      <c r="ZE60"/>
      <c r="ZF60"/>
      <c r="ZG60"/>
      <c r="ZH60"/>
      <c r="ZI60"/>
      <c r="ZJ60"/>
      <c r="ZK60"/>
      <c r="ZL60"/>
      <c r="ZM60"/>
      <c r="ZN60"/>
      <c r="ZO60"/>
      <c r="ZP60"/>
      <c r="ZQ60"/>
      <c r="ZR60"/>
      <c r="ZS60"/>
      <c r="ZT60"/>
      <c r="ZU60"/>
      <c r="ZV60"/>
      <c r="ZW60"/>
      <c r="ZX60"/>
      <c r="ZY60"/>
      <c r="ZZ60"/>
      <c r="AAA60"/>
      <c r="AAB60"/>
      <c r="AAC60"/>
      <c r="AAD60"/>
      <c r="AAE60"/>
      <c r="AAF60"/>
      <c r="AAG60"/>
      <c r="AAH60"/>
      <c r="AAI60"/>
      <c r="AAJ60"/>
      <c r="AAK60"/>
      <c r="AAL60"/>
      <c r="AAM60"/>
      <c r="AAN60"/>
      <c r="AAO60"/>
      <c r="AAP60"/>
      <c r="AAQ60"/>
      <c r="AAR60"/>
      <c r="AAS60"/>
      <c r="AAT60"/>
      <c r="AAU60"/>
      <c r="AAV60"/>
      <c r="AAW60"/>
      <c r="AAX60"/>
      <c r="AAY60"/>
      <c r="AAZ60"/>
      <c r="ABA60"/>
      <c r="ABB60"/>
      <c r="ABC60"/>
      <c r="ABD60"/>
      <c r="ABE60"/>
      <c r="ABF60"/>
      <c r="ABG60"/>
      <c r="ABH60"/>
      <c r="ABI60"/>
      <c r="ABJ60"/>
      <c r="ABK60"/>
      <c r="ABL60"/>
      <c r="ABM60"/>
      <c r="ABN60"/>
      <c r="ABO60"/>
      <c r="ABP60"/>
      <c r="ABQ60"/>
      <c r="ABR60"/>
      <c r="ABS60"/>
      <c r="ABT60"/>
      <c r="ABU60"/>
      <c r="ABV60"/>
      <c r="ABW60"/>
      <c r="ABX60"/>
      <c r="ABY60"/>
      <c r="ABZ60"/>
      <c r="ACA60"/>
      <c r="ACB60"/>
      <c r="ACC60"/>
      <c r="ACD60"/>
      <c r="ACE60"/>
      <c r="ACF60"/>
      <c r="ACG60"/>
      <c r="ACH60"/>
      <c r="ACI60"/>
      <c r="ACJ60"/>
      <c r="ACK60"/>
      <c r="ACL60"/>
      <c r="ACM60"/>
      <c r="ACN60"/>
      <c r="ACO60"/>
      <c r="ACP60"/>
      <c r="ACQ60"/>
      <c r="ACR60"/>
      <c r="ACS60"/>
      <c r="ACT60"/>
      <c r="ACU60"/>
      <c r="ACV60"/>
      <c r="ACW60"/>
      <c r="ACX60"/>
      <c r="ACY60"/>
      <c r="ACZ60"/>
      <c r="ADA60"/>
      <c r="ADB60"/>
      <c r="ADC60"/>
      <c r="ADD60"/>
      <c r="ADE60"/>
      <c r="ADF60"/>
      <c r="ADG60"/>
      <c r="ADH60"/>
      <c r="ADI60"/>
      <c r="ADJ60"/>
      <c r="ADK60"/>
      <c r="ADL60"/>
      <c r="ADM60"/>
      <c r="ADN60"/>
      <c r="ADO60"/>
      <c r="ADP60"/>
      <c r="ADQ60"/>
      <c r="ADR60"/>
      <c r="ADS60"/>
      <c r="ADT60"/>
      <c r="ADU60"/>
      <c r="ADV60"/>
      <c r="ADW60"/>
      <c r="ADX60"/>
      <c r="ADY60"/>
      <c r="ADZ60"/>
      <c r="AEA60"/>
      <c r="AEB60"/>
      <c r="AEC60"/>
      <c r="AED60"/>
      <c r="AEE60"/>
      <c r="AEF60"/>
      <c r="AEG60"/>
      <c r="AEH60"/>
      <c r="AEI60"/>
      <c r="AEJ60"/>
      <c r="AEK60"/>
      <c r="AEL60"/>
      <c r="AEM60"/>
      <c r="AEN60"/>
      <c r="AEO60"/>
      <c r="AEP60"/>
      <c r="AEQ60"/>
      <c r="AER60"/>
      <c r="AES60"/>
      <c r="AET60"/>
      <c r="AEU60"/>
      <c r="AEV60"/>
      <c r="AEW60"/>
      <c r="AEX60"/>
      <c r="AEY60"/>
      <c r="AEZ60"/>
      <c r="AFA60"/>
      <c r="AFB60"/>
      <c r="AFC60"/>
      <c r="AFD60"/>
      <c r="AFE60"/>
      <c r="AFF60"/>
      <c r="AFG60"/>
      <c r="AFH60"/>
      <c r="AFI60"/>
      <c r="AFJ60"/>
      <c r="AFK60"/>
      <c r="AFL60"/>
      <c r="AFM60"/>
      <c r="AFN60"/>
      <c r="AFO60"/>
      <c r="AFP60"/>
      <c r="AFQ60"/>
      <c r="AFR60"/>
      <c r="AFS60"/>
      <c r="AFT60"/>
      <c r="AFU60"/>
      <c r="AFV60"/>
      <c r="AFW60"/>
      <c r="AFX60"/>
      <c r="AFY60"/>
      <c r="AFZ60"/>
      <c r="AGA60"/>
      <c r="AGB60"/>
      <c r="AGC60"/>
      <c r="AGD60"/>
      <c r="AGE60"/>
      <c r="AGF60"/>
      <c r="AGG60"/>
      <c r="AGH60"/>
      <c r="AGI60"/>
      <c r="AGJ60"/>
    </row>
    <row r="61" spans="1:868" s="1" customFormat="1">
      <c r="A61" s="651" t="s">
        <v>127</v>
      </c>
      <c r="B61" s="803" t="s">
        <v>450</v>
      </c>
      <c r="C61" s="33" t="s">
        <v>147</v>
      </c>
      <c r="D61" s="121" t="s">
        <v>107</v>
      </c>
      <c r="E61" s="765">
        <f t="shared" ref="E61:E74" si="22">(G36)/(SUM($G$36:$G$49))</f>
        <v>0.10650572468270171</v>
      </c>
      <c r="F61" s="11">
        <v>1</v>
      </c>
      <c r="G61" s="11" t="s">
        <v>451</v>
      </c>
      <c r="H61" s="13">
        <v>1</v>
      </c>
      <c r="I61" s="13">
        <v>2</v>
      </c>
      <c r="J61" s="13">
        <v>2</v>
      </c>
      <c r="K61" s="13">
        <v>1</v>
      </c>
      <c r="L61" s="13">
        <v>1</v>
      </c>
      <c r="M61" s="13">
        <v>2</v>
      </c>
      <c r="N61" s="431">
        <f t="shared" ref="N61" si="23">IF( OR( ISBLANK(H61),ISBLANK(J61), ISBLANK(K61), ISBLANK(L61), ISBLANK(M61) ), "", 1.5*SQRT(   EXP(2.21*(H61-1)) + EXP(2.21*(J61-1)) + EXP(2.21*(K61-1)) + EXP(2.21*(L61-1)) + EXP(2.21*M61)   )/100*2.45 )</f>
        <v>0.35859414261160716</v>
      </c>
      <c r="O61" s="431">
        <f t="shared" ref="O61" si="24">IF( OR( ISBLANK(I61),ISBLANK(J61), ISBLANK(K61), ISBLANK(L61), ISBLANK(M61) ), "", 1.5*SQRT( EXP(2.21*(I61-1)) + EXP(2.21*(J61-1)) + EXP(2.21*(K61-1)) + EXP(2.21*(L61-1)) + EXP(2.21*M61)   )/100*2.45 )</f>
        <v>0.37356464144298934</v>
      </c>
      <c r="P61" s="42"/>
      <c r="Q61" s="443"/>
      <c r="R61" s="443"/>
      <c r="S61" s="443"/>
      <c r="T61" s="443"/>
      <c r="U61" s="443"/>
      <c r="V61" s="443"/>
      <c r="W61" s="443"/>
      <c r="X61" s="443"/>
      <c r="Y61" s="443"/>
      <c r="Z61" s="443"/>
      <c r="AA61" s="443"/>
      <c r="AB61" s="443"/>
      <c r="AC61" s="443"/>
      <c r="AD61" s="443"/>
      <c r="AE61" s="443"/>
      <c r="AF61" s="443"/>
      <c r="AG61" s="443"/>
      <c r="AH61" s="443"/>
      <c r="AI61" s="443"/>
      <c r="AJ61" s="443"/>
      <c r="AK61" s="443"/>
      <c r="AL61" s="443"/>
      <c r="AM61" s="443"/>
      <c r="AN61" s="443"/>
      <c r="AO61" s="443"/>
      <c r="AP61" s="443"/>
      <c r="AQ61" s="443"/>
      <c r="AR61" s="443"/>
      <c r="AS61" s="443"/>
      <c r="AT61" s="443"/>
      <c r="AU61" s="443"/>
      <c r="AV61" s="443"/>
      <c r="AW61" s="443"/>
      <c r="AX61" s="443"/>
      <c r="AY61" s="443"/>
      <c r="AZ61" s="443"/>
      <c r="BA61" s="443"/>
      <c r="BB61" s="443"/>
      <c r="BC61" s="443"/>
      <c r="BD61" s="443"/>
      <c r="BE61" s="443"/>
      <c r="BF61" s="443"/>
      <c r="BG61" s="443"/>
      <c r="BH61" s="443"/>
      <c r="BI61" s="443"/>
      <c r="BJ61" s="443"/>
      <c r="BK61" s="443"/>
      <c r="BL61" s="443"/>
      <c r="BM61" s="443"/>
      <c r="BN61" s="443"/>
      <c r="BO61" s="443"/>
      <c r="BP61" s="443"/>
      <c r="BQ61" s="443"/>
      <c r="BR61" s="443"/>
      <c r="BS61" s="443"/>
      <c r="BT61" s="443"/>
      <c r="BU61" s="443"/>
      <c r="BV61" s="443"/>
      <c r="BW61" s="443"/>
      <c r="BX61" s="443"/>
      <c r="BY61" s="443"/>
      <c r="BZ61" s="443"/>
      <c r="CA61" s="443"/>
      <c r="CB61" s="443"/>
      <c r="CC61" s="443"/>
      <c r="CD61" s="443"/>
      <c r="CE61" s="443"/>
      <c r="CF61" s="443"/>
      <c r="CG61" s="443"/>
      <c r="CH61" s="443"/>
      <c r="CI61" s="443"/>
      <c r="CJ61" s="443"/>
      <c r="CK61" s="443"/>
      <c r="CL61" s="443"/>
      <c r="CM61" s="443"/>
      <c r="CN61" s="443"/>
      <c r="CO61" s="443"/>
      <c r="CP61" s="443"/>
      <c r="CQ61" s="443"/>
      <c r="CR61" s="443"/>
      <c r="CS61" s="443"/>
      <c r="CT61" s="443"/>
      <c r="CU61" s="443"/>
      <c r="CV61" s="443"/>
      <c r="CW61" s="443"/>
      <c r="CX61" s="443"/>
      <c r="CY61" s="443"/>
      <c r="CZ61" s="443"/>
      <c r="DA61" s="443"/>
      <c r="DB61" s="443"/>
      <c r="DC61" s="443"/>
      <c r="DD61" s="443"/>
      <c r="DE61" s="443"/>
      <c r="DF61" s="443"/>
      <c r="DG61" s="443"/>
      <c r="DH61" s="443"/>
      <c r="DI61" s="443"/>
      <c r="DJ61" s="443"/>
      <c r="DK61" s="443"/>
      <c r="DL61" s="443"/>
      <c r="DM61" s="443"/>
      <c r="DN61" s="443"/>
      <c r="DO61" s="443"/>
      <c r="DP61" s="443"/>
      <c r="DQ61" s="443"/>
      <c r="DR61" s="443"/>
      <c r="DS61" s="443"/>
      <c r="DT61" s="443"/>
      <c r="DU61" s="443"/>
      <c r="DV61" s="443"/>
      <c r="DW61" s="443"/>
      <c r="DX61" s="443"/>
      <c r="DY61" s="443"/>
      <c r="DZ61" s="443"/>
      <c r="EA61" s="443"/>
      <c r="EB61" s="443"/>
      <c r="EC61" s="443"/>
      <c r="ED61" s="443"/>
      <c r="EE61" s="443"/>
      <c r="EF61" s="443"/>
      <c r="EG61" s="443"/>
      <c r="EH61" s="443"/>
      <c r="EI61" s="443"/>
      <c r="EJ61" s="443"/>
      <c r="EK61" s="443"/>
      <c r="EL61" s="443"/>
      <c r="EM61" s="443"/>
      <c r="EN61" s="443"/>
      <c r="EO61" s="443"/>
      <c r="EP61" s="443"/>
      <c r="EQ61" s="443"/>
      <c r="ER61" s="443"/>
      <c r="ES61" s="443"/>
      <c r="ET61" s="443"/>
      <c r="EU61" s="443"/>
      <c r="EV61" s="443"/>
      <c r="EW61" s="443"/>
      <c r="EX61" s="443"/>
      <c r="EY61" s="443"/>
      <c r="EZ61" s="443"/>
      <c r="FA61" s="443"/>
      <c r="FB61" s="443"/>
      <c r="FC61" s="443"/>
      <c r="FD61" s="443"/>
      <c r="FE61" s="443"/>
      <c r="FF61" s="443"/>
      <c r="FG61" s="443"/>
      <c r="FH61" s="443"/>
      <c r="FI61" s="443"/>
      <c r="FJ61" s="443"/>
      <c r="FK61" s="443"/>
      <c r="FL61" s="443"/>
      <c r="FM61" s="443"/>
      <c r="FN61" s="443"/>
      <c r="FO61" s="443"/>
      <c r="FP61" s="443"/>
      <c r="FQ61" s="443"/>
      <c r="FR61" s="443"/>
      <c r="FS61" s="443"/>
      <c r="FT61" s="443"/>
      <c r="FU61" s="443"/>
      <c r="FV61" s="443"/>
      <c r="FW61" s="443"/>
      <c r="FX61" s="443"/>
      <c r="FY61" s="443"/>
      <c r="FZ61" s="443"/>
      <c r="GA61" s="443"/>
      <c r="GB61" s="443"/>
      <c r="GC61" s="443"/>
      <c r="GD61" s="443"/>
      <c r="GE61" s="443"/>
      <c r="GF61" s="443"/>
      <c r="GG61" s="443"/>
      <c r="GH61" s="443"/>
      <c r="GI61" s="443"/>
      <c r="GJ61" s="443"/>
      <c r="GK61" s="443"/>
      <c r="GL61" s="443"/>
      <c r="GM61" s="443"/>
      <c r="GN61" s="443"/>
      <c r="GO61" s="443"/>
      <c r="GP61" s="443"/>
      <c r="GQ61" s="443"/>
      <c r="GR61" s="443"/>
      <c r="GS61" s="443"/>
      <c r="GT61" s="443"/>
      <c r="GU61" s="443"/>
      <c r="GV61" s="443"/>
      <c r="GW61" s="443"/>
      <c r="GX61" s="443"/>
      <c r="GY61" s="443"/>
      <c r="GZ61" s="443"/>
      <c r="HA61" s="443"/>
      <c r="HB61" s="443"/>
      <c r="HC61" s="443"/>
      <c r="HD61" s="443"/>
      <c r="HE61" s="443"/>
      <c r="HF61" s="443"/>
      <c r="HG61" s="443"/>
      <c r="HH61" s="443"/>
      <c r="HI61" s="443"/>
      <c r="HJ61" s="443"/>
      <c r="HK61" s="443"/>
      <c r="HL61" s="443"/>
      <c r="HM61" s="443"/>
      <c r="HN61" s="443"/>
      <c r="HO61" s="443"/>
      <c r="HP61" s="443"/>
      <c r="HQ61" s="443"/>
      <c r="HR61" s="443"/>
      <c r="HS61" s="443"/>
      <c r="HT61" s="443"/>
      <c r="HU61" s="443"/>
      <c r="HV61" s="443"/>
      <c r="HW61" s="443"/>
      <c r="HX61" s="443"/>
      <c r="HY61" s="443"/>
      <c r="HZ61" s="443"/>
      <c r="IA61" s="443"/>
      <c r="IB61" s="443"/>
      <c r="IC61" s="443"/>
      <c r="ID61" s="443"/>
      <c r="IE61" s="443"/>
      <c r="IF61" s="443"/>
      <c r="IG61" s="443"/>
      <c r="IH61" s="443"/>
      <c r="II61" s="443"/>
      <c r="IJ61" s="443"/>
      <c r="IK61" s="443"/>
      <c r="IL61" s="443"/>
      <c r="IM61" s="443"/>
      <c r="IN61" s="443"/>
      <c r="IO61" s="443"/>
      <c r="IP61" s="443"/>
      <c r="IQ61" s="443"/>
      <c r="IR61" s="443"/>
      <c r="IS61" s="443"/>
      <c r="IT61" s="443"/>
      <c r="IU61" s="443"/>
      <c r="IV61" s="443"/>
      <c r="IW61" s="443"/>
      <c r="IX61" s="443"/>
      <c r="IY61" s="443"/>
      <c r="IZ61" s="443"/>
      <c r="JA61" s="443"/>
      <c r="JB61" s="443"/>
      <c r="JC61" s="443"/>
      <c r="JD61" s="443"/>
      <c r="JE61" s="443"/>
      <c r="JF61" s="443"/>
      <c r="JG61" s="443"/>
      <c r="JH61" s="443"/>
      <c r="JI61" s="443"/>
      <c r="JJ61" s="443"/>
      <c r="JK61" s="443"/>
      <c r="JL61" s="443"/>
      <c r="JM61" s="443"/>
      <c r="JN61" s="443"/>
      <c r="JO61" s="443"/>
      <c r="JP61" s="443"/>
      <c r="JQ61" s="443"/>
      <c r="JR61" s="443"/>
      <c r="JS61" s="443"/>
      <c r="JT61" s="443"/>
      <c r="JU61" s="443"/>
      <c r="JV61" s="443"/>
      <c r="JW61" s="443"/>
      <c r="JX61" s="443"/>
      <c r="JY61" s="443"/>
      <c r="JZ61" s="443"/>
      <c r="KA61" s="443"/>
      <c r="KB61" s="443"/>
      <c r="KC61" s="443"/>
      <c r="KD61" s="443"/>
      <c r="KE61" s="443"/>
      <c r="KF61" s="443"/>
      <c r="KG61" s="443"/>
      <c r="KH61" s="443"/>
      <c r="KI61" s="443"/>
      <c r="KJ61" s="443"/>
      <c r="KK61" s="443"/>
      <c r="KL61" s="443"/>
      <c r="KM61" s="443"/>
      <c r="KN61" s="443"/>
      <c r="KO61" s="443"/>
      <c r="KP61" s="443"/>
      <c r="KQ61" s="443"/>
      <c r="KR61" s="443"/>
      <c r="KS61" s="443"/>
      <c r="KT61" s="443"/>
      <c r="KU61" s="443"/>
      <c r="KV61" s="443"/>
      <c r="KW61" s="443"/>
      <c r="KX61" s="443"/>
      <c r="KY61" s="443"/>
      <c r="KZ61" s="443"/>
      <c r="LA61" s="443"/>
      <c r="LB61" s="443"/>
      <c r="LC61" s="443"/>
      <c r="LD61" s="443"/>
      <c r="LE61" s="443"/>
      <c r="LF61" s="443"/>
      <c r="LG61" s="443"/>
      <c r="LH61" s="443"/>
      <c r="LI61" s="443"/>
      <c r="LJ61" s="443"/>
      <c r="LK61" s="443"/>
      <c r="LL61" s="443"/>
      <c r="LM61" s="443"/>
      <c r="LN61" s="443"/>
      <c r="LO61" s="443"/>
      <c r="LP61" s="443"/>
      <c r="LQ61" s="443"/>
      <c r="LR61" s="443"/>
      <c r="LS61" s="443"/>
      <c r="LT61" s="443"/>
      <c r="LU61" s="443"/>
      <c r="LV61" s="443"/>
      <c r="LW61" s="443"/>
      <c r="LX61" s="443"/>
      <c r="LY61" s="443"/>
      <c r="LZ61" s="443"/>
      <c r="MA61" s="443"/>
      <c r="MB61" s="443"/>
      <c r="MC61" s="443"/>
      <c r="MD61" s="443"/>
      <c r="ME61" s="443"/>
      <c r="MF61" s="443"/>
      <c r="MG61" s="443"/>
      <c r="MH61" s="443"/>
      <c r="MI61" s="443"/>
      <c r="MJ61" s="443"/>
      <c r="MK61" s="443"/>
      <c r="ML61" s="443"/>
      <c r="MM61" s="443"/>
      <c r="MN61" s="443"/>
      <c r="MO61" s="443"/>
      <c r="MP61" s="443"/>
      <c r="MQ61" s="443"/>
      <c r="MR61" s="443"/>
      <c r="MS61" s="443"/>
      <c r="MT61" s="443"/>
      <c r="MU61" s="443"/>
      <c r="MV61" s="443"/>
      <c r="MW61" s="443"/>
      <c r="MX61" s="443"/>
      <c r="MY61" s="443"/>
      <c r="MZ61" s="443"/>
      <c r="NA61" s="443"/>
      <c r="NB61" s="443"/>
      <c r="NC61" s="443"/>
      <c r="ND61" s="443"/>
      <c r="NE61" s="443"/>
      <c r="NF61" s="443"/>
      <c r="NG61" s="443"/>
      <c r="NH61" s="443"/>
      <c r="NI61" s="443"/>
      <c r="NJ61" s="443"/>
      <c r="NK61" s="443"/>
      <c r="NL61" s="443"/>
      <c r="NM61" s="443"/>
      <c r="NN61" s="443"/>
      <c r="NO61" s="443"/>
      <c r="NP61" s="443"/>
      <c r="NQ61" s="443"/>
      <c r="NR61" s="443"/>
      <c r="NS61" s="443"/>
      <c r="NT61" s="443"/>
      <c r="NU61" s="443"/>
      <c r="NV61" s="443"/>
      <c r="NW61" s="443"/>
      <c r="NX61" s="443"/>
      <c r="NY61" s="443"/>
      <c r="NZ61" s="443"/>
      <c r="OA61" s="443"/>
      <c r="OB61" s="443"/>
      <c r="OC61" s="443"/>
      <c r="OD61" s="443"/>
      <c r="OE61" s="443"/>
      <c r="OF61" s="443"/>
      <c r="OG61" s="443"/>
      <c r="OH61" s="443"/>
      <c r="OI61" s="443"/>
      <c r="OJ61" s="443"/>
      <c r="OK61" s="443"/>
      <c r="OL61" s="443"/>
      <c r="OM61" s="443"/>
      <c r="ON61" s="443"/>
      <c r="OO61" s="443"/>
      <c r="OP61" s="443"/>
      <c r="OQ61" s="443"/>
      <c r="OR61" s="443"/>
      <c r="OS61" s="443"/>
      <c r="OT61" s="443"/>
      <c r="OU61" s="443"/>
      <c r="OV61" s="443"/>
      <c r="OW61" s="443"/>
      <c r="OX61" s="443"/>
      <c r="OY61" s="443"/>
      <c r="OZ61" s="443"/>
      <c r="PA61" s="443"/>
      <c r="PB61" s="443"/>
      <c r="PC61" s="443"/>
      <c r="PD61" s="443"/>
      <c r="PE61" s="443"/>
      <c r="PF61" s="443"/>
      <c r="PG61" s="443"/>
      <c r="PH61" s="443"/>
      <c r="PI61" s="443"/>
      <c r="PJ61" s="443"/>
      <c r="PK61" s="443"/>
      <c r="PL61" s="443"/>
      <c r="PM61" s="443"/>
      <c r="PN61" s="443"/>
      <c r="PO61" s="443"/>
      <c r="PP61" s="443"/>
      <c r="PQ61" s="443"/>
      <c r="PR61" s="443"/>
      <c r="PS61" s="443"/>
      <c r="PT61" s="443"/>
      <c r="PU61" s="443"/>
      <c r="PV61" s="443"/>
      <c r="PW61" s="443"/>
      <c r="PX61" s="443"/>
      <c r="PY61" s="443"/>
      <c r="PZ61" s="443"/>
      <c r="QA61" s="443"/>
      <c r="QB61" s="443"/>
      <c r="QC61" s="443"/>
      <c r="QD61" s="443"/>
      <c r="QE61" s="443"/>
      <c r="QF61" s="443"/>
      <c r="QG61" s="443"/>
      <c r="QH61" s="443"/>
      <c r="QI61" s="443"/>
      <c r="QJ61" s="443"/>
      <c r="QK61" s="443"/>
      <c r="QL61" s="443"/>
      <c r="QM61" s="443"/>
      <c r="QN61" s="443"/>
      <c r="QO61" s="443"/>
      <c r="QP61" s="443"/>
      <c r="QQ61" s="443"/>
      <c r="QR61" s="443"/>
      <c r="QS61" s="443"/>
      <c r="QT61" s="443"/>
      <c r="QU61" s="443"/>
      <c r="QV61" s="443"/>
      <c r="QW61" s="443"/>
      <c r="QX61" s="443"/>
      <c r="QY61" s="443"/>
      <c r="QZ61" s="443"/>
      <c r="RA61" s="443"/>
      <c r="RB61" s="443"/>
      <c r="RC61" s="443"/>
      <c r="RD61" s="443"/>
      <c r="RE61" s="443"/>
      <c r="RF61" s="443"/>
      <c r="RG61" s="443"/>
      <c r="RH61" s="443"/>
      <c r="RI61" s="443"/>
      <c r="RJ61" s="443"/>
      <c r="RK61" s="443"/>
      <c r="RL61" s="443"/>
      <c r="RM61" s="443"/>
      <c r="RN61" s="443"/>
      <c r="RO61" s="443"/>
      <c r="RP61" s="443"/>
      <c r="RQ61" s="443"/>
      <c r="RR61" s="443"/>
      <c r="RS61" s="443"/>
      <c r="RT61" s="443"/>
      <c r="RU61" s="443"/>
      <c r="RV61" s="443"/>
      <c r="RW61" s="443"/>
      <c r="RX61" s="443"/>
      <c r="RY61" s="443"/>
      <c r="RZ61" s="443"/>
      <c r="SA61" s="443"/>
      <c r="SB61" s="443"/>
      <c r="SC61" s="443"/>
      <c r="SD61" s="443"/>
      <c r="SE61" s="443"/>
      <c r="SF61" s="443"/>
      <c r="SG61" s="443"/>
      <c r="SH61" s="443"/>
      <c r="SI61" s="443"/>
      <c r="SJ61" s="443"/>
      <c r="SK61" s="443"/>
      <c r="SL61" s="443"/>
      <c r="SM61" s="443"/>
      <c r="SN61" s="443"/>
      <c r="SO61" s="443"/>
      <c r="SP61" s="443"/>
      <c r="SQ61" s="443"/>
      <c r="SR61" s="443"/>
      <c r="SS61" s="443"/>
      <c r="ST61" s="443"/>
      <c r="SU61" s="443"/>
      <c r="SV61" s="443"/>
      <c r="SW61" s="443"/>
      <c r="SX61" s="443"/>
      <c r="SY61" s="443"/>
      <c r="SZ61" s="443"/>
      <c r="TA61" s="443"/>
      <c r="TB61" s="443"/>
      <c r="TC61" s="443"/>
      <c r="TD61" s="443"/>
      <c r="TE61" s="443"/>
      <c r="TF61" s="443"/>
      <c r="TG61" s="443"/>
      <c r="TH61" s="443"/>
      <c r="TI61" s="443"/>
      <c r="TJ61" s="443"/>
      <c r="TK61" s="443"/>
      <c r="TL61" s="443"/>
      <c r="TM61" s="443"/>
      <c r="TN61" s="443"/>
      <c r="TO61" s="443"/>
      <c r="TP61" s="443"/>
      <c r="TQ61" s="443"/>
      <c r="TR61" s="443"/>
      <c r="TS61" s="443"/>
      <c r="TT61" s="443"/>
      <c r="TU61" s="443"/>
      <c r="TV61" s="443"/>
      <c r="TW61" s="443"/>
      <c r="TX61" s="443"/>
      <c r="TY61" s="443"/>
      <c r="TZ61" s="443"/>
      <c r="UA61" s="443"/>
      <c r="UB61" s="443"/>
      <c r="UC61" s="443"/>
      <c r="UD61" s="443"/>
      <c r="UE61" s="443"/>
      <c r="UF61" s="443"/>
      <c r="UG61" s="443"/>
      <c r="UH61" s="443"/>
      <c r="UI61" s="443"/>
      <c r="UJ61" s="443"/>
      <c r="UK61" s="443"/>
      <c r="UL61" s="443"/>
      <c r="UM61" s="443"/>
      <c r="UN61" s="443"/>
      <c r="UO61" s="443"/>
      <c r="UP61" s="443"/>
      <c r="UQ61" s="443"/>
      <c r="UR61" s="443"/>
      <c r="US61" s="443"/>
      <c r="UT61" s="443"/>
      <c r="UU61" s="443"/>
      <c r="UV61" s="443"/>
      <c r="UW61" s="443"/>
      <c r="UX61" s="443"/>
      <c r="UY61" s="443"/>
      <c r="UZ61" s="443"/>
      <c r="VA61" s="443"/>
      <c r="VB61" s="443"/>
      <c r="VC61" s="443"/>
      <c r="VD61" s="443"/>
      <c r="VE61" s="443"/>
      <c r="VF61" s="443"/>
      <c r="VG61" s="443"/>
      <c r="VH61" s="443"/>
      <c r="VI61" s="443"/>
      <c r="VJ61" s="443"/>
      <c r="VK61" s="443"/>
      <c r="VL61" s="443"/>
      <c r="VM61" s="443"/>
      <c r="VN61" s="443"/>
      <c r="VO61" s="443"/>
      <c r="VP61" s="443"/>
      <c r="VQ61" s="443"/>
      <c r="VR61" s="443"/>
      <c r="VS61" s="443"/>
      <c r="VT61" s="443"/>
      <c r="VU61" s="443"/>
      <c r="VV61" s="443"/>
      <c r="VW61" s="443"/>
      <c r="VX61" s="443"/>
      <c r="VY61" s="443"/>
      <c r="VZ61" s="443"/>
      <c r="WA61" s="443"/>
      <c r="WB61" s="443"/>
      <c r="WC61" s="443"/>
      <c r="WD61" s="443"/>
      <c r="WE61" s="443"/>
      <c r="WF61" s="443"/>
      <c r="WG61" s="443"/>
      <c r="WH61" s="443"/>
      <c r="WI61" s="443"/>
      <c r="WJ61" s="443"/>
      <c r="WK61" s="443"/>
      <c r="WL61" s="443"/>
      <c r="WM61" s="443"/>
      <c r="WN61" s="443"/>
      <c r="WO61" s="443"/>
      <c r="WP61" s="443"/>
      <c r="WQ61" s="443"/>
      <c r="WR61" s="443"/>
      <c r="WS61" s="443"/>
      <c r="WT61" s="443"/>
      <c r="WU61" s="443"/>
      <c r="WV61" s="443"/>
      <c r="WW61" s="443"/>
      <c r="WX61" s="443"/>
      <c r="WY61" s="443"/>
      <c r="WZ61" s="443"/>
      <c r="XA61" s="443"/>
      <c r="XB61" s="443"/>
      <c r="XC61" s="443"/>
      <c r="XD61" s="443"/>
      <c r="XE61" s="443"/>
      <c r="XF61" s="443"/>
      <c r="XG61" s="443"/>
      <c r="XH61" s="443"/>
      <c r="XI61" s="443"/>
      <c r="XJ61" s="443"/>
      <c r="XK61" s="443"/>
      <c r="XL61" s="443"/>
      <c r="XM61" s="443"/>
      <c r="XN61" s="443"/>
      <c r="XO61" s="443"/>
      <c r="XP61" s="443"/>
      <c r="XQ61" s="443"/>
      <c r="XR61" s="443"/>
      <c r="XS61" s="443"/>
      <c r="XT61" s="443"/>
      <c r="XU61" s="443"/>
      <c r="XV61" s="443"/>
      <c r="XW61" s="443"/>
      <c r="XX61" s="443"/>
      <c r="XY61" s="443"/>
      <c r="XZ61" s="443"/>
      <c r="YA61" s="443"/>
      <c r="YB61" s="443"/>
      <c r="YC61" s="443"/>
      <c r="YD61" s="443"/>
      <c r="YE61" s="443"/>
      <c r="YF61" s="443"/>
      <c r="YG61" s="443"/>
      <c r="YH61" s="443"/>
      <c r="YI61" s="443"/>
      <c r="YJ61" s="443"/>
      <c r="YK61" s="443"/>
      <c r="YL61" s="443"/>
      <c r="YM61" s="443"/>
      <c r="YN61" s="443"/>
      <c r="YO61" s="443"/>
      <c r="YP61" s="443"/>
      <c r="YQ61" s="443"/>
      <c r="YR61" s="443"/>
      <c r="YS61" s="443"/>
      <c r="YT61" s="443"/>
      <c r="YU61" s="443"/>
      <c r="YV61" s="443"/>
      <c r="YW61" s="443"/>
      <c r="YX61" s="443"/>
      <c r="YY61" s="443"/>
      <c r="YZ61" s="443"/>
      <c r="ZA61" s="443"/>
      <c r="ZB61" s="443"/>
      <c r="ZC61" s="443"/>
      <c r="ZD61" s="443"/>
      <c r="ZE61" s="443"/>
      <c r="ZF61" s="443"/>
      <c r="ZG61" s="443"/>
      <c r="ZH61" s="443"/>
      <c r="ZI61" s="443"/>
      <c r="ZJ61" s="443"/>
      <c r="ZK61" s="443"/>
      <c r="ZL61" s="443"/>
      <c r="ZM61" s="443"/>
      <c r="ZN61" s="443"/>
      <c r="ZO61" s="443"/>
      <c r="ZP61" s="443"/>
      <c r="ZQ61" s="443"/>
      <c r="ZR61" s="443"/>
      <c r="ZS61" s="443"/>
      <c r="ZT61" s="443"/>
      <c r="ZU61" s="443"/>
      <c r="ZV61" s="443"/>
      <c r="ZW61" s="443"/>
      <c r="ZX61" s="443"/>
      <c r="ZY61" s="443"/>
      <c r="ZZ61" s="443"/>
      <c r="AAA61" s="443"/>
      <c r="AAB61" s="443"/>
      <c r="AAC61" s="443"/>
      <c r="AAD61" s="443"/>
      <c r="AAE61" s="443"/>
      <c r="AAF61" s="443"/>
      <c r="AAG61" s="443"/>
      <c r="AAH61" s="443"/>
      <c r="AAI61" s="443"/>
      <c r="AAJ61" s="443"/>
      <c r="AAK61" s="443"/>
      <c r="AAL61" s="443"/>
      <c r="AAM61" s="443"/>
      <c r="AAN61" s="443"/>
      <c r="AAO61" s="443"/>
      <c r="AAP61" s="443"/>
      <c r="AAQ61" s="443"/>
      <c r="AAR61" s="443"/>
      <c r="AAS61" s="443"/>
      <c r="AAT61" s="443"/>
      <c r="AAU61" s="443"/>
      <c r="AAV61" s="443"/>
      <c r="AAW61" s="443"/>
      <c r="AAX61" s="443"/>
      <c r="AAY61" s="443"/>
      <c r="AAZ61" s="443"/>
      <c r="ABA61" s="443"/>
      <c r="ABB61" s="443"/>
      <c r="ABC61" s="443"/>
      <c r="ABD61" s="443"/>
      <c r="ABE61" s="443"/>
      <c r="ABF61" s="443"/>
      <c r="ABG61" s="443"/>
      <c r="ABH61" s="443"/>
      <c r="ABI61" s="443"/>
      <c r="ABJ61" s="443"/>
      <c r="ABK61" s="443"/>
      <c r="ABL61" s="443"/>
      <c r="ABM61" s="443"/>
      <c r="ABN61" s="443"/>
      <c r="ABO61" s="443"/>
      <c r="ABP61" s="443"/>
      <c r="ABQ61" s="443"/>
      <c r="ABR61" s="443"/>
      <c r="ABS61" s="443"/>
      <c r="ABT61" s="443"/>
      <c r="ABU61" s="443"/>
      <c r="ABV61" s="443"/>
      <c r="ABW61" s="443"/>
      <c r="ABX61" s="443"/>
      <c r="ABY61" s="443"/>
      <c r="ABZ61" s="443"/>
      <c r="ACA61" s="443"/>
      <c r="ACB61" s="443"/>
      <c r="ACC61" s="443"/>
      <c r="ACD61" s="443"/>
      <c r="ACE61" s="443"/>
      <c r="ACF61" s="443"/>
      <c r="ACG61" s="443"/>
      <c r="ACH61" s="443"/>
      <c r="ACI61" s="443"/>
      <c r="ACJ61" s="443"/>
      <c r="ACK61" s="443"/>
      <c r="ACL61" s="443"/>
      <c r="ACM61" s="443"/>
      <c r="ACN61" s="443"/>
      <c r="ACO61" s="443"/>
      <c r="ACP61" s="443"/>
      <c r="ACQ61" s="443"/>
      <c r="ACR61" s="443"/>
      <c r="ACS61" s="443"/>
      <c r="ACT61" s="443"/>
      <c r="ACU61" s="443"/>
      <c r="ACV61" s="443"/>
      <c r="ACW61" s="443"/>
      <c r="ACX61" s="443"/>
      <c r="ACY61" s="443"/>
      <c r="ACZ61" s="443"/>
      <c r="ADA61" s="443"/>
      <c r="ADB61" s="443"/>
      <c r="ADC61" s="443"/>
      <c r="ADD61" s="443"/>
      <c r="ADE61" s="443"/>
      <c r="ADF61" s="443"/>
      <c r="ADG61" s="443"/>
      <c r="ADH61" s="443"/>
      <c r="ADI61" s="443"/>
      <c r="ADJ61" s="443"/>
      <c r="ADK61" s="443"/>
      <c r="ADL61" s="443"/>
      <c r="ADM61" s="443"/>
      <c r="ADN61" s="443"/>
      <c r="ADO61" s="443"/>
      <c r="ADP61" s="443"/>
      <c r="ADQ61" s="443"/>
      <c r="ADR61" s="443"/>
      <c r="ADS61" s="443"/>
      <c r="ADT61" s="443"/>
      <c r="ADU61" s="443"/>
      <c r="ADV61" s="443"/>
      <c r="ADW61" s="443"/>
      <c r="ADX61" s="443"/>
      <c r="ADY61" s="443"/>
      <c r="ADZ61" s="443"/>
      <c r="AEA61" s="443"/>
      <c r="AEB61" s="443"/>
      <c r="AEC61" s="443"/>
      <c r="AED61" s="443"/>
      <c r="AEE61" s="443"/>
      <c r="AEF61" s="443"/>
      <c r="AEG61" s="443"/>
      <c r="AEH61" s="443"/>
      <c r="AEI61" s="443"/>
      <c r="AEJ61" s="443"/>
      <c r="AEK61" s="443"/>
      <c r="AEL61" s="443"/>
      <c r="AEM61" s="443"/>
      <c r="AEN61" s="443"/>
      <c r="AEO61" s="443"/>
      <c r="AEP61" s="443"/>
      <c r="AEQ61" s="443"/>
      <c r="AER61" s="443"/>
      <c r="AES61" s="443"/>
      <c r="AET61" s="443"/>
      <c r="AEU61" s="443"/>
      <c r="AEV61" s="443"/>
      <c r="AEW61" s="443"/>
      <c r="AEX61" s="443"/>
      <c r="AEY61" s="443"/>
      <c r="AEZ61" s="443"/>
      <c r="AFA61" s="443"/>
      <c r="AFB61" s="443"/>
      <c r="AFC61" s="443"/>
      <c r="AFD61" s="443"/>
      <c r="AFE61" s="443"/>
      <c r="AFF61" s="443"/>
      <c r="AFG61" s="443"/>
      <c r="AFH61" s="443"/>
      <c r="AFI61" s="443"/>
      <c r="AFJ61" s="443"/>
      <c r="AFK61" s="443"/>
      <c r="AFL61" s="443"/>
      <c r="AFM61" s="443"/>
      <c r="AFN61" s="443"/>
      <c r="AFO61" s="443"/>
      <c r="AFP61" s="443"/>
      <c r="AFQ61" s="443"/>
      <c r="AFR61" s="443"/>
      <c r="AFS61" s="443"/>
      <c r="AFT61" s="443"/>
      <c r="AFU61" s="443"/>
      <c r="AFV61" s="443"/>
      <c r="AFW61" s="443"/>
      <c r="AFX61" s="443"/>
      <c r="AFY61" s="443"/>
      <c r="AFZ61" s="443"/>
      <c r="AGA61" s="443"/>
      <c r="AGB61" s="443"/>
      <c r="AGC61" s="443"/>
      <c r="AGD61" s="443"/>
      <c r="AGE61" s="443"/>
      <c r="AGF61" s="443"/>
      <c r="AGG61" s="443"/>
      <c r="AGH61" s="443"/>
      <c r="AGI61" s="443"/>
      <c r="AGJ61" s="443"/>
    </row>
    <row r="62" spans="1:868" s="1" customFormat="1">
      <c r="A62" s="653" t="s">
        <v>127</v>
      </c>
      <c r="B62" s="800" t="s">
        <v>452</v>
      </c>
      <c r="C62" s="34" t="s">
        <v>147</v>
      </c>
      <c r="D62" s="122" t="s">
        <v>107</v>
      </c>
      <c r="E62" s="638">
        <f t="shared" si="22"/>
        <v>0.11360610632821515</v>
      </c>
      <c r="F62" s="9">
        <v>1</v>
      </c>
      <c r="G62" s="9" t="s">
        <v>451</v>
      </c>
      <c r="H62" s="10">
        <v>1</v>
      </c>
      <c r="I62" s="10">
        <v>2</v>
      </c>
      <c r="J62" s="10">
        <v>2</v>
      </c>
      <c r="K62" s="10">
        <v>1</v>
      </c>
      <c r="L62" s="10">
        <v>1</v>
      </c>
      <c r="M62" s="10">
        <v>2</v>
      </c>
      <c r="N62" s="411">
        <f t="shared" ref="N62:N129" si="25">IF( OR( ISBLANK(H62),ISBLANK(J62), ISBLANK(K62), ISBLANK(L62), ISBLANK(M62) ), "", 1.5*SQRT(   EXP(2.21*(H62-1)) + EXP(2.21*(J62-1)) + EXP(2.21*(K62-1)) + EXP(2.21*(L62-1)) + EXP(2.21*M62)   )/100*2.45 )</f>
        <v>0.35859414261160716</v>
      </c>
      <c r="O62" s="411">
        <f t="shared" ref="O62:O129" si="26">IF( OR( ISBLANK(I62),ISBLANK(J62), ISBLANK(K62), ISBLANK(L62), ISBLANK(M62) ), "", 1.5*SQRT( EXP(2.21*(I62-1)) + EXP(2.21*(J62-1)) + EXP(2.21*(K62-1)) + EXP(2.21*(L62-1)) + EXP(2.21*M62)   )/100*2.45 )</f>
        <v>0.37356464144298934</v>
      </c>
      <c r="P62" s="43"/>
      <c r="Q62" s="443"/>
      <c r="R62" s="443"/>
      <c r="S62" s="443"/>
      <c r="T62" s="443"/>
      <c r="U62" s="443"/>
      <c r="V62" s="443"/>
      <c r="W62" s="443"/>
      <c r="X62" s="443"/>
      <c r="Y62" s="443"/>
      <c r="Z62" s="443"/>
      <c r="AA62" s="443"/>
      <c r="AB62" s="443"/>
      <c r="AC62" s="443"/>
      <c r="AD62" s="443"/>
      <c r="AE62" s="443"/>
      <c r="AF62" s="443"/>
      <c r="AG62" s="443"/>
      <c r="AH62" s="443"/>
      <c r="AI62" s="443"/>
      <c r="AJ62" s="443"/>
      <c r="AK62" s="443"/>
      <c r="AL62" s="443"/>
      <c r="AM62" s="443"/>
      <c r="AN62" s="443"/>
      <c r="AO62" s="443"/>
      <c r="AP62" s="443"/>
      <c r="AQ62" s="443"/>
      <c r="AR62" s="443"/>
      <c r="AS62" s="443"/>
      <c r="AT62" s="443"/>
      <c r="AU62" s="443"/>
      <c r="AV62" s="443"/>
      <c r="AW62" s="443"/>
      <c r="AX62" s="443"/>
      <c r="AY62" s="443"/>
      <c r="AZ62" s="443"/>
      <c r="BA62" s="443"/>
      <c r="BB62" s="443"/>
      <c r="BC62" s="443"/>
      <c r="BD62" s="443"/>
      <c r="BE62" s="443"/>
      <c r="BF62" s="443"/>
      <c r="BG62" s="443"/>
      <c r="BH62" s="443"/>
      <c r="BI62" s="443"/>
      <c r="BJ62" s="443"/>
      <c r="BK62" s="443"/>
      <c r="BL62" s="443"/>
      <c r="BM62" s="443"/>
      <c r="BN62" s="443"/>
      <c r="BO62" s="443"/>
      <c r="BP62" s="443"/>
      <c r="BQ62" s="443"/>
      <c r="BR62" s="443"/>
      <c r="BS62" s="443"/>
      <c r="BT62" s="443"/>
      <c r="BU62" s="443"/>
      <c r="BV62" s="443"/>
      <c r="BW62" s="443"/>
      <c r="BX62" s="443"/>
      <c r="BY62" s="443"/>
      <c r="BZ62" s="443"/>
      <c r="CA62" s="443"/>
      <c r="CB62" s="443"/>
      <c r="CC62" s="443"/>
      <c r="CD62" s="443"/>
      <c r="CE62" s="443"/>
      <c r="CF62" s="443"/>
      <c r="CG62" s="443"/>
      <c r="CH62" s="443"/>
      <c r="CI62" s="443"/>
      <c r="CJ62" s="443"/>
      <c r="CK62" s="443"/>
      <c r="CL62" s="443"/>
      <c r="CM62" s="443"/>
      <c r="CN62" s="443"/>
      <c r="CO62" s="443"/>
      <c r="CP62" s="443"/>
      <c r="CQ62" s="443"/>
      <c r="CR62" s="443"/>
      <c r="CS62" s="443"/>
      <c r="CT62" s="443"/>
      <c r="CU62" s="443"/>
      <c r="CV62" s="443"/>
      <c r="CW62" s="443"/>
      <c r="CX62" s="443"/>
      <c r="CY62" s="443"/>
      <c r="CZ62" s="443"/>
      <c r="DA62" s="443"/>
      <c r="DB62" s="443"/>
      <c r="DC62" s="443"/>
      <c r="DD62" s="443"/>
      <c r="DE62" s="443"/>
      <c r="DF62" s="443"/>
      <c r="DG62" s="443"/>
      <c r="DH62" s="443"/>
      <c r="DI62" s="443"/>
      <c r="DJ62" s="443"/>
      <c r="DK62" s="443"/>
      <c r="DL62" s="443"/>
      <c r="DM62" s="443"/>
      <c r="DN62" s="443"/>
      <c r="DO62" s="443"/>
      <c r="DP62" s="443"/>
      <c r="DQ62" s="443"/>
      <c r="DR62" s="443"/>
      <c r="DS62" s="443"/>
      <c r="DT62" s="443"/>
      <c r="DU62" s="443"/>
      <c r="DV62" s="443"/>
      <c r="DW62" s="443"/>
      <c r="DX62" s="443"/>
      <c r="DY62" s="443"/>
      <c r="DZ62" s="443"/>
      <c r="EA62" s="443"/>
      <c r="EB62" s="443"/>
      <c r="EC62" s="443"/>
      <c r="ED62" s="443"/>
      <c r="EE62" s="443"/>
      <c r="EF62" s="443"/>
      <c r="EG62" s="443"/>
      <c r="EH62" s="443"/>
      <c r="EI62" s="443"/>
      <c r="EJ62" s="443"/>
      <c r="EK62" s="443"/>
      <c r="EL62" s="443"/>
      <c r="EM62" s="443"/>
      <c r="EN62" s="443"/>
      <c r="EO62" s="443"/>
      <c r="EP62" s="443"/>
      <c r="EQ62" s="443"/>
      <c r="ER62" s="443"/>
      <c r="ES62" s="443"/>
      <c r="ET62" s="443"/>
      <c r="EU62" s="443"/>
      <c r="EV62" s="443"/>
      <c r="EW62" s="443"/>
      <c r="EX62" s="443"/>
      <c r="EY62" s="443"/>
      <c r="EZ62" s="443"/>
      <c r="FA62" s="443"/>
      <c r="FB62" s="443"/>
      <c r="FC62" s="443"/>
      <c r="FD62" s="443"/>
      <c r="FE62" s="443"/>
      <c r="FF62" s="443"/>
      <c r="FG62" s="443"/>
      <c r="FH62" s="443"/>
      <c r="FI62" s="443"/>
      <c r="FJ62" s="443"/>
      <c r="FK62" s="443"/>
      <c r="FL62" s="443"/>
      <c r="FM62" s="443"/>
      <c r="FN62" s="443"/>
      <c r="FO62" s="443"/>
      <c r="FP62" s="443"/>
      <c r="FQ62" s="443"/>
      <c r="FR62" s="443"/>
      <c r="FS62" s="443"/>
      <c r="FT62" s="443"/>
      <c r="FU62" s="443"/>
      <c r="FV62" s="443"/>
      <c r="FW62" s="443"/>
      <c r="FX62" s="443"/>
      <c r="FY62" s="443"/>
      <c r="FZ62" s="443"/>
      <c r="GA62" s="443"/>
      <c r="GB62" s="443"/>
      <c r="GC62" s="443"/>
      <c r="GD62" s="443"/>
      <c r="GE62" s="443"/>
      <c r="GF62" s="443"/>
      <c r="GG62" s="443"/>
      <c r="GH62" s="443"/>
      <c r="GI62" s="443"/>
      <c r="GJ62" s="443"/>
      <c r="GK62" s="443"/>
      <c r="GL62" s="443"/>
      <c r="GM62" s="443"/>
      <c r="GN62" s="443"/>
      <c r="GO62" s="443"/>
      <c r="GP62" s="443"/>
      <c r="GQ62" s="443"/>
      <c r="GR62" s="443"/>
      <c r="GS62" s="443"/>
      <c r="GT62" s="443"/>
      <c r="GU62" s="443"/>
      <c r="GV62" s="443"/>
      <c r="GW62" s="443"/>
      <c r="GX62" s="443"/>
      <c r="GY62" s="443"/>
      <c r="GZ62" s="443"/>
      <c r="HA62" s="443"/>
      <c r="HB62" s="443"/>
      <c r="HC62" s="443"/>
      <c r="HD62" s="443"/>
      <c r="HE62" s="443"/>
      <c r="HF62" s="443"/>
      <c r="HG62" s="443"/>
      <c r="HH62" s="443"/>
      <c r="HI62" s="443"/>
      <c r="HJ62" s="443"/>
      <c r="HK62" s="443"/>
      <c r="HL62" s="443"/>
      <c r="HM62" s="443"/>
      <c r="HN62" s="443"/>
      <c r="HO62" s="443"/>
      <c r="HP62" s="443"/>
      <c r="HQ62" s="443"/>
      <c r="HR62" s="443"/>
      <c r="HS62" s="443"/>
      <c r="HT62" s="443"/>
      <c r="HU62" s="443"/>
      <c r="HV62" s="443"/>
      <c r="HW62" s="443"/>
      <c r="HX62" s="443"/>
      <c r="HY62" s="443"/>
      <c r="HZ62" s="443"/>
      <c r="IA62" s="443"/>
      <c r="IB62" s="443"/>
      <c r="IC62" s="443"/>
      <c r="ID62" s="443"/>
      <c r="IE62" s="443"/>
      <c r="IF62" s="443"/>
      <c r="IG62" s="443"/>
      <c r="IH62" s="443"/>
      <c r="II62" s="443"/>
      <c r="IJ62" s="443"/>
      <c r="IK62" s="443"/>
      <c r="IL62" s="443"/>
      <c r="IM62" s="443"/>
      <c r="IN62" s="443"/>
      <c r="IO62" s="443"/>
      <c r="IP62" s="443"/>
      <c r="IQ62" s="443"/>
      <c r="IR62" s="443"/>
      <c r="IS62" s="443"/>
      <c r="IT62" s="443"/>
      <c r="IU62" s="443"/>
      <c r="IV62" s="443"/>
      <c r="IW62" s="443"/>
      <c r="IX62" s="443"/>
      <c r="IY62" s="443"/>
      <c r="IZ62" s="443"/>
      <c r="JA62" s="443"/>
      <c r="JB62" s="443"/>
      <c r="JC62" s="443"/>
      <c r="JD62" s="443"/>
      <c r="JE62" s="443"/>
      <c r="JF62" s="443"/>
      <c r="JG62" s="443"/>
      <c r="JH62" s="443"/>
      <c r="JI62" s="443"/>
      <c r="JJ62" s="443"/>
      <c r="JK62" s="443"/>
      <c r="JL62" s="443"/>
      <c r="JM62" s="443"/>
      <c r="JN62" s="443"/>
      <c r="JO62" s="443"/>
      <c r="JP62" s="443"/>
      <c r="JQ62" s="443"/>
      <c r="JR62" s="443"/>
      <c r="JS62" s="443"/>
      <c r="JT62" s="443"/>
      <c r="JU62" s="443"/>
      <c r="JV62" s="443"/>
      <c r="JW62" s="443"/>
      <c r="JX62" s="443"/>
      <c r="JY62" s="443"/>
      <c r="JZ62" s="443"/>
      <c r="KA62" s="443"/>
      <c r="KB62" s="443"/>
      <c r="KC62" s="443"/>
      <c r="KD62" s="443"/>
      <c r="KE62" s="443"/>
      <c r="KF62" s="443"/>
      <c r="KG62" s="443"/>
      <c r="KH62" s="443"/>
      <c r="KI62" s="443"/>
      <c r="KJ62" s="443"/>
      <c r="KK62" s="443"/>
      <c r="KL62" s="443"/>
      <c r="KM62" s="443"/>
      <c r="KN62" s="443"/>
      <c r="KO62" s="443"/>
      <c r="KP62" s="443"/>
      <c r="KQ62" s="443"/>
      <c r="KR62" s="443"/>
      <c r="KS62" s="443"/>
      <c r="KT62" s="443"/>
      <c r="KU62" s="443"/>
      <c r="KV62" s="443"/>
      <c r="KW62" s="443"/>
      <c r="KX62" s="443"/>
      <c r="KY62" s="443"/>
      <c r="KZ62" s="443"/>
      <c r="LA62" s="443"/>
      <c r="LB62" s="443"/>
      <c r="LC62" s="443"/>
      <c r="LD62" s="443"/>
      <c r="LE62" s="443"/>
      <c r="LF62" s="443"/>
      <c r="LG62" s="443"/>
      <c r="LH62" s="443"/>
      <c r="LI62" s="443"/>
      <c r="LJ62" s="443"/>
      <c r="LK62" s="443"/>
      <c r="LL62" s="443"/>
      <c r="LM62" s="443"/>
      <c r="LN62" s="443"/>
      <c r="LO62" s="443"/>
      <c r="LP62" s="443"/>
      <c r="LQ62" s="443"/>
      <c r="LR62" s="443"/>
      <c r="LS62" s="443"/>
      <c r="LT62" s="443"/>
      <c r="LU62" s="443"/>
      <c r="LV62" s="443"/>
      <c r="LW62" s="443"/>
      <c r="LX62" s="443"/>
      <c r="LY62" s="443"/>
      <c r="LZ62" s="443"/>
      <c r="MA62" s="443"/>
      <c r="MB62" s="443"/>
      <c r="MC62" s="443"/>
      <c r="MD62" s="443"/>
      <c r="ME62" s="443"/>
      <c r="MF62" s="443"/>
      <c r="MG62" s="443"/>
      <c r="MH62" s="443"/>
      <c r="MI62" s="443"/>
      <c r="MJ62" s="443"/>
      <c r="MK62" s="443"/>
      <c r="ML62" s="443"/>
      <c r="MM62" s="443"/>
      <c r="MN62" s="443"/>
      <c r="MO62" s="443"/>
      <c r="MP62" s="443"/>
      <c r="MQ62" s="443"/>
      <c r="MR62" s="443"/>
      <c r="MS62" s="443"/>
      <c r="MT62" s="443"/>
      <c r="MU62" s="443"/>
      <c r="MV62" s="443"/>
      <c r="MW62" s="443"/>
      <c r="MX62" s="443"/>
      <c r="MY62" s="443"/>
      <c r="MZ62" s="443"/>
      <c r="NA62" s="443"/>
      <c r="NB62" s="443"/>
      <c r="NC62" s="443"/>
      <c r="ND62" s="443"/>
      <c r="NE62" s="443"/>
      <c r="NF62" s="443"/>
      <c r="NG62" s="443"/>
      <c r="NH62" s="443"/>
      <c r="NI62" s="443"/>
      <c r="NJ62" s="443"/>
      <c r="NK62" s="443"/>
      <c r="NL62" s="443"/>
      <c r="NM62" s="443"/>
      <c r="NN62" s="443"/>
      <c r="NO62" s="443"/>
      <c r="NP62" s="443"/>
      <c r="NQ62" s="443"/>
      <c r="NR62" s="443"/>
      <c r="NS62" s="443"/>
      <c r="NT62" s="443"/>
      <c r="NU62" s="443"/>
      <c r="NV62" s="443"/>
      <c r="NW62" s="443"/>
      <c r="NX62" s="443"/>
      <c r="NY62" s="443"/>
      <c r="NZ62" s="443"/>
      <c r="OA62" s="443"/>
      <c r="OB62" s="443"/>
      <c r="OC62" s="443"/>
      <c r="OD62" s="443"/>
      <c r="OE62" s="443"/>
      <c r="OF62" s="443"/>
      <c r="OG62" s="443"/>
      <c r="OH62" s="443"/>
      <c r="OI62" s="443"/>
      <c r="OJ62" s="443"/>
      <c r="OK62" s="443"/>
      <c r="OL62" s="443"/>
      <c r="OM62" s="443"/>
      <c r="ON62" s="443"/>
      <c r="OO62" s="443"/>
      <c r="OP62" s="443"/>
      <c r="OQ62" s="443"/>
      <c r="OR62" s="443"/>
      <c r="OS62" s="443"/>
      <c r="OT62" s="443"/>
      <c r="OU62" s="443"/>
      <c r="OV62" s="443"/>
      <c r="OW62" s="443"/>
      <c r="OX62" s="443"/>
      <c r="OY62" s="443"/>
      <c r="OZ62" s="443"/>
      <c r="PA62" s="443"/>
      <c r="PB62" s="443"/>
      <c r="PC62" s="443"/>
      <c r="PD62" s="443"/>
      <c r="PE62" s="443"/>
      <c r="PF62" s="443"/>
      <c r="PG62" s="443"/>
      <c r="PH62" s="443"/>
      <c r="PI62" s="443"/>
      <c r="PJ62" s="443"/>
      <c r="PK62" s="443"/>
      <c r="PL62" s="443"/>
      <c r="PM62" s="443"/>
      <c r="PN62" s="443"/>
      <c r="PO62" s="443"/>
      <c r="PP62" s="443"/>
      <c r="PQ62" s="443"/>
      <c r="PR62" s="443"/>
      <c r="PS62" s="443"/>
      <c r="PT62" s="443"/>
      <c r="PU62" s="443"/>
      <c r="PV62" s="443"/>
      <c r="PW62" s="443"/>
      <c r="PX62" s="443"/>
      <c r="PY62" s="443"/>
      <c r="PZ62" s="443"/>
      <c r="QA62" s="443"/>
      <c r="QB62" s="443"/>
      <c r="QC62" s="443"/>
      <c r="QD62" s="443"/>
      <c r="QE62" s="443"/>
      <c r="QF62" s="443"/>
      <c r="QG62" s="443"/>
      <c r="QH62" s="443"/>
      <c r="QI62" s="443"/>
      <c r="QJ62" s="443"/>
      <c r="QK62" s="443"/>
      <c r="QL62" s="443"/>
      <c r="QM62" s="443"/>
      <c r="QN62" s="443"/>
      <c r="QO62" s="443"/>
      <c r="QP62" s="443"/>
      <c r="QQ62" s="443"/>
      <c r="QR62" s="443"/>
      <c r="QS62" s="443"/>
      <c r="QT62" s="443"/>
      <c r="QU62" s="443"/>
      <c r="QV62" s="443"/>
      <c r="QW62" s="443"/>
      <c r="QX62" s="443"/>
      <c r="QY62" s="443"/>
      <c r="QZ62" s="443"/>
      <c r="RA62" s="443"/>
      <c r="RB62" s="443"/>
      <c r="RC62" s="443"/>
      <c r="RD62" s="443"/>
      <c r="RE62" s="443"/>
      <c r="RF62" s="443"/>
      <c r="RG62" s="443"/>
      <c r="RH62" s="443"/>
      <c r="RI62" s="443"/>
      <c r="RJ62" s="443"/>
      <c r="RK62" s="443"/>
      <c r="RL62" s="443"/>
      <c r="RM62" s="443"/>
      <c r="RN62" s="443"/>
      <c r="RO62" s="443"/>
      <c r="RP62" s="443"/>
      <c r="RQ62" s="443"/>
      <c r="RR62" s="443"/>
      <c r="RS62" s="443"/>
      <c r="RT62" s="443"/>
      <c r="RU62" s="443"/>
      <c r="RV62" s="443"/>
      <c r="RW62" s="443"/>
      <c r="RX62" s="443"/>
      <c r="RY62" s="443"/>
      <c r="RZ62" s="443"/>
      <c r="SA62" s="443"/>
      <c r="SB62" s="443"/>
      <c r="SC62" s="443"/>
      <c r="SD62" s="443"/>
      <c r="SE62" s="443"/>
      <c r="SF62" s="443"/>
      <c r="SG62" s="443"/>
      <c r="SH62" s="443"/>
      <c r="SI62" s="443"/>
      <c r="SJ62" s="443"/>
      <c r="SK62" s="443"/>
      <c r="SL62" s="443"/>
      <c r="SM62" s="443"/>
      <c r="SN62" s="443"/>
      <c r="SO62" s="443"/>
      <c r="SP62" s="443"/>
      <c r="SQ62" s="443"/>
      <c r="SR62" s="443"/>
      <c r="SS62" s="443"/>
      <c r="ST62" s="443"/>
      <c r="SU62" s="443"/>
      <c r="SV62" s="443"/>
      <c r="SW62" s="443"/>
      <c r="SX62" s="443"/>
      <c r="SY62" s="443"/>
      <c r="SZ62" s="443"/>
      <c r="TA62" s="443"/>
      <c r="TB62" s="443"/>
      <c r="TC62" s="443"/>
      <c r="TD62" s="443"/>
      <c r="TE62" s="443"/>
      <c r="TF62" s="443"/>
      <c r="TG62" s="443"/>
      <c r="TH62" s="443"/>
      <c r="TI62" s="443"/>
      <c r="TJ62" s="443"/>
      <c r="TK62" s="443"/>
      <c r="TL62" s="443"/>
      <c r="TM62" s="443"/>
      <c r="TN62" s="443"/>
      <c r="TO62" s="443"/>
      <c r="TP62" s="443"/>
      <c r="TQ62" s="443"/>
      <c r="TR62" s="443"/>
      <c r="TS62" s="443"/>
      <c r="TT62" s="443"/>
      <c r="TU62" s="443"/>
      <c r="TV62" s="443"/>
      <c r="TW62" s="443"/>
      <c r="TX62" s="443"/>
      <c r="TY62" s="443"/>
      <c r="TZ62" s="443"/>
      <c r="UA62" s="443"/>
      <c r="UB62" s="443"/>
      <c r="UC62" s="443"/>
      <c r="UD62" s="443"/>
      <c r="UE62" s="443"/>
      <c r="UF62" s="443"/>
      <c r="UG62" s="443"/>
      <c r="UH62" s="443"/>
      <c r="UI62" s="443"/>
      <c r="UJ62" s="443"/>
      <c r="UK62" s="443"/>
      <c r="UL62" s="443"/>
      <c r="UM62" s="443"/>
      <c r="UN62" s="443"/>
      <c r="UO62" s="443"/>
      <c r="UP62" s="443"/>
      <c r="UQ62" s="443"/>
      <c r="UR62" s="443"/>
      <c r="US62" s="443"/>
      <c r="UT62" s="443"/>
      <c r="UU62" s="443"/>
      <c r="UV62" s="443"/>
      <c r="UW62" s="443"/>
      <c r="UX62" s="443"/>
      <c r="UY62" s="443"/>
      <c r="UZ62" s="443"/>
      <c r="VA62" s="443"/>
      <c r="VB62" s="443"/>
      <c r="VC62" s="443"/>
      <c r="VD62" s="443"/>
      <c r="VE62" s="443"/>
      <c r="VF62" s="443"/>
      <c r="VG62" s="443"/>
      <c r="VH62" s="443"/>
      <c r="VI62" s="443"/>
      <c r="VJ62" s="443"/>
      <c r="VK62" s="443"/>
      <c r="VL62" s="443"/>
      <c r="VM62" s="443"/>
      <c r="VN62" s="443"/>
      <c r="VO62" s="443"/>
      <c r="VP62" s="443"/>
      <c r="VQ62" s="443"/>
      <c r="VR62" s="443"/>
      <c r="VS62" s="443"/>
      <c r="VT62" s="443"/>
      <c r="VU62" s="443"/>
      <c r="VV62" s="443"/>
      <c r="VW62" s="443"/>
      <c r="VX62" s="443"/>
      <c r="VY62" s="443"/>
      <c r="VZ62" s="443"/>
      <c r="WA62" s="443"/>
      <c r="WB62" s="443"/>
      <c r="WC62" s="443"/>
      <c r="WD62" s="443"/>
      <c r="WE62" s="443"/>
      <c r="WF62" s="443"/>
      <c r="WG62" s="443"/>
      <c r="WH62" s="443"/>
      <c r="WI62" s="443"/>
      <c r="WJ62" s="443"/>
      <c r="WK62" s="443"/>
      <c r="WL62" s="443"/>
      <c r="WM62" s="443"/>
      <c r="WN62" s="443"/>
      <c r="WO62" s="443"/>
      <c r="WP62" s="443"/>
      <c r="WQ62" s="443"/>
      <c r="WR62" s="443"/>
      <c r="WS62" s="443"/>
      <c r="WT62" s="443"/>
      <c r="WU62" s="443"/>
      <c r="WV62" s="443"/>
      <c r="WW62" s="443"/>
      <c r="WX62" s="443"/>
      <c r="WY62" s="443"/>
      <c r="WZ62" s="443"/>
      <c r="XA62" s="443"/>
      <c r="XB62" s="443"/>
      <c r="XC62" s="443"/>
      <c r="XD62" s="443"/>
      <c r="XE62" s="443"/>
      <c r="XF62" s="443"/>
      <c r="XG62" s="443"/>
      <c r="XH62" s="443"/>
      <c r="XI62" s="443"/>
      <c r="XJ62" s="443"/>
      <c r="XK62" s="443"/>
      <c r="XL62" s="443"/>
      <c r="XM62" s="443"/>
      <c r="XN62" s="443"/>
      <c r="XO62" s="443"/>
      <c r="XP62" s="443"/>
      <c r="XQ62" s="443"/>
      <c r="XR62" s="443"/>
      <c r="XS62" s="443"/>
      <c r="XT62" s="443"/>
      <c r="XU62" s="443"/>
      <c r="XV62" s="443"/>
      <c r="XW62" s="443"/>
      <c r="XX62" s="443"/>
      <c r="XY62" s="443"/>
      <c r="XZ62" s="443"/>
      <c r="YA62" s="443"/>
      <c r="YB62" s="443"/>
      <c r="YC62" s="443"/>
      <c r="YD62" s="443"/>
      <c r="YE62" s="443"/>
      <c r="YF62" s="443"/>
      <c r="YG62" s="443"/>
      <c r="YH62" s="443"/>
      <c r="YI62" s="443"/>
      <c r="YJ62" s="443"/>
      <c r="YK62" s="443"/>
      <c r="YL62" s="443"/>
      <c r="YM62" s="443"/>
      <c r="YN62" s="443"/>
      <c r="YO62" s="443"/>
      <c r="YP62" s="443"/>
      <c r="YQ62" s="443"/>
      <c r="YR62" s="443"/>
      <c r="YS62" s="443"/>
      <c r="YT62" s="443"/>
      <c r="YU62" s="443"/>
      <c r="YV62" s="443"/>
      <c r="YW62" s="443"/>
      <c r="YX62" s="443"/>
      <c r="YY62" s="443"/>
      <c r="YZ62" s="443"/>
      <c r="ZA62" s="443"/>
      <c r="ZB62" s="443"/>
      <c r="ZC62" s="443"/>
      <c r="ZD62" s="443"/>
      <c r="ZE62" s="443"/>
      <c r="ZF62" s="443"/>
      <c r="ZG62" s="443"/>
      <c r="ZH62" s="443"/>
      <c r="ZI62" s="443"/>
      <c r="ZJ62" s="443"/>
      <c r="ZK62" s="443"/>
      <c r="ZL62" s="443"/>
      <c r="ZM62" s="443"/>
      <c r="ZN62" s="443"/>
      <c r="ZO62" s="443"/>
      <c r="ZP62" s="443"/>
      <c r="ZQ62" s="443"/>
      <c r="ZR62" s="443"/>
      <c r="ZS62" s="443"/>
      <c r="ZT62" s="443"/>
      <c r="ZU62" s="443"/>
      <c r="ZV62" s="443"/>
      <c r="ZW62" s="443"/>
      <c r="ZX62" s="443"/>
      <c r="ZY62" s="443"/>
      <c r="ZZ62" s="443"/>
      <c r="AAA62" s="443"/>
      <c r="AAB62" s="443"/>
      <c r="AAC62" s="443"/>
      <c r="AAD62" s="443"/>
      <c r="AAE62" s="443"/>
      <c r="AAF62" s="443"/>
      <c r="AAG62" s="443"/>
      <c r="AAH62" s="443"/>
      <c r="AAI62" s="443"/>
      <c r="AAJ62" s="443"/>
      <c r="AAK62" s="443"/>
      <c r="AAL62" s="443"/>
      <c r="AAM62" s="443"/>
      <c r="AAN62" s="443"/>
      <c r="AAO62" s="443"/>
      <c r="AAP62" s="443"/>
      <c r="AAQ62" s="443"/>
      <c r="AAR62" s="443"/>
      <c r="AAS62" s="443"/>
      <c r="AAT62" s="443"/>
      <c r="AAU62" s="443"/>
      <c r="AAV62" s="443"/>
      <c r="AAW62" s="443"/>
      <c r="AAX62" s="443"/>
      <c r="AAY62" s="443"/>
      <c r="AAZ62" s="443"/>
      <c r="ABA62" s="443"/>
      <c r="ABB62" s="443"/>
      <c r="ABC62" s="443"/>
      <c r="ABD62" s="443"/>
      <c r="ABE62" s="443"/>
      <c r="ABF62" s="443"/>
      <c r="ABG62" s="443"/>
      <c r="ABH62" s="443"/>
      <c r="ABI62" s="443"/>
      <c r="ABJ62" s="443"/>
      <c r="ABK62" s="443"/>
      <c r="ABL62" s="443"/>
      <c r="ABM62" s="443"/>
      <c r="ABN62" s="443"/>
      <c r="ABO62" s="443"/>
      <c r="ABP62" s="443"/>
      <c r="ABQ62" s="443"/>
      <c r="ABR62" s="443"/>
      <c r="ABS62" s="443"/>
      <c r="ABT62" s="443"/>
      <c r="ABU62" s="443"/>
      <c r="ABV62" s="443"/>
      <c r="ABW62" s="443"/>
      <c r="ABX62" s="443"/>
      <c r="ABY62" s="443"/>
      <c r="ABZ62" s="443"/>
      <c r="ACA62" s="443"/>
      <c r="ACB62" s="443"/>
      <c r="ACC62" s="443"/>
      <c r="ACD62" s="443"/>
      <c r="ACE62" s="443"/>
      <c r="ACF62" s="443"/>
      <c r="ACG62" s="443"/>
      <c r="ACH62" s="443"/>
      <c r="ACI62" s="443"/>
      <c r="ACJ62" s="443"/>
      <c r="ACK62" s="443"/>
      <c r="ACL62" s="443"/>
      <c r="ACM62" s="443"/>
      <c r="ACN62" s="443"/>
      <c r="ACO62" s="443"/>
      <c r="ACP62" s="443"/>
      <c r="ACQ62" s="443"/>
      <c r="ACR62" s="443"/>
      <c r="ACS62" s="443"/>
      <c r="ACT62" s="443"/>
      <c r="ACU62" s="443"/>
      <c r="ACV62" s="443"/>
      <c r="ACW62" s="443"/>
      <c r="ACX62" s="443"/>
      <c r="ACY62" s="443"/>
      <c r="ACZ62" s="443"/>
      <c r="ADA62" s="443"/>
      <c r="ADB62" s="443"/>
      <c r="ADC62" s="443"/>
      <c r="ADD62" s="443"/>
      <c r="ADE62" s="443"/>
      <c r="ADF62" s="443"/>
      <c r="ADG62" s="443"/>
      <c r="ADH62" s="443"/>
      <c r="ADI62" s="443"/>
      <c r="ADJ62" s="443"/>
      <c r="ADK62" s="443"/>
      <c r="ADL62" s="443"/>
      <c r="ADM62" s="443"/>
      <c r="ADN62" s="443"/>
      <c r="ADO62" s="443"/>
      <c r="ADP62" s="443"/>
      <c r="ADQ62" s="443"/>
      <c r="ADR62" s="443"/>
      <c r="ADS62" s="443"/>
      <c r="ADT62" s="443"/>
      <c r="ADU62" s="443"/>
      <c r="ADV62" s="443"/>
      <c r="ADW62" s="443"/>
      <c r="ADX62" s="443"/>
      <c r="ADY62" s="443"/>
      <c r="ADZ62" s="443"/>
      <c r="AEA62" s="443"/>
      <c r="AEB62" s="443"/>
      <c r="AEC62" s="443"/>
      <c r="AED62" s="443"/>
      <c r="AEE62" s="443"/>
      <c r="AEF62" s="443"/>
      <c r="AEG62" s="443"/>
      <c r="AEH62" s="443"/>
      <c r="AEI62" s="443"/>
      <c r="AEJ62" s="443"/>
      <c r="AEK62" s="443"/>
      <c r="AEL62" s="443"/>
      <c r="AEM62" s="443"/>
      <c r="AEN62" s="443"/>
      <c r="AEO62" s="443"/>
      <c r="AEP62" s="443"/>
      <c r="AEQ62" s="443"/>
      <c r="AER62" s="443"/>
      <c r="AES62" s="443"/>
      <c r="AET62" s="443"/>
      <c r="AEU62" s="443"/>
      <c r="AEV62" s="443"/>
      <c r="AEW62" s="443"/>
      <c r="AEX62" s="443"/>
      <c r="AEY62" s="443"/>
      <c r="AEZ62" s="443"/>
      <c r="AFA62" s="443"/>
      <c r="AFB62" s="443"/>
      <c r="AFC62" s="443"/>
      <c r="AFD62" s="443"/>
      <c r="AFE62" s="443"/>
      <c r="AFF62" s="443"/>
      <c r="AFG62" s="443"/>
      <c r="AFH62" s="443"/>
      <c r="AFI62" s="443"/>
      <c r="AFJ62" s="443"/>
      <c r="AFK62" s="443"/>
      <c r="AFL62" s="443"/>
      <c r="AFM62" s="443"/>
      <c r="AFN62" s="443"/>
      <c r="AFO62" s="443"/>
      <c r="AFP62" s="443"/>
      <c r="AFQ62" s="443"/>
      <c r="AFR62" s="443"/>
      <c r="AFS62" s="443"/>
      <c r="AFT62" s="443"/>
      <c r="AFU62" s="443"/>
      <c r="AFV62" s="443"/>
      <c r="AFW62" s="443"/>
      <c r="AFX62" s="443"/>
      <c r="AFY62" s="443"/>
      <c r="AFZ62" s="443"/>
      <c r="AGA62" s="443"/>
      <c r="AGB62" s="443"/>
      <c r="AGC62" s="443"/>
      <c r="AGD62" s="443"/>
      <c r="AGE62" s="443"/>
      <c r="AGF62" s="443"/>
      <c r="AGG62" s="443"/>
      <c r="AGH62" s="443"/>
      <c r="AGI62" s="443"/>
      <c r="AGJ62" s="443"/>
    </row>
    <row r="63" spans="1:868" s="1" customFormat="1">
      <c r="A63" s="653" t="s">
        <v>127</v>
      </c>
      <c r="B63" s="800" t="s">
        <v>453</v>
      </c>
      <c r="C63" s="34" t="s">
        <v>147</v>
      </c>
      <c r="D63" s="122" t="s">
        <v>107</v>
      </c>
      <c r="E63" s="638">
        <f t="shared" si="22"/>
        <v>7.1003816455134469E-2</v>
      </c>
      <c r="F63" s="9">
        <v>1</v>
      </c>
      <c r="G63" s="9" t="s">
        <v>451</v>
      </c>
      <c r="H63" s="10">
        <v>1</v>
      </c>
      <c r="I63" s="10">
        <v>2</v>
      </c>
      <c r="J63" s="10">
        <v>2</v>
      </c>
      <c r="K63" s="10">
        <v>1</v>
      </c>
      <c r="L63" s="10">
        <v>1</v>
      </c>
      <c r="M63" s="10">
        <v>2</v>
      </c>
      <c r="N63" s="411">
        <f t="shared" si="25"/>
        <v>0.35859414261160716</v>
      </c>
      <c r="O63" s="411">
        <f t="shared" si="26"/>
        <v>0.37356464144298934</v>
      </c>
      <c r="P63" s="43"/>
      <c r="Q63" s="443"/>
      <c r="R63" s="443"/>
      <c r="S63" s="443"/>
      <c r="T63" s="443"/>
      <c r="U63" s="443"/>
      <c r="V63" s="443"/>
      <c r="W63" s="443"/>
      <c r="X63" s="443"/>
      <c r="Y63" s="443"/>
      <c r="Z63" s="443"/>
      <c r="AA63" s="443"/>
      <c r="AB63" s="443"/>
      <c r="AC63" s="443"/>
      <c r="AD63" s="443"/>
      <c r="AE63" s="443"/>
      <c r="AF63" s="443"/>
      <c r="AG63" s="443"/>
      <c r="AH63" s="443"/>
      <c r="AI63" s="443"/>
      <c r="AJ63" s="443"/>
      <c r="AK63" s="443"/>
      <c r="AL63" s="443"/>
      <c r="AM63" s="443"/>
      <c r="AN63" s="443"/>
      <c r="AO63" s="443"/>
      <c r="AP63" s="443"/>
      <c r="AQ63" s="443"/>
      <c r="AR63" s="443"/>
      <c r="AS63" s="443"/>
      <c r="AT63" s="443"/>
      <c r="AU63" s="443"/>
      <c r="AV63" s="443"/>
      <c r="AW63" s="443"/>
      <c r="AX63" s="443"/>
      <c r="AY63" s="443"/>
      <c r="AZ63" s="443"/>
      <c r="BA63" s="443"/>
      <c r="BB63" s="443"/>
      <c r="BC63" s="443"/>
      <c r="BD63" s="443"/>
      <c r="BE63" s="443"/>
      <c r="BF63" s="443"/>
      <c r="BG63" s="443"/>
      <c r="BH63" s="443"/>
      <c r="BI63" s="443"/>
      <c r="BJ63" s="443"/>
      <c r="BK63" s="443"/>
      <c r="BL63" s="443"/>
      <c r="BM63" s="443"/>
      <c r="BN63" s="443"/>
      <c r="BO63" s="443"/>
      <c r="BP63" s="443"/>
      <c r="BQ63" s="443"/>
      <c r="BR63" s="443"/>
      <c r="BS63" s="443"/>
      <c r="BT63" s="443"/>
      <c r="BU63" s="443"/>
      <c r="BV63" s="443"/>
      <c r="BW63" s="443"/>
      <c r="BX63" s="443"/>
      <c r="BY63" s="443"/>
      <c r="BZ63" s="443"/>
      <c r="CA63" s="443"/>
      <c r="CB63" s="443"/>
      <c r="CC63" s="443"/>
      <c r="CD63" s="443"/>
      <c r="CE63" s="443"/>
      <c r="CF63" s="443"/>
      <c r="CG63" s="443"/>
      <c r="CH63" s="443"/>
      <c r="CI63" s="443"/>
      <c r="CJ63" s="443"/>
      <c r="CK63" s="443"/>
      <c r="CL63" s="443"/>
      <c r="CM63" s="443"/>
      <c r="CN63" s="443"/>
      <c r="CO63" s="443"/>
      <c r="CP63" s="443"/>
      <c r="CQ63" s="443"/>
      <c r="CR63" s="443"/>
      <c r="CS63" s="443"/>
      <c r="CT63" s="443"/>
      <c r="CU63" s="443"/>
      <c r="CV63" s="443"/>
      <c r="CW63" s="443"/>
      <c r="CX63" s="443"/>
      <c r="CY63" s="443"/>
      <c r="CZ63" s="443"/>
      <c r="DA63" s="443"/>
      <c r="DB63" s="443"/>
      <c r="DC63" s="443"/>
      <c r="DD63" s="443"/>
      <c r="DE63" s="443"/>
      <c r="DF63" s="443"/>
      <c r="DG63" s="443"/>
      <c r="DH63" s="443"/>
      <c r="DI63" s="443"/>
      <c r="DJ63" s="443"/>
      <c r="DK63" s="443"/>
      <c r="DL63" s="443"/>
      <c r="DM63" s="443"/>
      <c r="DN63" s="443"/>
      <c r="DO63" s="443"/>
      <c r="DP63" s="443"/>
      <c r="DQ63" s="443"/>
      <c r="DR63" s="443"/>
      <c r="DS63" s="443"/>
      <c r="DT63" s="443"/>
      <c r="DU63" s="443"/>
      <c r="DV63" s="443"/>
      <c r="DW63" s="443"/>
      <c r="DX63" s="443"/>
      <c r="DY63" s="443"/>
      <c r="DZ63" s="443"/>
      <c r="EA63" s="443"/>
      <c r="EB63" s="443"/>
      <c r="EC63" s="443"/>
      <c r="ED63" s="443"/>
      <c r="EE63" s="443"/>
      <c r="EF63" s="443"/>
      <c r="EG63" s="443"/>
      <c r="EH63" s="443"/>
      <c r="EI63" s="443"/>
      <c r="EJ63" s="443"/>
      <c r="EK63" s="443"/>
      <c r="EL63" s="443"/>
      <c r="EM63" s="443"/>
      <c r="EN63" s="443"/>
      <c r="EO63" s="443"/>
      <c r="EP63" s="443"/>
      <c r="EQ63" s="443"/>
      <c r="ER63" s="443"/>
      <c r="ES63" s="443"/>
      <c r="ET63" s="443"/>
      <c r="EU63" s="443"/>
      <c r="EV63" s="443"/>
      <c r="EW63" s="443"/>
      <c r="EX63" s="443"/>
      <c r="EY63" s="443"/>
      <c r="EZ63" s="443"/>
      <c r="FA63" s="443"/>
      <c r="FB63" s="443"/>
      <c r="FC63" s="443"/>
      <c r="FD63" s="443"/>
      <c r="FE63" s="443"/>
      <c r="FF63" s="443"/>
      <c r="FG63" s="443"/>
      <c r="FH63" s="443"/>
      <c r="FI63" s="443"/>
      <c r="FJ63" s="443"/>
      <c r="FK63" s="443"/>
      <c r="FL63" s="443"/>
      <c r="FM63" s="443"/>
      <c r="FN63" s="443"/>
      <c r="FO63" s="443"/>
      <c r="FP63" s="443"/>
      <c r="FQ63" s="443"/>
      <c r="FR63" s="443"/>
      <c r="FS63" s="443"/>
      <c r="FT63" s="443"/>
      <c r="FU63" s="443"/>
      <c r="FV63" s="443"/>
      <c r="FW63" s="443"/>
      <c r="FX63" s="443"/>
      <c r="FY63" s="443"/>
      <c r="FZ63" s="443"/>
      <c r="GA63" s="443"/>
      <c r="GB63" s="443"/>
      <c r="GC63" s="443"/>
      <c r="GD63" s="443"/>
      <c r="GE63" s="443"/>
      <c r="GF63" s="443"/>
      <c r="GG63" s="443"/>
      <c r="GH63" s="443"/>
      <c r="GI63" s="443"/>
      <c r="GJ63" s="443"/>
      <c r="GK63" s="443"/>
      <c r="GL63" s="443"/>
      <c r="GM63" s="443"/>
      <c r="GN63" s="443"/>
      <c r="GO63" s="443"/>
      <c r="GP63" s="443"/>
      <c r="GQ63" s="443"/>
      <c r="GR63" s="443"/>
      <c r="GS63" s="443"/>
      <c r="GT63" s="443"/>
      <c r="GU63" s="443"/>
      <c r="GV63" s="443"/>
      <c r="GW63" s="443"/>
      <c r="GX63" s="443"/>
      <c r="GY63" s="443"/>
      <c r="GZ63" s="443"/>
      <c r="HA63" s="443"/>
      <c r="HB63" s="443"/>
      <c r="HC63" s="443"/>
      <c r="HD63" s="443"/>
      <c r="HE63" s="443"/>
      <c r="HF63" s="443"/>
      <c r="HG63" s="443"/>
      <c r="HH63" s="443"/>
      <c r="HI63" s="443"/>
      <c r="HJ63" s="443"/>
      <c r="HK63" s="443"/>
      <c r="HL63" s="443"/>
      <c r="HM63" s="443"/>
      <c r="HN63" s="443"/>
      <c r="HO63" s="443"/>
      <c r="HP63" s="443"/>
      <c r="HQ63" s="443"/>
      <c r="HR63" s="443"/>
      <c r="HS63" s="443"/>
      <c r="HT63" s="443"/>
      <c r="HU63" s="443"/>
      <c r="HV63" s="443"/>
      <c r="HW63" s="443"/>
      <c r="HX63" s="443"/>
      <c r="HY63" s="443"/>
      <c r="HZ63" s="443"/>
      <c r="IA63" s="443"/>
      <c r="IB63" s="443"/>
      <c r="IC63" s="443"/>
      <c r="ID63" s="443"/>
      <c r="IE63" s="443"/>
      <c r="IF63" s="443"/>
      <c r="IG63" s="443"/>
      <c r="IH63" s="443"/>
      <c r="II63" s="443"/>
      <c r="IJ63" s="443"/>
      <c r="IK63" s="443"/>
      <c r="IL63" s="443"/>
      <c r="IM63" s="443"/>
      <c r="IN63" s="443"/>
      <c r="IO63" s="443"/>
      <c r="IP63" s="443"/>
      <c r="IQ63" s="443"/>
      <c r="IR63" s="443"/>
      <c r="IS63" s="443"/>
      <c r="IT63" s="443"/>
      <c r="IU63" s="443"/>
      <c r="IV63" s="443"/>
      <c r="IW63" s="443"/>
      <c r="IX63" s="443"/>
      <c r="IY63" s="443"/>
      <c r="IZ63" s="443"/>
      <c r="JA63" s="443"/>
      <c r="JB63" s="443"/>
      <c r="JC63" s="443"/>
      <c r="JD63" s="443"/>
      <c r="JE63" s="443"/>
      <c r="JF63" s="443"/>
      <c r="JG63" s="443"/>
      <c r="JH63" s="443"/>
      <c r="JI63" s="443"/>
      <c r="JJ63" s="443"/>
      <c r="JK63" s="443"/>
      <c r="JL63" s="443"/>
      <c r="JM63" s="443"/>
      <c r="JN63" s="443"/>
      <c r="JO63" s="443"/>
      <c r="JP63" s="443"/>
      <c r="JQ63" s="443"/>
      <c r="JR63" s="443"/>
      <c r="JS63" s="443"/>
      <c r="JT63" s="443"/>
      <c r="JU63" s="443"/>
      <c r="JV63" s="443"/>
      <c r="JW63" s="443"/>
      <c r="JX63" s="443"/>
      <c r="JY63" s="443"/>
      <c r="JZ63" s="443"/>
      <c r="KA63" s="443"/>
      <c r="KB63" s="443"/>
      <c r="KC63" s="443"/>
      <c r="KD63" s="443"/>
      <c r="KE63" s="443"/>
      <c r="KF63" s="443"/>
      <c r="KG63" s="443"/>
      <c r="KH63" s="443"/>
      <c r="KI63" s="443"/>
      <c r="KJ63" s="443"/>
      <c r="KK63" s="443"/>
      <c r="KL63" s="443"/>
      <c r="KM63" s="443"/>
      <c r="KN63" s="443"/>
      <c r="KO63" s="443"/>
      <c r="KP63" s="443"/>
      <c r="KQ63" s="443"/>
      <c r="KR63" s="443"/>
      <c r="KS63" s="443"/>
      <c r="KT63" s="443"/>
      <c r="KU63" s="443"/>
      <c r="KV63" s="443"/>
      <c r="KW63" s="443"/>
      <c r="KX63" s="443"/>
      <c r="KY63" s="443"/>
      <c r="KZ63" s="443"/>
      <c r="LA63" s="443"/>
      <c r="LB63" s="443"/>
      <c r="LC63" s="443"/>
      <c r="LD63" s="443"/>
      <c r="LE63" s="443"/>
      <c r="LF63" s="443"/>
      <c r="LG63" s="443"/>
      <c r="LH63" s="443"/>
      <c r="LI63" s="443"/>
      <c r="LJ63" s="443"/>
      <c r="LK63" s="443"/>
      <c r="LL63" s="443"/>
      <c r="LM63" s="443"/>
      <c r="LN63" s="443"/>
      <c r="LO63" s="443"/>
      <c r="LP63" s="443"/>
      <c r="LQ63" s="443"/>
      <c r="LR63" s="443"/>
      <c r="LS63" s="443"/>
      <c r="LT63" s="443"/>
      <c r="LU63" s="443"/>
      <c r="LV63" s="443"/>
      <c r="LW63" s="443"/>
      <c r="LX63" s="443"/>
      <c r="LY63" s="443"/>
      <c r="LZ63" s="443"/>
      <c r="MA63" s="443"/>
      <c r="MB63" s="443"/>
      <c r="MC63" s="443"/>
      <c r="MD63" s="443"/>
      <c r="ME63" s="443"/>
      <c r="MF63" s="443"/>
      <c r="MG63" s="443"/>
      <c r="MH63" s="443"/>
      <c r="MI63" s="443"/>
      <c r="MJ63" s="443"/>
      <c r="MK63" s="443"/>
      <c r="ML63" s="443"/>
      <c r="MM63" s="443"/>
      <c r="MN63" s="443"/>
      <c r="MO63" s="443"/>
      <c r="MP63" s="443"/>
      <c r="MQ63" s="443"/>
      <c r="MR63" s="443"/>
      <c r="MS63" s="443"/>
      <c r="MT63" s="443"/>
      <c r="MU63" s="443"/>
      <c r="MV63" s="443"/>
      <c r="MW63" s="443"/>
      <c r="MX63" s="443"/>
      <c r="MY63" s="443"/>
      <c r="MZ63" s="443"/>
      <c r="NA63" s="443"/>
      <c r="NB63" s="443"/>
      <c r="NC63" s="443"/>
      <c r="ND63" s="443"/>
      <c r="NE63" s="443"/>
      <c r="NF63" s="443"/>
      <c r="NG63" s="443"/>
      <c r="NH63" s="443"/>
      <c r="NI63" s="443"/>
      <c r="NJ63" s="443"/>
      <c r="NK63" s="443"/>
      <c r="NL63" s="443"/>
      <c r="NM63" s="443"/>
      <c r="NN63" s="443"/>
      <c r="NO63" s="443"/>
      <c r="NP63" s="443"/>
      <c r="NQ63" s="443"/>
      <c r="NR63" s="443"/>
      <c r="NS63" s="443"/>
      <c r="NT63" s="443"/>
      <c r="NU63" s="443"/>
      <c r="NV63" s="443"/>
      <c r="NW63" s="443"/>
      <c r="NX63" s="443"/>
      <c r="NY63" s="443"/>
      <c r="NZ63" s="443"/>
      <c r="OA63" s="443"/>
      <c r="OB63" s="443"/>
      <c r="OC63" s="443"/>
      <c r="OD63" s="443"/>
      <c r="OE63" s="443"/>
      <c r="OF63" s="443"/>
      <c r="OG63" s="443"/>
      <c r="OH63" s="443"/>
      <c r="OI63" s="443"/>
      <c r="OJ63" s="443"/>
      <c r="OK63" s="443"/>
      <c r="OL63" s="443"/>
      <c r="OM63" s="443"/>
      <c r="ON63" s="443"/>
      <c r="OO63" s="443"/>
      <c r="OP63" s="443"/>
      <c r="OQ63" s="443"/>
      <c r="OR63" s="443"/>
      <c r="OS63" s="443"/>
      <c r="OT63" s="443"/>
      <c r="OU63" s="443"/>
      <c r="OV63" s="443"/>
      <c r="OW63" s="443"/>
      <c r="OX63" s="443"/>
      <c r="OY63" s="443"/>
      <c r="OZ63" s="443"/>
      <c r="PA63" s="443"/>
      <c r="PB63" s="443"/>
      <c r="PC63" s="443"/>
      <c r="PD63" s="443"/>
      <c r="PE63" s="443"/>
      <c r="PF63" s="443"/>
      <c r="PG63" s="443"/>
      <c r="PH63" s="443"/>
      <c r="PI63" s="443"/>
      <c r="PJ63" s="443"/>
      <c r="PK63" s="443"/>
      <c r="PL63" s="443"/>
      <c r="PM63" s="443"/>
      <c r="PN63" s="443"/>
      <c r="PO63" s="443"/>
      <c r="PP63" s="443"/>
      <c r="PQ63" s="443"/>
      <c r="PR63" s="443"/>
      <c r="PS63" s="443"/>
      <c r="PT63" s="443"/>
      <c r="PU63" s="443"/>
      <c r="PV63" s="443"/>
      <c r="PW63" s="443"/>
      <c r="PX63" s="443"/>
      <c r="PY63" s="443"/>
      <c r="PZ63" s="443"/>
      <c r="QA63" s="443"/>
      <c r="QB63" s="443"/>
      <c r="QC63" s="443"/>
      <c r="QD63" s="443"/>
      <c r="QE63" s="443"/>
      <c r="QF63" s="443"/>
      <c r="QG63" s="443"/>
      <c r="QH63" s="443"/>
      <c r="QI63" s="443"/>
      <c r="QJ63" s="443"/>
      <c r="QK63" s="443"/>
      <c r="QL63" s="443"/>
      <c r="QM63" s="443"/>
      <c r="QN63" s="443"/>
      <c r="QO63" s="443"/>
      <c r="QP63" s="443"/>
      <c r="QQ63" s="443"/>
      <c r="QR63" s="443"/>
      <c r="QS63" s="443"/>
      <c r="QT63" s="443"/>
      <c r="QU63" s="443"/>
      <c r="QV63" s="443"/>
      <c r="QW63" s="443"/>
      <c r="QX63" s="443"/>
      <c r="QY63" s="443"/>
      <c r="QZ63" s="443"/>
      <c r="RA63" s="443"/>
      <c r="RB63" s="443"/>
      <c r="RC63" s="443"/>
      <c r="RD63" s="443"/>
      <c r="RE63" s="443"/>
      <c r="RF63" s="443"/>
      <c r="RG63" s="443"/>
      <c r="RH63" s="443"/>
      <c r="RI63" s="443"/>
      <c r="RJ63" s="443"/>
      <c r="RK63" s="443"/>
      <c r="RL63" s="443"/>
      <c r="RM63" s="443"/>
      <c r="RN63" s="443"/>
      <c r="RO63" s="443"/>
      <c r="RP63" s="443"/>
      <c r="RQ63" s="443"/>
      <c r="RR63" s="443"/>
      <c r="RS63" s="443"/>
      <c r="RT63" s="443"/>
      <c r="RU63" s="443"/>
      <c r="RV63" s="443"/>
      <c r="RW63" s="443"/>
      <c r="RX63" s="443"/>
      <c r="RY63" s="443"/>
      <c r="RZ63" s="443"/>
      <c r="SA63" s="443"/>
      <c r="SB63" s="443"/>
      <c r="SC63" s="443"/>
      <c r="SD63" s="443"/>
      <c r="SE63" s="443"/>
      <c r="SF63" s="443"/>
      <c r="SG63" s="443"/>
      <c r="SH63" s="443"/>
      <c r="SI63" s="443"/>
      <c r="SJ63" s="443"/>
      <c r="SK63" s="443"/>
      <c r="SL63" s="443"/>
      <c r="SM63" s="443"/>
      <c r="SN63" s="443"/>
      <c r="SO63" s="443"/>
      <c r="SP63" s="443"/>
      <c r="SQ63" s="443"/>
      <c r="SR63" s="443"/>
      <c r="SS63" s="443"/>
      <c r="ST63" s="443"/>
      <c r="SU63" s="443"/>
      <c r="SV63" s="443"/>
      <c r="SW63" s="443"/>
      <c r="SX63" s="443"/>
      <c r="SY63" s="443"/>
      <c r="SZ63" s="443"/>
      <c r="TA63" s="443"/>
      <c r="TB63" s="443"/>
      <c r="TC63" s="443"/>
      <c r="TD63" s="443"/>
      <c r="TE63" s="443"/>
      <c r="TF63" s="443"/>
      <c r="TG63" s="443"/>
      <c r="TH63" s="443"/>
      <c r="TI63" s="443"/>
      <c r="TJ63" s="443"/>
      <c r="TK63" s="443"/>
      <c r="TL63" s="443"/>
      <c r="TM63" s="443"/>
      <c r="TN63" s="443"/>
      <c r="TO63" s="443"/>
      <c r="TP63" s="443"/>
      <c r="TQ63" s="443"/>
      <c r="TR63" s="443"/>
      <c r="TS63" s="443"/>
      <c r="TT63" s="443"/>
      <c r="TU63" s="443"/>
      <c r="TV63" s="443"/>
      <c r="TW63" s="443"/>
      <c r="TX63" s="443"/>
      <c r="TY63" s="443"/>
      <c r="TZ63" s="443"/>
      <c r="UA63" s="443"/>
      <c r="UB63" s="443"/>
      <c r="UC63" s="443"/>
      <c r="UD63" s="443"/>
      <c r="UE63" s="443"/>
      <c r="UF63" s="443"/>
      <c r="UG63" s="443"/>
      <c r="UH63" s="443"/>
      <c r="UI63" s="443"/>
      <c r="UJ63" s="443"/>
      <c r="UK63" s="443"/>
      <c r="UL63" s="443"/>
      <c r="UM63" s="443"/>
      <c r="UN63" s="443"/>
      <c r="UO63" s="443"/>
      <c r="UP63" s="443"/>
      <c r="UQ63" s="443"/>
      <c r="UR63" s="443"/>
      <c r="US63" s="443"/>
      <c r="UT63" s="443"/>
      <c r="UU63" s="443"/>
      <c r="UV63" s="443"/>
      <c r="UW63" s="443"/>
      <c r="UX63" s="443"/>
      <c r="UY63" s="443"/>
      <c r="UZ63" s="443"/>
      <c r="VA63" s="443"/>
      <c r="VB63" s="443"/>
      <c r="VC63" s="443"/>
      <c r="VD63" s="443"/>
      <c r="VE63" s="443"/>
      <c r="VF63" s="443"/>
      <c r="VG63" s="443"/>
      <c r="VH63" s="443"/>
      <c r="VI63" s="443"/>
      <c r="VJ63" s="443"/>
      <c r="VK63" s="443"/>
      <c r="VL63" s="443"/>
      <c r="VM63" s="443"/>
      <c r="VN63" s="443"/>
      <c r="VO63" s="443"/>
      <c r="VP63" s="443"/>
      <c r="VQ63" s="443"/>
      <c r="VR63" s="443"/>
      <c r="VS63" s="443"/>
      <c r="VT63" s="443"/>
      <c r="VU63" s="443"/>
      <c r="VV63" s="443"/>
      <c r="VW63" s="443"/>
      <c r="VX63" s="443"/>
      <c r="VY63" s="443"/>
      <c r="VZ63" s="443"/>
      <c r="WA63" s="443"/>
      <c r="WB63" s="443"/>
      <c r="WC63" s="443"/>
      <c r="WD63" s="443"/>
      <c r="WE63" s="443"/>
      <c r="WF63" s="443"/>
      <c r="WG63" s="443"/>
      <c r="WH63" s="443"/>
      <c r="WI63" s="443"/>
      <c r="WJ63" s="443"/>
      <c r="WK63" s="443"/>
      <c r="WL63" s="443"/>
      <c r="WM63" s="443"/>
      <c r="WN63" s="443"/>
      <c r="WO63" s="443"/>
      <c r="WP63" s="443"/>
      <c r="WQ63" s="443"/>
      <c r="WR63" s="443"/>
      <c r="WS63" s="443"/>
      <c r="WT63" s="443"/>
      <c r="WU63" s="443"/>
      <c r="WV63" s="443"/>
      <c r="WW63" s="443"/>
      <c r="WX63" s="443"/>
      <c r="WY63" s="443"/>
      <c r="WZ63" s="443"/>
      <c r="XA63" s="443"/>
      <c r="XB63" s="443"/>
      <c r="XC63" s="443"/>
      <c r="XD63" s="443"/>
      <c r="XE63" s="443"/>
      <c r="XF63" s="443"/>
      <c r="XG63" s="443"/>
      <c r="XH63" s="443"/>
      <c r="XI63" s="443"/>
      <c r="XJ63" s="443"/>
      <c r="XK63" s="443"/>
      <c r="XL63" s="443"/>
      <c r="XM63" s="443"/>
      <c r="XN63" s="443"/>
      <c r="XO63" s="443"/>
      <c r="XP63" s="443"/>
      <c r="XQ63" s="443"/>
      <c r="XR63" s="443"/>
      <c r="XS63" s="443"/>
      <c r="XT63" s="443"/>
      <c r="XU63" s="443"/>
      <c r="XV63" s="443"/>
      <c r="XW63" s="443"/>
      <c r="XX63" s="443"/>
      <c r="XY63" s="443"/>
      <c r="XZ63" s="443"/>
      <c r="YA63" s="443"/>
      <c r="YB63" s="443"/>
      <c r="YC63" s="443"/>
      <c r="YD63" s="443"/>
      <c r="YE63" s="443"/>
      <c r="YF63" s="443"/>
      <c r="YG63" s="443"/>
      <c r="YH63" s="443"/>
      <c r="YI63" s="443"/>
      <c r="YJ63" s="443"/>
      <c r="YK63" s="443"/>
      <c r="YL63" s="443"/>
      <c r="YM63" s="443"/>
      <c r="YN63" s="443"/>
      <c r="YO63" s="443"/>
      <c r="YP63" s="443"/>
      <c r="YQ63" s="443"/>
      <c r="YR63" s="443"/>
      <c r="YS63" s="443"/>
      <c r="YT63" s="443"/>
      <c r="YU63" s="443"/>
      <c r="YV63" s="443"/>
      <c r="YW63" s="443"/>
      <c r="YX63" s="443"/>
      <c r="YY63" s="443"/>
      <c r="YZ63" s="443"/>
      <c r="ZA63" s="443"/>
      <c r="ZB63" s="443"/>
      <c r="ZC63" s="443"/>
      <c r="ZD63" s="443"/>
      <c r="ZE63" s="443"/>
      <c r="ZF63" s="443"/>
      <c r="ZG63" s="443"/>
      <c r="ZH63" s="443"/>
      <c r="ZI63" s="443"/>
      <c r="ZJ63" s="443"/>
      <c r="ZK63" s="443"/>
      <c r="ZL63" s="443"/>
      <c r="ZM63" s="443"/>
      <c r="ZN63" s="443"/>
      <c r="ZO63" s="443"/>
      <c r="ZP63" s="443"/>
      <c r="ZQ63" s="443"/>
      <c r="ZR63" s="443"/>
      <c r="ZS63" s="443"/>
      <c r="ZT63" s="443"/>
      <c r="ZU63" s="443"/>
      <c r="ZV63" s="443"/>
      <c r="ZW63" s="443"/>
      <c r="ZX63" s="443"/>
      <c r="ZY63" s="443"/>
      <c r="ZZ63" s="443"/>
      <c r="AAA63" s="443"/>
      <c r="AAB63" s="443"/>
      <c r="AAC63" s="443"/>
      <c r="AAD63" s="443"/>
      <c r="AAE63" s="443"/>
      <c r="AAF63" s="443"/>
      <c r="AAG63" s="443"/>
      <c r="AAH63" s="443"/>
      <c r="AAI63" s="443"/>
      <c r="AAJ63" s="443"/>
      <c r="AAK63" s="443"/>
      <c r="AAL63" s="443"/>
      <c r="AAM63" s="443"/>
      <c r="AAN63" s="443"/>
      <c r="AAO63" s="443"/>
      <c r="AAP63" s="443"/>
      <c r="AAQ63" s="443"/>
      <c r="AAR63" s="443"/>
      <c r="AAS63" s="443"/>
      <c r="AAT63" s="443"/>
      <c r="AAU63" s="443"/>
      <c r="AAV63" s="443"/>
      <c r="AAW63" s="443"/>
      <c r="AAX63" s="443"/>
      <c r="AAY63" s="443"/>
      <c r="AAZ63" s="443"/>
      <c r="ABA63" s="443"/>
      <c r="ABB63" s="443"/>
      <c r="ABC63" s="443"/>
      <c r="ABD63" s="443"/>
      <c r="ABE63" s="443"/>
      <c r="ABF63" s="443"/>
      <c r="ABG63" s="443"/>
      <c r="ABH63" s="443"/>
      <c r="ABI63" s="443"/>
      <c r="ABJ63" s="443"/>
      <c r="ABK63" s="443"/>
      <c r="ABL63" s="443"/>
      <c r="ABM63" s="443"/>
      <c r="ABN63" s="443"/>
      <c r="ABO63" s="443"/>
      <c r="ABP63" s="443"/>
      <c r="ABQ63" s="443"/>
      <c r="ABR63" s="443"/>
      <c r="ABS63" s="443"/>
      <c r="ABT63" s="443"/>
      <c r="ABU63" s="443"/>
      <c r="ABV63" s="443"/>
      <c r="ABW63" s="443"/>
      <c r="ABX63" s="443"/>
      <c r="ABY63" s="443"/>
      <c r="ABZ63" s="443"/>
      <c r="ACA63" s="443"/>
      <c r="ACB63" s="443"/>
      <c r="ACC63" s="443"/>
      <c r="ACD63" s="443"/>
      <c r="ACE63" s="443"/>
      <c r="ACF63" s="443"/>
      <c r="ACG63" s="443"/>
      <c r="ACH63" s="443"/>
      <c r="ACI63" s="443"/>
      <c r="ACJ63" s="443"/>
      <c r="ACK63" s="443"/>
      <c r="ACL63" s="443"/>
      <c r="ACM63" s="443"/>
      <c r="ACN63" s="443"/>
      <c r="ACO63" s="443"/>
      <c r="ACP63" s="443"/>
      <c r="ACQ63" s="443"/>
      <c r="ACR63" s="443"/>
      <c r="ACS63" s="443"/>
      <c r="ACT63" s="443"/>
      <c r="ACU63" s="443"/>
      <c r="ACV63" s="443"/>
      <c r="ACW63" s="443"/>
      <c r="ACX63" s="443"/>
      <c r="ACY63" s="443"/>
      <c r="ACZ63" s="443"/>
      <c r="ADA63" s="443"/>
      <c r="ADB63" s="443"/>
      <c r="ADC63" s="443"/>
      <c r="ADD63" s="443"/>
      <c r="ADE63" s="443"/>
      <c r="ADF63" s="443"/>
      <c r="ADG63" s="443"/>
      <c r="ADH63" s="443"/>
      <c r="ADI63" s="443"/>
      <c r="ADJ63" s="443"/>
      <c r="ADK63" s="443"/>
      <c r="ADL63" s="443"/>
      <c r="ADM63" s="443"/>
      <c r="ADN63" s="443"/>
      <c r="ADO63" s="443"/>
      <c r="ADP63" s="443"/>
      <c r="ADQ63" s="443"/>
      <c r="ADR63" s="443"/>
      <c r="ADS63" s="443"/>
      <c r="ADT63" s="443"/>
      <c r="ADU63" s="443"/>
      <c r="ADV63" s="443"/>
      <c r="ADW63" s="443"/>
      <c r="ADX63" s="443"/>
      <c r="ADY63" s="443"/>
      <c r="ADZ63" s="443"/>
      <c r="AEA63" s="443"/>
      <c r="AEB63" s="443"/>
      <c r="AEC63" s="443"/>
      <c r="AED63" s="443"/>
      <c r="AEE63" s="443"/>
      <c r="AEF63" s="443"/>
      <c r="AEG63" s="443"/>
      <c r="AEH63" s="443"/>
      <c r="AEI63" s="443"/>
      <c r="AEJ63" s="443"/>
      <c r="AEK63" s="443"/>
      <c r="AEL63" s="443"/>
      <c r="AEM63" s="443"/>
      <c r="AEN63" s="443"/>
      <c r="AEO63" s="443"/>
      <c r="AEP63" s="443"/>
      <c r="AEQ63" s="443"/>
      <c r="AER63" s="443"/>
      <c r="AES63" s="443"/>
      <c r="AET63" s="443"/>
      <c r="AEU63" s="443"/>
      <c r="AEV63" s="443"/>
      <c r="AEW63" s="443"/>
      <c r="AEX63" s="443"/>
      <c r="AEY63" s="443"/>
      <c r="AEZ63" s="443"/>
      <c r="AFA63" s="443"/>
      <c r="AFB63" s="443"/>
      <c r="AFC63" s="443"/>
      <c r="AFD63" s="443"/>
      <c r="AFE63" s="443"/>
      <c r="AFF63" s="443"/>
      <c r="AFG63" s="443"/>
      <c r="AFH63" s="443"/>
      <c r="AFI63" s="443"/>
      <c r="AFJ63" s="443"/>
      <c r="AFK63" s="443"/>
      <c r="AFL63" s="443"/>
      <c r="AFM63" s="443"/>
      <c r="AFN63" s="443"/>
      <c r="AFO63" s="443"/>
      <c r="AFP63" s="443"/>
      <c r="AFQ63" s="443"/>
      <c r="AFR63" s="443"/>
      <c r="AFS63" s="443"/>
      <c r="AFT63" s="443"/>
      <c r="AFU63" s="443"/>
      <c r="AFV63" s="443"/>
      <c r="AFW63" s="443"/>
      <c r="AFX63" s="443"/>
      <c r="AFY63" s="443"/>
      <c r="AFZ63" s="443"/>
      <c r="AGA63" s="443"/>
      <c r="AGB63" s="443"/>
      <c r="AGC63" s="443"/>
      <c r="AGD63" s="443"/>
      <c r="AGE63" s="443"/>
      <c r="AGF63" s="443"/>
      <c r="AGG63" s="443"/>
      <c r="AGH63" s="443"/>
      <c r="AGI63" s="443"/>
      <c r="AGJ63" s="443"/>
    </row>
    <row r="64" spans="1:868" s="1" customFormat="1">
      <c r="A64" s="653" t="s">
        <v>127</v>
      </c>
      <c r="B64" s="800" t="s">
        <v>454</v>
      </c>
      <c r="C64" s="34" t="s">
        <v>147</v>
      </c>
      <c r="D64" s="122" t="s">
        <v>107</v>
      </c>
      <c r="E64" s="638">
        <f t="shared" si="22"/>
        <v>7.810419810064792E-2</v>
      </c>
      <c r="F64" s="9">
        <v>1</v>
      </c>
      <c r="G64" s="9" t="s">
        <v>451</v>
      </c>
      <c r="H64" s="10">
        <v>1</v>
      </c>
      <c r="I64" s="10">
        <v>2</v>
      </c>
      <c r="J64" s="10">
        <v>2</v>
      </c>
      <c r="K64" s="10">
        <v>1</v>
      </c>
      <c r="L64" s="10">
        <v>1</v>
      </c>
      <c r="M64" s="10">
        <v>2</v>
      </c>
      <c r="N64" s="411">
        <f t="shared" si="25"/>
        <v>0.35859414261160716</v>
      </c>
      <c r="O64" s="411">
        <f t="shared" si="26"/>
        <v>0.37356464144298934</v>
      </c>
      <c r="P64" s="43"/>
      <c r="Q64" s="443"/>
      <c r="R64" s="443"/>
      <c r="S64" s="443"/>
      <c r="T64" s="443"/>
      <c r="U64" s="443"/>
      <c r="V64" s="443"/>
      <c r="W64" s="443"/>
      <c r="X64" s="443"/>
      <c r="Y64" s="443"/>
      <c r="Z64" s="443"/>
      <c r="AA64" s="443"/>
      <c r="AB64" s="443"/>
      <c r="AC64" s="443"/>
      <c r="AD64" s="443"/>
      <c r="AE64" s="443"/>
      <c r="AF64" s="443"/>
      <c r="AG64" s="443"/>
      <c r="AH64" s="443"/>
      <c r="AI64" s="443"/>
      <c r="AJ64" s="443"/>
      <c r="AK64" s="443"/>
      <c r="AL64" s="443"/>
      <c r="AM64" s="443"/>
      <c r="AN64" s="443"/>
      <c r="AO64" s="443"/>
      <c r="AP64" s="443"/>
      <c r="AQ64" s="443"/>
      <c r="AR64" s="443"/>
      <c r="AS64" s="443"/>
      <c r="AT64" s="443"/>
      <c r="AU64" s="443"/>
      <c r="AV64" s="443"/>
      <c r="AW64" s="443"/>
      <c r="AX64" s="443"/>
      <c r="AY64" s="443"/>
      <c r="AZ64" s="443"/>
      <c r="BA64" s="443"/>
      <c r="BB64" s="443"/>
      <c r="BC64" s="443"/>
      <c r="BD64" s="443"/>
      <c r="BE64" s="443"/>
      <c r="BF64" s="443"/>
      <c r="BG64" s="443"/>
      <c r="BH64" s="443"/>
      <c r="BI64" s="443"/>
      <c r="BJ64" s="443"/>
      <c r="BK64" s="443"/>
      <c r="BL64" s="443"/>
      <c r="BM64" s="443"/>
      <c r="BN64" s="443"/>
      <c r="BO64" s="443"/>
      <c r="BP64" s="443"/>
      <c r="BQ64" s="443"/>
      <c r="BR64" s="443"/>
      <c r="BS64" s="443"/>
      <c r="BT64" s="443"/>
      <c r="BU64" s="443"/>
      <c r="BV64" s="443"/>
      <c r="BW64" s="443"/>
      <c r="BX64" s="443"/>
      <c r="BY64" s="443"/>
      <c r="BZ64" s="443"/>
      <c r="CA64" s="443"/>
      <c r="CB64" s="443"/>
      <c r="CC64" s="443"/>
      <c r="CD64" s="443"/>
      <c r="CE64" s="443"/>
      <c r="CF64" s="443"/>
      <c r="CG64" s="443"/>
      <c r="CH64" s="443"/>
      <c r="CI64" s="443"/>
      <c r="CJ64" s="443"/>
      <c r="CK64" s="443"/>
      <c r="CL64" s="443"/>
      <c r="CM64" s="443"/>
      <c r="CN64" s="443"/>
      <c r="CO64" s="443"/>
      <c r="CP64" s="443"/>
      <c r="CQ64" s="443"/>
      <c r="CR64" s="443"/>
      <c r="CS64" s="443"/>
      <c r="CT64" s="443"/>
      <c r="CU64" s="443"/>
      <c r="CV64" s="443"/>
      <c r="CW64" s="443"/>
      <c r="CX64" s="443"/>
      <c r="CY64" s="443"/>
      <c r="CZ64" s="443"/>
      <c r="DA64" s="443"/>
      <c r="DB64" s="443"/>
      <c r="DC64" s="443"/>
      <c r="DD64" s="443"/>
      <c r="DE64" s="443"/>
      <c r="DF64" s="443"/>
      <c r="DG64" s="443"/>
      <c r="DH64" s="443"/>
      <c r="DI64" s="443"/>
      <c r="DJ64" s="443"/>
      <c r="DK64" s="443"/>
      <c r="DL64" s="443"/>
      <c r="DM64" s="443"/>
      <c r="DN64" s="443"/>
      <c r="DO64" s="443"/>
      <c r="DP64" s="443"/>
      <c r="DQ64" s="443"/>
      <c r="DR64" s="443"/>
      <c r="DS64" s="443"/>
      <c r="DT64" s="443"/>
      <c r="DU64" s="443"/>
      <c r="DV64" s="443"/>
      <c r="DW64" s="443"/>
      <c r="DX64" s="443"/>
      <c r="DY64" s="443"/>
      <c r="DZ64" s="443"/>
      <c r="EA64" s="443"/>
      <c r="EB64" s="443"/>
      <c r="EC64" s="443"/>
      <c r="ED64" s="443"/>
      <c r="EE64" s="443"/>
      <c r="EF64" s="443"/>
      <c r="EG64" s="443"/>
      <c r="EH64" s="443"/>
      <c r="EI64" s="443"/>
      <c r="EJ64" s="443"/>
      <c r="EK64" s="443"/>
      <c r="EL64" s="443"/>
      <c r="EM64" s="443"/>
      <c r="EN64" s="443"/>
      <c r="EO64" s="443"/>
      <c r="EP64" s="443"/>
      <c r="EQ64" s="443"/>
      <c r="ER64" s="443"/>
      <c r="ES64" s="443"/>
      <c r="ET64" s="443"/>
      <c r="EU64" s="443"/>
      <c r="EV64" s="443"/>
      <c r="EW64" s="443"/>
      <c r="EX64" s="443"/>
      <c r="EY64" s="443"/>
      <c r="EZ64" s="443"/>
      <c r="FA64" s="443"/>
      <c r="FB64" s="443"/>
      <c r="FC64" s="443"/>
      <c r="FD64" s="443"/>
      <c r="FE64" s="443"/>
      <c r="FF64" s="443"/>
      <c r="FG64" s="443"/>
      <c r="FH64" s="443"/>
      <c r="FI64" s="443"/>
      <c r="FJ64" s="443"/>
      <c r="FK64" s="443"/>
      <c r="FL64" s="443"/>
      <c r="FM64" s="443"/>
      <c r="FN64" s="443"/>
      <c r="FO64" s="443"/>
      <c r="FP64" s="443"/>
      <c r="FQ64" s="443"/>
      <c r="FR64" s="443"/>
      <c r="FS64" s="443"/>
      <c r="FT64" s="443"/>
      <c r="FU64" s="443"/>
      <c r="FV64" s="443"/>
      <c r="FW64" s="443"/>
      <c r="FX64" s="443"/>
      <c r="FY64" s="443"/>
      <c r="FZ64" s="443"/>
      <c r="GA64" s="443"/>
      <c r="GB64" s="443"/>
      <c r="GC64" s="443"/>
      <c r="GD64" s="443"/>
      <c r="GE64" s="443"/>
      <c r="GF64" s="443"/>
      <c r="GG64" s="443"/>
      <c r="GH64" s="443"/>
      <c r="GI64" s="443"/>
      <c r="GJ64" s="443"/>
      <c r="GK64" s="443"/>
      <c r="GL64" s="443"/>
      <c r="GM64" s="443"/>
      <c r="GN64" s="443"/>
      <c r="GO64" s="443"/>
      <c r="GP64" s="443"/>
      <c r="GQ64" s="443"/>
      <c r="GR64" s="443"/>
      <c r="GS64" s="443"/>
      <c r="GT64" s="443"/>
      <c r="GU64" s="443"/>
      <c r="GV64" s="443"/>
      <c r="GW64" s="443"/>
      <c r="GX64" s="443"/>
      <c r="GY64" s="443"/>
      <c r="GZ64" s="443"/>
      <c r="HA64" s="443"/>
      <c r="HB64" s="443"/>
      <c r="HC64" s="443"/>
      <c r="HD64" s="443"/>
      <c r="HE64" s="443"/>
      <c r="HF64" s="443"/>
      <c r="HG64" s="443"/>
      <c r="HH64" s="443"/>
      <c r="HI64" s="443"/>
      <c r="HJ64" s="443"/>
      <c r="HK64" s="443"/>
      <c r="HL64" s="443"/>
      <c r="HM64" s="443"/>
      <c r="HN64" s="443"/>
      <c r="HO64" s="443"/>
      <c r="HP64" s="443"/>
      <c r="HQ64" s="443"/>
      <c r="HR64" s="443"/>
      <c r="HS64" s="443"/>
      <c r="HT64" s="443"/>
      <c r="HU64" s="443"/>
      <c r="HV64" s="443"/>
      <c r="HW64" s="443"/>
      <c r="HX64" s="443"/>
      <c r="HY64" s="443"/>
      <c r="HZ64" s="443"/>
      <c r="IA64" s="443"/>
      <c r="IB64" s="443"/>
      <c r="IC64" s="443"/>
      <c r="ID64" s="443"/>
      <c r="IE64" s="443"/>
      <c r="IF64" s="443"/>
      <c r="IG64" s="443"/>
      <c r="IH64" s="443"/>
      <c r="II64" s="443"/>
      <c r="IJ64" s="443"/>
      <c r="IK64" s="443"/>
      <c r="IL64" s="443"/>
      <c r="IM64" s="443"/>
      <c r="IN64" s="443"/>
      <c r="IO64" s="443"/>
      <c r="IP64" s="443"/>
      <c r="IQ64" s="443"/>
      <c r="IR64" s="443"/>
      <c r="IS64" s="443"/>
      <c r="IT64" s="443"/>
      <c r="IU64" s="443"/>
      <c r="IV64" s="443"/>
      <c r="IW64" s="443"/>
      <c r="IX64" s="443"/>
      <c r="IY64" s="443"/>
      <c r="IZ64" s="443"/>
      <c r="JA64" s="443"/>
      <c r="JB64" s="443"/>
      <c r="JC64" s="443"/>
      <c r="JD64" s="443"/>
      <c r="JE64" s="443"/>
      <c r="JF64" s="443"/>
      <c r="JG64" s="443"/>
      <c r="JH64" s="443"/>
      <c r="JI64" s="443"/>
      <c r="JJ64" s="443"/>
      <c r="JK64" s="443"/>
      <c r="JL64" s="443"/>
      <c r="JM64" s="443"/>
      <c r="JN64" s="443"/>
      <c r="JO64" s="443"/>
      <c r="JP64" s="443"/>
      <c r="JQ64" s="443"/>
      <c r="JR64" s="443"/>
      <c r="JS64" s="443"/>
      <c r="JT64" s="443"/>
      <c r="JU64" s="443"/>
      <c r="JV64" s="443"/>
      <c r="JW64" s="443"/>
      <c r="JX64" s="443"/>
      <c r="JY64" s="443"/>
      <c r="JZ64" s="443"/>
      <c r="KA64" s="443"/>
      <c r="KB64" s="443"/>
      <c r="KC64" s="443"/>
      <c r="KD64" s="443"/>
      <c r="KE64" s="443"/>
      <c r="KF64" s="443"/>
      <c r="KG64" s="443"/>
      <c r="KH64" s="443"/>
      <c r="KI64" s="443"/>
      <c r="KJ64" s="443"/>
      <c r="KK64" s="443"/>
      <c r="KL64" s="443"/>
      <c r="KM64" s="443"/>
      <c r="KN64" s="443"/>
      <c r="KO64" s="443"/>
      <c r="KP64" s="443"/>
      <c r="KQ64" s="443"/>
      <c r="KR64" s="443"/>
      <c r="KS64" s="443"/>
      <c r="KT64" s="443"/>
      <c r="KU64" s="443"/>
      <c r="KV64" s="443"/>
      <c r="KW64" s="443"/>
      <c r="KX64" s="443"/>
      <c r="KY64" s="443"/>
      <c r="KZ64" s="443"/>
      <c r="LA64" s="443"/>
      <c r="LB64" s="443"/>
      <c r="LC64" s="443"/>
      <c r="LD64" s="443"/>
      <c r="LE64" s="443"/>
      <c r="LF64" s="443"/>
      <c r="LG64" s="443"/>
      <c r="LH64" s="443"/>
      <c r="LI64" s="443"/>
      <c r="LJ64" s="443"/>
      <c r="LK64" s="443"/>
      <c r="LL64" s="443"/>
      <c r="LM64" s="443"/>
      <c r="LN64" s="443"/>
      <c r="LO64" s="443"/>
      <c r="LP64" s="443"/>
      <c r="LQ64" s="443"/>
      <c r="LR64" s="443"/>
      <c r="LS64" s="443"/>
      <c r="LT64" s="443"/>
      <c r="LU64" s="443"/>
      <c r="LV64" s="443"/>
      <c r="LW64" s="443"/>
      <c r="LX64" s="443"/>
      <c r="LY64" s="443"/>
      <c r="LZ64" s="443"/>
      <c r="MA64" s="443"/>
      <c r="MB64" s="443"/>
      <c r="MC64" s="443"/>
      <c r="MD64" s="443"/>
      <c r="ME64" s="443"/>
      <c r="MF64" s="443"/>
      <c r="MG64" s="443"/>
      <c r="MH64" s="443"/>
      <c r="MI64" s="443"/>
      <c r="MJ64" s="443"/>
      <c r="MK64" s="443"/>
      <c r="ML64" s="443"/>
      <c r="MM64" s="443"/>
      <c r="MN64" s="443"/>
      <c r="MO64" s="443"/>
      <c r="MP64" s="443"/>
      <c r="MQ64" s="443"/>
      <c r="MR64" s="443"/>
      <c r="MS64" s="443"/>
      <c r="MT64" s="443"/>
      <c r="MU64" s="443"/>
      <c r="MV64" s="443"/>
      <c r="MW64" s="443"/>
      <c r="MX64" s="443"/>
      <c r="MY64" s="443"/>
      <c r="MZ64" s="443"/>
      <c r="NA64" s="443"/>
      <c r="NB64" s="443"/>
      <c r="NC64" s="443"/>
      <c r="ND64" s="443"/>
      <c r="NE64" s="443"/>
      <c r="NF64" s="443"/>
      <c r="NG64" s="443"/>
      <c r="NH64" s="443"/>
      <c r="NI64" s="443"/>
      <c r="NJ64" s="443"/>
      <c r="NK64" s="443"/>
      <c r="NL64" s="443"/>
      <c r="NM64" s="443"/>
      <c r="NN64" s="443"/>
      <c r="NO64" s="443"/>
      <c r="NP64" s="443"/>
      <c r="NQ64" s="443"/>
      <c r="NR64" s="443"/>
      <c r="NS64" s="443"/>
      <c r="NT64" s="443"/>
      <c r="NU64" s="443"/>
      <c r="NV64" s="443"/>
      <c r="NW64" s="443"/>
      <c r="NX64" s="443"/>
      <c r="NY64" s="443"/>
      <c r="NZ64" s="443"/>
      <c r="OA64" s="443"/>
      <c r="OB64" s="443"/>
      <c r="OC64" s="443"/>
      <c r="OD64" s="443"/>
      <c r="OE64" s="443"/>
      <c r="OF64" s="443"/>
      <c r="OG64" s="443"/>
      <c r="OH64" s="443"/>
      <c r="OI64" s="443"/>
      <c r="OJ64" s="443"/>
      <c r="OK64" s="443"/>
      <c r="OL64" s="443"/>
      <c r="OM64" s="443"/>
      <c r="ON64" s="443"/>
      <c r="OO64" s="443"/>
      <c r="OP64" s="443"/>
      <c r="OQ64" s="443"/>
      <c r="OR64" s="443"/>
      <c r="OS64" s="443"/>
      <c r="OT64" s="443"/>
      <c r="OU64" s="443"/>
      <c r="OV64" s="443"/>
      <c r="OW64" s="443"/>
      <c r="OX64" s="443"/>
      <c r="OY64" s="443"/>
      <c r="OZ64" s="443"/>
      <c r="PA64" s="443"/>
      <c r="PB64" s="443"/>
      <c r="PC64" s="443"/>
      <c r="PD64" s="443"/>
      <c r="PE64" s="443"/>
      <c r="PF64" s="443"/>
      <c r="PG64" s="443"/>
      <c r="PH64" s="443"/>
      <c r="PI64" s="443"/>
      <c r="PJ64" s="443"/>
      <c r="PK64" s="443"/>
      <c r="PL64" s="443"/>
      <c r="PM64" s="443"/>
      <c r="PN64" s="443"/>
      <c r="PO64" s="443"/>
      <c r="PP64" s="443"/>
      <c r="PQ64" s="443"/>
      <c r="PR64" s="443"/>
      <c r="PS64" s="443"/>
      <c r="PT64" s="443"/>
      <c r="PU64" s="443"/>
      <c r="PV64" s="443"/>
      <c r="PW64" s="443"/>
      <c r="PX64" s="443"/>
      <c r="PY64" s="443"/>
      <c r="PZ64" s="443"/>
      <c r="QA64" s="443"/>
      <c r="QB64" s="443"/>
      <c r="QC64" s="443"/>
      <c r="QD64" s="443"/>
      <c r="QE64" s="443"/>
      <c r="QF64" s="443"/>
      <c r="QG64" s="443"/>
      <c r="QH64" s="443"/>
      <c r="QI64" s="443"/>
      <c r="QJ64" s="443"/>
      <c r="QK64" s="443"/>
      <c r="QL64" s="443"/>
      <c r="QM64" s="443"/>
      <c r="QN64" s="443"/>
      <c r="QO64" s="443"/>
      <c r="QP64" s="443"/>
      <c r="QQ64" s="443"/>
      <c r="QR64" s="443"/>
      <c r="QS64" s="443"/>
      <c r="QT64" s="443"/>
      <c r="QU64" s="443"/>
      <c r="QV64" s="443"/>
      <c r="QW64" s="443"/>
      <c r="QX64" s="443"/>
      <c r="QY64" s="443"/>
      <c r="QZ64" s="443"/>
      <c r="RA64" s="443"/>
      <c r="RB64" s="443"/>
      <c r="RC64" s="443"/>
      <c r="RD64" s="443"/>
      <c r="RE64" s="443"/>
      <c r="RF64" s="443"/>
      <c r="RG64" s="443"/>
      <c r="RH64" s="443"/>
      <c r="RI64" s="443"/>
      <c r="RJ64" s="443"/>
      <c r="RK64" s="443"/>
      <c r="RL64" s="443"/>
      <c r="RM64" s="443"/>
      <c r="RN64" s="443"/>
      <c r="RO64" s="443"/>
      <c r="RP64" s="443"/>
      <c r="RQ64" s="443"/>
      <c r="RR64" s="443"/>
      <c r="RS64" s="443"/>
      <c r="RT64" s="443"/>
      <c r="RU64" s="443"/>
      <c r="RV64" s="443"/>
      <c r="RW64" s="443"/>
      <c r="RX64" s="443"/>
      <c r="RY64" s="443"/>
      <c r="RZ64" s="443"/>
      <c r="SA64" s="443"/>
      <c r="SB64" s="443"/>
      <c r="SC64" s="443"/>
      <c r="SD64" s="443"/>
      <c r="SE64" s="443"/>
      <c r="SF64" s="443"/>
      <c r="SG64" s="443"/>
      <c r="SH64" s="443"/>
      <c r="SI64" s="443"/>
      <c r="SJ64" s="443"/>
      <c r="SK64" s="443"/>
      <c r="SL64" s="443"/>
      <c r="SM64" s="443"/>
      <c r="SN64" s="443"/>
      <c r="SO64" s="443"/>
      <c r="SP64" s="443"/>
      <c r="SQ64" s="443"/>
      <c r="SR64" s="443"/>
      <c r="SS64" s="443"/>
      <c r="ST64" s="443"/>
      <c r="SU64" s="443"/>
      <c r="SV64" s="443"/>
      <c r="SW64" s="443"/>
      <c r="SX64" s="443"/>
      <c r="SY64" s="443"/>
      <c r="SZ64" s="443"/>
      <c r="TA64" s="443"/>
      <c r="TB64" s="443"/>
      <c r="TC64" s="443"/>
      <c r="TD64" s="443"/>
      <c r="TE64" s="443"/>
      <c r="TF64" s="443"/>
      <c r="TG64" s="443"/>
      <c r="TH64" s="443"/>
      <c r="TI64" s="443"/>
      <c r="TJ64" s="443"/>
      <c r="TK64" s="443"/>
      <c r="TL64" s="443"/>
      <c r="TM64" s="443"/>
      <c r="TN64" s="443"/>
      <c r="TO64" s="443"/>
      <c r="TP64" s="443"/>
      <c r="TQ64" s="443"/>
      <c r="TR64" s="443"/>
      <c r="TS64" s="443"/>
      <c r="TT64" s="443"/>
      <c r="TU64" s="443"/>
      <c r="TV64" s="443"/>
      <c r="TW64" s="443"/>
      <c r="TX64" s="443"/>
      <c r="TY64" s="443"/>
      <c r="TZ64" s="443"/>
      <c r="UA64" s="443"/>
      <c r="UB64" s="443"/>
      <c r="UC64" s="443"/>
      <c r="UD64" s="443"/>
      <c r="UE64" s="443"/>
      <c r="UF64" s="443"/>
      <c r="UG64" s="443"/>
      <c r="UH64" s="443"/>
      <c r="UI64" s="443"/>
      <c r="UJ64" s="443"/>
      <c r="UK64" s="443"/>
      <c r="UL64" s="443"/>
      <c r="UM64" s="443"/>
      <c r="UN64" s="443"/>
      <c r="UO64" s="443"/>
      <c r="UP64" s="443"/>
      <c r="UQ64" s="443"/>
      <c r="UR64" s="443"/>
      <c r="US64" s="443"/>
      <c r="UT64" s="443"/>
      <c r="UU64" s="443"/>
      <c r="UV64" s="443"/>
      <c r="UW64" s="443"/>
      <c r="UX64" s="443"/>
      <c r="UY64" s="443"/>
      <c r="UZ64" s="443"/>
      <c r="VA64" s="443"/>
      <c r="VB64" s="443"/>
      <c r="VC64" s="443"/>
      <c r="VD64" s="443"/>
      <c r="VE64" s="443"/>
      <c r="VF64" s="443"/>
      <c r="VG64" s="443"/>
      <c r="VH64" s="443"/>
      <c r="VI64" s="443"/>
      <c r="VJ64" s="443"/>
      <c r="VK64" s="443"/>
      <c r="VL64" s="443"/>
      <c r="VM64" s="443"/>
      <c r="VN64" s="443"/>
      <c r="VO64" s="443"/>
      <c r="VP64" s="443"/>
      <c r="VQ64" s="443"/>
      <c r="VR64" s="443"/>
      <c r="VS64" s="443"/>
      <c r="VT64" s="443"/>
      <c r="VU64" s="443"/>
      <c r="VV64" s="443"/>
      <c r="VW64" s="443"/>
      <c r="VX64" s="443"/>
      <c r="VY64" s="443"/>
      <c r="VZ64" s="443"/>
      <c r="WA64" s="443"/>
      <c r="WB64" s="443"/>
      <c r="WC64" s="443"/>
      <c r="WD64" s="443"/>
      <c r="WE64" s="443"/>
      <c r="WF64" s="443"/>
      <c r="WG64" s="443"/>
      <c r="WH64" s="443"/>
      <c r="WI64" s="443"/>
      <c r="WJ64" s="443"/>
      <c r="WK64" s="443"/>
      <c r="WL64" s="443"/>
      <c r="WM64" s="443"/>
      <c r="WN64" s="443"/>
      <c r="WO64" s="443"/>
      <c r="WP64" s="443"/>
      <c r="WQ64" s="443"/>
      <c r="WR64" s="443"/>
      <c r="WS64" s="443"/>
      <c r="WT64" s="443"/>
      <c r="WU64" s="443"/>
      <c r="WV64" s="443"/>
      <c r="WW64" s="443"/>
      <c r="WX64" s="443"/>
      <c r="WY64" s="443"/>
      <c r="WZ64" s="443"/>
      <c r="XA64" s="443"/>
      <c r="XB64" s="443"/>
      <c r="XC64" s="443"/>
      <c r="XD64" s="443"/>
      <c r="XE64" s="443"/>
      <c r="XF64" s="443"/>
      <c r="XG64" s="443"/>
      <c r="XH64" s="443"/>
      <c r="XI64" s="443"/>
      <c r="XJ64" s="443"/>
      <c r="XK64" s="443"/>
      <c r="XL64" s="443"/>
      <c r="XM64" s="443"/>
      <c r="XN64" s="443"/>
      <c r="XO64" s="443"/>
      <c r="XP64" s="443"/>
      <c r="XQ64" s="443"/>
      <c r="XR64" s="443"/>
      <c r="XS64" s="443"/>
      <c r="XT64" s="443"/>
      <c r="XU64" s="443"/>
      <c r="XV64" s="443"/>
      <c r="XW64" s="443"/>
      <c r="XX64" s="443"/>
      <c r="XY64" s="443"/>
      <c r="XZ64" s="443"/>
      <c r="YA64" s="443"/>
      <c r="YB64" s="443"/>
      <c r="YC64" s="443"/>
      <c r="YD64" s="443"/>
      <c r="YE64" s="443"/>
      <c r="YF64" s="443"/>
      <c r="YG64" s="443"/>
      <c r="YH64" s="443"/>
      <c r="YI64" s="443"/>
      <c r="YJ64" s="443"/>
      <c r="YK64" s="443"/>
      <c r="YL64" s="443"/>
      <c r="YM64" s="443"/>
      <c r="YN64" s="443"/>
      <c r="YO64" s="443"/>
      <c r="YP64" s="443"/>
      <c r="YQ64" s="443"/>
      <c r="YR64" s="443"/>
      <c r="YS64" s="443"/>
      <c r="YT64" s="443"/>
      <c r="YU64" s="443"/>
      <c r="YV64" s="443"/>
      <c r="YW64" s="443"/>
      <c r="YX64" s="443"/>
      <c r="YY64" s="443"/>
      <c r="YZ64" s="443"/>
      <c r="ZA64" s="443"/>
      <c r="ZB64" s="443"/>
      <c r="ZC64" s="443"/>
      <c r="ZD64" s="443"/>
      <c r="ZE64" s="443"/>
      <c r="ZF64" s="443"/>
      <c r="ZG64" s="443"/>
      <c r="ZH64" s="443"/>
      <c r="ZI64" s="443"/>
      <c r="ZJ64" s="443"/>
      <c r="ZK64" s="443"/>
      <c r="ZL64" s="443"/>
      <c r="ZM64" s="443"/>
      <c r="ZN64" s="443"/>
      <c r="ZO64" s="443"/>
      <c r="ZP64" s="443"/>
      <c r="ZQ64" s="443"/>
      <c r="ZR64" s="443"/>
      <c r="ZS64" s="443"/>
      <c r="ZT64" s="443"/>
      <c r="ZU64" s="443"/>
      <c r="ZV64" s="443"/>
      <c r="ZW64" s="443"/>
      <c r="ZX64" s="443"/>
      <c r="ZY64" s="443"/>
      <c r="ZZ64" s="443"/>
      <c r="AAA64" s="443"/>
      <c r="AAB64" s="443"/>
      <c r="AAC64" s="443"/>
      <c r="AAD64" s="443"/>
      <c r="AAE64" s="443"/>
      <c r="AAF64" s="443"/>
      <c r="AAG64" s="443"/>
      <c r="AAH64" s="443"/>
      <c r="AAI64" s="443"/>
      <c r="AAJ64" s="443"/>
      <c r="AAK64" s="443"/>
      <c r="AAL64" s="443"/>
      <c r="AAM64" s="443"/>
      <c r="AAN64" s="443"/>
      <c r="AAO64" s="443"/>
      <c r="AAP64" s="443"/>
      <c r="AAQ64" s="443"/>
      <c r="AAR64" s="443"/>
      <c r="AAS64" s="443"/>
      <c r="AAT64" s="443"/>
      <c r="AAU64" s="443"/>
      <c r="AAV64" s="443"/>
      <c r="AAW64" s="443"/>
      <c r="AAX64" s="443"/>
      <c r="AAY64" s="443"/>
      <c r="AAZ64" s="443"/>
      <c r="ABA64" s="443"/>
      <c r="ABB64" s="443"/>
      <c r="ABC64" s="443"/>
      <c r="ABD64" s="443"/>
      <c r="ABE64" s="443"/>
      <c r="ABF64" s="443"/>
      <c r="ABG64" s="443"/>
      <c r="ABH64" s="443"/>
      <c r="ABI64" s="443"/>
      <c r="ABJ64" s="443"/>
      <c r="ABK64" s="443"/>
      <c r="ABL64" s="443"/>
      <c r="ABM64" s="443"/>
      <c r="ABN64" s="443"/>
      <c r="ABO64" s="443"/>
      <c r="ABP64" s="443"/>
      <c r="ABQ64" s="443"/>
      <c r="ABR64" s="443"/>
      <c r="ABS64" s="443"/>
      <c r="ABT64" s="443"/>
      <c r="ABU64" s="443"/>
      <c r="ABV64" s="443"/>
      <c r="ABW64" s="443"/>
      <c r="ABX64" s="443"/>
      <c r="ABY64" s="443"/>
      <c r="ABZ64" s="443"/>
      <c r="ACA64" s="443"/>
      <c r="ACB64" s="443"/>
      <c r="ACC64" s="443"/>
      <c r="ACD64" s="443"/>
      <c r="ACE64" s="443"/>
      <c r="ACF64" s="443"/>
      <c r="ACG64" s="443"/>
      <c r="ACH64" s="443"/>
      <c r="ACI64" s="443"/>
      <c r="ACJ64" s="443"/>
      <c r="ACK64" s="443"/>
      <c r="ACL64" s="443"/>
      <c r="ACM64" s="443"/>
      <c r="ACN64" s="443"/>
      <c r="ACO64" s="443"/>
      <c r="ACP64" s="443"/>
      <c r="ACQ64" s="443"/>
      <c r="ACR64" s="443"/>
      <c r="ACS64" s="443"/>
      <c r="ACT64" s="443"/>
      <c r="ACU64" s="443"/>
      <c r="ACV64" s="443"/>
      <c r="ACW64" s="443"/>
      <c r="ACX64" s="443"/>
      <c r="ACY64" s="443"/>
      <c r="ACZ64" s="443"/>
      <c r="ADA64" s="443"/>
      <c r="ADB64" s="443"/>
      <c r="ADC64" s="443"/>
      <c r="ADD64" s="443"/>
      <c r="ADE64" s="443"/>
      <c r="ADF64" s="443"/>
      <c r="ADG64" s="443"/>
      <c r="ADH64" s="443"/>
      <c r="ADI64" s="443"/>
      <c r="ADJ64" s="443"/>
      <c r="ADK64" s="443"/>
      <c r="ADL64" s="443"/>
      <c r="ADM64" s="443"/>
      <c r="ADN64" s="443"/>
      <c r="ADO64" s="443"/>
      <c r="ADP64" s="443"/>
      <c r="ADQ64" s="443"/>
      <c r="ADR64" s="443"/>
      <c r="ADS64" s="443"/>
      <c r="ADT64" s="443"/>
      <c r="ADU64" s="443"/>
      <c r="ADV64" s="443"/>
      <c r="ADW64" s="443"/>
      <c r="ADX64" s="443"/>
      <c r="ADY64" s="443"/>
      <c r="ADZ64" s="443"/>
      <c r="AEA64" s="443"/>
      <c r="AEB64" s="443"/>
      <c r="AEC64" s="443"/>
      <c r="AED64" s="443"/>
      <c r="AEE64" s="443"/>
      <c r="AEF64" s="443"/>
      <c r="AEG64" s="443"/>
      <c r="AEH64" s="443"/>
      <c r="AEI64" s="443"/>
      <c r="AEJ64" s="443"/>
      <c r="AEK64" s="443"/>
      <c r="AEL64" s="443"/>
      <c r="AEM64" s="443"/>
      <c r="AEN64" s="443"/>
      <c r="AEO64" s="443"/>
      <c r="AEP64" s="443"/>
      <c r="AEQ64" s="443"/>
      <c r="AER64" s="443"/>
      <c r="AES64" s="443"/>
      <c r="AET64" s="443"/>
      <c r="AEU64" s="443"/>
      <c r="AEV64" s="443"/>
      <c r="AEW64" s="443"/>
      <c r="AEX64" s="443"/>
      <c r="AEY64" s="443"/>
      <c r="AEZ64" s="443"/>
      <c r="AFA64" s="443"/>
      <c r="AFB64" s="443"/>
      <c r="AFC64" s="443"/>
      <c r="AFD64" s="443"/>
      <c r="AFE64" s="443"/>
      <c r="AFF64" s="443"/>
      <c r="AFG64" s="443"/>
      <c r="AFH64" s="443"/>
      <c r="AFI64" s="443"/>
      <c r="AFJ64" s="443"/>
      <c r="AFK64" s="443"/>
      <c r="AFL64" s="443"/>
      <c r="AFM64" s="443"/>
      <c r="AFN64" s="443"/>
      <c r="AFO64" s="443"/>
      <c r="AFP64" s="443"/>
      <c r="AFQ64" s="443"/>
      <c r="AFR64" s="443"/>
      <c r="AFS64" s="443"/>
      <c r="AFT64" s="443"/>
      <c r="AFU64" s="443"/>
      <c r="AFV64" s="443"/>
      <c r="AFW64" s="443"/>
      <c r="AFX64" s="443"/>
      <c r="AFY64" s="443"/>
      <c r="AFZ64" s="443"/>
      <c r="AGA64" s="443"/>
      <c r="AGB64" s="443"/>
      <c r="AGC64" s="443"/>
      <c r="AGD64" s="443"/>
      <c r="AGE64" s="443"/>
      <c r="AGF64" s="443"/>
      <c r="AGG64" s="443"/>
      <c r="AGH64" s="443"/>
      <c r="AGI64" s="443"/>
      <c r="AGJ64" s="443"/>
    </row>
    <row r="65" spans="1:868" s="1" customFormat="1">
      <c r="A65" s="653" t="s">
        <v>127</v>
      </c>
      <c r="B65" s="800" t="s">
        <v>455</v>
      </c>
      <c r="C65" s="34" t="s">
        <v>147</v>
      </c>
      <c r="D65" s="122" t="s">
        <v>107</v>
      </c>
      <c r="E65" s="638">
        <f t="shared" si="22"/>
        <v>7.810419810064792E-2</v>
      </c>
      <c r="F65" s="9">
        <v>1</v>
      </c>
      <c r="G65" s="9" t="s">
        <v>451</v>
      </c>
      <c r="H65" s="10">
        <v>1</v>
      </c>
      <c r="I65" s="10">
        <v>2</v>
      </c>
      <c r="J65" s="10">
        <v>2</v>
      </c>
      <c r="K65" s="10">
        <v>1</v>
      </c>
      <c r="L65" s="10">
        <v>1</v>
      </c>
      <c r="M65" s="10">
        <v>2</v>
      </c>
      <c r="N65" s="411">
        <f t="shared" si="25"/>
        <v>0.35859414261160716</v>
      </c>
      <c r="O65" s="411">
        <f t="shared" si="26"/>
        <v>0.37356464144298934</v>
      </c>
      <c r="P65" s="43"/>
      <c r="Q65" s="443"/>
      <c r="R65" s="443"/>
      <c r="S65" s="443"/>
      <c r="T65" s="443"/>
      <c r="U65" s="443"/>
      <c r="V65" s="443"/>
      <c r="W65" s="443"/>
      <c r="X65" s="443"/>
      <c r="Y65" s="443"/>
      <c r="Z65" s="443"/>
      <c r="AA65" s="443"/>
      <c r="AB65" s="443"/>
      <c r="AC65" s="443"/>
      <c r="AD65" s="443"/>
      <c r="AE65" s="443"/>
      <c r="AF65" s="443"/>
      <c r="AG65" s="443"/>
      <c r="AH65" s="443"/>
      <c r="AI65" s="443"/>
      <c r="AJ65" s="443"/>
      <c r="AK65" s="443"/>
      <c r="AL65" s="443"/>
      <c r="AM65" s="443"/>
      <c r="AN65" s="443"/>
      <c r="AO65" s="443"/>
      <c r="AP65" s="443"/>
      <c r="AQ65" s="443"/>
      <c r="AR65" s="443"/>
      <c r="AS65" s="443"/>
      <c r="AT65" s="443"/>
      <c r="AU65" s="443"/>
      <c r="AV65" s="443"/>
      <c r="AW65" s="443"/>
      <c r="AX65" s="443"/>
      <c r="AY65" s="443"/>
      <c r="AZ65" s="443"/>
      <c r="BA65" s="443"/>
      <c r="BB65" s="443"/>
      <c r="BC65" s="443"/>
      <c r="BD65" s="443"/>
      <c r="BE65" s="443"/>
      <c r="BF65" s="443"/>
      <c r="BG65" s="443"/>
      <c r="BH65" s="443"/>
      <c r="BI65" s="443"/>
      <c r="BJ65" s="443"/>
      <c r="BK65" s="443"/>
      <c r="BL65" s="443"/>
      <c r="BM65" s="443"/>
      <c r="BN65" s="443"/>
      <c r="BO65" s="443"/>
      <c r="BP65" s="443"/>
      <c r="BQ65" s="443"/>
      <c r="BR65" s="443"/>
      <c r="BS65" s="443"/>
      <c r="BT65" s="443"/>
      <c r="BU65" s="443"/>
      <c r="BV65" s="443"/>
      <c r="BW65" s="443"/>
      <c r="BX65" s="443"/>
      <c r="BY65" s="443"/>
      <c r="BZ65" s="443"/>
      <c r="CA65" s="443"/>
      <c r="CB65" s="443"/>
      <c r="CC65" s="443"/>
      <c r="CD65" s="443"/>
      <c r="CE65" s="443"/>
      <c r="CF65" s="443"/>
      <c r="CG65" s="443"/>
      <c r="CH65" s="443"/>
      <c r="CI65" s="443"/>
      <c r="CJ65" s="443"/>
      <c r="CK65" s="443"/>
      <c r="CL65" s="443"/>
      <c r="CM65" s="443"/>
      <c r="CN65" s="443"/>
      <c r="CO65" s="443"/>
      <c r="CP65" s="443"/>
      <c r="CQ65" s="443"/>
      <c r="CR65" s="443"/>
      <c r="CS65" s="443"/>
      <c r="CT65" s="443"/>
      <c r="CU65" s="443"/>
      <c r="CV65" s="443"/>
      <c r="CW65" s="443"/>
      <c r="CX65" s="443"/>
      <c r="CY65" s="443"/>
      <c r="CZ65" s="443"/>
      <c r="DA65" s="443"/>
      <c r="DB65" s="443"/>
      <c r="DC65" s="443"/>
      <c r="DD65" s="443"/>
      <c r="DE65" s="443"/>
      <c r="DF65" s="443"/>
      <c r="DG65" s="443"/>
      <c r="DH65" s="443"/>
      <c r="DI65" s="443"/>
      <c r="DJ65" s="443"/>
      <c r="DK65" s="443"/>
      <c r="DL65" s="443"/>
      <c r="DM65" s="443"/>
      <c r="DN65" s="443"/>
      <c r="DO65" s="443"/>
      <c r="DP65" s="443"/>
      <c r="DQ65" s="443"/>
      <c r="DR65" s="443"/>
      <c r="DS65" s="443"/>
      <c r="DT65" s="443"/>
      <c r="DU65" s="443"/>
      <c r="DV65" s="443"/>
      <c r="DW65" s="443"/>
      <c r="DX65" s="443"/>
      <c r="DY65" s="443"/>
      <c r="DZ65" s="443"/>
      <c r="EA65" s="443"/>
      <c r="EB65" s="443"/>
      <c r="EC65" s="443"/>
      <c r="ED65" s="443"/>
      <c r="EE65" s="443"/>
      <c r="EF65" s="443"/>
      <c r="EG65" s="443"/>
      <c r="EH65" s="443"/>
      <c r="EI65" s="443"/>
      <c r="EJ65" s="443"/>
      <c r="EK65" s="443"/>
      <c r="EL65" s="443"/>
      <c r="EM65" s="443"/>
      <c r="EN65" s="443"/>
      <c r="EO65" s="443"/>
      <c r="EP65" s="443"/>
      <c r="EQ65" s="443"/>
      <c r="ER65" s="443"/>
      <c r="ES65" s="443"/>
      <c r="ET65" s="443"/>
      <c r="EU65" s="443"/>
      <c r="EV65" s="443"/>
      <c r="EW65" s="443"/>
      <c r="EX65" s="443"/>
      <c r="EY65" s="443"/>
      <c r="EZ65" s="443"/>
      <c r="FA65" s="443"/>
      <c r="FB65" s="443"/>
      <c r="FC65" s="443"/>
      <c r="FD65" s="443"/>
      <c r="FE65" s="443"/>
      <c r="FF65" s="443"/>
      <c r="FG65" s="443"/>
      <c r="FH65" s="443"/>
      <c r="FI65" s="443"/>
      <c r="FJ65" s="443"/>
      <c r="FK65" s="443"/>
      <c r="FL65" s="443"/>
      <c r="FM65" s="443"/>
      <c r="FN65" s="443"/>
      <c r="FO65" s="443"/>
      <c r="FP65" s="443"/>
      <c r="FQ65" s="443"/>
      <c r="FR65" s="443"/>
      <c r="FS65" s="443"/>
      <c r="FT65" s="443"/>
      <c r="FU65" s="443"/>
      <c r="FV65" s="443"/>
      <c r="FW65" s="443"/>
      <c r="FX65" s="443"/>
      <c r="FY65" s="443"/>
      <c r="FZ65" s="443"/>
      <c r="GA65" s="443"/>
      <c r="GB65" s="443"/>
      <c r="GC65" s="443"/>
      <c r="GD65" s="443"/>
      <c r="GE65" s="443"/>
      <c r="GF65" s="443"/>
      <c r="GG65" s="443"/>
      <c r="GH65" s="443"/>
      <c r="GI65" s="443"/>
      <c r="GJ65" s="443"/>
      <c r="GK65" s="443"/>
      <c r="GL65" s="443"/>
      <c r="GM65" s="443"/>
      <c r="GN65" s="443"/>
      <c r="GO65" s="443"/>
      <c r="GP65" s="443"/>
      <c r="GQ65" s="443"/>
      <c r="GR65" s="443"/>
      <c r="GS65" s="443"/>
      <c r="GT65" s="443"/>
      <c r="GU65" s="443"/>
      <c r="GV65" s="443"/>
      <c r="GW65" s="443"/>
      <c r="GX65" s="443"/>
      <c r="GY65" s="443"/>
      <c r="GZ65" s="443"/>
      <c r="HA65" s="443"/>
      <c r="HB65" s="443"/>
      <c r="HC65" s="443"/>
      <c r="HD65" s="443"/>
      <c r="HE65" s="443"/>
      <c r="HF65" s="443"/>
      <c r="HG65" s="443"/>
      <c r="HH65" s="443"/>
      <c r="HI65" s="443"/>
      <c r="HJ65" s="443"/>
      <c r="HK65" s="443"/>
      <c r="HL65" s="443"/>
      <c r="HM65" s="443"/>
      <c r="HN65" s="443"/>
      <c r="HO65" s="443"/>
      <c r="HP65" s="443"/>
      <c r="HQ65" s="443"/>
      <c r="HR65" s="443"/>
      <c r="HS65" s="443"/>
      <c r="HT65" s="443"/>
      <c r="HU65" s="443"/>
      <c r="HV65" s="443"/>
      <c r="HW65" s="443"/>
      <c r="HX65" s="443"/>
      <c r="HY65" s="443"/>
      <c r="HZ65" s="443"/>
      <c r="IA65" s="443"/>
      <c r="IB65" s="443"/>
      <c r="IC65" s="443"/>
      <c r="ID65" s="443"/>
      <c r="IE65" s="443"/>
      <c r="IF65" s="443"/>
      <c r="IG65" s="443"/>
      <c r="IH65" s="443"/>
      <c r="II65" s="443"/>
      <c r="IJ65" s="443"/>
      <c r="IK65" s="443"/>
      <c r="IL65" s="443"/>
      <c r="IM65" s="443"/>
      <c r="IN65" s="443"/>
      <c r="IO65" s="443"/>
      <c r="IP65" s="443"/>
      <c r="IQ65" s="443"/>
      <c r="IR65" s="443"/>
      <c r="IS65" s="443"/>
      <c r="IT65" s="443"/>
      <c r="IU65" s="443"/>
      <c r="IV65" s="443"/>
      <c r="IW65" s="443"/>
      <c r="IX65" s="443"/>
      <c r="IY65" s="443"/>
      <c r="IZ65" s="443"/>
      <c r="JA65" s="443"/>
      <c r="JB65" s="443"/>
      <c r="JC65" s="443"/>
      <c r="JD65" s="443"/>
      <c r="JE65" s="443"/>
      <c r="JF65" s="443"/>
      <c r="JG65" s="443"/>
      <c r="JH65" s="443"/>
      <c r="JI65" s="443"/>
      <c r="JJ65" s="443"/>
      <c r="JK65" s="443"/>
      <c r="JL65" s="443"/>
      <c r="JM65" s="443"/>
      <c r="JN65" s="443"/>
      <c r="JO65" s="443"/>
      <c r="JP65" s="443"/>
      <c r="JQ65" s="443"/>
      <c r="JR65" s="443"/>
      <c r="JS65" s="443"/>
      <c r="JT65" s="443"/>
      <c r="JU65" s="443"/>
      <c r="JV65" s="443"/>
      <c r="JW65" s="443"/>
      <c r="JX65" s="443"/>
      <c r="JY65" s="443"/>
      <c r="JZ65" s="443"/>
      <c r="KA65" s="443"/>
      <c r="KB65" s="443"/>
      <c r="KC65" s="443"/>
      <c r="KD65" s="443"/>
      <c r="KE65" s="443"/>
      <c r="KF65" s="443"/>
      <c r="KG65" s="443"/>
      <c r="KH65" s="443"/>
      <c r="KI65" s="443"/>
      <c r="KJ65" s="443"/>
      <c r="KK65" s="443"/>
      <c r="KL65" s="443"/>
      <c r="KM65" s="443"/>
      <c r="KN65" s="443"/>
      <c r="KO65" s="443"/>
      <c r="KP65" s="443"/>
      <c r="KQ65" s="443"/>
      <c r="KR65" s="443"/>
      <c r="KS65" s="443"/>
      <c r="KT65" s="443"/>
      <c r="KU65" s="443"/>
      <c r="KV65" s="443"/>
      <c r="KW65" s="443"/>
      <c r="KX65" s="443"/>
      <c r="KY65" s="443"/>
      <c r="KZ65" s="443"/>
      <c r="LA65" s="443"/>
      <c r="LB65" s="443"/>
      <c r="LC65" s="443"/>
      <c r="LD65" s="443"/>
      <c r="LE65" s="443"/>
      <c r="LF65" s="443"/>
      <c r="LG65" s="443"/>
      <c r="LH65" s="443"/>
      <c r="LI65" s="443"/>
      <c r="LJ65" s="443"/>
      <c r="LK65" s="443"/>
      <c r="LL65" s="443"/>
      <c r="LM65" s="443"/>
      <c r="LN65" s="443"/>
      <c r="LO65" s="443"/>
      <c r="LP65" s="443"/>
      <c r="LQ65" s="443"/>
      <c r="LR65" s="443"/>
      <c r="LS65" s="443"/>
      <c r="LT65" s="443"/>
      <c r="LU65" s="443"/>
      <c r="LV65" s="443"/>
      <c r="LW65" s="443"/>
      <c r="LX65" s="443"/>
      <c r="LY65" s="443"/>
      <c r="LZ65" s="443"/>
      <c r="MA65" s="443"/>
      <c r="MB65" s="443"/>
      <c r="MC65" s="443"/>
      <c r="MD65" s="443"/>
      <c r="ME65" s="443"/>
      <c r="MF65" s="443"/>
      <c r="MG65" s="443"/>
      <c r="MH65" s="443"/>
      <c r="MI65" s="443"/>
      <c r="MJ65" s="443"/>
      <c r="MK65" s="443"/>
      <c r="ML65" s="443"/>
      <c r="MM65" s="443"/>
      <c r="MN65" s="443"/>
      <c r="MO65" s="443"/>
      <c r="MP65" s="443"/>
      <c r="MQ65" s="443"/>
      <c r="MR65" s="443"/>
      <c r="MS65" s="443"/>
      <c r="MT65" s="443"/>
      <c r="MU65" s="443"/>
      <c r="MV65" s="443"/>
      <c r="MW65" s="443"/>
      <c r="MX65" s="443"/>
      <c r="MY65" s="443"/>
      <c r="MZ65" s="443"/>
      <c r="NA65" s="443"/>
      <c r="NB65" s="443"/>
      <c r="NC65" s="443"/>
      <c r="ND65" s="443"/>
      <c r="NE65" s="443"/>
      <c r="NF65" s="443"/>
      <c r="NG65" s="443"/>
      <c r="NH65" s="443"/>
      <c r="NI65" s="443"/>
      <c r="NJ65" s="443"/>
      <c r="NK65" s="443"/>
      <c r="NL65" s="443"/>
      <c r="NM65" s="443"/>
      <c r="NN65" s="443"/>
      <c r="NO65" s="443"/>
      <c r="NP65" s="443"/>
      <c r="NQ65" s="443"/>
      <c r="NR65" s="443"/>
      <c r="NS65" s="443"/>
      <c r="NT65" s="443"/>
      <c r="NU65" s="443"/>
      <c r="NV65" s="443"/>
      <c r="NW65" s="443"/>
      <c r="NX65" s="443"/>
      <c r="NY65" s="443"/>
      <c r="NZ65" s="443"/>
      <c r="OA65" s="443"/>
      <c r="OB65" s="443"/>
      <c r="OC65" s="443"/>
      <c r="OD65" s="443"/>
      <c r="OE65" s="443"/>
      <c r="OF65" s="443"/>
      <c r="OG65" s="443"/>
      <c r="OH65" s="443"/>
      <c r="OI65" s="443"/>
      <c r="OJ65" s="443"/>
      <c r="OK65" s="443"/>
      <c r="OL65" s="443"/>
      <c r="OM65" s="443"/>
      <c r="ON65" s="443"/>
      <c r="OO65" s="443"/>
      <c r="OP65" s="443"/>
      <c r="OQ65" s="443"/>
      <c r="OR65" s="443"/>
      <c r="OS65" s="443"/>
      <c r="OT65" s="443"/>
      <c r="OU65" s="443"/>
      <c r="OV65" s="443"/>
      <c r="OW65" s="443"/>
      <c r="OX65" s="443"/>
      <c r="OY65" s="443"/>
      <c r="OZ65" s="443"/>
      <c r="PA65" s="443"/>
      <c r="PB65" s="443"/>
      <c r="PC65" s="443"/>
      <c r="PD65" s="443"/>
      <c r="PE65" s="443"/>
      <c r="PF65" s="443"/>
      <c r="PG65" s="443"/>
      <c r="PH65" s="443"/>
      <c r="PI65" s="443"/>
      <c r="PJ65" s="443"/>
      <c r="PK65" s="443"/>
      <c r="PL65" s="443"/>
      <c r="PM65" s="443"/>
      <c r="PN65" s="443"/>
      <c r="PO65" s="443"/>
      <c r="PP65" s="443"/>
      <c r="PQ65" s="443"/>
      <c r="PR65" s="443"/>
      <c r="PS65" s="443"/>
      <c r="PT65" s="443"/>
      <c r="PU65" s="443"/>
      <c r="PV65" s="443"/>
      <c r="PW65" s="443"/>
      <c r="PX65" s="443"/>
      <c r="PY65" s="443"/>
      <c r="PZ65" s="443"/>
      <c r="QA65" s="443"/>
      <c r="QB65" s="443"/>
      <c r="QC65" s="443"/>
      <c r="QD65" s="443"/>
      <c r="QE65" s="443"/>
      <c r="QF65" s="443"/>
      <c r="QG65" s="443"/>
      <c r="QH65" s="443"/>
      <c r="QI65" s="443"/>
      <c r="QJ65" s="443"/>
      <c r="QK65" s="443"/>
      <c r="QL65" s="443"/>
      <c r="QM65" s="443"/>
      <c r="QN65" s="443"/>
      <c r="QO65" s="443"/>
      <c r="QP65" s="443"/>
      <c r="QQ65" s="443"/>
      <c r="QR65" s="443"/>
      <c r="QS65" s="443"/>
      <c r="QT65" s="443"/>
      <c r="QU65" s="443"/>
      <c r="QV65" s="443"/>
      <c r="QW65" s="443"/>
      <c r="QX65" s="443"/>
      <c r="QY65" s="443"/>
      <c r="QZ65" s="443"/>
      <c r="RA65" s="443"/>
      <c r="RB65" s="443"/>
      <c r="RC65" s="443"/>
      <c r="RD65" s="443"/>
      <c r="RE65" s="443"/>
      <c r="RF65" s="443"/>
      <c r="RG65" s="443"/>
      <c r="RH65" s="443"/>
      <c r="RI65" s="443"/>
      <c r="RJ65" s="443"/>
      <c r="RK65" s="443"/>
      <c r="RL65" s="443"/>
      <c r="RM65" s="443"/>
      <c r="RN65" s="443"/>
      <c r="RO65" s="443"/>
      <c r="RP65" s="443"/>
      <c r="RQ65" s="443"/>
      <c r="RR65" s="443"/>
      <c r="RS65" s="443"/>
      <c r="RT65" s="443"/>
      <c r="RU65" s="443"/>
      <c r="RV65" s="443"/>
      <c r="RW65" s="443"/>
      <c r="RX65" s="443"/>
      <c r="RY65" s="443"/>
      <c r="RZ65" s="443"/>
      <c r="SA65" s="443"/>
      <c r="SB65" s="443"/>
      <c r="SC65" s="443"/>
      <c r="SD65" s="443"/>
      <c r="SE65" s="443"/>
      <c r="SF65" s="443"/>
      <c r="SG65" s="443"/>
      <c r="SH65" s="443"/>
      <c r="SI65" s="443"/>
      <c r="SJ65" s="443"/>
      <c r="SK65" s="443"/>
      <c r="SL65" s="443"/>
      <c r="SM65" s="443"/>
      <c r="SN65" s="443"/>
      <c r="SO65" s="443"/>
      <c r="SP65" s="443"/>
      <c r="SQ65" s="443"/>
      <c r="SR65" s="443"/>
      <c r="SS65" s="443"/>
      <c r="ST65" s="443"/>
      <c r="SU65" s="443"/>
      <c r="SV65" s="443"/>
      <c r="SW65" s="443"/>
      <c r="SX65" s="443"/>
      <c r="SY65" s="443"/>
      <c r="SZ65" s="443"/>
      <c r="TA65" s="443"/>
      <c r="TB65" s="443"/>
      <c r="TC65" s="443"/>
      <c r="TD65" s="443"/>
      <c r="TE65" s="443"/>
      <c r="TF65" s="443"/>
      <c r="TG65" s="443"/>
      <c r="TH65" s="443"/>
      <c r="TI65" s="443"/>
      <c r="TJ65" s="443"/>
      <c r="TK65" s="443"/>
      <c r="TL65" s="443"/>
      <c r="TM65" s="443"/>
      <c r="TN65" s="443"/>
      <c r="TO65" s="443"/>
      <c r="TP65" s="443"/>
      <c r="TQ65" s="443"/>
      <c r="TR65" s="443"/>
      <c r="TS65" s="443"/>
      <c r="TT65" s="443"/>
      <c r="TU65" s="443"/>
      <c r="TV65" s="443"/>
      <c r="TW65" s="443"/>
      <c r="TX65" s="443"/>
      <c r="TY65" s="443"/>
      <c r="TZ65" s="443"/>
      <c r="UA65" s="443"/>
      <c r="UB65" s="443"/>
      <c r="UC65" s="443"/>
      <c r="UD65" s="443"/>
      <c r="UE65" s="443"/>
      <c r="UF65" s="443"/>
      <c r="UG65" s="443"/>
      <c r="UH65" s="443"/>
      <c r="UI65" s="443"/>
      <c r="UJ65" s="443"/>
      <c r="UK65" s="443"/>
      <c r="UL65" s="443"/>
      <c r="UM65" s="443"/>
      <c r="UN65" s="443"/>
      <c r="UO65" s="443"/>
      <c r="UP65" s="443"/>
      <c r="UQ65" s="443"/>
      <c r="UR65" s="443"/>
      <c r="US65" s="443"/>
      <c r="UT65" s="443"/>
      <c r="UU65" s="443"/>
      <c r="UV65" s="443"/>
      <c r="UW65" s="443"/>
      <c r="UX65" s="443"/>
      <c r="UY65" s="443"/>
      <c r="UZ65" s="443"/>
      <c r="VA65" s="443"/>
      <c r="VB65" s="443"/>
      <c r="VC65" s="443"/>
      <c r="VD65" s="443"/>
      <c r="VE65" s="443"/>
      <c r="VF65" s="443"/>
      <c r="VG65" s="443"/>
      <c r="VH65" s="443"/>
      <c r="VI65" s="443"/>
      <c r="VJ65" s="443"/>
      <c r="VK65" s="443"/>
      <c r="VL65" s="443"/>
      <c r="VM65" s="443"/>
      <c r="VN65" s="443"/>
      <c r="VO65" s="443"/>
      <c r="VP65" s="443"/>
      <c r="VQ65" s="443"/>
      <c r="VR65" s="443"/>
      <c r="VS65" s="443"/>
      <c r="VT65" s="443"/>
      <c r="VU65" s="443"/>
      <c r="VV65" s="443"/>
      <c r="VW65" s="443"/>
      <c r="VX65" s="443"/>
      <c r="VY65" s="443"/>
      <c r="VZ65" s="443"/>
      <c r="WA65" s="443"/>
      <c r="WB65" s="443"/>
      <c r="WC65" s="443"/>
      <c r="WD65" s="443"/>
      <c r="WE65" s="443"/>
      <c r="WF65" s="443"/>
      <c r="WG65" s="443"/>
      <c r="WH65" s="443"/>
      <c r="WI65" s="443"/>
      <c r="WJ65" s="443"/>
      <c r="WK65" s="443"/>
      <c r="WL65" s="443"/>
      <c r="WM65" s="443"/>
      <c r="WN65" s="443"/>
      <c r="WO65" s="443"/>
      <c r="WP65" s="443"/>
      <c r="WQ65" s="443"/>
      <c r="WR65" s="443"/>
      <c r="WS65" s="443"/>
      <c r="WT65" s="443"/>
      <c r="WU65" s="443"/>
      <c r="WV65" s="443"/>
      <c r="WW65" s="443"/>
      <c r="WX65" s="443"/>
      <c r="WY65" s="443"/>
      <c r="WZ65" s="443"/>
      <c r="XA65" s="443"/>
      <c r="XB65" s="443"/>
      <c r="XC65" s="443"/>
      <c r="XD65" s="443"/>
      <c r="XE65" s="443"/>
      <c r="XF65" s="443"/>
      <c r="XG65" s="443"/>
      <c r="XH65" s="443"/>
      <c r="XI65" s="443"/>
      <c r="XJ65" s="443"/>
      <c r="XK65" s="443"/>
      <c r="XL65" s="443"/>
      <c r="XM65" s="443"/>
      <c r="XN65" s="443"/>
      <c r="XO65" s="443"/>
      <c r="XP65" s="443"/>
      <c r="XQ65" s="443"/>
      <c r="XR65" s="443"/>
      <c r="XS65" s="443"/>
      <c r="XT65" s="443"/>
      <c r="XU65" s="443"/>
      <c r="XV65" s="443"/>
      <c r="XW65" s="443"/>
      <c r="XX65" s="443"/>
      <c r="XY65" s="443"/>
      <c r="XZ65" s="443"/>
      <c r="YA65" s="443"/>
      <c r="YB65" s="443"/>
      <c r="YC65" s="443"/>
      <c r="YD65" s="443"/>
      <c r="YE65" s="443"/>
      <c r="YF65" s="443"/>
      <c r="YG65" s="443"/>
      <c r="YH65" s="443"/>
      <c r="YI65" s="443"/>
      <c r="YJ65" s="443"/>
      <c r="YK65" s="443"/>
      <c r="YL65" s="443"/>
      <c r="YM65" s="443"/>
      <c r="YN65" s="443"/>
      <c r="YO65" s="443"/>
      <c r="YP65" s="443"/>
      <c r="YQ65" s="443"/>
      <c r="YR65" s="443"/>
      <c r="YS65" s="443"/>
      <c r="YT65" s="443"/>
      <c r="YU65" s="443"/>
      <c r="YV65" s="443"/>
      <c r="YW65" s="443"/>
      <c r="YX65" s="443"/>
      <c r="YY65" s="443"/>
      <c r="YZ65" s="443"/>
      <c r="ZA65" s="443"/>
      <c r="ZB65" s="443"/>
      <c r="ZC65" s="443"/>
      <c r="ZD65" s="443"/>
      <c r="ZE65" s="443"/>
      <c r="ZF65" s="443"/>
      <c r="ZG65" s="443"/>
      <c r="ZH65" s="443"/>
      <c r="ZI65" s="443"/>
      <c r="ZJ65" s="443"/>
      <c r="ZK65" s="443"/>
      <c r="ZL65" s="443"/>
      <c r="ZM65" s="443"/>
      <c r="ZN65" s="443"/>
      <c r="ZO65" s="443"/>
      <c r="ZP65" s="443"/>
      <c r="ZQ65" s="443"/>
      <c r="ZR65" s="443"/>
      <c r="ZS65" s="443"/>
      <c r="ZT65" s="443"/>
      <c r="ZU65" s="443"/>
      <c r="ZV65" s="443"/>
      <c r="ZW65" s="443"/>
      <c r="ZX65" s="443"/>
      <c r="ZY65" s="443"/>
      <c r="ZZ65" s="443"/>
      <c r="AAA65" s="443"/>
      <c r="AAB65" s="443"/>
      <c r="AAC65" s="443"/>
      <c r="AAD65" s="443"/>
      <c r="AAE65" s="443"/>
      <c r="AAF65" s="443"/>
      <c r="AAG65" s="443"/>
      <c r="AAH65" s="443"/>
      <c r="AAI65" s="443"/>
      <c r="AAJ65" s="443"/>
      <c r="AAK65" s="443"/>
      <c r="AAL65" s="443"/>
      <c r="AAM65" s="443"/>
      <c r="AAN65" s="443"/>
      <c r="AAO65" s="443"/>
      <c r="AAP65" s="443"/>
      <c r="AAQ65" s="443"/>
      <c r="AAR65" s="443"/>
      <c r="AAS65" s="443"/>
      <c r="AAT65" s="443"/>
      <c r="AAU65" s="443"/>
      <c r="AAV65" s="443"/>
      <c r="AAW65" s="443"/>
      <c r="AAX65" s="443"/>
      <c r="AAY65" s="443"/>
      <c r="AAZ65" s="443"/>
      <c r="ABA65" s="443"/>
      <c r="ABB65" s="443"/>
      <c r="ABC65" s="443"/>
      <c r="ABD65" s="443"/>
      <c r="ABE65" s="443"/>
      <c r="ABF65" s="443"/>
      <c r="ABG65" s="443"/>
      <c r="ABH65" s="443"/>
      <c r="ABI65" s="443"/>
      <c r="ABJ65" s="443"/>
      <c r="ABK65" s="443"/>
      <c r="ABL65" s="443"/>
      <c r="ABM65" s="443"/>
      <c r="ABN65" s="443"/>
      <c r="ABO65" s="443"/>
      <c r="ABP65" s="443"/>
      <c r="ABQ65" s="443"/>
      <c r="ABR65" s="443"/>
      <c r="ABS65" s="443"/>
      <c r="ABT65" s="443"/>
      <c r="ABU65" s="443"/>
      <c r="ABV65" s="443"/>
      <c r="ABW65" s="443"/>
      <c r="ABX65" s="443"/>
      <c r="ABY65" s="443"/>
      <c r="ABZ65" s="443"/>
      <c r="ACA65" s="443"/>
      <c r="ACB65" s="443"/>
      <c r="ACC65" s="443"/>
      <c r="ACD65" s="443"/>
      <c r="ACE65" s="443"/>
      <c r="ACF65" s="443"/>
      <c r="ACG65" s="443"/>
      <c r="ACH65" s="443"/>
      <c r="ACI65" s="443"/>
      <c r="ACJ65" s="443"/>
      <c r="ACK65" s="443"/>
      <c r="ACL65" s="443"/>
      <c r="ACM65" s="443"/>
      <c r="ACN65" s="443"/>
      <c r="ACO65" s="443"/>
      <c r="ACP65" s="443"/>
      <c r="ACQ65" s="443"/>
      <c r="ACR65" s="443"/>
      <c r="ACS65" s="443"/>
      <c r="ACT65" s="443"/>
      <c r="ACU65" s="443"/>
      <c r="ACV65" s="443"/>
      <c r="ACW65" s="443"/>
      <c r="ACX65" s="443"/>
      <c r="ACY65" s="443"/>
      <c r="ACZ65" s="443"/>
      <c r="ADA65" s="443"/>
      <c r="ADB65" s="443"/>
      <c r="ADC65" s="443"/>
      <c r="ADD65" s="443"/>
      <c r="ADE65" s="443"/>
      <c r="ADF65" s="443"/>
      <c r="ADG65" s="443"/>
      <c r="ADH65" s="443"/>
      <c r="ADI65" s="443"/>
      <c r="ADJ65" s="443"/>
      <c r="ADK65" s="443"/>
      <c r="ADL65" s="443"/>
      <c r="ADM65" s="443"/>
      <c r="ADN65" s="443"/>
      <c r="ADO65" s="443"/>
      <c r="ADP65" s="443"/>
      <c r="ADQ65" s="443"/>
      <c r="ADR65" s="443"/>
      <c r="ADS65" s="443"/>
      <c r="ADT65" s="443"/>
      <c r="ADU65" s="443"/>
      <c r="ADV65" s="443"/>
      <c r="ADW65" s="443"/>
      <c r="ADX65" s="443"/>
      <c r="ADY65" s="443"/>
      <c r="ADZ65" s="443"/>
      <c r="AEA65" s="443"/>
      <c r="AEB65" s="443"/>
      <c r="AEC65" s="443"/>
      <c r="AED65" s="443"/>
      <c r="AEE65" s="443"/>
      <c r="AEF65" s="443"/>
      <c r="AEG65" s="443"/>
      <c r="AEH65" s="443"/>
      <c r="AEI65" s="443"/>
      <c r="AEJ65" s="443"/>
      <c r="AEK65" s="443"/>
      <c r="AEL65" s="443"/>
      <c r="AEM65" s="443"/>
      <c r="AEN65" s="443"/>
      <c r="AEO65" s="443"/>
      <c r="AEP65" s="443"/>
      <c r="AEQ65" s="443"/>
      <c r="AER65" s="443"/>
      <c r="AES65" s="443"/>
      <c r="AET65" s="443"/>
      <c r="AEU65" s="443"/>
      <c r="AEV65" s="443"/>
      <c r="AEW65" s="443"/>
      <c r="AEX65" s="443"/>
      <c r="AEY65" s="443"/>
      <c r="AEZ65" s="443"/>
      <c r="AFA65" s="443"/>
      <c r="AFB65" s="443"/>
      <c r="AFC65" s="443"/>
      <c r="AFD65" s="443"/>
      <c r="AFE65" s="443"/>
      <c r="AFF65" s="443"/>
      <c r="AFG65" s="443"/>
      <c r="AFH65" s="443"/>
      <c r="AFI65" s="443"/>
      <c r="AFJ65" s="443"/>
      <c r="AFK65" s="443"/>
      <c r="AFL65" s="443"/>
      <c r="AFM65" s="443"/>
      <c r="AFN65" s="443"/>
      <c r="AFO65" s="443"/>
      <c r="AFP65" s="443"/>
      <c r="AFQ65" s="443"/>
      <c r="AFR65" s="443"/>
      <c r="AFS65" s="443"/>
      <c r="AFT65" s="443"/>
      <c r="AFU65" s="443"/>
      <c r="AFV65" s="443"/>
      <c r="AFW65" s="443"/>
      <c r="AFX65" s="443"/>
      <c r="AFY65" s="443"/>
      <c r="AFZ65" s="443"/>
      <c r="AGA65" s="443"/>
      <c r="AGB65" s="443"/>
      <c r="AGC65" s="443"/>
      <c r="AGD65" s="443"/>
      <c r="AGE65" s="443"/>
      <c r="AGF65" s="443"/>
      <c r="AGG65" s="443"/>
      <c r="AGH65" s="443"/>
      <c r="AGI65" s="443"/>
      <c r="AGJ65" s="443"/>
    </row>
    <row r="66" spans="1:868" s="1" customFormat="1">
      <c r="A66" s="653" t="s">
        <v>127</v>
      </c>
      <c r="B66" s="800" t="s">
        <v>456</v>
      </c>
      <c r="C66" s="34" t="s">
        <v>147</v>
      </c>
      <c r="D66" s="122" t="s">
        <v>107</v>
      </c>
      <c r="E66" s="638">
        <f t="shared" si="22"/>
        <v>0.10650572468270171</v>
      </c>
      <c r="F66" s="9">
        <v>1</v>
      </c>
      <c r="G66" s="9" t="s">
        <v>451</v>
      </c>
      <c r="H66" s="10">
        <v>1</v>
      </c>
      <c r="I66" s="10">
        <v>2</v>
      </c>
      <c r="J66" s="10">
        <v>2</v>
      </c>
      <c r="K66" s="10">
        <v>1</v>
      </c>
      <c r="L66" s="10">
        <v>1</v>
      </c>
      <c r="M66" s="10">
        <v>2</v>
      </c>
      <c r="N66" s="411">
        <f t="shared" si="25"/>
        <v>0.35859414261160716</v>
      </c>
      <c r="O66" s="411">
        <f t="shared" si="26"/>
        <v>0.37356464144298934</v>
      </c>
      <c r="P66" s="43"/>
      <c r="Q66" s="443"/>
      <c r="R66" s="443"/>
      <c r="S66" s="443"/>
      <c r="T66" s="443"/>
      <c r="U66" s="443"/>
      <c r="V66" s="443"/>
      <c r="W66" s="443"/>
      <c r="X66" s="443"/>
      <c r="Y66" s="443"/>
      <c r="Z66" s="443"/>
      <c r="AA66" s="443"/>
      <c r="AB66" s="443"/>
      <c r="AC66" s="443"/>
      <c r="AD66" s="443"/>
      <c r="AE66" s="443"/>
      <c r="AF66" s="443"/>
      <c r="AG66" s="443"/>
      <c r="AH66" s="443"/>
      <c r="AI66" s="443"/>
      <c r="AJ66" s="443"/>
      <c r="AK66" s="443"/>
      <c r="AL66" s="443"/>
      <c r="AM66" s="443"/>
      <c r="AN66" s="443"/>
      <c r="AO66" s="443"/>
      <c r="AP66" s="443"/>
      <c r="AQ66" s="443"/>
      <c r="AR66" s="443"/>
      <c r="AS66" s="443"/>
      <c r="AT66" s="443"/>
      <c r="AU66" s="443"/>
      <c r="AV66" s="443"/>
      <c r="AW66" s="443"/>
      <c r="AX66" s="443"/>
      <c r="AY66" s="443"/>
      <c r="AZ66" s="443"/>
      <c r="BA66" s="443"/>
      <c r="BB66" s="443"/>
      <c r="BC66" s="443"/>
      <c r="BD66" s="443"/>
      <c r="BE66" s="443"/>
      <c r="BF66" s="443"/>
      <c r="BG66" s="443"/>
      <c r="BH66" s="443"/>
      <c r="BI66" s="443"/>
      <c r="BJ66" s="443"/>
      <c r="BK66" s="443"/>
      <c r="BL66" s="443"/>
      <c r="BM66" s="443"/>
      <c r="BN66" s="443"/>
      <c r="BO66" s="443"/>
      <c r="BP66" s="443"/>
      <c r="BQ66" s="443"/>
      <c r="BR66" s="443"/>
      <c r="BS66" s="443"/>
      <c r="BT66" s="443"/>
      <c r="BU66" s="443"/>
      <c r="BV66" s="443"/>
      <c r="BW66" s="443"/>
      <c r="BX66" s="443"/>
      <c r="BY66" s="443"/>
      <c r="BZ66" s="443"/>
      <c r="CA66" s="443"/>
      <c r="CB66" s="443"/>
      <c r="CC66" s="443"/>
      <c r="CD66" s="443"/>
      <c r="CE66" s="443"/>
      <c r="CF66" s="443"/>
      <c r="CG66" s="443"/>
      <c r="CH66" s="443"/>
      <c r="CI66" s="443"/>
      <c r="CJ66" s="443"/>
      <c r="CK66" s="443"/>
      <c r="CL66" s="443"/>
      <c r="CM66" s="443"/>
      <c r="CN66" s="443"/>
      <c r="CO66" s="443"/>
      <c r="CP66" s="443"/>
      <c r="CQ66" s="443"/>
      <c r="CR66" s="443"/>
      <c r="CS66" s="443"/>
      <c r="CT66" s="443"/>
      <c r="CU66" s="443"/>
      <c r="CV66" s="443"/>
      <c r="CW66" s="443"/>
      <c r="CX66" s="443"/>
      <c r="CY66" s="443"/>
      <c r="CZ66" s="443"/>
      <c r="DA66" s="443"/>
      <c r="DB66" s="443"/>
      <c r="DC66" s="443"/>
      <c r="DD66" s="443"/>
      <c r="DE66" s="443"/>
      <c r="DF66" s="443"/>
      <c r="DG66" s="443"/>
      <c r="DH66" s="443"/>
      <c r="DI66" s="443"/>
      <c r="DJ66" s="443"/>
      <c r="DK66" s="443"/>
      <c r="DL66" s="443"/>
      <c r="DM66" s="443"/>
      <c r="DN66" s="443"/>
      <c r="DO66" s="443"/>
      <c r="DP66" s="443"/>
      <c r="DQ66" s="443"/>
      <c r="DR66" s="443"/>
      <c r="DS66" s="443"/>
      <c r="DT66" s="443"/>
      <c r="DU66" s="443"/>
      <c r="DV66" s="443"/>
      <c r="DW66" s="443"/>
      <c r="DX66" s="443"/>
      <c r="DY66" s="443"/>
      <c r="DZ66" s="443"/>
      <c r="EA66" s="443"/>
      <c r="EB66" s="443"/>
      <c r="EC66" s="443"/>
      <c r="ED66" s="443"/>
      <c r="EE66" s="443"/>
      <c r="EF66" s="443"/>
      <c r="EG66" s="443"/>
      <c r="EH66" s="443"/>
      <c r="EI66" s="443"/>
      <c r="EJ66" s="443"/>
      <c r="EK66" s="443"/>
      <c r="EL66" s="443"/>
      <c r="EM66" s="443"/>
      <c r="EN66" s="443"/>
      <c r="EO66" s="443"/>
      <c r="EP66" s="443"/>
      <c r="EQ66" s="443"/>
      <c r="ER66" s="443"/>
      <c r="ES66" s="443"/>
      <c r="ET66" s="443"/>
      <c r="EU66" s="443"/>
      <c r="EV66" s="443"/>
      <c r="EW66" s="443"/>
      <c r="EX66" s="443"/>
      <c r="EY66" s="443"/>
      <c r="EZ66" s="443"/>
      <c r="FA66" s="443"/>
      <c r="FB66" s="443"/>
      <c r="FC66" s="443"/>
      <c r="FD66" s="443"/>
      <c r="FE66" s="443"/>
      <c r="FF66" s="443"/>
      <c r="FG66" s="443"/>
      <c r="FH66" s="443"/>
      <c r="FI66" s="443"/>
      <c r="FJ66" s="443"/>
      <c r="FK66" s="443"/>
      <c r="FL66" s="443"/>
      <c r="FM66" s="443"/>
      <c r="FN66" s="443"/>
      <c r="FO66" s="443"/>
      <c r="FP66" s="443"/>
      <c r="FQ66" s="443"/>
      <c r="FR66" s="443"/>
      <c r="FS66" s="443"/>
      <c r="FT66" s="443"/>
      <c r="FU66" s="443"/>
      <c r="FV66" s="443"/>
      <c r="FW66" s="443"/>
      <c r="FX66" s="443"/>
      <c r="FY66" s="443"/>
      <c r="FZ66" s="443"/>
      <c r="GA66" s="443"/>
      <c r="GB66" s="443"/>
      <c r="GC66" s="443"/>
      <c r="GD66" s="443"/>
      <c r="GE66" s="443"/>
      <c r="GF66" s="443"/>
      <c r="GG66" s="443"/>
      <c r="GH66" s="443"/>
      <c r="GI66" s="443"/>
      <c r="GJ66" s="443"/>
      <c r="GK66" s="443"/>
      <c r="GL66" s="443"/>
      <c r="GM66" s="443"/>
      <c r="GN66" s="443"/>
      <c r="GO66" s="443"/>
      <c r="GP66" s="443"/>
      <c r="GQ66" s="443"/>
      <c r="GR66" s="443"/>
      <c r="GS66" s="443"/>
      <c r="GT66" s="443"/>
      <c r="GU66" s="443"/>
      <c r="GV66" s="443"/>
      <c r="GW66" s="443"/>
      <c r="GX66" s="443"/>
      <c r="GY66" s="443"/>
      <c r="GZ66" s="443"/>
      <c r="HA66" s="443"/>
      <c r="HB66" s="443"/>
      <c r="HC66" s="443"/>
      <c r="HD66" s="443"/>
      <c r="HE66" s="443"/>
      <c r="HF66" s="443"/>
      <c r="HG66" s="443"/>
      <c r="HH66" s="443"/>
      <c r="HI66" s="443"/>
      <c r="HJ66" s="443"/>
      <c r="HK66" s="443"/>
      <c r="HL66" s="443"/>
      <c r="HM66" s="443"/>
      <c r="HN66" s="443"/>
      <c r="HO66" s="443"/>
      <c r="HP66" s="443"/>
      <c r="HQ66" s="443"/>
      <c r="HR66" s="443"/>
      <c r="HS66" s="443"/>
      <c r="HT66" s="443"/>
      <c r="HU66" s="443"/>
      <c r="HV66" s="443"/>
      <c r="HW66" s="443"/>
      <c r="HX66" s="443"/>
      <c r="HY66" s="443"/>
      <c r="HZ66" s="443"/>
      <c r="IA66" s="443"/>
      <c r="IB66" s="443"/>
      <c r="IC66" s="443"/>
      <c r="ID66" s="443"/>
      <c r="IE66" s="443"/>
      <c r="IF66" s="443"/>
      <c r="IG66" s="443"/>
      <c r="IH66" s="443"/>
      <c r="II66" s="443"/>
      <c r="IJ66" s="443"/>
      <c r="IK66" s="443"/>
      <c r="IL66" s="443"/>
      <c r="IM66" s="443"/>
      <c r="IN66" s="443"/>
      <c r="IO66" s="443"/>
      <c r="IP66" s="443"/>
      <c r="IQ66" s="443"/>
      <c r="IR66" s="443"/>
      <c r="IS66" s="443"/>
      <c r="IT66" s="443"/>
      <c r="IU66" s="443"/>
      <c r="IV66" s="443"/>
      <c r="IW66" s="443"/>
      <c r="IX66" s="443"/>
      <c r="IY66" s="443"/>
      <c r="IZ66" s="443"/>
      <c r="JA66" s="443"/>
      <c r="JB66" s="443"/>
      <c r="JC66" s="443"/>
      <c r="JD66" s="443"/>
      <c r="JE66" s="443"/>
      <c r="JF66" s="443"/>
      <c r="JG66" s="443"/>
      <c r="JH66" s="443"/>
      <c r="JI66" s="443"/>
      <c r="JJ66" s="443"/>
      <c r="JK66" s="443"/>
      <c r="JL66" s="443"/>
      <c r="JM66" s="443"/>
      <c r="JN66" s="443"/>
      <c r="JO66" s="443"/>
      <c r="JP66" s="443"/>
      <c r="JQ66" s="443"/>
      <c r="JR66" s="443"/>
      <c r="JS66" s="443"/>
      <c r="JT66" s="443"/>
      <c r="JU66" s="443"/>
      <c r="JV66" s="443"/>
      <c r="JW66" s="443"/>
      <c r="JX66" s="443"/>
      <c r="JY66" s="443"/>
      <c r="JZ66" s="443"/>
      <c r="KA66" s="443"/>
      <c r="KB66" s="443"/>
      <c r="KC66" s="443"/>
      <c r="KD66" s="443"/>
      <c r="KE66" s="443"/>
      <c r="KF66" s="443"/>
      <c r="KG66" s="443"/>
      <c r="KH66" s="443"/>
      <c r="KI66" s="443"/>
      <c r="KJ66" s="443"/>
      <c r="KK66" s="443"/>
      <c r="KL66" s="443"/>
      <c r="KM66" s="443"/>
      <c r="KN66" s="443"/>
      <c r="KO66" s="443"/>
      <c r="KP66" s="443"/>
      <c r="KQ66" s="443"/>
      <c r="KR66" s="443"/>
      <c r="KS66" s="443"/>
      <c r="KT66" s="443"/>
      <c r="KU66" s="443"/>
      <c r="KV66" s="443"/>
      <c r="KW66" s="443"/>
      <c r="KX66" s="443"/>
      <c r="KY66" s="443"/>
      <c r="KZ66" s="443"/>
      <c r="LA66" s="443"/>
      <c r="LB66" s="443"/>
      <c r="LC66" s="443"/>
      <c r="LD66" s="443"/>
      <c r="LE66" s="443"/>
      <c r="LF66" s="443"/>
      <c r="LG66" s="443"/>
      <c r="LH66" s="443"/>
      <c r="LI66" s="443"/>
      <c r="LJ66" s="443"/>
      <c r="LK66" s="443"/>
      <c r="LL66" s="443"/>
      <c r="LM66" s="443"/>
      <c r="LN66" s="443"/>
      <c r="LO66" s="443"/>
      <c r="LP66" s="443"/>
      <c r="LQ66" s="443"/>
      <c r="LR66" s="443"/>
      <c r="LS66" s="443"/>
      <c r="LT66" s="443"/>
      <c r="LU66" s="443"/>
      <c r="LV66" s="443"/>
      <c r="LW66" s="443"/>
      <c r="LX66" s="443"/>
      <c r="LY66" s="443"/>
      <c r="LZ66" s="443"/>
      <c r="MA66" s="443"/>
      <c r="MB66" s="443"/>
      <c r="MC66" s="443"/>
      <c r="MD66" s="443"/>
      <c r="ME66" s="443"/>
      <c r="MF66" s="443"/>
      <c r="MG66" s="443"/>
      <c r="MH66" s="443"/>
      <c r="MI66" s="443"/>
      <c r="MJ66" s="443"/>
      <c r="MK66" s="443"/>
      <c r="ML66" s="443"/>
      <c r="MM66" s="443"/>
      <c r="MN66" s="443"/>
      <c r="MO66" s="443"/>
      <c r="MP66" s="443"/>
      <c r="MQ66" s="443"/>
      <c r="MR66" s="443"/>
      <c r="MS66" s="443"/>
      <c r="MT66" s="443"/>
      <c r="MU66" s="443"/>
      <c r="MV66" s="443"/>
      <c r="MW66" s="443"/>
      <c r="MX66" s="443"/>
      <c r="MY66" s="443"/>
      <c r="MZ66" s="443"/>
      <c r="NA66" s="443"/>
      <c r="NB66" s="443"/>
      <c r="NC66" s="443"/>
      <c r="ND66" s="443"/>
      <c r="NE66" s="443"/>
      <c r="NF66" s="443"/>
      <c r="NG66" s="443"/>
      <c r="NH66" s="443"/>
      <c r="NI66" s="443"/>
      <c r="NJ66" s="443"/>
      <c r="NK66" s="443"/>
      <c r="NL66" s="443"/>
      <c r="NM66" s="443"/>
      <c r="NN66" s="443"/>
      <c r="NO66" s="443"/>
      <c r="NP66" s="443"/>
      <c r="NQ66" s="443"/>
      <c r="NR66" s="443"/>
      <c r="NS66" s="443"/>
      <c r="NT66" s="443"/>
      <c r="NU66" s="443"/>
      <c r="NV66" s="443"/>
      <c r="NW66" s="443"/>
      <c r="NX66" s="443"/>
      <c r="NY66" s="443"/>
      <c r="NZ66" s="443"/>
      <c r="OA66" s="443"/>
      <c r="OB66" s="443"/>
      <c r="OC66" s="443"/>
      <c r="OD66" s="443"/>
      <c r="OE66" s="443"/>
      <c r="OF66" s="443"/>
      <c r="OG66" s="443"/>
      <c r="OH66" s="443"/>
      <c r="OI66" s="443"/>
      <c r="OJ66" s="443"/>
      <c r="OK66" s="443"/>
      <c r="OL66" s="443"/>
      <c r="OM66" s="443"/>
      <c r="ON66" s="443"/>
      <c r="OO66" s="443"/>
      <c r="OP66" s="443"/>
      <c r="OQ66" s="443"/>
      <c r="OR66" s="443"/>
      <c r="OS66" s="443"/>
      <c r="OT66" s="443"/>
      <c r="OU66" s="443"/>
      <c r="OV66" s="443"/>
      <c r="OW66" s="443"/>
      <c r="OX66" s="443"/>
      <c r="OY66" s="443"/>
      <c r="OZ66" s="443"/>
      <c r="PA66" s="443"/>
      <c r="PB66" s="443"/>
      <c r="PC66" s="443"/>
      <c r="PD66" s="443"/>
      <c r="PE66" s="443"/>
      <c r="PF66" s="443"/>
      <c r="PG66" s="443"/>
      <c r="PH66" s="443"/>
      <c r="PI66" s="443"/>
      <c r="PJ66" s="443"/>
      <c r="PK66" s="443"/>
      <c r="PL66" s="443"/>
      <c r="PM66" s="443"/>
      <c r="PN66" s="443"/>
      <c r="PO66" s="443"/>
      <c r="PP66" s="443"/>
      <c r="PQ66" s="443"/>
      <c r="PR66" s="443"/>
      <c r="PS66" s="443"/>
      <c r="PT66" s="443"/>
      <c r="PU66" s="443"/>
      <c r="PV66" s="443"/>
      <c r="PW66" s="443"/>
      <c r="PX66" s="443"/>
      <c r="PY66" s="443"/>
      <c r="PZ66" s="443"/>
      <c r="QA66" s="443"/>
      <c r="QB66" s="443"/>
      <c r="QC66" s="443"/>
      <c r="QD66" s="443"/>
      <c r="QE66" s="443"/>
      <c r="QF66" s="443"/>
      <c r="QG66" s="443"/>
      <c r="QH66" s="443"/>
      <c r="QI66" s="443"/>
      <c r="QJ66" s="443"/>
      <c r="QK66" s="443"/>
      <c r="QL66" s="443"/>
      <c r="QM66" s="443"/>
      <c r="QN66" s="443"/>
      <c r="QO66" s="443"/>
      <c r="QP66" s="443"/>
      <c r="QQ66" s="443"/>
      <c r="QR66" s="443"/>
      <c r="QS66" s="443"/>
      <c r="QT66" s="443"/>
      <c r="QU66" s="443"/>
      <c r="QV66" s="443"/>
      <c r="QW66" s="443"/>
      <c r="QX66" s="443"/>
      <c r="QY66" s="443"/>
      <c r="QZ66" s="443"/>
      <c r="RA66" s="443"/>
      <c r="RB66" s="443"/>
      <c r="RC66" s="443"/>
      <c r="RD66" s="443"/>
      <c r="RE66" s="443"/>
      <c r="RF66" s="443"/>
      <c r="RG66" s="443"/>
      <c r="RH66" s="443"/>
      <c r="RI66" s="443"/>
      <c r="RJ66" s="443"/>
      <c r="RK66" s="443"/>
      <c r="RL66" s="443"/>
      <c r="RM66" s="443"/>
      <c r="RN66" s="443"/>
      <c r="RO66" s="443"/>
      <c r="RP66" s="443"/>
      <c r="RQ66" s="443"/>
      <c r="RR66" s="443"/>
      <c r="RS66" s="443"/>
      <c r="RT66" s="443"/>
      <c r="RU66" s="443"/>
      <c r="RV66" s="443"/>
      <c r="RW66" s="443"/>
      <c r="RX66" s="443"/>
      <c r="RY66" s="443"/>
      <c r="RZ66" s="443"/>
      <c r="SA66" s="443"/>
      <c r="SB66" s="443"/>
      <c r="SC66" s="443"/>
      <c r="SD66" s="443"/>
      <c r="SE66" s="443"/>
      <c r="SF66" s="443"/>
      <c r="SG66" s="443"/>
      <c r="SH66" s="443"/>
      <c r="SI66" s="443"/>
      <c r="SJ66" s="443"/>
      <c r="SK66" s="443"/>
      <c r="SL66" s="443"/>
      <c r="SM66" s="443"/>
      <c r="SN66" s="443"/>
      <c r="SO66" s="443"/>
      <c r="SP66" s="443"/>
      <c r="SQ66" s="443"/>
      <c r="SR66" s="443"/>
      <c r="SS66" s="443"/>
      <c r="ST66" s="443"/>
      <c r="SU66" s="443"/>
      <c r="SV66" s="443"/>
      <c r="SW66" s="443"/>
      <c r="SX66" s="443"/>
      <c r="SY66" s="443"/>
      <c r="SZ66" s="443"/>
      <c r="TA66" s="443"/>
      <c r="TB66" s="443"/>
      <c r="TC66" s="443"/>
      <c r="TD66" s="443"/>
      <c r="TE66" s="443"/>
      <c r="TF66" s="443"/>
      <c r="TG66" s="443"/>
      <c r="TH66" s="443"/>
      <c r="TI66" s="443"/>
      <c r="TJ66" s="443"/>
      <c r="TK66" s="443"/>
      <c r="TL66" s="443"/>
      <c r="TM66" s="443"/>
      <c r="TN66" s="443"/>
      <c r="TO66" s="443"/>
      <c r="TP66" s="443"/>
      <c r="TQ66" s="443"/>
      <c r="TR66" s="443"/>
      <c r="TS66" s="443"/>
      <c r="TT66" s="443"/>
      <c r="TU66" s="443"/>
      <c r="TV66" s="443"/>
      <c r="TW66" s="443"/>
      <c r="TX66" s="443"/>
      <c r="TY66" s="443"/>
      <c r="TZ66" s="443"/>
      <c r="UA66" s="443"/>
      <c r="UB66" s="443"/>
      <c r="UC66" s="443"/>
      <c r="UD66" s="443"/>
      <c r="UE66" s="443"/>
      <c r="UF66" s="443"/>
      <c r="UG66" s="443"/>
      <c r="UH66" s="443"/>
      <c r="UI66" s="443"/>
      <c r="UJ66" s="443"/>
      <c r="UK66" s="443"/>
      <c r="UL66" s="443"/>
      <c r="UM66" s="443"/>
      <c r="UN66" s="443"/>
      <c r="UO66" s="443"/>
      <c r="UP66" s="443"/>
      <c r="UQ66" s="443"/>
      <c r="UR66" s="443"/>
      <c r="US66" s="443"/>
      <c r="UT66" s="443"/>
      <c r="UU66" s="443"/>
      <c r="UV66" s="443"/>
      <c r="UW66" s="443"/>
      <c r="UX66" s="443"/>
      <c r="UY66" s="443"/>
      <c r="UZ66" s="443"/>
      <c r="VA66" s="443"/>
      <c r="VB66" s="443"/>
      <c r="VC66" s="443"/>
      <c r="VD66" s="443"/>
      <c r="VE66" s="443"/>
      <c r="VF66" s="443"/>
      <c r="VG66" s="443"/>
      <c r="VH66" s="443"/>
      <c r="VI66" s="443"/>
      <c r="VJ66" s="443"/>
      <c r="VK66" s="443"/>
      <c r="VL66" s="443"/>
      <c r="VM66" s="443"/>
      <c r="VN66" s="443"/>
      <c r="VO66" s="443"/>
      <c r="VP66" s="443"/>
      <c r="VQ66" s="443"/>
      <c r="VR66" s="443"/>
      <c r="VS66" s="443"/>
      <c r="VT66" s="443"/>
      <c r="VU66" s="443"/>
      <c r="VV66" s="443"/>
      <c r="VW66" s="443"/>
      <c r="VX66" s="443"/>
      <c r="VY66" s="443"/>
      <c r="VZ66" s="443"/>
      <c r="WA66" s="443"/>
      <c r="WB66" s="443"/>
      <c r="WC66" s="443"/>
      <c r="WD66" s="443"/>
      <c r="WE66" s="443"/>
      <c r="WF66" s="443"/>
      <c r="WG66" s="443"/>
      <c r="WH66" s="443"/>
      <c r="WI66" s="443"/>
      <c r="WJ66" s="443"/>
      <c r="WK66" s="443"/>
      <c r="WL66" s="443"/>
      <c r="WM66" s="443"/>
      <c r="WN66" s="443"/>
      <c r="WO66" s="443"/>
      <c r="WP66" s="443"/>
      <c r="WQ66" s="443"/>
      <c r="WR66" s="443"/>
      <c r="WS66" s="443"/>
      <c r="WT66" s="443"/>
      <c r="WU66" s="443"/>
      <c r="WV66" s="443"/>
      <c r="WW66" s="443"/>
      <c r="WX66" s="443"/>
      <c r="WY66" s="443"/>
      <c r="WZ66" s="443"/>
      <c r="XA66" s="443"/>
      <c r="XB66" s="443"/>
      <c r="XC66" s="443"/>
      <c r="XD66" s="443"/>
      <c r="XE66" s="443"/>
      <c r="XF66" s="443"/>
      <c r="XG66" s="443"/>
      <c r="XH66" s="443"/>
      <c r="XI66" s="443"/>
      <c r="XJ66" s="443"/>
      <c r="XK66" s="443"/>
      <c r="XL66" s="443"/>
      <c r="XM66" s="443"/>
      <c r="XN66" s="443"/>
      <c r="XO66" s="443"/>
      <c r="XP66" s="443"/>
      <c r="XQ66" s="443"/>
      <c r="XR66" s="443"/>
      <c r="XS66" s="443"/>
      <c r="XT66" s="443"/>
      <c r="XU66" s="443"/>
      <c r="XV66" s="443"/>
      <c r="XW66" s="443"/>
      <c r="XX66" s="443"/>
      <c r="XY66" s="443"/>
      <c r="XZ66" s="443"/>
      <c r="YA66" s="443"/>
      <c r="YB66" s="443"/>
      <c r="YC66" s="443"/>
      <c r="YD66" s="443"/>
      <c r="YE66" s="443"/>
      <c r="YF66" s="443"/>
      <c r="YG66" s="443"/>
      <c r="YH66" s="443"/>
      <c r="YI66" s="443"/>
      <c r="YJ66" s="443"/>
      <c r="YK66" s="443"/>
      <c r="YL66" s="443"/>
      <c r="YM66" s="443"/>
      <c r="YN66" s="443"/>
      <c r="YO66" s="443"/>
      <c r="YP66" s="443"/>
      <c r="YQ66" s="443"/>
      <c r="YR66" s="443"/>
      <c r="YS66" s="443"/>
      <c r="YT66" s="443"/>
      <c r="YU66" s="443"/>
      <c r="YV66" s="443"/>
      <c r="YW66" s="443"/>
      <c r="YX66" s="443"/>
      <c r="YY66" s="443"/>
      <c r="YZ66" s="443"/>
      <c r="ZA66" s="443"/>
      <c r="ZB66" s="443"/>
      <c r="ZC66" s="443"/>
      <c r="ZD66" s="443"/>
      <c r="ZE66" s="443"/>
      <c r="ZF66" s="443"/>
      <c r="ZG66" s="443"/>
      <c r="ZH66" s="443"/>
      <c r="ZI66" s="443"/>
      <c r="ZJ66" s="443"/>
      <c r="ZK66" s="443"/>
      <c r="ZL66" s="443"/>
      <c r="ZM66" s="443"/>
      <c r="ZN66" s="443"/>
      <c r="ZO66" s="443"/>
      <c r="ZP66" s="443"/>
      <c r="ZQ66" s="443"/>
      <c r="ZR66" s="443"/>
      <c r="ZS66" s="443"/>
      <c r="ZT66" s="443"/>
      <c r="ZU66" s="443"/>
      <c r="ZV66" s="443"/>
      <c r="ZW66" s="443"/>
      <c r="ZX66" s="443"/>
      <c r="ZY66" s="443"/>
      <c r="ZZ66" s="443"/>
      <c r="AAA66" s="443"/>
      <c r="AAB66" s="443"/>
      <c r="AAC66" s="443"/>
      <c r="AAD66" s="443"/>
      <c r="AAE66" s="443"/>
      <c r="AAF66" s="443"/>
      <c r="AAG66" s="443"/>
      <c r="AAH66" s="443"/>
      <c r="AAI66" s="443"/>
      <c r="AAJ66" s="443"/>
      <c r="AAK66" s="443"/>
      <c r="AAL66" s="443"/>
      <c r="AAM66" s="443"/>
      <c r="AAN66" s="443"/>
      <c r="AAO66" s="443"/>
      <c r="AAP66" s="443"/>
      <c r="AAQ66" s="443"/>
      <c r="AAR66" s="443"/>
      <c r="AAS66" s="443"/>
      <c r="AAT66" s="443"/>
      <c r="AAU66" s="443"/>
      <c r="AAV66" s="443"/>
      <c r="AAW66" s="443"/>
      <c r="AAX66" s="443"/>
      <c r="AAY66" s="443"/>
      <c r="AAZ66" s="443"/>
      <c r="ABA66" s="443"/>
      <c r="ABB66" s="443"/>
      <c r="ABC66" s="443"/>
      <c r="ABD66" s="443"/>
      <c r="ABE66" s="443"/>
      <c r="ABF66" s="443"/>
      <c r="ABG66" s="443"/>
      <c r="ABH66" s="443"/>
      <c r="ABI66" s="443"/>
      <c r="ABJ66" s="443"/>
      <c r="ABK66" s="443"/>
      <c r="ABL66" s="443"/>
      <c r="ABM66" s="443"/>
      <c r="ABN66" s="443"/>
      <c r="ABO66" s="443"/>
      <c r="ABP66" s="443"/>
      <c r="ABQ66" s="443"/>
      <c r="ABR66" s="443"/>
      <c r="ABS66" s="443"/>
      <c r="ABT66" s="443"/>
      <c r="ABU66" s="443"/>
      <c r="ABV66" s="443"/>
      <c r="ABW66" s="443"/>
      <c r="ABX66" s="443"/>
      <c r="ABY66" s="443"/>
      <c r="ABZ66" s="443"/>
      <c r="ACA66" s="443"/>
      <c r="ACB66" s="443"/>
      <c r="ACC66" s="443"/>
      <c r="ACD66" s="443"/>
      <c r="ACE66" s="443"/>
      <c r="ACF66" s="443"/>
      <c r="ACG66" s="443"/>
      <c r="ACH66" s="443"/>
      <c r="ACI66" s="443"/>
      <c r="ACJ66" s="443"/>
      <c r="ACK66" s="443"/>
      <c r="ACL66" s="443"/>
      <c r="ACM66" s="443"/>
      <c r="ACN66" s="443"/>
      <c r="ACO66" s="443"/>
      <c r="ACP66" s="443"/>
      <c r="ACQ66" s="443"/>
      <c r="ACR66" s="443"/>
      <c r="ACS66" s="443"/>
      <c r="ACT66" s="443"/>
      <c r="ACU66" s="443"/>
      <c r="ACV66" s="443"/>
      <c r="ACW66" s="443"/>
      <c r="ACX66" s="443"/>
      <c r="ACY66" s="443"/>
      <c r="ACZ66" s="443"/>
      <c r="ADA66" s="443"/>
      <c r="ADB66" s="443"/>
      <c r="ADC66" s="443"/>
      <c r="ADD66" s="443"/>
      <c r="ADE66" s="443"/>
      <c r="ADF66" s="443"/>
      <c r="ADG66" s="443"/>
      <c r="ADH66" s="443"/>
      <c r="ADI66" s="443"/>
      <c r="ADJ66" s="443"/>
      <c r="ADK66" s="443"/>
      <c r="ADL66" s="443"/>
      <c r="ADM66" s="443"/>
      <c r="ADN66" s="443"/>
      <c r="ADO66" s="443"/>
      <c r="ADP66" s="443"/>
      <c r="ADQ66" s="443"/>
      <c r="ADR66" s="443"/>
      <c r="ADS66" s="443"/>
      <c r="ADT66" s="443"/>
      <c r="ADU66" s="443"/>
      <c r="ADV66" s="443"/>
      <c r="ADW66" s="443"/>
      <c r="ADX66" s="443"/>
      <c r="ADY66" s="443"/>
      <c r="ADZ66" s="443"/>
      <c r="AEA66" s="443"/>
      <c r="AEB66" s="443"/>
      <c r="AEC66" s="443"/>
      <c r="AED66" s="443"/>
      <c r="AEE66" s="443"/>
      <c r="AEF66" s="443"/>
      <c r="AEG66" s="443"/>
      <c r="AEH66" s="443"/>
      <c r="AEI66" s="443"/>
      <c r="AEJ66" s="443"/>
      <c r="AEK66" s="443"/>
      <c r="AEL66" s="443"/>
      <c r="AEM66" s="443"/>
      <c r="AEN66" s="443"/>
      <c r="AEO66" s="443"/>
      <c r="AEP66" s="443"/>
      <c r="AEQ66" s="443"/>
      <c r="AER66" s="443"/>
      <c r="AES66" s="443"/>
      <c r="AET66" s="443"/>
      <c r="AEU66" s="443"/>
      <c r="AEV66" s="443"/>
      <c r="AEW66" s="443"/>
      <c r="AEX66" s="443"/>
      <c r="AEY66" s="443"/>
      <c r="AEZ66" s="443"/>
      <c r="AFA66" s="443"/>
      <c r="AFB66" s="443"/>
      <c r="AFC66" s="443"/>
      <c r="AFD66" s="443"/>
      <c r="AFE66" s="443"/>
      <c r="AFF66" s="443"/>
      <c r="AFG66" s="443"/>
      <c r="AFH66" s="443"/>
      <c r="AFI66" s="443"/>
      <c r="AFJ66" s="443"/>
      <c r="AFK66" s="443"/>
      <c r="AFL66" s="443"/>
      <c r="AFM66" s="443"/>
      <c r="AFN66" s="443"/>
      <c r="AFO66" s="443"/>
      <c r="AFP66" s="443"/>
      <c r="AFQ66" s="443"/>
      <c r="AFR66" s="443"/>
      <c r="AFS66" s="443"/>
      <c r="AFT66" s="443"/>
      <c r="AFU66" s="443"/>
      <c r="AFV66" s="443"/>
      <c r="AFW66" s="443"/>
      <c r="AFX66" s="443"/>
      <c r="AFY66" s="443"/>
      <c r="AFZ66" s="443"/>
      <c r="AGA66" s="443"/>
      <c r="AGB66" s="443"/>
      <c r="AGC66" s="443"/>
      <c r="AGD66" s="443"/>
      <c r="AGE66" s="443"/>
      <c r="AGF66" s="443"/>
      <c r="AGG66" s="443"/>
      <c r="AGH66" s="443"/>
      <c r="AGI66" s="443"/>
      <c r="AGJ66" s="443"/>
    </row>
    <row r="67" spans="1:868" s="1" customFormat="1">
      <c r="A67" s="653" t="s">
        <v>127</v>
      </c>
      <c r="B67" s="800" t="s">
        <v>457</v>
      </c>
      <c r="C67" s="34" t="s">
        <v>147</v>
      </c>
      <c r="D67" s="122" t="s">
        <v>107</v>
      </c>
      <c r="E67" s="638">
        <f t="shared" si="22"/>
        <v>8.5204579746161357E-2</v>
      </c>
      <c r="F67" s="9">
        <v>1</v>
      </c>
      <c r="G67" s="9" t="s">
        <v>451</v>
      </c>
      <c r="H67" s="10">
        <v>1</v>
      </c>
      <c r="I67" s="10">
        <v>2</v>
      </c>
      <c r="J67" s="10">
        <v>2</v>
      </c>
      <c r="K67" s="10">
        <v>1</v>
      </c>
      <c r="L67" s="10">
        <v>1</v>
      </c>
      <c r="M67" s="10">
        <v>2</v>
      </c>
      <c r="N67" s="411">
        <f t="shared" si="25"/>
        <v>0.35859414261160716</v>
      </c>
      <c r="O67" s="411">
        <f t="shared" si="26"/>
        <v>0.37356464144298934</v>
      </c>
      <c r="P67" s="43"/>
      <c r="Q67" s="443"/>
      <c r="R67" s="443"/>
      <c r="S67" s="443"/>
      <c r="T67" s="443"/>
      <c r="U67" s="443"/>
      <c r="V67" s="443"/>
      <c r="W67" s="443"/>
      <c r="X67" s="443"/>
      <c r="Y67" s="443"/>
      <c r="Z67" s="443"/>
      <c r="AA67" s="443"/>
      <c r="AB67" s="443"/>
      <c r="AC67" s="443"/>
      <c r="AD67" s="443"/>
      <c r="AE67" s="443"/>
      <c r="AF67" s="443"/>
      <c r="AG67" s="443"/>
      <c r="AH67" s="443"/>
      <c r="AI67" s="443"/>
      <c r="AJ67" s="443"/>
      <c r="AK67" s="443"/>
      <c r="AL67" s="443"/>
      <c r="AM67" s="443"/>
      <c r="AN67" s="443"/>
      <c r="AO67" s="443"/>
      <c r="AP67" s="443"/>
      <c r="AQ67" s="443"/>
      <c r="AR67" s="443"/>
      <c r="AS67" s="443"/>
      <c r="AT67" s="443"/>
      <c r="AU67" s="443"/>
      <c r="AV67" s="443"/>
      <c r="AW67" s="443"/>
      <c r="AX67" s="443"/>
      <c r="AY67" s="443"/>
      <c r="AZ67" s="443"/>
      <c r="BA67" s="443"/>
      <c r="BB67" s="443"/>
      <c r="BC67" s="443"/>
      <c r="BD67" s="443"/>
      <c r="BE67" s="443"/>
      <c r="BF67" s="443"/>
      <c r="BG67" s="443"/>
      <c r="BH67" s="443"/>
      <c r="BI67" s="443"/>
      <c r="BJ67" s="443"/>
      <c r="BK67" s="443"/>
      <c r="BL67" s="443"/>
      <c r="BM67" s="443"/>
      <c r="BN67" s="443"/>
      <c r="BO67" s="443"/>
      <c r="BP67" s="443"/>
      <c r="BQ67" s="443"/>
      <c r="BR67" s="443"/>
      <c r="BS67" s="443"/>
      <c r="BT67" s="443"/>
      <c r="BU67" s="443"/>
      <c r="BV67" s="443"/>
      <c r="BW67" s="443"/>
      <c r="BX67" s="443"/>
      <c r="BY67" s="443"/>
      <c r="BZ67" s="443"/>
      <c r="CA67" s="443"/>
      <c r="CB67" s="443"/>
      <c r="CC67" s="443"/>
      <c r="CD67" s="443"/>
      <c r="CE67" s="443"/>
      <c r="CF67" s="443"/>
      <c r="CG67" s="443"/>
      <c r="CH67" s="443"/>
      <c r="CI67" s="443"/>
      <c r="CJ67" s="443"/>
      <c r="CK67" s="443"/>
      <c r="CL67" s="443"/>
      <c r="CM67" s="443"/>
      <c r="CN67" s="443"/>
      <c r="CO67" s="443"/>
      <c r="CP67" s="443"/>
      <c r="CQ67" s="443"/>
      <c r="CR67" s="443"/>
      <c r="CS67" s="443"/>
      <c r="CT67" s="443"/>
      <c r="CU67" s="443"/>
      <c r="CV67" s="443"/>
      <c r="CW67" s="443"/>
      <c r="CX67" s="443"/>
      <c r="CY67" s="443"/>
      <c r="CZ67" s="443"/>
      <c r="DA67" s="443"/>
      <c r="DB67" s="443"/>
      <c r="DC67" s="443"/>
      <c r="DD67" s="443"/>
      <c r="DE67" s="443"/>
      <c r="DF67" s="443"/>
      <c r="DG67" s="443"/>
      <c r="DH67" s="443"/>
      <c r="DI67" s="443"/>
      <c r="DJ67" s="443"/>
      <c r="DK67" s="443"/>
      <c r="DL67" s="443"/>
      <c r="DM67" s="443"/>
      <c r="DN67" s="443"/>
      <c r="DO67" s="443"/>
      <c r="DP67" s="443"/>
      <c r="DQ67" s="443"/>
      <c r="DR67" s="443"/>
      <c r="DS67" s="443"/>
      <c r="DT67" s="443"/>
      <c r="DU67" s="443"/>
      <c r="DV67" s="443"/>
      <c r="DW67" s="443"/>
      <c r="DX67" s="443"/>
      <c r="DY67" s="443"/>
      <c r="DZ67" s="443"/>
      <c r="EA67" s="443"/>
      <c r="EB67" s="443"/>
      <c r="EC67" s="443"/>
      <c r="ED67" s="443"/>
      <c r="EE67" s="443"/>
      <c r="EF67" s="443"/>
      <c r="EG67" s="443"/>
      <c r="EH67" s="443"/>
      <c r="EI67" s="443"/>
      <c r="EJ67" s="443"/>
      <c r="EK67" s="443"/>
      <c r="EL67" s="443"/>
      <c r="EM67" s="443"/>
      <c r="EN67" s="443"/>
      <c r="EO67" s="443"/>
      <c r="EP67" s="443"/>
      <c r="EQ67" s="443"/>
      <c r="ER67" s="443"/>
      <c r="ES67" s="443"/>
      <c r="ET67" s="443"/>
      <c r="EU67" s="443"/>
      <c r="EV67" s="443"/>
      <c r="EW67" s="443"/>
      <c r="EX67" s="443"/>
      <c r="EY67" s="443"/>
      <c r="EZ67" s="443"/>
      <c r="FA67" s="443"/>
      <c r="FB67" s="443"/>
      <c r="FC67" s="443"/>
      <c r="FD67" s="443"/>
      <c r="FE67" s="443"/>
      <c r="FF67" s="443"/>
      <c r="FG67" s="443"/>
      <c r="FH67" s="443"/>
      <c r="FI67" s="443"/>
      <c r="FJ67" s="443"/>
      <c r="FK67" s="443"/>
      <c r="FL67" s="443"/>
      <c r="FM67" s="443"/>
      <c r="FN67" s="443"/>
      <c r="FO67" s="443"/>
      <c r="FP67" s="443"/>
      <c r="FQ67" s="443"/>
      <c r="FR67" s="443"/>
      <c r="FS67" s="443"/>
      <c r="FT67" s="443"/>
      <c r="FU67" s="443"/>
      <c r="FV67" s="443"/>
      <c r="FW67" s="443"/>
      <c r="FX67" s="443"/>
      <c r="FY67" s="443"/>
      <c r="FZ67" s="443"/>
      <c r="GA67" s="443"/>
      <c r="GB67" s="443"/>
      <c r="GC67" s="443"/>
      <c r="GD67" s="443"/>
      <c r="GE67" s="443"/>
      <c r="GF67" s="443"/>
      <c r="GG67" s="443"/>
      <c r="GH67" s="443"/>
      <c r="GI67" s="443"/>
      <c r="GJ67" s="443"/>
      <c r="GK67" s="443"/>
      <c r="GL67" s="443"/>
      <c r="GM67" s="443"/>
      <c r="GN67" s="443"/>
      <c r="GO67" s="443"/>
      <c r="GP67" s="443"/>
      <c r="GQ67" s="443"/>
      <c r="GR67" s="443"/>
      <c r="GS67" s="443"/>
      <c r="GT67" s="443"/>
      <c r="GU67" s="443"/>
      <c r="GV67" s="443"/>
      <c r="GW67" s="443"/>
      <c r="GX67" s="443"/>
      <c r="GY67" s="443"/>
      <c r="GZ67" s="443"/>
      <c r="HA67" s="443"/>
      <c r="HB67" s="443"/>
      <c r="HC67" s="443"/>
      <c r="HD67" s="443"/>
      <c r="HE67" s="443"/>
      <c r="HF67" s="443"/>
      <c r="HG67" s="443"/>
      <c r="HH67" s="443"/>
      <c r="HI67" s="443"/>
      <c r="HJ67" s="443"/>
      <c r="HK67" s="443"/>
      <c r="HL67" s="443"/>
      <c r="HM67" s="443"/>
      <c r="HN67" s="443"/>
      <c r="HO67" s="443"/>
      <c r="HP67" s="443"/>
      <c r="HQ67" s="443"/>
      <c r="HR67" s="443"/>
      <c r="HS67" s="443"/>
      <c r="HT67" s="443"/>
      <c r="HU67" s="443"/>
      <c r="HV67" s="443"/>
      <c r="HW67" s="443"/>
      <c r="HX67" s="443"/>
      <c r="HY67" s="443"/>
      <c r="HZ67" s="443"/>
      <c r="IA67" s="443"/>
      <c r="IB67" s="443"/>
      <c r="IC67" s="443"/>
      <c r="ID67" s="443"/>
      <c r="IE67" s="443"/>
      <c r="IF67" s="443"/>
      <c r="IG67" s="443"/>
      <c r="IH67" s="443"/>
      <c r="II67" s="443"/>
      <c r="IJ67" s="443"/>
      <c r="IK67" s="443"/>
      <c r="IL67" s="443"/>
      <c r="IM67" s="443"/>
      <c r="IN67" s="443"/>
      <c r="IO67" s="443"/>
      <c r="IP67" s="443"/>
      <c r="IQ67" s="443"/>
      <c r="IR67" s="443"/>
      <c r="IS67" s="443"/>
      <c r="IT67" s="443"/>
      <c r="IU67" s="443"/>
      <c r="IV67" s="443"/>
      <c r="IW67" s="443"/>
      <c r="IX67" s="443"/>
      <c r="IY67" s="443"/>
      <c r="IZ67" s="443"/>
      <c r="JA67" s="443"/>
      <c r="JB67" s="443"/>
      <c r="JC67" s="443"/>
      <c r="JD67" s="443"/>
      <c r="JE67" s="443"/>
      <c r="JF67" s="443"/>
      <c r="JG67" s="443"/>
      <c r="JH67" s="443"/>
      <c r="JI67" s="443"/>
      <c r="JJ67" s="443"/>
      <c r="JK67" s="443"/>
      <c r="JL67" s="443"/>
      <c r="JM67" s="443"/>
      <c r="JN67" s="443"/>
      <c r="JO67" s="443"/>
      <c r="JP67" s="443"/>
      <c r="JQ67" s="443"/>
      <c r="JR67" s="443"/>
      <c r="JS67" s="443"/>
      <c r="JT67" s="443"/>
      <c r="JU67" s="443"/>
      <c r="JV67" s="443"/>
      <c r="JW67" s="443"/>
      <c r="JX67" s="443"/>
      <c r="JY67" s="443"/>
      <c r="JZ67" s="443"/>
      <c r="KA67" s="443"/>
      <c r="KB67" s="443"/>
      <c r="KC67" s="443"/>
      <c r="KD67" s="443"/>
      <c r="KE67" s="443"/>
      <c r="KF67" s="443"/>
      <c r="KG67" s="443"/>
      <c r="KH67" s="443"/>
      <c r="KI67" s="443"/>
      <c r="KJ67" s="443"/>
      <c r="KK67" s="443"/>
      <c r="KL67" s="443"/>
      <c r="KM67" s="443"/>
      <c r="KN67" s="443"/>
      <c r="KO67" s="443"/>
      <c r="KP67" s="443"/>
      <c r="KQ67" s="443"/>
      <c r="KR67" s="443"/>
      <c r="KS67" s="443"/>
      <c r="KT67" s="443"/>
      <c r="KU67" s="443"/>
      <c r="KV67" s="443"/>
      <c r="KW67" s="443"/>
      <c r="KX67" s="443"/>
      <c r="KY67" s="443"/>
      <c r="KZ67" s="443"/>
      <c r="LA67" s="443"/>
      <c r="LB67" s="443"/>
      <c r="LC67" s="443"/>
      <c r="LD67" s="443"/>
      <c r="LE67" s="443"/>
      <c r="LF67" s="443"/>
      <c r="LG67" s="443"/>
      <c r="LH67" s="443"/>
      <c r="LI67" s="443"/>
      <c r="LJ67" s="443"/>
      <c r="LK67" s="443"/>
      <c r="LL67" s="443"/>
      <c r="LM67" s="443"/>
      <c r="LN67" s="443"/>
      <c r="LO67" s="443"/>
      <c r="LP67" s="443"/>
      <c r="LQ67" s="443"/>
      <c r="LR67" s="443"/>
      <c r="LS67" s="443"/>
      <c r="LT67" s="443"/>
      <c r="LU67" s="443"/>
      <c r="LV67" s="443"/>
      <c r="LW67" s="443"/>
      <c r="LX67" s="443"/>
      <c r="LY67" s="443"/>
      <c r="LZ67" s="443"/>
      <c r="MA67" s="443"/>
      <c r="MB67" s="443"/>
      <c r="MC67" s="443"/>
      <c r="MD67" s="443"/>
      <c r="ME67" s="443"/>
      <c r="MF67" s="443"/>
      <c r="MG67" s="443"/>
      <c r="MH67" s="443"/>
      <c r="MI67" s="443"/>
      <c r="MJ67" s="443"/>
      <c r="MK67" s="443"/>
      <c r="ML67" s="443"/>
      <c r="MM67" s="443"/>
      <c r="MN67" s="443"/>
      <c r="MO67" s="443"/>
      <c r="MP67" s="443"/>
      <c r="MQ67" s="443"/>
      <c r="MR67" s="443"/>
      <c r="MS67" s="443"/>
      <c r="MT67" s="443"/>
      <c r="MU67" s="443"/>
      <c r="MV67" s="443"/>
      <c r="MW67" s="443"/>
      <c r="MX67" s="443"/>
      <c r="MY67" s="443"/>
      <c r="MZ67" s="443"/>
      <c r="NA67" s="443"/>
      <c r="NB67" s="443"/>
      <c r="NC67" s="443"/>
      <c r="ND67" s="443"/>
      <c r="NE67" s="443"/>
      <c r="NF67" s="443"/>
      <c r="NG67" s="443"/>
      <c r="NH67" s="443"/>
      <c r="NI67" s="443"/>
      <c r="NJ67" s="443"/>
      <c r="NK67" s="443"/>
      <c r="NL67" s="443"/>
      <c r="NM67" s="443"/>
      <c r="NN67" s="443"/>
      <c r="NO67" s="443"/>
      <c r="NP67" s="443"/>
      <c r="NQ67" s="443"/>
      <c r="NR67" s="443"/>
      <c r="NS67" s="443"/>
      <c r="NT67" s="443"/>
      <c r="NU67" s="443"/>
      <c r="NV67" s="443"/>
      <c r="NW67" s="443"/>
      <c r="NX67" s="443"/>
      <c r="NY67" s="443"/>
      <c r="NZ67" s="443"/>
      <c r="OA67" s="443"/>
      <c r="OB67" s="443"/>
      <c r="OC67" s="443"/>
      <c r="OD67" s="443"/>
      <c r="OE67" s="443"/>
      <c r="OF67" s="443"/>
      <c r="OG67" s="443"/>
      <c r="OH67" s="443"/>
      <c r="OI67" s="443"/>
      <c r="OJ67" s="443"/>
      <c r="OK67" s="443"/>
      <c r="OL67" s="443"/>
      <c r="OM67" s="443"/>
      <c r="ON67" s="443"/>
      <c r="OO67" s="443"/>
      <c r="OP67" s="443"/>
      <c r="OQ67" s="443"/>
      <c r="OR67" s="443"/>
      <c r="OS67" s="443"/>
      <c r="OT67" s="443"/>
      <c r="OU67" s="443"/>
      <c r="OV67" s="443"/>
      <c r="OW67" s="443"/>
      <c r="OX67" s="443"/>
      <c r="OY67" s="443"/>
      <c r="OZ67" s="443"/>
      <c r="PA67" s="443"/>
      <c r="PB67" s="443"/>
      <c r="PC67" s="443"/>
      <c r="PD67" s="443"/>
      <c r="PE67" s="443"/>
      <c r="PF67" s="443"/>
      <c r="PG67" s="443"/>
      <c r="PH67" s="443"/>
      <c r="PI67" s="443"/>
      <c r="PJ67" s="443"/>
      <c r="PK67" s="443"/>
      <c r="PL67" s="443"/>
      <c r="PM67" s="443"/>
      <c r="PN67" s="443"/>
      <c r="PO67" s="443"/>
      <c r="PP67" s="443"/>
      <c r="PQ67" s="443"/>
      <c r="PR67" s="443"/>
      <c r="PS67" s="443"/>
      <c r="PT67" s="443"/>
      <c r="PU67" s="443"/>
      <c r="PV67" s="443"/>
      <c r="PW67" s="443"/>
      <c r="PX67" s="443"/>
      <c r="PY67" s="443"/>
      <c r="PZ67" s="443"/>
      <c r="QA67" s="443"/>
      <c r="QB67" s="443"/>
      <c r="QC67" s="443"/>
      <c r="QD67" s="443"/>
      <c r="QE67" s="443"/>
      <c r="QF67" s="443"/>
      <c r="QG67" s="443"/>
      <c r="QH67" s="443"/>
      <c r="QI67" s="443"/>
      <c r="QJ67" s="443"/>
      <c r="QK67" s="443"/>
      <c r="QL67" s="443"/>
      <c r="QM67" s="443"/>
      <c r="QN67" s="443"/>
      <c r="QO67" s="443"/>
      <c r="QP67" s="443"/>
      <c r="QQ67" s="443"/>
      <c r="QR67" s="443"/>
      <c r="QS67" s="443"/>
      <c r="QT67" s="443"/>
      <c r="QU67" s="443"/>
      <c r="QV67" s="443"/>
      <c r="QW67" s="443"/>
      <c r="QX67" s="443"/>
      <c r="QY67" s="443"/>
      <c r="QZ67" s="443"/>
      <c r="RA67" s="443"/>
      <c r="RB67" s="443"/>
      <c r="RC67" s="443"/>
      <c r="RD67" s="443"/>
      <c r="RE67" s="443"/>
      <c r="RF67" s="443"/>
      <c r="RG67" s="443"/>
      <c r="RH67" s="443"/>
      <c r="RI67" s="443"/>
      <c r="RJ67" s="443"/>
      <c r="RK67" s="443"/>
      <c r="RL67" s="443"/>
      <c r="RM67" s="443"/>
      <c r="RN67" s="443"/>
      <c r="RO67" s="443"/>
      <c r="RP67" s="443"/>
      <c r="RQ67" s="443"/>
      <c r="RR67" s="443"/>
      <c r="RS67" s="443"/>
      <c r="RT67" s="443"/>
      <c r="RU67" s="443"/>
      <c r="RV67" s="443"/>
      <c r="RW67" s="443"/>
      <c r="RX67" s="443"/>
      <c r="RY67" s="443"/>
      <c r="RZ67" s="443"/>
      <c r="SA67" s="443"/>
      <c r="SB67" s="443"/>
      <c r="SC67" s="443"/>
      <c r="SD67" s="443"/>
      <c r="SE67" s="443"/>
      <c r="SF67" s="443"/>
      <c r="SG67" s="443"/>
      <c r="SH67" s="443"/>
      <c r="SI67" s="443"/>
      <c r="SJ67" s="443"/>
      <c r="SK67" s="443"/>
      <c r="SL67" s="443"/>
      <c r="SM67" s="443"/>
      <c r="SN67" s="443"/>
      <c r="SO67" s="443"/>
      <c r="SP67" s="443"/>
      <c r="SQ67" s="443"/>
      <c r="SR67" s="443"/>
      <c r="SS67" s="443"/>
      <c r="ST67" s="443"/>
      <c r="SU67" s="443"/>
      <c r="SV67" s="443"/>
      <c r="SW67" s="443"/>
      <c r="SX67" s="443"/>
      <c r="SY67" s="443"/>
      <c r="SZ67" s="443"/>
      <c r="TA67" s="443"/>
      <c r="TB67" s="443"/>
      <c r="TC67" s="443"/>
      <c r="TD67" s="443"/>
      <c r="TE67" s="443"/>
      <c r="TF67" s="443"/>
      <c r="TG67" s="443"/>
      <c r="TH67" s="443"/>
      <c r="TI67" s="443"/>
      <c r="TJ67" s="443"/>
      <c r="TK67" s="443"/>
      <c r="TL67" s="443"/>
      <c r="TM67" s="443"/>
      <c r="TN67" s="443"/>
      <c r="TO67" s="443"/>
      <c r="TP67" s="443"/>
      <c r="TQ67" s="443"/>
      <c r="TR67" s="443"/>
      <c r="TS67" s="443"/>
      <c r="TT67" s="443"/>
      <c r="TU67" s="443"/>
      <c r="TV67" s="443"/>
      <c r="TW67" s="443"/>
      <c r="TX67" s="443"/>
      <c r="TY67" s="443"/>
      <c r="TZ67" s="443"/>
      <c r="UA67" s="443"/>
      <c r="UB67" s="443"/>
      <c r="UC67" s="443"/>
      <c r="UD67" s="443"/>
      <c r="UE67" s="443"/>
      <c r="UF67" s="443"/>
      <c r="UG67" s="443"/>
      <c r="UH67" s="443"/>
      <c r="UI67" s="443"/>
      <c r="UJ67" s="443"/>
      <c r="UK67" s="443"/>
      <c r="UL67" s="443"/>
      <c r="UM67" s="443"/>
      <c r="UN67" s="443"/>
      <c r="UO67" s="443"/>
      <c r="UP67" s="443"/>
      <c r="UQ67" s="443"/>
      <c r="UR67" s="443"/>
      <c r="US67" s="443"/>
      <c r="UT67" s="443"/>
      <c r="UU67" s="443"/>
      <c r="UV67" s="443"/>
      <c r="UW67" s="443"/>
      <c r="UX67" s="443"/>
      <c r="UY67" s="443"/>
      <c r="UZ67" s="443"/>
      <c r="VA67" s="443"/>
      <c r="VB67" s="443"/>
      <c r="VC67" s="443"/>
      <c r="VD67" s="443"/>
      <c r="VE67" s="443"/>
      <c r="VF67" s="443"/>
      <c r="VG67" s="443"/>
      <c r="VH67" s="443"/>
      <c r="VI67" s="443"/>
      <c r="VJ67" s="443"/>
      <c r="VK67" s="443"/>
      <c r="VL67" s="443"/>
      <c r="VM67" s="443"/>
      <c r="VN67" s="443"/>
      <c r="VO67" s="443"/>
      <c r="VP67" s="443"/>
      <c r="VQ67" s="443"/>
      <c r="VR67" s="443"/>
      <c r="VS67" s="443"/>
      <c r="VT67" s="443"/>
      <c r="VU67" s="443"/>
      <c r="VV67" s="443"/>
      <c r="VW67" s="443"/>
      <c r="VX67" s="443"/>
      <c r="VY67" s="443"/>
      <c r="VZ67" s="443"/>
      <c r="WA67" s="443"/>
      <c r="WB67" s="443"/>
      <c r="WC67" s="443"/>
      <c r="WD67" s="443"/>
      <c r="WE67" s="443"/>
      <c r="WF67" s="443"/>
      <c r="WG67" s="443"/>
      <c r="WH67" s="443"/>
      <c r="WI67" s="443"/>
      <c r="WJ67" s="443"/>
      <c r="WK67" s="443"/>
      <c r="WL67" s="443"/>
      <c r="WM67" s="443"/>
      <c r="WN67" s="443"/>
      <c r="WO67" s="443"/>
      <c r="WP67" s="443"/>
      <c r="WQ67" s="443"/>
      <c r="WR67" s="443"/>
      <c r="WS67" s="443"/>
      <c r="WT67" s="443"/>
      <c r="WU67" s="443"/>
      <c r="WV67" s="443"/>
      <c r="WW67" s="443"/>
      <c r="WX67" s="443"/>
      <c r="WY67" s="443"/>
      <c r="WZ67" s="443"/>
      <c r="XA67" s="443"/>
      <c r="XB67" s="443"/>
      <c r="XC67" s="443"/>
      <c r="XD67" s="443"/>
      <c r="XE67" s="443"/>
      <c r="XF67" s="443"/>
      <c r="XG67" s="443"/>
      <c r="XH67" s="443"/>
      <c r="XI67" s="443"/>
      <c r="XJ67" s="443"/>
      <c r="XK67" s="443"/>
      <c r="XL67" s="443"/>
      <c r="XM67" s="443"/>
      <c r="XN67" s="443"/>
      <c r="XO67" s="443"/>
      <c r="XP67" s="443"/>
      <c r="XQ67" s="443"/>
      <c r="XR67" s="443"/>
      <c r="XS67" s="443"/>
      <c r="XT67" s="443"/>
      <c r="XU67" s="443"/>
      <c r="XV67" s="443"/>
      <c r="XW67" s="443"/>
      <c r="XX67" s="443"/>
      <c r="XY67" s="443"/>
      <c r="XZ67" s="443"/>
      <c r="YA67" s="443"/>
      <c r="YB67" s="443"/>
      <c r="YC67" s="443"/>
      <c r="YD67" s="443"/>
      <c r="YE67" s="443"/>
      <c r="YF67" s="443"/>
      <c r="YG67" s="443"/>
      <c r="YH67" s="443"/>
      <c r="YI67" s="443"/>
      <c r="YJ67" s="443"/>
      <c r="YK67" s="443"/>
      <c r="YL67" s="443"/>
      <c r="YM67" s="443"/>
      <c r="YN67" s="443"/>
      <c r="YO67" s="443"/>
      <c r="YP67" s="443"/>
      <c r="YQ67" s="443"/>
      <c r="YR67" s="443"/>
      <c r="YS67" s="443"/>
      <c r="YT67" s="443"/>
      <c r="YU67" s="443"/>
      <c r="YV67" s="443"/>
      <c r="YW67" s="443"/>
      <c r="YX67" s="443"/>
      <c r="YY67" s="443"/>
      <c r="YZ67" s="443"/>
      <c r="ZA67" s="443"/>
      <c r="ZB67" s="443"/>
      <c r="ZC67" s="443"/>
      <c r="ZD67" s="443"/>
      <c r="ZE67" s="443"/>
      <c r="ZF67" s="443"/>
      <c r="ZG67" s="443"/>
      <c r="ZH67" s="443"/>
      <c r="ZI67" s="443"/>
      <c r="ZJ67" s="443"/>
      <c r="ZK67" s="443"/>
      <c r="ZL67" s="443"/>
      <c r="ZM67" s="443"/>
      <c r="ZN67" s="443"/>
      <c r="ZO67" s="443"/>
      <c r="ZP67" s="443"/>
      <c r="ZQ67" s="443"/>
      <c r="ZR67" s="443"/>
      <c r="ZS67" s="443"/>
      <c r="ZT67" s="443"/>
      <c r="ZU67" s="443"/>
      <c r="ZV67" s="443"/>
      <c r="ZW67" s="443"/>
      <c r="ZX67" s="443"/>
      <c r="ZY67" s="443"/>
      <c r="ZZ67" s="443"/>
      <c r="AAA67" s="443"/>
      <c r="AAB67" s="443"/>
      <c r="AAC67" s="443"/>
      <c r="AAD67" s="443"/>
      <c r="AAE67" s="443"/>
      <c r="AAF67" s="443"/>
      <c r="AAG67" s="443"/>
      <c r="AAH67" s="443"/>
      <c r="AAI67" s="443"/>
      <c r="AAJ67" s="443"/>
      <c r="AAK67" s="443"/>
      <c r="AAL67" s="443"/>
      <c r="AAM67" s="443"/>
      <c r="AAN67" s="443"/>
      <c r="AAO67" s="443"/>
      <c r="AAP67" s="443"/>
      <c r="AAQ67" s="443"/>
      <c r="AAR67" s="443"/>
      <c r="AAS67" s="443"/>
      <c r="AAT67" s="443"/>
      <c r="AAU67" s="443"/>
      <c r="AAV67" s="443"/>
      <c r="AAW67" s="443"/>
      <c r="AAX67" s="443"/>
      <c r="AAY67" s="443"/>
      <c r="AAZ67" s="443"/>
      <c r="ABA67" s="443"/>
      <c r="ABB67" s="443"/>
      <c r="ABC67" s="443"/>
      <c r="ABD67" s="443"/>
      <c r="ABE67" s="443"/>
      <c r="ABF67" s="443"/>
      <c r="ABG67" s="443"/>
      <c r="ABH67" s="443"/>
      <c r="ABI67" s="443"/>
      <c r="ABJ67" s="443"/>
      <c r="ABK67" s="443"/>
      <c r="ABL67" s="443"/>
      <c r="ABM67" s="443"/>
      <c r="ABN67" s="443"/>
      <c r="ABO67" s="443"/>
      <c r="ABP67" s="443"/>
      <c r="ABQ67" s="443"/>
      <c r="ABR67" s="443"/>
      <c r="ABS67" s="443"/>
      <c r="ABT67" s="443"/>
      <c r="ABU67" s="443"/>
      <c r="ABV67" s="443"/>
      <c r="ABW67" s="443"/>
      <c r="ABX67" s="443"/>
      <c r="ABY67" s="443"/>
      <c r="ABZ67" s="443"/>
      <c r="ACA67" s="443"/>
      <c r="ACB67" s="443"/>
      <c r="ACC67" s="443"/>
      <c r="ACD67" s="443"/>
      <c r="ACE67" s="443"/>
      <c r="ACF67" s="443"/>
      <c r="ACG67" s="443"/>
      <c r="ACH67" s="443"/>
      <c r="ACI67" s="443"/>
      <c r="ACJ67" s="443"/>
      <c r="ACK67" s="443"/>
      <c r="ACL67" s="443"/>
      <c r="ACM67" s="443"/>
      <c r="ACN67" s="443"/>
      <c r="ACO67" s="443"/>
      <c r="ACP67" s="443"/>
      <c r="ACQ67" s="443"/>
      <c r="ACR67" s="443"/>
      <c r="ACS67" s="443"/>
      <c r="ACT67" s="443"/>
      <c r="ACU67" s="443"/>
      <c r="ACV67" s="443"/>
      <c r="ACW67" s="443"/>
      <c r="ACX67" s="443"/>
      <c r="ACY67" s="443"/>
      <c r="ACZ67" s="443"/>
      <c r="ADA67" s="443"/>
      <c r="ADB67" s="443"/>
      <c r="ADC67" s="443"/>
      <c r="ADD67" s="443"/>
      <c r="ADE67" s="443"/>
      <c r="ADF67" s="443"/>
      <c r="ADG67" s="443"/>
      <c r="ADH67" s="443"/>
      <c r="ADI67" s="443"/>
      <c r="ADJ67" s="443"/>
      <c r="ADK67" s="443"/>
      <c r="ADL67" s="443"/>
      <c r="ADM67" s="443"/>
      <c r="ADN67" s="443"/>
      <c r="ADO67" s="443"/>
      <c r="ADP67" s="443"/>
      <c r="ADQ67" s="443"/>
      <c r="ADR67" s="443"/>
      <c r="ADS67" s="443"/>
      <c r="ADT67" s="443"/>
      <c r="ADU67" s="443"/>
      <c r="ADV67" s="443"/>
      <c r="ADW67" s="443"/>
      <c r="ADX67" s="443"/>
      <c r="ADY67" s="443"/>
      <c r="ADZ67" s="443"/>
      <c r="AEA67" s="443"/>
      <c r="AEB67" s="443"/>
      <c r="AEC67" s="443"/>
      <c r="AED67" s="443"/>
      <c r="AEE67" s="443"/>
      <c r="AEF67" s="443"/>
      <c r="AEG67" s="443"/>
      <c r="AEH67" s="443"/>
      <c r="AEI67" s="443"/>
      <c r="AEJ67" s="443"/>
      <c r="AEK67" s="443"/>
      <c r="AEL67" s="443"/>
      <c r="AEM67" s="443"/>
      <c r="AEN67" s="443"/>
      <c r="AEO67" s="443"/>
      <c r="AEP67" s="443"/>
      <c r="AEQ67" s="443"/>
      <c r="AER67" s="443"/>
      <c r="AES67" s="443"/>
      <c r="AET67" s="443"/>
      <c r="AEU67" s="443"/>
      <c r="AEV67" s="443"/>
      <c r="AEW67" s="443"/>
      <c r="AEX67" s="443"/>
      <c r="AEY67" s="443"/>
      <c r="AEZ67" s="443"/>
      <c r="AFA67" s="443"/>
      <c r="AFB67" s="443"/>
      <c r="AFC67" s="443"/>
      <c r="AFD67" s="443"/>
      <c r="AFE67" s="443"/>
      <c r="AFF67" s="443"/>
      <c r="AFG67" s="443"/>
      <c r="AFH67" s="443"/>
      <c r="AFI67" s="443"/>
      <c r="AFJ67" s="443"/>
      <c r="AFK67" s="443"/>
      <c r="AFL67" s="443"/>
      <c r="AFM67" s="443"/>
      <c r="AFN67" s="443"/>
      <c r="AFO67" s="443"/>
      <c r="AFP67" s="443"/>
      <c r="AFQ67" s="443"/>
      <c r="AFR67" s="443"/>
      <c r="AFS67" s="443"/>
      <c r="AFT67" s="443"/>
      <c r="AFU67" s="443"/>
      <c r="AFV67" s="443"/>
      <c r="AFW67" s="443"/>
      <c r="AFX67" s="443"/>
      <c r="AFY67" s="443"/>
      <c r="AFZ67" s="443"/>
      <c r="AGA67" s="443"/>
      <c r="AGB67" s="443"/>
      <c r="AGC67" s="443"/>
      <c r="AGD67" s="443"/>
      <c r="AGE67" s="443"/>
      <c r="AGF67" s="443"/>
      <c r="AGG67" s="443"/>
      <c r="AGH67" s="443"/>
      <c r="AGI67" s="443"/>
      <c r="AGJ67" s="443"/>
    </row>
    <row r="68" spans="1:868" s="1" customFormat="1">
      <c r="A68" s="653" t="s">
        <v>127</v>
      </c>
      <c r="B68" s="800" t="s">
        <v>458</v>
      </c>
      <c r="C68" s="34" t="s">
        <v>147</v>
      </c>
      <c r="D68" s="122" t="s">
        <v>107</v>
      </c>
      <c r="E68" s="638">
        <f t="shared" si="22"/>
        <v>6.4613472974172373E-2</v>
      </c>
      <c r="F68" s="9">
        <v>1</v>
      </c>
      <c r="G68" s="9" t="s">
        <v>451</v>
      </c>
      <c r="H68" s="10">
        <v>1</v>
      </c>
      <c r="I68" s="10">
        <v>2</v>
      </c>
      <c r="J68" s="10">
        <v>2</v>
      </c>
      <c r="K68" s="10">
        <v>1</v>
      </c>
      <c r="L68" s="10">
        <v>1</v>
      </c>
      <c r="M68" s="10">
        <v>2</v>
      </c>
      <c r="N68" s="411">
        <f t="shared" si="25"/>
        <v>0.35859414261160716</v>
      </c>
      <c r="O68" s="411">
        <f t="shared" si="26"/>
        <v>0.37356464144298934</v>
      </c>
      <c r="P68" s="43"/>
      <c r="Q68" s="443"/>
      <c r="R68" s="443"/>
      <c r="S68" s="443"/>
      <c r="T68" s="443"/>
      <c r="U68" s="443"/>
      <c r="V68" s="443"/>
      <c r="W68" s="443"/>
      <c r="X68" s="443"/>
      <c r="Y68" s="443"/>
      <c r="Z68" s="443"/>
      <c r="AA68" s="443"/>
      <c r="AB68" s="443"/>
      <c r="AC68" s="443"/>
      <c r="AD68" s="443"/>
      <c r="AE68" s="443"/>
      <c r="AF68" s="443"/>
      <c r="AG68" s="443"/>
      <c r="AH68" s="443"/>
      <c r="AI68" s="443"/>
      <c r="AJ68" s="443"/>
      <c r="AK68" s="443"/>
      <c r="AL68" s="443"/>
      <c r="AM68" s="443"/>
      <c r="AN68" s="443"/>
      <c r="AO68" s="443"/>
      <c r="AP68" s="443"/>
      <c r="AQ68" s="443"/>
      <c r="AR68" s="443"/>
      <c r="AS68" s="443"/>
      <c r="AT68" s="443"/>
      <c r="AU68" s="443"/>
      <c r="AV68" s="443"/>
      <c r="AW68" s="443"/>
      <c r="AX68" s="443"/>
      <c r="AY68" s="443"/>
      <c r="AZ68" s="443"/>
      <c r="BA68" s="443"/>
      <c r="BB68" s="443"/>
      <c r="BC68" s="443"/>
      <c r="BD68" s="443"/>
      <c r="BE68" s="443"/>
      <c r="BF68" s="443"/>
      <c r="BG68" s="443"/>
      <c r="BH68" s="443"/>
      <c r="BI68" s="443"/>
      <c r="BJ68" s="443"/>
      <c r="BK68" s="443"/>
      <c r="BL68" s="443"/>
      <c r="BM68" s="443"/>
      <c r="BN68" s="443"/>
      <c r="BO68" s="443"/>
      <c r="BP68" s="443"/>
      <c r="BQ68" s="443"/>
      <c r="BR68" s="443"/>
      <c r="BS68" s="443"/>
      <c r="BT68" s="443"/>
      <c r="BU68" s="443"/>
      <c r="BV68" s="443"/>
      <c r="BW68" s="443"/>
      <c r="BX68" s="443"/>
      <c r="BY68" s="443"/>
      <c r="BZ68" s="443"/>
      <c r="CA68" s="443"/>
      <c r="CB68" s="443"/>
      <c r="CC68" s="443"/>
      <c r="CD68" s="443"/>
      <c r="CE68" s="443"/>
      <c r="CF68" s="443"/>
      <c r="CG68" s="443"/>
      <c r="CH68" s="443"/>
      <c r="CI68" s="443"/>
      <c r="CJ68" s="443"/>
      <c r="CK68" s="443"/>
      <c r="CL68" s="443"/>
      <c r="CM68" s="443"/>
      <c r="CN68" s="443"/>
      <c r="CO68" s="443"/>
      <c r="CP68" s="443"/>
      <c r="CQ68" s="443"/>
      <c r="CR68" s="443"/>
      <c r="CS68" s="443"/>
      <c r="CT68" s="443"/>
      <c r="CU68" s="443"/>
      <c r="CV68" s="443"/>
      <c r="CW68" s="443"/>
      <c r="CX68" s="443"/>
      <c r="CY68" s="443"/>
      <c r="CZ68" s="443"/>
      <c r="DA68" s="443"/>
      <c r="DB68" s="443"/>
      <c r="DC68" s="443"/>
      <c r="DD68" s="443"/>
      <c r="DE68" s="443"/>
      <c r="DF68" s="443"/>
      <c r="DG68" s="443"/>
      <c r="DH68" s="443"/>
      <c r="DI68" s="443"/>
      <c r="DJ68" s="443"/>
      <c r="DK68" s="443"/>
      <c r="DL68" s="443"/>
      <c r="DM68" s="443"/>
      <c r="DN68" s="443"/>
      <c r="DO68" s="443"/>
      <c r="DP68" s="443"/>
      <c r="DQ68" s="443"/>
      <c r="DR68" s="443"/>
      <c r="DS68" s="443"/>
      <c r="DT68" s="443"/>
      <c r="DU68" s="443"/>
      <c r="DV68" s="443"/>
      <c r="DW68" s="443"/>
      <c r="DX68" s="443"/>
      <c r="DY68" s="443"/>
      <c r="DZ68" s="443"/>
      <c r="EA68" s="443"/>
      <c r="EB68" s="443"/>
      <c r="EC68" s="443"/>
      <c r="ED68" s="443"/>
      <c r="EE68" s="443"/>
      <c r="EF68" s="443"/>
      <c r="EG68" s="443"/>
      <c r="EH68" s="443"/>
      <c r="EI68" s="443"/>
      <c r="EJ68" s="443"/>
      <c r="EK68" s="443"/>
      <c r="EL68" s="443"/>
      <c r="EM68" s="443"/>
      <c r="EN68" s="443"/>
      <c r="EO68" s="443"/>
      <c r="EP68" s="443"/>
      <c r="EQ68" s="443"/>
      <c r="ER68" s="443"/>
      <c r="ES68" s="443"/>
      <c r="ET68" s="443"/>
      <c r="EU68" s="443"/>
      <c r="EV68" s="443"/>
      <c r="EW68" s="443"/>
      <c r="EX68" s="443"/>
      <c r="EY68" s="443"/>
      <c r="EZ68" s="443"/>
      <c r="FA68" s="443"/>
      <c r="FB68" s="443"/>
      <c r="FC68" s="443"/>
      <c r="FD68" s="443"/>
      <c r="FE68" s="443"/>
      <c r="FF68" s="443"/>
      <c r="FG68" s="443"/>
      <c r="FH68" s="443"/>
      <c r="FI68" s="443"/>
      <c r="FJ68" s="443"/>
      <c r="FK68" s="443"/>
      <c r="FL68" s="443"/>
      <c r="FM68" s="443"/>
      <c r="FN68" s="443"/>
      <c r="FO68" s="443"/>
      <c r="FP68" s="443"/>
      <c r="FQ68" s="443"/>
      <c r="FR68" s="443"/>
      <c r="FS68" s="443"/>
      <c r="FT68" s="443"/>
      <c r="FU68" s="443"/>
      <c r="FV68" s="443"/>
      <c r="FW68" s="443"/>
      <c r="FX68" s="443"/>
      <c r="FY68" s="443"/>
      <c r="FZ68" s="443"/>
      <c r="GA68" s="443"/>
      <c r="GB68" s="443"/>
      <c r="GC68" s="443"/>
      <c r="GD68" s="443"/>
      <c r="GE68" s="443"/>
      <c r="GF68" s="443"/>
      <c r="GG68" s="443"/>
      <c r="GH68" s="443"/>
      <c r="GI68" s="443"/>
      <c r="GJ68" s="443"/>
      <c r="GK68" s="443"/>
      <c r="GL68" s="443"/>
      <c r="GM68" s="443"/>
      <c r="GN68" s="443"/>
      <c r="GO68" s="443"/>
      <c r="GP68" s="443"/>
      <c r="GQ68" s="443"/>
      <c r="GR68" s="443"/>
      <c r="GS68" s="443"/>
      <c r="GT68" s="443"/>
      <c r="GU68" s="443"/>
      <c r="GV68" s="443"/>
      <c r="GW68" s="443"/>
      <c r="GX68" s="443"/>
      <c r="GY68" s="443"/>
      <c r="GZ68" s="443"/>
      <c r="HA68" s="443"/>
      <c r="HB68" s="443"/>
      <c r="HC68" s="443"/>
      <c r="HD68" s="443"/>
      <c r="HE68" s="443"/>
      <c r="HF68" s="443"/>
      <c r="HG68" s="443"/>
      <c r="HH68" s="443"/>
      <c r="HI68" s="443"/>
      <c r="HJ68" s="443"/>
      <c r="HK68" s="443"/>
      <c r="HL68" s="443"/>
      <c r="HM68" s="443"/>
      <c r="HN68" s="443"/>
      <c r="HO68" s="443"/>
      <c r="HP68" s="443"/>
      <c r="HQ68" s="443"/>
      <c r="HR68" s="443"/>
      <c r="HS68" s="443"/>
      <c r="HT68" s="443"/>
      <c r="HU68" s="443"/>
      <c r="HV68" s="443"/>
      <c r="HW68" s="443"/>
      <c r="HX68" s="443"/>
      <c r="HY68" s="443"/>
      <c r="HZ68" s="443"/>
      <c r="IA68" s="443"/>
      <c r="IB68" s="443"/>
      <c r="IC68" s="443"/>
      <c r="ID68" s="443"/>
      <c r="IE68" s="443"/>
      <c r="IF68" s="443"/>
      <c r="IG68" s="443"/>
      <c r="IH68" s="443"/>
      <c r="II68" s="443"/>
      <c r="IJ68" s="443"/>
      <c r="IK68" s="443"/>
      <c r="IL68" s="443"/>
      <c r="IM68" s="443"/>
      <c r="IN68" s="443"/>
      <c r="IO68" s="443"/>
      <c r="IP68" s="443"/>
      <c r="IQ68" s="443"/>
      <c r="IR68" s="443"/>
      <c r="IS68" s="443"/>
      <c r="IT68" s="443"/>
      <c r="IU68" s="443"/>
      <c r="IV68" s="443"/>
      <c r="IW68" s="443"/>
      <c r="IX68" s="443"/>
      <c r="IY68" s="443"/>
      <c r="IZ68" s="443"/>
      <c r="JA68" s="443"/>
      <c r="JB68" s="443"/>
      <c r="JC68" s="443"/>
      <c r="JD68" s="443"/>
      <c r="JE68" s="443"/>
      <c r="JF68" s="443"/>
      <c r="JG68" s="443"/>
      <c r="JH68" s="443"/>
      <c r="JI68" s="443"/>
      <c r="JJ68" s="443"/>
      <c r="JK68" s="443"/>
      <c r="JL68" s="443"/>
      <c r="JM68" s="443"/>
      <c r="JN68" s="443"/>
      <c r="JO68" s="443"/>
      <c r="JP68" s="443"/>
      <c r="JQ68" s="443"/>
      <c r="JR68" s="443"/>
      <c r="JS68" s="443"/>
      <c r="JT68" s="443"/>
      <c r="JU68" s="443"/>
      <c r="JV68" s="443"/>
      <c r="JW68" s="443"/>
      <c r="JX68" s="443"/>
      <c r="JY68" s="443"/>
      <c r="JZ68" s="443"/>
      <c r="KA68" s="443"/>
      <c r="KB68" s="443"/>
      <c r="KC68" s="443"/>
      <c r="KD68" s="443"/>
      <c r="KE68" s="443"/>
      <c r="KF68" s="443"/>
      <c r="KG68" s="443"/>
      <c r="KH68" s="443"/>
      <c r="KI68" s="443"/>
      <c r="KJ68" s="443"/>
      <c r="KK68" s="443"/>
      <c r="KL68" s="443"/>
      <c r="KM68" s="443"/>
      <c r="KN68" s="443"/>
      <c r="KO68" s="443"/>
      <c r="KP68" s="443"/>
      <c r="KQ68" s="443"/>
      <c r="KR68" s="443"/>
      <c r="KS68" s="443"/>
      <c r="KT68" s="443"/>
      <c r="KU68" s="443"/>
      <c r="KV68" s="443"/>
      <c r="KW68" s="443"/>
      <c r="KX68" s="443"/>
      <c r="KY68" s="443"/>
      <c r="KZ68" s="443"/>
      <c r="LA68" s="443"/>
      <c r="LB68" s="443"/>
      <c r="LC68" s="443"/>
      <c r="LD68" s="443"/>
      <c r="LE68" s="443"/>
      <c r="LF68" s="443"/>
      <c r="LG68" s="443"/>
      <c r="LH68" s="443"/>
      <c r="LI68" s="443"/>
      <c r="LJ68" s="443"/>
      <c r="LK68" s="443"/>
      <c r="LL68" s="443"/>
      <c r="LM68" s="443"/>
      <c r="LN68" s="443"/>
      <c r="LO68" s="443"/>
      <c r="LP68" s="443"/>
      <c r="LQ68" s="443"/>
      <c r="LR68" s="443"/>
      <c r="LS68" s="443"/>
      <c r="LT68" s="443"/>
      <c r="LU68" s="443"/>
      <c r="LV68" s="443"/>
      <c r="LW68" s="443"/>
      <c r="LX68" s="443"/>
      <c r="LY68" s="443"/>
      <c r="LZ68" s="443"/>
      <c r="MA68" s="443"/>
      <c r="MB68" s="443"/>
      <c r="MC68" s="443"/>
      <c r="MD68" s="443"/>
      <c r="ME68" s="443"/>
      <c r="MF68" s="443"/>
      <c r="MG68" s="443"/>
      <c r="MH68" s="443"/>
      <c r="MI68" s="443"/>
      <c r="MJ68" s="443"/>
      <c r="MK68" s="443"/>
      <c r="ML68" s="443"/>
      <c r="MM68" s="443"/>
      <c r="MN68" s="443"/>
      <c r="MO68" s="443"/>
      <c r="MP68" s="443"/>
      <c r="MQ68" s="443"/>
      <c r="MR68" s="443"/>
      <c r="MS68" s="443"/>
      <c r="MT68" s="443"/>
      <c r="MU68" s="443"/>
      <c r="MV68" s="443"/>
      <c r="MW68" s="443"/>
      <c r="MX68" s="443"/>
      <c r="MY68" s="443"/>
      <c r="MZ68" s="443"/>
      <c r="NA68" s="443"/>
      <c r="NB68" s="443"/>
      <c r="NC68" s="443"/>
      <c r="ND68" s="443"/>
      <c r="NE68" s="443"/>
      <c r="NF68" s="443"/>
      <c r="NG68" s="443"/>
      <c r="NH68" s="443"/>
      <c r="NI68" s="443"/>
      <c r="NJ68" s="443"/>
      <c r="NK68" s="443"/>
      <c r="NL68" s="443"/>
      <c r="NM68" s="443"/>
      <c r="NN68" s="443"/>
      <c r="NO68" s="443"/>
      <c r="NP68" s="443"/>
      <c r="NQ68" s="443"/>
      <c r="NR68" s="443"/>
      <c r="NS68" s="443"/>
      <c r="NT68" s="443"/>
      <c r="NU68" s="443"/>
      <c r="NV68" s="443"/>
      <c r="NW68" s="443"/>
      <c r="NX68" s="443"/>
      <c r="NY68" s="443"/>
      <c r="NZ68" s="443"/>
      <c r="OA68" s="443"/>
      <c r="OB68" s="443"/>
      <c r="OC68" s="443"/>
      <c r="OD68" s="443"/>
      <c r="OE68" s="443"/>
      <c r="OF68" s="443"/>
      <c r="OG68" s="443"/>
      <c r="OH68" s="443"/>
      <c r="OI68" s="443"/>
      <c r="OJ68" s="443"/>
      <c r="OK68" s="443"/>
      <c r="OL68" s="443"/>
      <c r="OM68" s="443"/>
      <c r="ON68" s="443"/>
      <c r="OO68" s="443"/>
      <c r="OP68" s="443"/>
      <c r="OQ68" s="443"/>
      <c r="OR68" s="443"/>
      <c r="OS68" s="443"/>
      <c r="OT68" s="443"/>
      <c r="OU68" s="443"/>
      <c r="OV68" s="443"/>
      <c r="OW68" s="443"/>
      <c r="OX68" s="443"/>
      <c r="OY68" s="443"/>
      <c r="OZ68" s="443"/>
      <c r="PA68" s="443"/>
      <c r="PB68" s="443"/>
      <c r="PC68" s="443"/>
      <c r="PD68" s="443"/>
      <c r="PE68" s="443"/>
      <c r="PF68" s="443"/>
      <c r="PG68" s="443"/>
      <c r="PH68" s="443"/>
      <c r="PI68" s="443"/>
      <c r="PJ68" s="443"/>
      <c r="PK68" s="443"/>
      <c r="PL68" s="443"/>
      <c r="PM68" s="443"/>
      <c r="PN68" s="443"/>
      <c r="PO68" s="443"/>
      <c r="PP68" s="443"/>
      <c r="PQ68" s="443"/>
      <c r="PR68" s="443"/>
      <c r="PS68" s="443"/>
      <c r="PT68" s="443"/>
      <c r="PU68" s="443"/>
      <c r="PV68" s="443"/>
      <c r="PW68" s="443"/>
      <c r="PX68" s="443"/>
      <c r="PY68" s="443"/>
      <c r="PZ68" s="443"/>
      <c r="QA68" s="443"/>
      <c r="QB68" s="443"/>
      <c r="QC68" s="443"/>
      <c r="QD68" s="443"/>
      <c r="QE68" s="443"/>
      <c r="QF68" s="443"/>
      <c r="QG68" s="443"/>
      <c r="QH68" s="443"/>
      <c r="QI68" s="443"/>
      <c r="QJ68" s="443"/>
      <c r="QK68" s="443"/>
      <c r="QL68" s="443"/>
      <c r="QM68" s="443"/>
      <c r="QN68" s="443"/>
      <c r="QO68" s="443"/>
      <c r="QP68" s="443"/>
      <c r="QQ68" s="443"/>
      <c r="QR68" s="443"/>
      <c r="QS68" s="443"/>
      <c r="QT68" s="443"/>
      <c r="QU68" s="443"/>
      <c r="QV68" s="443"/>
      <c r="QW68" s="443"/>
      <c r="QX68" s="443"/>
      <c r="QY68" s="443"/>
      <c r="QZ68" s="443"/>
      <c r="RA68" s="443"/>
      <c r="RB68" s="443"/>
      <c r="RC68" s="443"/>
      <c r="RD68" s="443"/>
      <c r="RE68" s="443"/>
      <c r="RF68" s="443"/>
      <c r="RG68" s="443"/>
      <c r="RH68" s="443"/>
      <c r="RI68" s="443"/>
      <c r="RJ68" s="443"/>
      <c r="RK68" s="443"/>
      <c r="RL68" s="443"/>
      <c r="RM68" s="443"/>
      <c r="RN68" s="443"/>
      <c r="RO68" s="443"/>
      <c r="RP68" s="443"/>
      <c r="RQ68" s="443"/>
      <c r="RR68" s="443"/>
      <c r="RS68" s="443"/>
      <c r="RT68" s="443"/>
      <c r="RU68" s="443"/>
      <c r="RV68" s="443"/>
      <c r="RW68" s="443"/>
      <c r="RX68" s="443"/>
      <c r="RY68" s="443"/>
      <c r="RZ68" s="443"/>
      <c r="SA68" s="443"/>
      <c r="SB68" s="443"/>
      <c r="SC68" s="443"/>
      <c r="SD68" s="443"/>
      <c r="SE68" s="443"/>
      <c r="SF68" s="443"/>
      <c r="SG68" s="443"/>
      <c r="SH68" s="443"/>
      <c r="SI68" s="443"/>
      <c r="SJ68" s="443"/>
      <c r="SK68" s="443"/>
      <c r="SL68" s="443"/>
      <c r="SM68" s="443"/>
      <c r="SN68" s="443"/>
      <c r="SO68" s="443"/>
      <c r="SP68" s="443"/>
      <c r="SQ68" s="443"/>
      <c r="SR68" s="443"/>
      <c r="SS68" s="443"/>
      <c r="ST68" s="443"/>
      <c r="SU68" s="443"/>
      <c r="SV68" s="443"/>
      <c r="SW68" s="443"/>
      <c r="SX68" s="443"/>
      <c r="SY68" s="443"/>
      <c r="SZ68" s="443"/>
      <c r="TA68" s="443"/>
      <c r="TB68" s="443"/>
      <c r="TC68" s="443"/>
      <c r="TD68" s="443"/>
      <c r="TE68" s="443"/>
      <c r="TF68" s="443"/>
      <c r="TG68" s="443"/>
      <c r="TH68" s="443"/>
      <c r="TI68" s="443"/>
      <c r="TJ68" s="443"/>
      <c r="TK68" s="443"/>
      <c r="TL68" s="443"/>
      <c r="TM68" s="443"/>
      <c r="TN68" s="443"/>
      <c r="TO68" s="443"/>
      <c r="TP68" s="443"/>
      <c r="TQ68" s="443"/>
      <c r="TR68" s="443"/>
      <c r="TS68" s="443"/>
      <c r="TT68" s="443"/>
      <c r="TU68" s="443"/>
      <c r="TV68" s="443"/>
      <c r="TW68" s="443"/>
      <c r="TX68" s="443"/>
      <c r="TY68" s="443"/>
      <c r="TZ68" s="443"/>
      <c r="UA68" s="443"/>
      <c r="UB68" s="443"/>
      <c r="UC68" s="443"/>
      <c r="UD68" s="443"/>
      <c r="UE68" s="443"/>
      <c r="UF68" s="443"/>
      <c r="UG68" s="443"/>
      <c r="UH68" s="443"/>
      <c r="UI68" s="443"/>
      <c r="UJ68" s="443"/>
      <c r="UK68" s="443"/>
      <c r="UL68" s="443"/>
      <c r="UM68" s="443"/>
      <c r="UN68" s="443"/>
      <c r="UO68" s="443"/>
      <c r="UP68" s="443"/>
      <c r="UQ68" s="443"/>
      <c r="UR68" s="443"/>
      <c r="US68" s="443"/>
      <c r="UT68" s="443"/>
      <c r="UU68" s="443"/>
      <c r="UV68" s="443"/>
      <c r="UW68" s="443"/>
      <c r="UX68" s="443"/>
      <c r="UY68" s="443"/>
      <c r="UZ68" s="443"/>
      <c r="VA68" s="443"/>
      <c r="VB68" s="443"/>
      <c r="VC68" s="443"/>
      <c r="VD68" s="443"/>
      <c r="VE68" s="443"/>
      <c r="VF68" s="443"/>
      <c r="VG68" s="443"/>
      <c r="VH68" s="443"/>
      <c r="VI68" s="443"/>
      <c r="VJ68" s="443"/>
      <c r="VK68" s="443"/>
      <c r="VL68" s="443"/>
      <c r="VM68" s="443"/>
      <c r="VN68" s="443"/>
      <c r="VO68" s="443"/>
      <c r="VP68" s="443"/>
      <c r="VQ68" s="443"/>
      <c r="VR68" s="443"/>
      <c r="VS68" s="443"/>
      <c r="VT68" s="443"/>
      <c r="VU68" s="443"/>
      <c r="VV68" s="443"/>
      <c r="VW68" s="443"/>
      <c r="VX68" s="443"/>
      <c r="VY68" s="443"/>
      <c r="VZ68" s="443"/>
      <c r="WA68" s="443"/>
      <c r="WB68" s="443"/>
      <c r="WC68" s="443"/>
      <c r="WD68" s="443"/>
      <c r="WE68" s="443"/>
      <c r="WF68" s="443"/>
      <c r="WG68" s="443"/>
      <c r="WH68" s="443"/>
      <c r="WI68" s="443"/>
      <c r="WJ68" s="443"/>
      <c r="WK68" s="443"/>
      <c r="WL68" s="443"/>
      <c r="WM68" s="443"/>
      <c r="WN68" s="443"/>
      <c r="WO68" s="443"/>
      <c r="WP68" s="443"/>
      <c r="WQ68" s="443"/>
      <c r="WR68" s="443"/>
      <c r="WS68" s="443"/>
      <c r="WT68" s="443"/>
      <c r="WU68" s="443"/>
      <c r="WV68" s="443"/>
      <c r="WW68" s="443"/>
      <c r="WX68" s="443"/>
      <c r="WY68" s="443"/>
      <c r="WZ68" s="443"/>
      <c r="XA68" s="443"/>
      <c r="XB68" s="443"/>
      <c r="XC68" s="443"/>
      <c r="XD68" s="443"/>
      <c r="XE68" s="443"/>
      <c r="XF68" s="443"/>
      <c r="XG68" s="443"/>
      <c r="XH68" s="443"/>
      <c r="XI68" s="443"/>
      <c r="XJ68" s="443"/>
      <c r="XK68" s="443"/>
      <c r="XL68" s="443"/>
      <c r="XM68" s="443"/>
      <c r="XN68" s="443"/>
      <c r="XO68" s="443"/>
      <c r="XP68" s="443"/>
      <c r="XQ68" s="443"/>
      <c r="XR68" s="443"/>
      <c r="XS68" s="443"/>
      <c r="XT68" s="443"/>
      <c r="XU68" s="443"/>
      <c r="XV68" s="443"/>
      <c r="XW68" s="443"/>
      <c r="XX68" s="443"/>
      <c r="XY68" s="443"/>
      <c r="XZ68" s="443"/>
      <c r="YA68" s="443"/>
      <c r="YB68" s="443"/>
      <c r="YC68" s="443"/>
      <c r="YD68" s="443"/>
      <c r="YE68" s="443"/>
      <c r="YF68" s="443"/>
      <c r="YG68" s="443"/>
      <c r="YH68" s="443"/>
      <c r="YI68" s="443"/>
      <c r="YJ68" s="443"/>
      <c r="YK68" s="443"/>
      <c r="YL68" s="443"/>
      <c r="YM68" s="443"/>
      <c r="YN68" s="443"/>
      <c r="YO68" s="443"/>
      <c r="YP68" s="443"/>
      <c r="YQ68" s="443"/>
      <c r="YR68" s="443"/>
      <c r="YS68" s="443"/>
      <c r="YT68" s="443"/>
      <c r="YU68" s="443"/>
      <c r="YV68" s="443"/>
      <c r="YW68" s="443"/>
      <c r="YX68" s="443"/>
      <c r="YY68" s="443"/>
      <c r="YZ68" s="443"/>
      <c r="ZA68" s="443"/>
      <c r="ZB68" s="443"/>
      <c r="ZC68" s="443"/>
      <c r="ZD68" s="443"/>
      <c r="ZE68" s="443"/>
      <c r="ZF68" s="443"/>
      <c r="ZG68" s="443"/>
      <c r="ZH68" s="443"/>
      <c r="ZI68" s="443"/>
      <c r="ZJ68" s="443"/>
      <c r="ZK68" s="443"/>
      <c r="ZL68" s="443"/>
      <c r="ZM68" s="443"/>
      <c r="ZN68" s="443"/>
      <c r="ZO68" s="443"/>
      <c r="ZP68" s="443"/>
      <c r="ZQ68" s="443"/>
      <c r="ZR68" s="443"/>
      <c r="ZS68" s="443"/>
      <c r="ZT68" s="443"/>
      <c r="ZU68" s="443"/>
      <c r="ZV68" s="443"/>
      <c r="ZW68" s="443"/>
      <c r="ZX68" s="443"/>
      <c r="ZY68" s="443"/>
      <c r="ZZ68" s="443"/>
      <c r="AAA68" s="443"/>
      <c r="AAB68" s="443"/>
      <c r="AAC68" s="443"/>
      <c r="AAD68" s="443"/>
      <c r="AAE68" s="443"/>
      <c r="AAF68" s="443"/>
      <c r="AAG68" s="443"/>
      <c r="AAH68" s="443"/>
      <c r="AAI68" s="443"/>
      <c r="AAJ68" s="443"/>
      <c r="AAK68" s="443"/>
      <c r="AAL68" s="443"/>
      <c r="AAM68" s="443"/>
      <c r="AAN68" s="443"/>
      <c r="AAO68" s="443"/>
      <c r="AAP68" s="443"/>
      <c r="AAQ68" s="443"/>
      <c r="AAR68" s="443"/>
      <c r="AAS68" s="443"/>
      <c r="AAT68" s="443"/>
      <c r="AAU68" s="443"/>
      <c r="AAV68" s="443"/>
      <c r="AAW68" s="443"/>
      <c r="AAX68" s="443"/>
      <c r="AAY68" s="443"/>
      <c r="AAZ68" s="443"/>
      <c r="ABA68" s="443"/>
      <c r="ABB68" s="443"/>
      <c r="ABC68" s="443"/>
      <c r="ABD68" s="443"/>
      <c r="ABE68" s="443"/>
      <c r="ABF68" s="443"/>
      <c r="ABG68" s="443"/>
      <c r="ABH68" s="443"/>
      <c r="ABI68" s="443"/>
      <c r="ABJ68" s="443"/>
      <c r="ABK68" s="443"/>
      <c r="ABL68" s="443"/>
      <c r="ABM68" s="443"/>
      <c r="ABN68" s="443"/>
      <c r="ABO68" s="443"/>
      <c r="ABP68" s="443"/>
      <c r="ABQ68" s="443"/>
      <c r="ABR68" s="443"/>
      <c r="ABS68" s="443"/>
      <c r="ABT68" s="443"/>
      <c r="ABU68" s="443"/>
      <c r="ABV68" s="443"/>
      <c r="ABW68" s="443"/>
      <c r="ABX68" s="443"/>
      <c r="ABY68" s="443"/>
      <c r="ABZ68" s="443"/>
      <c r="ACA68" s="443"/>
      <c r="ACB68" s="443"/>
      <c r="ACC68" s="443"/>
      <c r="ACD68" s="443"/>
      <c r="ACE68" s="443"/>
      <c r="ACF68" s="443"/>
      <c r="ACG68" s="443"/>
      <c r="ACH68" s="443"/>
      <c r="ACI68" s="443"/>
      <c r="ACJ68" s="443"/>
      <c r="ACK68" s="443"/>
      <c r="ACL68" s="443"/>
      <c r="ACM68" s="443"/>
      <c r="ACN68" s="443"/>
      <c r="ACO68" s="443"/>
      <c r="ACP68" s="443"/>
      <c r="ACQ68" s="443"/>
      <c r="ACR68" s="443"/>
      <c r="ACS68" s="443"/>
      <c r="ACT68" s="443"/>
      <c r="ACU68" s="443"/>
      <c r="ACV68" s="443"/>
      <c r="ACW68" s="443"/>
      <c r="ACX68" s="443"/>
      <c r="ACY68" s="443"/>
      <c r="ACZ68" s="443"/>
      <c r="ADA68" s="443"/>
      <c r="ADB68" s="443"/>
      <c r="ADC68" s="443"/>
      <c r="ADD68" s="443"/>
      <c r="ADE68" s="443"/>
      <c r="ADF68" s="443"/>
      <c r="ADG68" s="443"/>
      <c r="ADH68" s="443"/>
      <c r="ADI68" s="443"/>
      <c r="ADJ68" s="443"/>
      <c r="ADK68" s="443"/>
      <c r="ADL68" s="443"/>
      <c r="ADM68" s="443"/>
      <c r="ADN68" s="443"/>
      <c r="ADO68" s="443"/>
      <c r="ADP68" s="443"/>
      <c r="ADQ68" s="443"/>
      <c r="ADR68" s="443"/>
      <c r="ADS68" s="443"/>
      <c r="ADT68" s="443"/>
      <c r="ADU68" s="443"/>
      <c r="ADV68" s="443"/>
      <c r="ADW68" s="443"/>
      <c r="ADX68" s="443"/>
      <c r="ADY68" s="443"/>
      <c r="ADZ68" s="443"/>
      <c r="AEA68" s="443"/>
      <c r="AEB68" s="443"/>
      <c r="AEC68" s="443"/>
      <c r="AED68" s="443"/>
      <c r="AEE68" s="443"/>
      <c r="AEF68" s="443"/>
      <c r="AEG68" s="443"/>
      <c r="AEH68" s="443"/>
      <c r="AEI68" s="443"/>
      <c r="AEJ68" s="443"/>
      <c r="AEK68" s="443"/>
      <c r="AEL68" s="443"/>
      <c r="AEM68" s="443"/>
      <c r="AEN68" s="443"/>
      <c r="AEO68" s="443"/>
      <c r="AEP68" s="443"/>
      <c r="AEQ68" s="443"/>
      <c r="AER68" s="443"/>
      <c r="AES68" s="443"/>
      <c r="AET68" s="443"/>
      <c r="AEU68" s="443"/>
      <c r="AEV68" s="443"/>
      <c r="AEW68" s="443"/>
      <c r="AEX68" s="443"/>
      <c r="AEY68" s="443"/>
      <c r="AEZ68" s="443"/>
      <c r="AFA68" s="443"/>
      <c r="AFB68" s="443"/>
      <c r="AFC68" s="443"/>
      <c r="AFD68" s="443"/>
      <c r="AFE68" s="443"/>
      <c r="AFF68" s="443"/>
      <c r="AFG68" s="443"/>
      <c r="AFH68" s="443"/>
      <c r="AFI68" s="443"/>
      <c r="AFJ68" s="443"/>
      <c r="AFK68" s="443"/>
      <c r="AFL68" s="443"/>
      <c r="AFM68" s="443"/>
      <c r="AFN68" s="443"/>
      <c r="AFO68" s="443"/>
      <c r="AFP68" s="443"/>
      <c r="AFQ68" s="443"/>
      <c r="AFR68" s="443"/>
      <c r="AFS68" s="443"/>
      <c r="AFT68" s="443"/>
      <c r="AFU68" s="443"/>
      <c r="AFV68" s="443"/>
      <c r="AFW68" s="443"/>
      <c r="AFX68" s="443"/>
      <c r="AFY68" s="443"/>
      <c r="AFZ68" s="443"/>
      <c r="AGA68" s="443"/>
      <c r="AGB68" s="443"/>
      <c r="AGC68" s="443"/>
      <c r="AGD68" s="443"/>
      <c r="AGE68" s="443"/>
      <c r="AGF68" s="443"/>
      <c r="AGG68" s="443"/>
      <c r="AGH68" s="443"/>
      <c r="AGI68" s="443"/>
      <c r="AGJ68" s="443"/>
    </row>
    <row r="69" spans="1:868" s="1" customFormat="1">
      <c r="A69" s="653" t="s">
        <v>127</v>
      </c>
      <c r="B69" s="800" t="s">
        <v>459</v>
      </c>
      <c r="C69" s="34" t="s">
        <v>147</v>
      </c>
      <c r="D69" s="122" t="s">
        <v>107</v>
      </c>
      <c r="E69" s="638">
        <f t="shared" si="22"/>
        <v>1.9881068607437654E-2</v>
      </c>
      <c r="F69" s="9">
        <v>1</v>
      </c>
      <c r="G69" s="9" t="s">
        <v>451</v>
      </c>
      <c r="H69" s="10">
        <v>1</v>
      </c>
      <c r="I69" s="10">
        <v>2</v>
      </c>
      <c r="J69" s="10">
        <v>2</v>
      </c>
      <c r="K69" s="10">
        <v>1</v>
      </c>
      <c r="L69" s="10">
        <v>1</v>
      </c>
      <c r="M69" s="10">
        <v>2</v>
      </c>
      <c r="N69" s="411">
        <f t="shared" si="25"/>
        <v>0.35859414261160716</v>
      </c>
      <c r="O69" s="411">
        <f t="shared" si="26"/>
        <v>0.37356464144298934</v>
      </c>
      <c r="P69" s="766"/>
      <c r="Q69" s="443"/>
      <c r="R69" s="443"/>
      <c r="S69" s="443"/>
      <c r="T69" s="443"/>
      <c r="U69" s="443"/>
      <c r="V69" s="443"/>
      <c r="W69" s="443"/>
      <c r="X69" s="443"/>
      <c r="Y69" s="443"/>
      <c r="Z69" s="443"/>
      <c r="AA69" s="443"/>
      <c r="AB69" s="443"/>
      <c r="AC69" s="443"/>
      <c r="AD69" s="443"/>
      <c r="AE69" s="443"/>
      <c r="AF69" s="443"/>
      <c r="AG69" s="443"/>
      <c r="AH69" s="443"/>
      <c r="AI69" s="443"/>
      <c r="AJ69" s="443"/>
      <c r="AK69" s="443"/>
      <c r="AL69" s="443"/>
      <c r="AM69" s="443"/>
      <c r="AN69" s="443"/>
      <c r="AO69" s="443"/>
      <c r="AP69" s="443"/>
      <c r="AQ69" s="443"/>
      <c r="AR69" s="443"/>
      <c r="AS69" s="443"/>
      <c r="AT69" s="443"/>
      <c r="AU69" s="443"/>
      <c r="AV69" s="443"/>
      <c r="AW69" s="443"/>
      <c r="AX69" s="443"/>
      <c r="AY69" s="443"/>
      <c r="AZ69" s="443"/>
      <c r="BA69" s="443"/>
      <c r="BB69" s="443"/>
      <c r="BC69" s="443"/>
      <c r="BD69" s="443"/>
      <c r="BE69" s="443"/>
      <c r="BF69" s="443"/>
      <c r="BG69" s="443"/>
      <c r="BH69" s="443"/>
      <c r="BI69" s="443"/>
      <c r="BJ69" s="443"/>
      <c r="BK69" s="443"/>
      <c r="BL69" s="443"/>
      <c r="BM69" s="443"/>
      <c r="BN69" s="443"/>
      <c r="BO69" s="443"/>
      <c r="BP69" s="443"/>
      <c r="BQ69" s="443"/>
      <c r="BR69" s="443"/>
      <c r="BS69" s="443"/>
      <c r="BT69" s="443"/>
      <c r="BU69" s="443"/>
      <c r="BV69" s="443"/>
      <c r="BW69" s="443"/>
      <c r="BX69" s="443"/>
      <c r="BY69" s="443"/>
      <c r="BZ69" s="443"/>
      <c r="CA69" s="443"/>
      <c r="CB69" s="443"/>
      <c r="CC69" s="443"/>
      <c r="CD69" s="443"/>
      <c r="CE69" s="443"/>
      <c r="CF69" s="443"/>
      <c r="CG69" s="443"/>
      <c r="CH69" s="443"/>
      <c r="CI69" s="443"/>
      <c r="CJ69" s="443"/>
      <c r="CK69" s="443"/>
      <c r="CL69" s="443"/>
      <c r="CM69" s="443"/>
      <c r="CN69" s="443"/>
      <c r="CO69" s="443"/>
      <c r="CP69" s="443"/>
      <c r="CQ69" s="443"/>
      <c r="CR69" s="443"/>
      <c r="CS69" s="443"/>
      <c r="CT69" s="443"/>
      <c r="CU69" s="443"/>
      <c r="CV69" s="443"/>
      <c r="CW69" s="443"/>
      <c r="CX69" s="443"/>
      <c r="CY69" s="443"/>
      <c r="CZ69" s="443"/>
      <c r="DA69" s="443"/>
      <c r="DB69" s="443"/>
      <c r="DC69" s="443"/>
      <c r="DD69" s="443"/>
      <c r="DE69" s="443"/>
      <c r="DF69" s="443"/>
      <c r="DG69" s="443"/>
      <c r="DH69" s="443"/>
      <c r="DI69" s="443"/>
      <c r="DJ69" s="443"/>
      <c r="DK69" s="443"/>
      <c r="DL69" s="443"/>
      <c r="DM69" s="443"/>
      <c r="DN69" s="443"/>
      <c r="DO69" s="443"/>
      <c r="DP69" s="443"/>
      <c r="DQ69" s="443"/>
      <c r="DR69" s="443"/>
      <c r="DS69" s="443"/>
      <c r="DT69" s="443"/>
      <c r="DU69" s="443"/>
      <c r="DV69" s="443"/>
      <c r="DW69" s="443"/>
      <c r="DX69" s="443"/>
      <c r="DY69" s="443"/>
      <c r="DZ69" s="443"/>
      <c r="EA69" s="443"/>
      <c r="EB69" s="443"/>
      <c r="EC69" s="443"/>
      <c r="ED69" s="443"/>
      <c r="EE69" s="443"/>
      <c r="EF69" s="443"/>
      <c r="EG69" s="443"/>
      <c r="EH69" s="443"/>
      <c r="EI69" s="443"/>
      <c r="EJ69" s="443"/>
      <c r="EK69" s="443"/>
      <c r="EL69" s="443"/>
      <c r="EM69" s="443"/>
      <c r="EN69" s="443"/>
      <c r="EO69" s="443"/>
      <c r="EP69" s="443"/>
      <c r="EQ69" s="443"/>
      <c r="ER69" s="443"/>
      <c r="ES69" s="443"/>
      <c r="ET69" s="443"/>
      <c r="EU69" s="443"/>
      <c r="EV69" s="443"/>
      <c r="EW69" s="443"/>
      <c r="EX69" s="443"/>
      <c r="EY69" s="443"/>
      <c r="EZ69" s="443"/>
      <c r="FA69" s="443"/>
      <c r="FB69" s="443"/>
      <c r="FC69" s="443"/>
      <c r="FD69" s="443"/>
      <c r="FE69" s="443"/>
      <c r="FF69" s="443"/>
      <c r="FG69" s="443"/>
      <c r="FH69" s="443"/>
      <c r="FI69" s="443"/>
      <c r="FJ69" s="443"/>
      <c r="FK69" s="443"/>
      <c r="FL69" s="443"/>
      <c r="FM69" s="443"/>
      <c r="FN69" s="443"/>
      <c r="FO69" s="443"/>
      <c r="FP69" s="443"/>
      <c r="FQ69" s="443"/>
      <c r="FR69" s="443"/>
      <c r="FS69" s="443"/>
      <c r="FT69" s="443"/>
      <c r="FU69" s="443"/>
      <c r="FV69" s="443"/>
      <c r="FW69" s="443"/>
      <c r="FX69" s="443"/>
      <c r="FY69" s="443"/>
      <c r="FZ69" s="443"/>
      <c r="GA69" s="443"/>
      <c r="GB69" s="443"/>
      <c r="GC69" s="443"/>
      <c r="GD69" s="443"/>
      <c r="GE69" s="443"/>
      <c r="GF69" s="443"/>
      <c r="GG69" s="443"/>
      <c r="GH69" s="443"/>
      <c r="GI69" s="443"/>
      <c r="GJ69" s="443"/>
      <c r="GK69" s="443"/>
      <c r="GL69" s="443"/>
      <c r="GM69" s="443"/>
      <c r="GN69" s="443"/>
      <c r="GO69" s="443"/>
      <c r="GP69" s="443"/>
      <c r="GQ69" s="443"/>
      <c r="GR69" s="443"/>
      <c r="GS69" s="443"/>
      <c r="GT69" s="443"/>
      <c r="GU69" s="443"/>
      <c r="GV69" s="443"/>
      <c r="GW69" s="443"/>
      <c r="GX69" s="443"/>
      <c r="GY69" s="443"/>
      <c r="GZ69" s="443"/>
      <c r="HA69" s="443"/>
      <c r="HB69" s="443"/>
      <c r="HC69" s="443"/>
      <c r="HD69" s="443"/>
      <c r="HE69" s="443"/>
      <c r="HF69" s="443"/>
      <c r="HG69" s="443"/>
      <c r="HH69" s="443"/>
      <c r="HI69" s="443"/>
      <c r="HJ69" s="443"/>
      <c r="HK69" s="443"/>
      <c r="HL69" s="443"/>
      <c r="HM69" s="443"/>
      <c r="HN69" s="443"/>
      <c r="HO69" s="443"/>
      <c r="HP69" s="443"/>
      <c r="HQ69" s="443"/>
      <c r="HR69" s="443"/>
      <c r="HS69" s="443"/>
      <c r="HT69" s="443"/>
      <c r="HU69" s="443"/>
      <c r="HV69" s="443"/>
      <c r="HW69" s="443"/>
      <c r="HX69" s="443"/>
      <c r="HY69" s="443"/>
      <c r="HZ69" s="443"/>
      <c r="IA69" s="443"/>
      <c r="IB69" s="443"/>
      <c r="IC69" s="443"/>
      <c r="ID69" s="443"/>
      <c r="IE69" s="443"/>
      <c r="IF69" s="443"/>
      <c r="IG69" s="443"/>
      <c r="IH69" s="443"/>
      <c r="II69" s="443"/>
      <c r="IJ69" s="443"/>
      <c r="IK69" s="443"/>
      <c r="IL69" s="443"/>
      <c r="IM69" s="443"/>
      <c r="IN69" s="443"/>
      <c r="IO69" s="443"/>
      <c r="IP69" s="443"/>
      <c r="IQ69" s="443"/>
      <c r="IR69" s="443"/>
      <c r="IS69" s="443"/>
      <c r="IT69" s="443"/>
      <c r="IU69" s="443"/>
      <c r="IV69" s="443"/>
      <c r="IW69" s="443"/>
      <c r="IX69" s="443"/>
      <c r="IY69" s="443"/>
      <c r="IZ69" s="443"/>
      <c r="JA69" s="443"/>
      <c r="JB69" s="443"/>
      <c r="JC69" s="443"/>
      <c r="JD69" s="443"/>
      <c r="JE69" s="443"/>
      <c r="JF69" s="443"/>
      <c r="JG69" s="443"/>
      <c r="JH69" s="443"/>
      <c r="JI69" s="443"/>
      <c r="JJ69" s="443"/>
      <c r="JK69" s="443"/>
      <c r="JL69" s="443"/>
      <c r="JM69" s="443"/>
      <c r="JN69" s="443"/>
      <c r="JO69" s="443"/>
      <c r="JP69" s="443"/>
      <c r="JQ69" s="443"/>
      <c r="JR69" s="443"/>
      <c r="JS69" s="443"/>
      <c r="JT69" s="443"/>
      <c r="JU69" s="443"/>
      <c r="JV69" s="443"/>
      <c r="JW69" s="443"/>
      <c r="JX69" s="443"/>
      <c r="JY69" s="443"/>
      <c r="JZ69" s="443"/>
      <c r="KA69" s="443"/>
      <c r="KB69" s="443"/>
      <c r="KC69" s="443"/>
      <c r="KD69" s="443"/>
      <c r="KE69" s="443"/>
      <c r="KF69" s="443"/>
      <c r="KG69" s="443"/>
      <c r="KH69" s="443"/>
      <c r="KI69" s="443"/>
      <c r="KJ69" s="443"/>
      <c r="KK69" s="443"/>
      <c r="KL69" s="443"/>
      <c r="KM69" s="443"/>
      <c r="KN69" s="443"/>
      <c r="KO69" s="443"/>
      <c r="KP69" s="443"/>
      <c r="KQ69" s="443"/>
      <c r="KR69" s="443"/>
      <c r="KS69" s="443"/>
      <c r="KT69" s="443"/>
      <c r="KU69" s="443"/>
      <c r="KV69" s="443"/>
      <c r="KW69" s="443"/>
      <c r="KX69" s="443"/>
      <c r="KY69" s="443"/>
      <c r="KZ69" s="443"/>
      <c r="LA69" s="443"/>
      <c r="LB69" s="443"/>
      <c r="LC69" s="443"/>
      <c r="LD69" s="443"/>
      <c r="LE69" s="443"/>
      <c r="LF69" s="443"/>
      <c r="LG69" s="443"/>
      <c r="LH69" s="443"/>
      <c r="LI69" s="443"/>
      <c r="LJ69" s="443"/>
      <c r="LK69" s="443"/>
      <c r="LL69" s="443"/>
      <c r="LM69" s="443"/>
      <c r="LN69" s="443"/>
      <c r="LO69" s="443"/>
      <c r="LP69" s="443"/>
      <c r="LQ69" s="443"/>
      <c r="LR69" s="443"/>
      <c r="LS69" s="443"/>
      <c r="LT69" s="443"/>
      <c r="LU69" s="443"/>
      <c r="LV69" s="443"/>
      <c r="LW69" s="443"/>
      <c r="LX69" s="443"/>
      <c r="LY69" s="443"/>
      <c r="LZ69" s="443"/>
      <c r="MA69" s="443"/>
      <c r="MB69" s="443"/>
      <c r="MC69" s="443"/>
      <c r="MD69" s="443"/>
      <c r="ME69" s="443"/>
      <c r="MF69" s="443"/>
      <c r="MG69" s="443"/>
      <c r="MH69" s="443"/>
      <c r="MI69" s="443"/>
      <c r="MJ69" s="443"/>
      <c r="MK69" s="443"/>
      <c r="ML69" s="443"/>
      <c r="MM69" s="443"/>
      <c r="MN69" s="443"/>
      <c r="MO69" s="443"/>
      <c r="MP69" s="443"/>
      <c r="MQ69" s="443"/>
      <c r="MR69" s="443"/>
      <c r="MS69" s="443"/>
      <c r="MT69" s="443"/>
      <c r="MU69" s="443"/>
      <c r="MV69" s="443"/>
      <c r="MW69" s="443"/>
      <c r="MX69" s="443"/>
      <c r="MY69" s="443"/>
      <c r="MZ69" s="443"/>
      <c r="NA69" s="443"/>
      <c r="NB69" s="443"/>
      <c r="NC69" s="443"/>
      <c r="ND69" s="443"/>
      <c r="NE69" s="443"/>
      <c r="NF69" s="443"/>
      <c r="NG69" s="443"/>
      <c r="NH69" s="443"/>
      <c r="NI69" s="443"/>
      <c r="NJ69" s="443"/>
      <c r="NK69" s="443"/>
      <c r="NL69" s="443"/>
      <c r="NM69" s="443"/>
      <c r="NN69" s="443"/>
      <c r="NO69" s="443"/>
      <c r="NP69" s="443"/>
      <c r="NQ69" s="443"/>
      <c r="NR69" s="443"/>
      <c r="NS69" s="443"/>
      <c r="NT69" s="443"/>
      <c r="NU69" s="443"/>
      <c r="NV69" s="443"/>
      <c r="NW69" s="443"/>
      <c r="NX69" s="443"/>
      <c r="NY69" s="443"/>
      <c r="NZ69" s="443"/>
      <c r="OA69" s="443"/>
      <c r="OB69" s="443"/>
      <c r="OC69" s="443"/>
      <c r="OD69" s="443"/>
      <c r="OE69" s="443"/>
      <c r="OF69" s="443"/>
      <c r="OG69" s="443"/>
      <c r="OH69" s="443"/>
      <c r="OI69" s="443"/>
      <c r="OJ69" s="443"/>
      <c r="OK69" s="443"/>
      <c r="OL69" s="443"/>
      <c r="OM69" s="443"/>
      <c r="ON69" s="443"/>
      <c r="OO69" s="443"/>
      <c r="OP69" s="443"/>
      <c r="OQ69" s="443"/>
      <c r="OR69" s="443"/>
      <c r="OS69" s="443"/>
      <c r="OT69" s="443"/>
      <c r="OU69" s="443"/>
      <c r="OV69" s="443"/>
      <c r="OW69" s="443"/>
      <c r="OX69" s="443"/>
      <c r="OY69" s="443"/>
      <c r="OZ69" s="443"/>
      <c r="PA69" s="443"/>
      <c r="PB69" s="443"/>
      <c r="PC69" s="443"/>
      <c r="PD69" s="443"/>
      <c r="PE69" s="443"/>
      <c r="PF69" s="443"/>
      <c r="PG69" s="443"/>
      <c r="PH69" s="443"/>
      <c r="PI69" s="443"/>
      <c r="PJ69" s="443"/>
      <c r="PK69" s="443"/>
      <c r="PL69" s="443"/>
      <c r="PM69" s="443"/>
      <c r="PN69" s="443"/>
      <c r="PO69" s="443"/>
      <c r="PP69" s="443"/>
      <c r="PQ69" s="443"/>
      <c r="PR69" s="443"/>
      <c r="PS69" s="443"/>
      <c r="PT69" s="443"/>
      <c r="PU69" s="443"/>
      <c r="PV69" s="443"/>
      <c r="PW69" s="443"/>
      <c r="PX69" s="443"/>
      <c r="PY69" s="443"/>
      <c r="PZ69" s="443"/>
      <c r="QA69" s="443"/>
      <c r="QB69" s="443"/>
      <c r="QC69" s="443"/>
      <c r="QD69" s="443"/>
      <c r="QE69" s="443"/>
      <c r="QF69" s="443"/>
      <c r="QG69" s="443"/>
      <c r="QH69" s="443"/>
      <c r="QI69" s="443"/>
      <c r="QJ69" s="443"/>
      <c r="QK69" s="443"/>
      <c r="QL69" s="443"/>
      <c r="QM69" s="443"/>
      <c r="QN69" s="443"/>
      <c r="QO69" s="443"/>
      <c r="QP69" s="443"/>
      <c r="QQ69" s="443"/>
      <c r="QR69" s="443"/>
      <c r="QS69" s="443"/>
      <c r="QT69" s="443"/>
      <c r="QU69" s="443"/>
      <c r="QV69" s="443"/>
      <c r="QW69" s="443"/>
      <c r="QX69" s="443"/>
      <c r="QY69" s="443"/>
      <c r="QZ69" s="443"/>
      <c r="RA69" s="443"/>
      <c r="RB69" s="443"/>
      <c r="RC69" s="443"/>
      <c r="RD69" s="443"/>
      <c r="RE69" s="443"/>
      <c r="RF69" s="443"/>
      <c r="RG69" s="443"/>
      <c r="RH69" s="443"/>
      <c r="RI69" s="443"/>
      <c r="RJ69" s="443"/>
      <c r="RK69" s="443"/>
      <c r="RL69" s="443"/>
      <c r="RM69" s="443"/>
      <c r="RN69" s="443"/>
      <c r="RO69" s="443"/>
      <c r="RP69" s="443"/>
      <c r="RQ69" s="443"/>
      <c r="RR69" s="443"/>
      <c r="RS69" s="443"/>
      <c r="RT69" s="443"/>
      <c r="RU69" s="443"/>
      <c r="RV69" s="443"/>
      <c r="RW69" s="443"/>
      <c r="RX69" s="443"/>
      <c r="RY69" s="443"/>
      <c r="RZ69" s="443"/>
      <c r="SA69" s="443"/>
      <c r="SB69" s="443"/>
      <c r="SC69" s="443"/>
      <c r="SD69" s="443"/>
      <c r="SE69" s="443"/>
      <c r="SF69" s="443"/>
      <c r="SG69" s="443"/>
      <c r="SH69" s="443"/>
      <c r="SI69" s="443"/>
      <c r="SJ69" s="443"/>
      <c r="SK69" s="443"/>
      <c r="SL69" s="443"/>
      <c r="SM69" s="443"/>
      <c r="SN69" s="443"/>
      <c r="SO69" s="443"/>
      <c r="SP69" s="443"/>
      <c r="SQ69" s="443"/>
      <c r="SR69" s="443"/>
      <c r="SS69" s="443"/>
      <c r="ST69" s="443"/>
      <c r="SU69" s="443"/>
      <c r="SV69" s="443"/>
      <c r="SW69" s="443"/>
      <c r="SX69" s="443"/>
      <c r="SY69" s="443"/>
      <c r="SZ69" s="443"/>
      <c r="TA69" s="443"/>
      <c r="TB69" s="443"/>
      <c r="TC69" s="443"/>
      <c r="TD69" s="443"/>
      <c r="TE69" s="443"/>
      <c r="TF69" s="443"/>
      <c r="TG69" s="443"/>
      <c r="TH69" s="443"/>
      <c r="TI69" s="443"/>
      <c r="TJ69" s="443"/>
      <c r="TK69" s="443"/>
      <c r="TL69" s="443"/>
      <c r="TM69" s="443"/>
      <c r="TN69" s="443"/>
      <c r="TO69" s="443"/>
      <c r="TP69" s="443"/>
      <c r="TQ69" s="443"/>
      <c r="TR69" s="443"/>
      <c r="TS69" s="443"/>
      <c r="TT69" s="443"/>
      <c r="TU69" s="443"/>
      <c r="TV69" s="443"/>
      <c r="TW69" s="443"/>
      <c r="TX69" s="443"/>
      <c r="TY69" s="443"/>
      <c r="TZ69" s="443"/>
      <c r="UA69" s="443"/>
      <c r="UB69" s="443"/>
      <c r="UC69" s="443"/>
      <c r="UD69" s="443"/>
      <c r="UE69" s="443"/>
      <c r="UF69" s="443"/>
      <c r="UG69" s="443"/>
      <c r="UH69" s="443"/>
      <c r="UI69" s="443"/>
      <c r="UJ69" s="443"/>
      <c r="UK69" s="443"/>
      <c r="UL69" s="443"/>
      <c r="UM69" s="443"/>
      <c r="UN69" s="443"/>
      <c r="UO69" s="443"/>
      <c r="UP69" s="443"/>
      <c r="UQ69" s="443"/>
      <c r="UR69" s="443"/>
      <c r="US69" s="443"/>
      <c r="UT69" s="443"/>
      <c r="UU69" s="443"/>
      <c r="UV69" s="443"/>
      <c r="UW69" s="443"/>
      <c r="UX69" s="443"/>
      <c r="UY69" s="443"/>
      <c r="UZ69" s="443"/>
      <c r="VA69" s="443"/>
      <c r="VB69" s="443"/>
      <c r="VC69" s="443"/>
      <c r="VD69" s="443"/>
      <c r="VE69" s="443"/>
      <c r="VF69" s="443"/>
      <c r="VG69" s="443"/>
      <c r="VH69" s="443"/>
      <c r="VI69" s="443"/>
      <c r="VJ69" s="443"/>
      <c r="VK69" s="443"/>
      <c r="VL69" s="443"/>
      <c r="VM69" s="443"/>
      <c r="VN69" s="443"/>
      <c r="VO69" s="443"/>
      <c r="VP69" s="443"/>
      <c r="VQ69" s="443"/>
      <c r="VR69" s="443"/>
      <c r="VS69" s="443"/>
      <c r="VT69" s="443"/>
      <c r="VU69" s="443"/>
      <c r="VV69" s="443"/>
      <c r="VW69" s="443"/>
      <c r="VX69" s="443"/>
      <c r="VY69" s="443"/>
      <c r="VZ69" s="443"/>
      <c r="WA69" s="443"/>
      <c r="WB69" s="443"/>
      <c r="WC69" s="443"/>
      <c r="WD69" s="443"/>
      <c r="WE69" s="443"/>
      <c r="WF69" s="443"/>
      <c r="WG69" s="443"/>
      <c r="WH69" s="443"/>
      <c r="WI69" s="443"/>
      <c r="WJ69" s="443"/>
      <c r="WK69" s="443"/>
      <c r="WL69" s="443"/>
      <c r="WM69" s="443"/>
      <c r="WN69" s="443"/>
      <c r="WO69" s="443"/>
      <c r="WP69" s="443"/>
      <c r="WQ69" s="443"/>
      <c r="WR69" s="443"/>
      <c r="WS69" s="443"/>
      <c r="WT69" s="443"/>
      <c r="WU69" s="443"/>
      <c r="WV69" s="443"/>
      <c r="WW69" s="443"/>
      <c r="WX69" s="443"/>
      <c r="WY69" s="443"/>
      <c r="WZ69" s="443"/>
      <c r="XA69" s="443"/>
      <c r="XB69" s="443"/>
      <c r="XC69" s="443"/>
      <c r="XD69" s="443"/>
      <c r="XE69" s="443"/>
      <c r="XF69" s="443"/>
      <c r="XG69" s="443"/>
      <c r="XH69" s="443"/>
      <c r="XI69" s="443"/>
      <c r="XJ69" s="443"/>
      <c r="XK69" s="443"/>
      <c r="XL69" s="443"/>
      <c r="XM69" s="443"/>
      <c r="XN69" s="443"/>
      <c r="XO69" s="443"/>
      <c r="XP69" s="443"/>
      <c r="XQ69" s="443"/>
      <c r="XR69" s="443"/>
      <c r="XS69" s="443"/>
      <c r="XT69" s="443"/>
      <c r="XU69" s="443"/>
      <c r="XV69" s="443"/>
      <c r="XW69" s="443"/>
      <c r="XX69" s="443"/>
      <c r="XY69" s="443"/>
      <c r="XZ69" s="443"/>
      <c r="YA69" s="443"/>
      <c r="YB69" s="443"/>
      <c r="YC69" s="443"/>
      <c r="YD69" s="443"/>
      <c r="YE69" s="443"/>
      <c r="YF69" s="443"/>
      <c r="YG69" s="443"/>
      <c r="YH69" s="443"/>
      <c r="YI69" s="443"/>
      <c r="YJ69" s="443"/>
      <c r="YK69" s="443"/>
      <c r="YL69" s="443"/>
      <c r="YM69" s="443"/>
      <c r="YN69" s="443"/>
      <c r="YO69" s="443"/>
      <c r="YP69" s="443"/>
      <c r="YQ69" s="443"/>
      <c r="YR69" s="443"/>
      <c r="YS69" s="443"/>
      <c r="YT69" s="443"/>
      <c r="YU69" s="443"/>
      <c r="YV69" s="443"/>
      <c r="YW69" s="443"/>
      <c r="YX69" s="443"/>
      <c r="YY69" s="443"/>
      <c r="YZ69" s="443"/>
      <c r="ZA69" s="443"/>
      <c r="ZB69" s="443"/>
      <c r="ZC69" s="443"/>
      <c r="ZD69" s="443"/>
      <c r="ZE69" s="443"/>
      <c r="ZF69" s="443"/>
      <c r="ZG69" s="443"/>
      <c r="ZH69" s="443"/>
      <c r="ZI69" s="443"/>
      <c r="ZJ69" s="443"/>
      <c r="ZK69" s="443"/>
      <c r="ZL69" s="443"/>
      <c r="ZM69" s="443"/>
      <c r="ZN69" s="443"/>
      <c r="ZO69" s="443"/>
      <c r="ZP69" s="443"/>
      <c r="ZQ69" s="443"/>
      <c r="ZR69" s="443"/>
      <c r="ZS69" s="443"/>
      <c r="ZT69" s="443"/>
      <c r="ZU69" s="443"/>
      <c r="ZV69" s="443"/>
      <c r="ZW69" s="443"/>
      <c r="ZX69" s="443"/>
      <c r="ZY69" s="443"/>
      <c r="ZZ69" s="443"/>
      <c r="AAA69" s="443"/>
      <c r="AAB69" s="443"/>
      <c r="AAC69" s="443"/>
      <c r="AAD69" s="443"/>
      <c r="AAE69" s="443"/>
      <c r="AAF69" s="443"/>
      <c r="AAG69" s="443"/>
      <c r="AAH69" s="443"/>
      <c r="AAI69" s="443"/>
      <c r="AAJ69" s="443"/>
      <c r="AAK69" s="443"/>
      <c r="AAL69" s="443"/>
      <c r="AAM69" s="443"/>
      <c r="AAN69" s="443"/>
      <c r="AAO69" s="443"/>
      <c r="AAP69" s="443"/>
      <c r="AAQ69" s="443"/>
      <c r="AAR69" s="443"/>
      <c r="AAS69" s="443"/>
      <c r="AAT69" s="443"/>
      <c r="AAU69" s="443"/>
      <c r="AAV69" s="443"/>
      <c r="AAW69" s="443"/>
      <c r="AAX69" s="443"/>
      <c r="AAY69" s="443"/>
      <c r="AAZ69" s="443"/>
      <c r="ABA69" s="443"/>
      <c r="ABB69" s="443"/>
      <c r="ABC69" s="443"/>
      <c r="ABD69" s="443"/>
      <c r="ABE69" s="443"/>
      <c r="ABF69" s="443"/>
      <c r="ABG69" s="443"/>
      <c r="ABH69" s="443"/>
      <c r="ABI69" s="443"/>
      <c r="ABJ69" s="443"/>
      <c r="ABK69" s="443"/>
      <c r="ABL69" s="443"/>
      <c r="ABM69" s="443"/>
      <c r="ABN69" s="443"/>
      <c r="ABO69" s="443"/>
      <c r="ABP69" s="443"/>
      <c r="ABQ69" s="443"/>
      <c r="ABR69" s="443"/>
      <c r="ABS69" s="443"/>
      <c r="ABT69" s="443"/>
      <c r="ABU69" s="443"/>
      <c r="ABV69" s="443"/>
      <c r="ABW69" s="443"/>
      <c r="ABX69" s="443"/>
      <c r="ABY69" s="443"/>
      <c r="ABZ69" s="443"/>
      <c r="ACA69" s="443"/>
      <c r="ACB69" s="443"/>
      <c r="ACC69" s="443"/>
      <c r="ACD69" s="443"/>
      <c r="ACE69" s="443"/>
      <c r="ACF69" s="443"/>
      <c r="ACG69" s="443"/>
      <c r="ACH69" s="443"/>
      <c r="ACI69" s="443"/>
      <c r="ACJ69" s="443"/>
      <c r="ACK69" s="443"/>
      <c r="ACL69" s="443"/>
      <c r="ACM69" s="443"/>
      <c r="ACN69" s="443"/>
      <c r="ACO69" s="443"/>
      <c r="ACP69" s="443"/>
      <c r="ACQ69" s="443"/>
      <c r="ACR69" s="443"/>
      <c r="ACS69" s="443"/>
      <c r="ACT69" s="443"/>
      <c r="ACU69" s="443"/>
      <c r="ACV69" s="443"/>
      <c r="ACW69" s="443"/>
      <c r="ACX69" s="443"/>
      <c r="ACY69" s="443"/>
      <c r="ACZ69" s="443"/>
      <c r="ADA69" s="443"/>
      <c r="ADB69" s="443"/>
      <c r="ADC69" s="443"/>
      <c r="ADD69" s="443"/>
      <c r="ADE69" s="443"/>
      <c r="ADF69" s="443"/>
      <c r="ADG69" s="443"/>
      <c r="ADH69" s="443"/>
      <c r="ADI69" s="443"/>
      <c r="ADJ69" s="443"/>
      <c r="ADK69" s="443"/>
      <c r="ADL69" s="443"/>
      <c r="ADM69" s="443"/>
      <c r="ADN69" s="443"/>
      <c r="ADO69" s="443"/>
      <c r="ADP69" s="443"/>
      <c r="ADQ69" s="443"/>
      <c r="ADR69" s="443"/>
      <c r="ADS69" s="443"/>
      <c r="ADT69" s="443"/>
      <c r="ADU69" s="443"/>
      <c r="ADV69" s="443"/>
      <c r="ADW69" s="443"/>
      <c r="ADX69" s="443"/>
      <c r="ADY69" s="443"/>
      <c r="ADZ69" s="443"/>
      <c r="AEA69" s="443"/>
      <c r="AEB69" s="443"/>
      <c r="AEC69" s="443"/>
      <c r="AED69" s="443"/>
      <c r="AEE69" s="443"/>
      <c r="AEF69" s="443"/>
      <c r="AEG69" s="443"/>
      <c r="AEH69" s="443"/>
      <c r="AEI69" s="443"/>
      <c r="AEJ69" s="443"/>
      <c r="AEK69" s="443"/>
      <c r="AEL69" s="443"/>
      <c r="AEM69" s="443"/>
      <c r="AEN69" s="443"/>
      <c r="AEO69" s="443"/>
      <c r="AEP69" s="443"/>
      <c r="AEQ69" s="443"/>
      <c r="AER69" s="443"/>
      <c r="AES69" s="443"/>
      <c r="AET69" s="443"/>
      <c r="AEU69" s="443"/>
      <c r="AEV69" s="443"/>
      <c r="AEW69" s="443"/>
      <c r="AEX69" s="443"/>
      <c r="AEY69" s="443"/>
      <c r="AEZ69" s="443"/>
      <c r="AFA69" s="443"/>
      <c r="AFB69" s="443"/>
      <c r="AFC69" s="443"/>
      <c r="AFD69" s="443"/>
      <c r="AFE69" s="443"/>
      <c r="AFF69" s="443"/>
      <c r="AFG69" s="443"/>
      <c r="AFH69" s="443"/>
      <c r="AFI69" s="443"/>
      <c r="AFJ69" s="443"/>
      <c r="AFK69" s="443"/>
      <c r="AFL69" s="443"/>
      <c r="AFM69" s="443"/>
      <c r="AFN69" s="443"/>
      <c r="AFO69" s="443"/>
      <c r="AFP69" s="443"/>
      <c r="AFQ69" s="443"/>
      <c r="AFR69" s="443"/>
      <c r="AFS69" s="443"/>
      <c r="AFT69" s="443"/>
      <c r="AFU69" s="443"/>
      <c r="AFV69" s="443"/>
      <c r="AFW69" s="443"/>
      <c r="AFX69" s="443"/>
      <c r="AFY69" s="443"/>
      <c r="AFZ69" s="443"/>
      <c r="AGA69" s="443"/>
      <c r="AGB69" s="443"/>
      <c r="AGC69" s="443"/>
      <c r="AGD69" s="443"/>
      <c r="AGE69" s="443"/>
      <c r="AGF69" s="443"/>
      <c r="AGG69" s="443"/>
      <c r="AGH69" s="443"/>
      <c r="AGI69" s="443"/>
      <c r="AGJ69" s="443"/>
    </row>
    <row r="70" spans="1:868" s="1" customFormat="1">
      <c r="A70" s="653" t="s">
        <v>127</v>
      </c>
      <c r="B70" s="800" t="s">
        <v>460</v>
      </c>
      <c r="C70" s="34" t="s">
        <v>147</v>
      </c>
      <c r="D70" s="122" t="s">
        <v>107</v>
      </c>
      <c r="E70" s="638">
        <f t="shared" si="22"/>
        <v>5.4672938670453558E-2</v>
      </c>
      <c r="F70" s="9">
        <v>1</v>
      </c>
      <c r="G70" s="9" t="s">
        <v>451</v>
      </c>
      <c r="H70" s="10">
        <v>1</v>
      </c>
      <c r="I70" s="10">
        <v>2</v>
      </c>
      <c r="J70" s="10">
        <v>2</v>
      </c>
      <c r="K70" s="10">
        <v>1</v>
      </c>
      <c r="L70" s="10">
        <v>1</v>
      </c>
      <c r="M70" s="10">
        <v>2</v>
      </c>
      <c r="N70" s="411">
        <f t="shared" si="25"/>
        <v>0.35859414261160716</v>
      </c>
      <c r="O70" s="411">
        <f t="shared" si="26"/>
        <v>0.37356464144298934</v>
      </c>
      <c r="P70" s="767"/>
      <c r="Q70" s="443"/>
      <c r="R70" s="443"/>
      <c r="S70" s="443"/>
      <c r="T70" s="443"/>
      <c r="U70" s="443"/>
      <c r="V70" s="443"/>
      <c r="W70" s="443"/>
      <c r="X70" s="443"/>
      <c r="Y70" s="443"/>
      <c r="Z70" s="443"/>
      <c r="AA70" s="443"/>
      <c r="AB70" s="443"/>
      <c r="AC70" s="443"/>
      <c r="AD70" s="443"/>
      <c r="AE70" s="443"/>
      <c r="AF70" s="443"/>
      <c r="AG70" s="443"/>
      <c r="AH70" s="443"/>
      <c r="AI70" s="443"/>
      <c r="AJ70" s="443"/>
      <c r="AK70" s="443"/>
      <c r="AL70" s="443"/>
      <c r="AM70" s="443"/>
      <c r="AN70" s="443"/>
      <c r="AO70" s="443"/>
      <c r="AP70" s="443"/>
      <c r="AQ70" s="443"/>
      <c r="AR70" s="443"/>
      <c r="AS70" s="443"/>
      <c r="AT70" s="443"/>
      <c r="AU70" s="443"/>
      <c r="AV70" s="443"/>
      <c r="AW70" s="443"/>
      <c r="AX70" s="443"/>
      <c r="AY70" s="443"/>
      <c r="AZ70" s="443"/>
      <c r="BA70" s="443"/>
      <c r="BB70" s="443"/>
      <c r="BC70" s="443"/>
      <c r="BD70" s="443"/>
      <c r="BE70" s="443"/>
      <c r="BF70" s="443"/>
      <c r="BG70" s="443"/>
      <c r="BH70" s="443"/>
      <c r="BI70" s="443"/>
      <c r="BJ70" s="443"/>
      <c r="BK70" s="443"/>
      <c r="BL70" s="443"/>
      <c r="BM70" s="443"/>
      <c r="BN70" s="443"/>
      <c r="BO70" s="443"/>
      <c r="BP70" s="443"/>
      <c r="BQ70" s="443"/>
      <c r="BR70" s="443"/>
      <c r="BS70" s="443"/>
      <c r="BT70" s="443"/>
      <c r="BU70" s="443"/>
      <c r="BV70" s="443"/>
      <c r="BW70" s="443"/>
      <c r="BX70" s="443"/>
      <c r="BY70" s="443"/>
      <c r="BZ70" s="443"/>
      <c r="CA70" s="443"/>
      <c r="CB70" s="443"/>
      <c r="CC70" s="443"/>
      <c r="CD70" s="443"/>
      <c r="CE70" s="443"/>
      <c r="CF70" s="443"/>
      <c r="CG70" s="443"/>
      <c r="CH70" s="443"/>
      <c r="CI70" s="443"/>
      <c r="CJ70" s="443"/>
      <c r="CK70" s="443"/>
      <c r="CL70" s="443"/>
      <c r="CM70" s="443"/>
      <c r="CN70" s="443"/>
      <c r="CO70" s="443"/>
      <c r="CP70" s="443"/>
      <c r="CQ70" s="443"/>
      <c r="CR70" s="443"/>
      <c r="CS70" s="443"/>
      <c r="CT70" s="443"/>
      <c r="CU70" s="443"/>
      <c r="CV70" s="443"/>
      <c r="CW70" s="443"/>
      <c r="CX70" s="443"/>
      <c r="CY70" s="443"/>
      <c r="CZ70" s="443"/>
      <c r="DA70" s="443"/>
      <c r="DB70" s="443"/>
      <c r="DC70" s="443"/>
      <c r="DD70" s="443"/>
      <c r="DE70" s="443"/>
      <c r="DF70" s="443"/>
      <c r="DG70" s="443"/>
      <c r="DH70" s="443"/>
      <c r="DI70" s="443"/>
      <c r="DJ70" s="443"/>
      <c r="DK70" s="443"/>
      <c r="DL70" s="443"/>
      <c r="DM70" s="443"/>
      <c r="DN70" s="443"/>
      <c r="DO70" s="443"/>
      <c r="DP70" s="443"/>
      <c r="DQ70" s="443"/>
      <c r="DR70" s="443"/>
      <c r="DS70" s="443"/>
      <c r="DT70" s="443"/>
      <c r="DU70" s="443"/>
      <c r="DV70" s="443"/>
      <c r="DW70" s="443"/>
      <c r="DX70" s="443"/>
      <c r="DY70" s="443"/>
      <c r="DZ70" s="443"/>
      <c r="EA70" s="443"/>
      <c r="EB70" s="443"/>
      <c r="EC70" s="443"/>
      <c r="ED70" s="443"/>
      <c r="EE70" s="443"/>
      <c r="EF70" s="443"/>
      <c r="EG70" s="443"/>
      <c r="EH70" s="443"/>
      <c r="EI70" s="443"/>
      <c r="EJ70" s="443"/>
      <c r="EK70" s="443"/>
      <c r="EL70" s="443"/>
      <c r="EM70" s="443"/>
      <c r="EN70" s="443"/>
      <c r="EO70" s="443"/>
      <c r="EP70" s="443"/>
      <c r="EQ70" s="443"/>
      <c r="ER70" s="443"/>
      <c r="ES70" s="443"/>
      <c r="ET70" s="443"/>
      <c r="EU70" s="443"/>
      <c r="EV70" s="443"/>
      <c r="EW70" s="443"/>
      <c r="EX70" s="443"/>
      <c r="EY70" s="443"/>
      <c r="EZ70" s="443"/>
      <c r="FA70" s="443"/>
      <c r="FB70" s="443"/>
      <c r="FC70" s="443"/>
      <c r="FD70" s="443"/>
      <c r="FE70" s="443"/>
      <c r="FF70" s="443"/>
      <c r="FG70" s="443"/>
      <c r="FH70" s="443"/>
      <c r="FI70" s="443"/>
      <c r="FJ70" s="443"/>
      <c r="FK70" s="443"/>
      <c r="FL70" s="443"/>
      <c r="FM70" s="443"/>
      <c r="FN70" s="443"/>
      <c r="FO70" s="443"/>
      <c r="FP70" s="443"/>
      <c r="FQ70" s="443"/>
      <c r="FR70" s="443"/>
      <c r="FS70" s="443"/>
      <c r="FT70" s="443"/>
      <c r="FU70" s="443"/>
      <c r="FV70" s="443"/>
      <c r="FW70" s="443"/>
      <c r="FX70" s="443"/>
      <c r="FY70" s="443"/>
      <c r="FZ70" s="443"/>
      <c r="GA70" s="443"/>
      <c r="GB70" s="443"/>
      <c r="GC70" s="443"/>
      <c r="GD70" s="443"/>
      <c r="GE70" s="443"/>
      <c r="GF70" s="443"/>
      <c r="GG70" s="443"/>
      <c r="GH70" s="443"/>
      <c r="GI70" s="443"/>
      <c r="GJ70" s="443"/>
      <c r="GK70" s="443"/>
      <c r="GL70" s="443"/>
      <c r="GM70" s="443"/>
      <c r="GN70" s="443"/>
      <c r="GO70" s="443"/>
      <c r="GP70" s="443"/>
      <c r="GQ70" s="443"/>
      <c r="GR70" s="443"/>
      <c r="GS70" s="443"/>
      <c r="GT70" s="443"/>
      <c r="GU70" s="443"/>
      <c r="GV70" s="443"/>
      <c r="GW70" s="443"/>
      <c r="GX70" s="443"/>
      <c r="GY70" s="443"/>
      <c r="GZ70" s="443"/>
      <c r="HA70" s="443"/>
      <c r="HB70" s="443"/>
      <c r="HC70" s="443"/>
      <c r="HD70" s="443"/>
      <c r="HE70" s="443"/>
      <c r="HF70" s="443"/>
      <c r="HG70" s="443"/>
      <c r="HH70" s="443"/>
      <c r="HI70" s="443"/>
      <c r="HJ70" s="443"/>
      <c r="HK70" s="443"/>
      <c r="HL70" s="443"/>
      <c r="HM70" s="443"/>
      <c r="HN70" s="443"/>
      <c r="HO70" s="443"/>
      <c r="HP70" s="443"/>
      <c r="HQ70" s="443"/>
      <c r="HR70" s="443"/>
      <c r="HS70" s="443"/>
      <c r="HT70" s="443"/>
      <c r="HU70" s="443"/>
      <c r="HV70" s="443"/>
      <c r="HW70" s="443"/>
      <c r="HX70" s="443"/>
      <c r="HY70" s="443"/>
      <c r="HZ70" s="443"/>
      <c r="IA70" s="443"/>
      <c r="IB70" s="443"/>
      <c r="IC70" s="443"/>
      <c r="ID70" s="443"/>
      <c r="IE70" s="443"/>
      <c r="IF70" s="443"/>
      <c r="IG70" s="443"/>
      <c r="IH70" s="443"/>
      <c r="II70" s="443"/>
      <c r="IJ70" s="443"/>
      <c r="IK70" s="443"/>
      <c r="IL70" s="443"/>
      <c r="IM70" s="443"/>
      <c r="IN70" s="443"/>
      <c r="IO70" s="443"/>
      <c r="IP70" s="443"/>
      <c r="IQ70" s="443"/>
      <c r="IR70" s="443"/>
      <c r="IS70" s="443"/>
      <c r="IT70" s="443"/>
      <c r="IU70" s="443"/>
      <c r="IV70" s="443"/>
      <c r="IW70" s="443"/>
      <c r="IX70" s="443"/>
      <c r="IY70" s="443"/>
      <c r="IZ70" s="443"/>
      <c r="JA70" s="443"/>
      <c r="JB70" s="443"/>
      <c r="JC70" s="443"/>
      <c r="JD70" s="443"/>
      <c r="JE70" s="443"/>
      <c r="JF70" s="443"/>
      <c r="JG70" s="443"/>
      <c r="JH70" s="443"/>
      <c r="JI70" s="443"/>
      <c r="JJ70" s="443"/>
      <c r="JK70" s="443"/>
      <c r="JL70" s="443"/>
      <c r="JM70" s="443"/>
      <c r="JN70" s="443"/>
      <c r="JO70" s="443"/>
      <c r="JP70" s="443"/>
      <c r="JQ70" s="443"/>
      <c r="JR70" s="443"/>
      <c r="JS70" s="443"/>
      <c r="JT70" s="443"/>
      <c r="JU70" s="443"/>
      <c r="JV70" s="443"/>
      <c r="JW70" s="443"/>
      <c r="JX70" s="443"/>
      <c r="JY70" s="443"/>
      <c r="JZ70" s="443"/>
      <c r="KA70" s="443"/>
      <c r="KB70" s="443"/>
      <c r="KC70" s="443"/>
      <c r="KD70" s="443"/>
      <c r="KE70" s="443"/>
      <c r="KF70" s="443"/>
      <c r="KG70" s="443"/>
      <c r="KH70" s="443"/>
      <c r="KI70" s="443"/>
      <c r="KJ70" s="443"/>
      <c r="KK70" s="443"/>
      <c r="KL70" s="443"/>
      <c r="KM70" s="443"/>
      <c r="KN70" s="443"/>
      <c r="KO70" s="443"/>
      <c r="KP70" s="443"/>
      <c r="KQ70" s="443"/>
      <c r="KR70" s="443"/>
      <c r="KS70" s="443"/>
      <c r="KT70" s="443"/>
      <c r="KU70" s="443"/>
      <c r="KV70" s="443"/>
      <c r="KW70" s="443"/>
      <c r="KX70" s="443"/>
      <c r="KY70" s="443"/>
      <c r="KZ70" s="443"/>
      <c r="LA70" s="443"/>
      <c r="LB70" s="443"/>
      <c r="LC70" s="443"/>
      <c r="LD70" s="443"/>
      <c r="LE70" s="443"/>
      <c r="LF70" s="443"/>
      <c r="LG70" s="443"/>
      <c r="LH70" s="443"/>
      <c r="LI70" s="443"/>
      <c r="LJ70" s="443"/>
      <c r="LK70" s="443"/>
      <c r="LL70" s="443"/>
      <c r="LM70" s="443"/>
      <c r="LN70" s="443"/>
      <c r="LO70" s="443"/>
      <c r="LP70" s="443"/>
      <c r="LQ70" s="443"/>
      <c r="LR70" s="443"/>
      <c r="LS70" s="443"/>
      <c r="LT70" s="443"/>
      <c r="LU70" s="443"/>
      <c r="LV70" s="443"/>
      <c r="LW70" s="443"/>
      <c r="LX70" s="443"/>
      <c r="LY70" s="443"/>
      <c r="LZ70" s="443"/>
      <c r="MA70" s="443"/>
      <c r="MB70" s="443"/>
      <c r="MC70" s="443"/>
      <c r="MD70" s="443"/>
      <c r="ME70" s="443"/>
      <c r="MF70" s="443"/>
      <c r="MG70" s="443"/>
      <c r="MH70" s="443"/>
      <c r="MI70" s="443"/>
      <c r="MJ70" s="443"/>
      <c r="MK70" s="443"/>
      <c r="ML70" s="443"/>
      <c r="MM70" s="443"/>
      <c r="MN70" s="443"/>
      <c r="MO70" s="443"/>
      <c r="MP70" s="443"/>
      <c r="MQ70" s="443"/>
      <c r="MR70" s="443"/>
      <c r="MS70" s="443"/>
      <c r="MT70" s="443"/>
      <c r="MU70" s="443"/>
      <c r="MV70" s="443"/>
      <c r="MW70" s="443"/>
      <c r="MX70" s="443"/>
      <c r="MY70" s="443"/>
      <c r="MZ70" s="443"/>
      <c r="NA70" s="443"/>
      <c r="NB70" s="443"/>
      <c r="NC70" s="443"/>
      <c r="ND70" s="443"/>
      <c r="NE70" s="443"/>
      <c r="NF70" s="443"/>
      <c r="NG70" s="443"/>
      <c r="NH70" s="443"/>
      <c r="NI70" s="443"/>
      <c r="NJ70" s="443"/>
      <c r="NK70" s="443"/>
      <c r="NL70" s="443"/>
      <c r="NM70" s="443"/>
      <c r="NN70" s="443"/>
      <c r="NO70" s="443"/>
      <c r="NP70" s="443"/>
      <c r="NQ70" s="443"/>
      <c r="NR70" s="443"/>
      <c r="NS70" s="443"/>
      <c r="NT70" s="443"/>
      <c r="NU70" s="443"/>
      <c r="NV70" s="443"/>
      <c r="NW70" s="443"/>
      <c r="NX70" s="443"/>
      <c r="NY70" s="443"/>
      <c r="NZ70" s="443"/>
      <c r="OA70" s="443"/>
      <c r="OB70" s="443"/>
      <c r="OC70" s="443"/>
      <c r="OD70" s="443"/>
      <c r="OE70" s="443"/>
      <c r="OF70" s="443"/>
      <c r="OG70" s="443"/>
      <c r="OH70" s="443"/>
      <c r="OI70" s="443"/>
      <c r="OJ70" s="443"/>
      <c r="OK70" s="443"/>
      <c r="OL70" s="443"/>
      <c r="OM70" s="443"/>
      <c r="ON70" s="443"/>
      <c r="OO70" s="443"/>
      <c r="OP70" s="443"/>
      <c r="OQ70" s="443"/>
      <c r="OR70" s="443"/>
      <c r="OS70" s="443"/>
      <c r="OT70" s="443"/>
      <c r="OU70" s="443"/>
      <c r="OV70" s="443"/>
      <c r="OW70" s="443"/>
      <c r="OX70" s="443"/>
      <c r="OY70" s="443"/>
      <c r="OZ70" s="443"/>
      <c r="PA70" s="443"/>
      <c r="PB70" s="443"/>
      <c r="PC70" s="443"/>
      <c r="PD70" s="443"/>
      <c r="PE70" s="443"/>
      <c r="PF70" s="443"/>
      <c r="PG70" s="443"/>
      <c r="PH70" s="443"/>
      <c r="PI70" s="443"/>
      <c r="PJ70" s="443"/>
      <c r="PK70" s="443"/>
      <c r="PL70" s="443"/>
      <c r="PM70" s="443"/>
      <c r="PN70" s="443"/>
      <c r="PO70" s="443"/>
      <c r="PP70" s="443"/>
      <c r="PQ70" s="443"/>
      <c r="PR70" s="443"/>
      <c r="PS70" s="443"/>
      <c r="PT70" s="443"/>
      <c r="PU70" s="443"/>
      <c r="PV70" s="443"/>
      <c r="PW70" s="443"/>
      <c r="PX70" s="443"/>
      <c r="PY70" s="443"/>
      <c r="PZ70" s="443"/>
      <c r="QA70" s="443"/>
      <c r="QB70" s="443"/>
      <c r="QC70" s="443"/>
      <c r="QD70" s="443"/>
      <c r="QE70" s="443"/>
      <c r="QF70" s="443"/>
      <c r="QG70" s="443"/>
      <c r="QH70" s="443"/>
      <c r="QI70" s="443"/>
      <c r="QJ70" s="443"/>
      <c r="QK70" s="443"/>
      <c r="QL70" s="443"/>
      <c r="QM70" s="443"/>
      <c r="QN70" s="443"/>
      <c r="QO70" s="443"/>
      <c r="QP70" s="443"/>
      <c r="QQ70" s="443"/>
      <c r="QR70" s="443"/>
      <c r="QS70" s="443"/>
      <c r="QT70" s="443"/>
      <c r="QU70" s="443"/>
      <c r="QV70" s="443"/>
      <c r="QW70" s="443"/>
      <c r="QX70" s="443"/>
      <c r="QY70" s="443"/>
      <c r="QZ70" s="443"/>
      <c r="RA70" s="443"/>
      <c r="RB70" s="443"/>
      <c r="RC70" s="443"/>
      <c r="RD70" s="443"/>
      <c r="RE70" s="443"/>
      <c r="RF70" s="443"/>
      <c r="RG70" s="443"/>
      <c r="RH70" s="443"/>
      <c r="RI70" s="443"/>
      <c r="RJ70" s="443"/>
      <c r="RK70" s="443"/>
      <c r="RL70" s="443"/>
      <c r="RM70" s="443"/>
      <c r="RN70" s="443"/>
      <c r="RO70" s="443"/>
      <c r="RP70" s="443"/>
      <c r="RQ70" s="443"/>
      <c r="RR70" s="443"/>
      <c r="RS70" s="443"/>
      <c r="RT70" s="443"/>
      <c r="RU70" s="443"/>
      <c r="RV70" s="443"/>
      <c r="RW70" s="443"/>
      <c r="RX70" s="443"/>
      <c r="RY70" s="443"/>
      <c r="RZ70" s="443"/>
      <c r="SA70" s="443"/>
      <c r="SB70" s="443"/>
      <c r="SC70" s="443"/>
      <c r="SD70" s="443"/>
      <c r="SE70" s="443"/>
      <c r="SF70" s="443"/>
      <c r="SG70" s="443"/>
      <c r="SH70" s="443"/>
      <c r="SI70" s="443"/>
      <c r="SJ70" s="443"/>
      <c r="SK70" s="443"/>
      <c r="SL70" s="443"/>
      <c r="SM70" s="443"/>
      <c r="SN70" s="443"/>
      <c r="SO70" s="443"/>
      <c r="SP70" s="443"/>
      <c r="SQ70" s="443"/>
      <c r="SR70" s="443"/>
      <c r="SS70" s="443"/>
      <c r="ST70" s="443"/>
      <c r="SU70" s="443"/>
      <c r="SV70" s="443"/>
      <c r="SW70" s="443"/>
      <c r="SX70" s="443"/>
      <c r="SY70" s="443"/>
      <c r="SZ70" s="443"/>
      <c r="TA70" s="443"/>
      <c r="TB70" s="443"/>
      <c r="TC70" s="443"/>
      <c r="TD70" s="443"/>
      <c r="TE70" s="443"/>
      <c r="TF70" s="443"/>
      <c r="TG70" s="443"/>
      <c r="TH70" s="443"/>
      <c r="TI70" s="443"/>
      <c r="TJ70" s="443"/>
      <c r="TK70" s="443"/>
      <c r="TL70" s="443"/>
      <c r="TM70" s="443"/>
      <c r="TN70" s="443"/>
      <c r="TO70" s="443"/>
      <c r="TP70" s="443"/>
      <c r="TQ70" s="443"/>
      <c r="TR70" s="443"/>
      <c r="TS70" s="443"/>
      <c r="TT70" s="443"/>
      <c r="TU70" s="443"/>
      <c r="TV70" s="443"/>
      <c r="TW70" s="443"/>
      <c r="TX70" s="443"/>
      <c r="TY70" s="443"/>
      <c r="TZ70" s="443"/>
      <c r="UA70" s="443"/>
      <c r="UB70" s="443"/>
      <c r="UC70" s="443"/>
      <c r="UD70" s="443"/>
      <c r="UE70" s="443"/>
      <c r="UF70" s="443"/>
      <c r="UG70" s="443"/>
      <c r="UH70" s="443"/>
      <c r="UI70" s="443"/>
      <c r="UJ70" s="443"/>
      <c r="UK70" s="443"/>
      <c r="UL70" s="443"/>
      <c r="UM70" s="443"/>
      <c r="UN70" s="443"/>
      <c r="UO70" s="443"/>
      <c r="UP70" s="443"/>
      <c r="UQ70" s="443"/>
      <c r="UR70" s="443"/>
      <c r="US70" s="443"/>
      <c r="UT70" s="443"/>
      <c r="UU70" s="443"/>
      <c r="UV70" s="443"/>
      <c r="UW70" s="443"/>
      <c r="UX70" s="443"/>
      <c r="UY70" s="443"/>
      <c r="UZ70" s="443"/>
      <c r="VA70" s="443"/>
      <c r="VB70" s="443"/>
      <c r="VC70" s="443"/>
      <c r="VD70" s="443"/>
      <c r="VE70" s="443"/>
      <c r="VF70" s="443"/>
      <c r="VG70" s="443"/>
      <c r="VH70" s="443"/>
      <c r="VI70" s="443"/>
      <c r="VJ70" s="443"/>
      <c r="VK70" s="443"/>
      <c r="VL70" s="443"/>
      <c r="VM70" s="443"/>
      <c r="VN70" s="443"/>
      <c r="VO70" s="443"/>
      <c r="VP70" s="443"/>
      <c r="VQ70" s="443"/>
      <c r="VR70" s="443"/>
      <c r="VS70" s="443"/>
      <c r="VT70" s="443"/>
      <c r="VU70" s="443"/>
      <c r="VV70" s="443"/>
      <c r="VW70" s="443"/>
      <c r="VX70" s="443"/>
      <c r="VY70" s="443"/>
      <c r="VZ70" s="443"/>
      <c r="WA70" s="443"/>
      <c r="WB70" s="443"/>
      <c r="WC70" s="443"/>
      <c r="WD70" s="443"/>
      <c r="WE70" s="443"/>
      <c r="WF70" s="443"/>
      <c r="WG70" s="443"/>
      <c r="WH70" s="443"/>
      <c r="WI70" s="443"/>
      <c r="WJ70" s="443"/>
      <c r="WK70" s="443"/>
      <c r="WL70" s="443"/>
      <c r="WM70" s="443"/>
      <c r="WN70" s="443"/>
      <c r="WO70" s="443"/>
      <c r="WP70" s="443"/>
      <c r="WQ70" s="443"/>
      <c r="WR70" s="443"/>
      <c r="WS70" s="443"/>
      <c r="WT70" s="443"/>
      <c r="WU70" s="443"/>
      <c r="WV70" s="443"/>
      <c r="WW70" s="443"/>
      <c r="WX70" s="443"/>
      <c r="WY70" s="443"/>
      <c r="WZ70" s="443"/>
      <c r="XA70" s="443"/>
      <c r="XB70" s="443"/>
      <c r="XC70" s="443"/>
      <c r="XD70" s="443"/>
      <c r="XE70" s="443"/>
      <c r="XF70" s="443"/>
      <c r="XG70" s="443"/>
      <c r="XH70" s="443"/>
      <c r="XI70" s="443"/>
      <c r="XJ70" s="443"/>
      <c r="XK70" s="443"/>
      <c r="XL70" s="443"/>
      <c r="XM70" s="443"/>
      <c r="XN70" s="443"/>
      <c r="XO70" s="443"/>
      <c r="XP70" s="443"/>
      <c r="XQ70" s="443"/>
      <c r="XR70" s="443"/>
      <c r="XS70" s="443"/>
      <c r="XT70" s="443"/>
      <c r="XU70" s="443"/>
      <c r="XV70" s="443"/>
      <c r="XW70" s="443"/>
      <c r="XX70" s="443"/>
      <c r="XY70" s="443"/>
      <c r="XZ70" s="443"/>
      <c r="YA70" s="443"/>
      <c r="YB70" s="443"/>
      <c r="YC70" s="443"/>
      <c r="YD70" s="443"/>
      <c r="YE70" s="443"/>
      <c r="YF70" s="443"/>
      <c r="YG70" s="443"/>
      <c r="YH70" s="443"/>
      <c r="YI70" s="443"/>
      <c r="YJ70" s="443"/>
      <c r="YK70" s="443"/>
      <c r="YL70" s="443"/>
      <c r="YM70" s="443"/>
      <c r="YN70" s="443"/>
      <c r="YO70" s="443"/>
      <c r="YP70" s="443"/>
      <c r="YQ70" s="443"/>
      <c r="YR70" s="443"/>
      <c r="YS70" s="443"/>
      <c r="YT70" s="443"/>
      <c r="YU70" s="443"/>
      <c r="YV70" s="443"/>
      <c r="YW70" s="443"/>
      <c r="YX70" s="443"/>
      <c r="YY70" s="443"/>
      <c r="YZ70" s="443"/>
      <c r="ZA70" s="443"/>
      <c r="ZB70" s="443"/>
      <c r="ZC70" s="443"/>
      <c r="ZD70" s="443"/>
      <c r="ZE70" s="443"/>
      <c r="ZF70" s="443"/>
      <c r="ZG70" s="443"/>
      <c r="ZH70" s="443"/>
      <c r="ZI70" s="443"/>
      <c r="ZJ70" s="443"/>
      <c r="ZK70" s="443"/>
      <c r="ZL70" s="443"/>
      <c r="ZM70" s="443"/>
      <c r="ZN70" s="443"/>
      <c r="ZO70" s="443"/>
      <c r="ZP70" s="443"/>
      <c r="ZQ70" s="443"/>
      <c r="ZR70" s="443"/>
      <c r="ZS70" s="443"/>
      <c r="ZT70" s="443"/>
      <c r="ZU70" s="443"/>
      <c r="ZV70" s="443"/>
      <c r="ZW70" s="443"/>
      <c r="ZX70" s="443"/>
      <c r="ZY70" s="443"/>
      <c r="ZZ70" s="443"/>
      <c r="AAA70" s="443"/>
      <c r="AAB70" s="443"/>
      <c r="AAC70" s="443"/>
      <c r="AAD70" s="443"/>
      <c r="AAE70" s="443"/>
      <c r="AAF70" s="443"/>
      <c r="AAG70" s="443"/>
      <c r="AAH70" s="443"/>
      <c r="AAI70" s="443"/>
      <c r="AAJ70" s="443"/>
      <c r="AAK70" s="443"/>
      <c r="AAL70" s="443"/>
      <c r="AAM70" s="443"/>
      <c r="AAN70" s="443"/>
      <c r="AAO70" s="443"/>
      <c r="AAP70" s="443"/>
      <c r="AAQ70" s="443"/>
      <c r="AAR70" s="443"/>
      <c r="AAS70" s="443"/>
      <c r="AAT70" s="443"/>
      <c r="AAU70" s="443"/>
      <c r="AAV70" s="443"/>
      <c r="AAW70" s="443"/>
      <c r="AAX70" s="443"/>
      <c r="AAY70" s="443"/>
      <c r="AAZ70" s="443"/>
      <c r="ABA70" s="443"/>
      <c r="ABB70" s="443"/>
      <c r="ABC70" s="443"/>
      <c r="ABD70" s="443"/>
      <c r="ABE70" s="443"/>
      <c r="ABF70" s="443"/>
      <c r="ABG70" s="443"/>
      <c r="ABH70" s="443"/>
      <c r="ABI70" s="443"/>
      <c r="ABJ70" s="443"/>
      <c r="ABK70" s="443"/>
      <c r="ABL70" s="443"/>
      <c r="ABM70" s="443"/>
      <c r="ABN70" s="443"/>
      <c r="ABO70" s="443"/>
      <c r="ABP70" s="443"/>
      <c r="ABQ70" s="443"/>
      <c r="ABR70" s="443"/>
      <c r="ABS70" s="443"/>
      <c r="ABT70" s="443"/>
      <c r="ABU70" s="443"/>
      <c r="ABV70" s="443"/>
      <c r="ABW70" s="443"/>
      <c r="ABX70" s="443"/>
      <c r="ABY70" s="443"/>
      <c r="ABZ70" s="443"/>
      <c r="ACA70" s="443"/>
      <c r="ACB70" s="443"/>
      <c r="ACC70" s="443"/>
      <c r="ACD70" s="443"/>
      <c r="ACE70" s="443"/>
      <c r="ACF70" s="443"/>
      <c r="ACG70" s="443"/>
      <c r="ACH70" s="443"/>
      <c r="ACI70" s="443"/>
      <c r="ACJ70" s="443"/>
      <c r="ACK70" s="443"/>
      <c r="ACL70" s="443"/>
      <c r="ACM70" s="443"/>
      <c r="ACN70" s="443"/>
      <c r="ACO70" s="443"/>
      <c r="ACP70" s="443"/>
      <c r="ACQ70" s="443"/>
      <c r="ACR70" s="443"/>
      <c r="ACS70" s="443"/>
      <c r="ACT70" s="443"/>
      <c r="ACU70" s="443"/>
      <c r="ACV70" s="443"/>
      <c r="ACW70" s="443"/>
      <c r="ACX70" s="443"/>
      <c r="ACY70" s="443"/>
      <c r="ACZ70" s="443"/>
      <c r="ADA70" s="443"/>
      <c r="ADB70" s="443"/>
      <c r="ADC70" s="443"/>
      <c r="ADD70" s="443"/>
      <c r="ADE70" s="443"/>
      <c r="ADF70" s="443"/>
      <c r="ADG70" s="443"/>
      <c r="ADH70" s="443"/>
      <c r="ADI70" s="443"/>
      <c r="ADJ70" s="443"/>
      <c r="ADK70" s="443"/>
      <c r="ADL70" s="443"/>
      <c r="ADM70" s="443"/>
      <c r="ADN70" s="443"/>
      <c r="ADO70" s="443"/>
      <c r="ADP70" s="443"/>
      <c r="ADQ70" s="443"/>
      <c r="ADR70" s="443"/>
      <c r="ADS70" s="443"/>
      <c r="ADT70" s="443"/>
      <c r="ADU70" s="443"/>
      <c r="ADV70" s="443"/>
      <c r="ADW70" s="443"/>
      <c r="ADX70" s="443"/>
      <c r="ADY70" s="443"/>
      <c r="ADZ70" s="443"/>
      <c r="AEA70" s="443"/>
      <c r="AEB70" s="443"/>
      <c r="AEC70" s="443"/>
      <c r="AED70" s="443"/>
      <c r="AEE70" s="443"/>
      <c r="AEF70" s="443"/>
      <c r="AEG70" s="443"/>
      <c r="AEH70" s="443"/>
      <c r="AEI70" s="443"/>
      <c r="AEJ70" s="443"/>
      <c r="AEK70" s="443"/>
      <c r="AEL70" s="443"/>
      <c r="AEM70" s="443"/>
      <c r="AEN70" s="443"/>
      <c r="AEO70" s="443"/>
      <c r="AEP70" s="443"/>
      <c r="AEQ70" s="443"/>
      <c r="AER70" s="443"/>
      <c r="AES70" s="443"/>
      <c r="AET70" s="443"/>
      <c r="AEU70" s="443"/>
      <c r="AEV70" s="443"/>
      <c r="AEW70" s="443"/>
      <c r="AEX70" s="443"/>
      <c r="AEY70" s="443"/>
      <c r="AEZ70" s="443"/>
      <c r="AFA70" s="443"/>
      <c r="AFB70" s="443"/>
      <c r="AFC70" s="443"/>
      <c r="AFD70" s="443"/>
      <c r="AFE70" s="443"/>
      <c r="AFF70" s="443"/>
      <c r="AFG70" s="443"/>
      <c r="AFH70" s="443"/>
      <c r="AFI70" s="443"/>
      <c r="AFJ70" s="443"/>
      <c r="AFK70" s="443"/>
      <c r="AFL70" s="443"/>
      <c r="AFM70" s="443"/>
      <c r="AFN70" s="443"/>
      <c r="AFO70" s="443"/>
      <c r="AFP70" s="443"/>
      <c r="AFQ70" s="443"/>
      <c r="AFR70" s="443"/>
      <c r="AFS70" s="443"/>
      <c r="AFT70" s="443"/>
      <c r="AFU70" s="443"/>
      <c r="AFV70" s="443"/>
      <c r="AFW70" s="443"/>
      <c r="AFX70" s="443"/>
      <c r="AFY70" s="443"/>
      <c r="AFZ70" s="443"/>
      <c r="AGA70" s="443"/>
      <c r="AGB70" s="443"/>
      <c r="AGC70" s="443"/>
      <c r="AGD70" s="443"/>
      <c r="AGE70" s="443"/>
      <c r="AGF70" s="443"/>
      <c r="AGG70" s="443"/>
      <c r="AGH70" s="443"/>
      <c r="AGI70" s="443"/>
      <c r="AGJ70" s="443"/>
    </row>
    <row r="71" spans="1:868" s="1" customFormat="1">
      <c r="A71" s="653" t="s">
        <v>127</v>
      </c>
      <c r="B71" s="800" t="s">
        <v>461</v>
      </c>
      <c r="C71" s="34" t="s">
        <v>147</v>
      </c>
      <c r="D71" s="122" t="s">
        <v>107</v>
      </c>
      <c r="E71" s="638">
        <f t="shared" si="22"/>
        <v>5.4672938670453558E-2</v>
      </c>
      <c r="F71" s="9">
        <v>1</v>
      </c>
      <c r="G71" s="9" t="s">
        <v>451</v>
      </c>
      <c r="H71" s="10">
        <v>1</v>
      </c>
      <c r="I71" s="10">
        <v>2</v>
      </c>
      <c r="J71" s="10">
        <v>2</v>
      </c>
      <c r="K71" s="10">
        <v>1</v>
      </c>
      <c r="L71" s="10">
        <v>1</v>
      </c>
      <c r="M71" s="10">
        <v>2</v>
      </c>
      <c r="N71" s="411">
        <f t="shared" si="25"/>
        <v>0.35859414261160716</v>
      </c>
      <c r="O71" s="411">
        <f t="shared" si="26"/>
        <v>0.37356464144298934</v>
      </c>
      <c r="P71" s="43"/>
      <c r="Q71" s="443"/>
      <c r="R71" s="443"/>
      <c r="S71" s="443"/>
      <c r="T71" s="443"/>
      <c r="U71" s="443"/>
      <c r="V71" s="443"/>
      <c r="W71" s="443"/>
      <c r="X71" s="443"/>
      <c r="Y71" s="443"/>
      <c r="Z71" s="443"/>
      <c r="AA71" s="443"/>
      <c r="AB71" s="443"/>
      <c r="AC71" s="443"/>
      <c r="AD71" s="443"/>
      <c r="AE71" s="443"/>
      <c r="AF71" s="443"/>
      <c r="AG71" s="443"/>
      <c r="AH71" s="443"/>
      <c r="AI71" s="443"/>
      <c r="AJ71" s="443"/>
      <c r="AK71" s="443"/>
      <c r="AL71" s="443"/>
      <c r="AM71" s="443"/>
      <c r="AN71" s="443"/>
      <c r="AO71" s="443"/>
      <c r="AP71" s="443"/>
      <c r="AQ71" s="443"/>
      <c r="AR71" s="443"/>
      <c r="AS71" s="443"/>
      <c r="AT71" s="443"/>
      <c r="AU71" s="443"/>
      <c r="AV71" s="443"/>
      <c r="AW71" s="443"/>
      <c r="AX71" s="443"/>
      <c r="AY71" s="443"/>
      <c r="AZ71" s="443"/>
      <c r="BA71" s="443"/>
      <c r="BB71" s="443"/>
      <c r="BC71" s="443"/>
      <c r="BD71" s="443"/>
      <c r="BE71" s="443"/>
      <c r="BF71" s="443"/>
      <c r="BG71" s="443"/>
      <c r="BH71" s="443"/>
      <c r="BI71" s="443"/>
      <c r="BJ71" s="443"/>
      <c r="BK71" s="443"/>
      <c r="BL71" s="443"/>
      <c r="BM71" s="443"/>
      <c r="BN71" s="443"/>
      <c r="BO71" s="443"/>
      <c r="BP71" s="443"/>
      <c r="BQ71" s="443"/>
      <c r="BR71" s="443"/>
      <c r="BS71" s="443"/>
      <c r="BT71" s="443"/>
      <c r="BU71" s="443"/>
      <c r="BV71" s="443"/>
      <c r="BW71" s="443"/>
      <c r="BX71" s="443"/>
      <c r="BY71" s="443"/>
      <c r="BZ71" s="443"/>
      <c r="CA71" s="443"/>
      <c r="CB71" s="443"/>
      <c r="CC71" s="443"/>
      <c r="CD71" s="443"/>
      <c r="CE71" s="443"/>
      <c r="CF71" s="443"/>
      <c r="CG71" s="443"/>
      <c r="CH71" s="443"/>
      <c r="CI71" s="443"/>
      <c r="CJ71" s="443"/>
      <c r="CK71" s="443"/>
      <c r="CL71" s="443"/>
      <c r="CM71" s="443"/>
      <c r="CN71" s="443"/>
      <c r="CO71" s="443"/>
      <c r="CP71" s="443"/>
      <c r="CQ71" s="443"/>
      <c r="CR71" s="443"/>
      <c r="CS71" s="443"/>
      <c r="CT71" s="443"/>
      <c r="CU71" s="443"/>
      <c r="CV71" s="443"/>
      <c r="CW71" s="443"/>
      <c r="CX71" s="443"/>
      <c r="CY71" s="443"/>
      <c r="CZ71" s="443"/>
      <c r="DA71" s="443"/>
      <c r="DB71" s="443"/>
      <c r="DC71" s="443"/>
      <c r="DD71" s="443"/>
      <c r="DE71" s="443"/>
      <c r="DF71" s="443"/>
      <c r="DG71" s="443"/>
      <c r="DH71" s="443"/>
      <c r="DI71" s="443"/>
      <c r="DJ71" s="443"/>
      <c r="DK71" s="443"/>
      <c r="DL71" s="443"/>
      <c r="DM71" s="443"/>
      <c r="DN71" s="443"/>
      <c r="DO71" s="443"/>
      <c r="DP71" s="443"/>
      <c r="DQ71" s="443"/>
      <c r="DR71" s="443"/>
      <c r="DS71" s="443"/>
      <c r="DT71" s="443"/>
      <c r="DU71" s="443"/>
      <c r="DV71" s="443"/>
      <c r="DW71" s="443"/>
      <c r="DX71" s="443"/>
      <c r="DY71" s="443"/>
      <c r="DZ71" s="443"/>
      <c r="EA71" s="443"/>
      <c r="EB71" s="443"/>
      <c r="EC71" s="443"/>
      <c r="ED71" s="443"/>
      <c r="EE71" s="443"/>
      <c r="EF71" s="443"/>
      <c r="EG71" s="443"/>
      <c r="EH71" s="443"/>
      <c r="EI71" s="443"/>
      <c r="EJ71" s="443"/>
      <c r="EK71" s="443"/>
      <c r="EL71" s="443"/>
      <c r="EM71" s="443"/>
      <c r="EN71" s="443"/>
      <c r="EO71" s="443"/>
      <c r="EP71" s="443"/>
      <c r="EQ71" s="443"/>
      <c r="ER71" s="443"/>
      <c r="ES71" s="443"/>
      <c r="ET71" s="443"/>
      <c r="EU71" s="443"/>
      <c r="EV71" s="443"/>
      <c r="EW71" s="443"/>
      <c r="EX71" s="443"/>
      <c r="EY71" s="443"/>
      <c r="EZ71" s="443"/>
      <c r="FA71" s="443"/>
      <c r="FB71" s="443"/>
      <c r="FC71" s="443"/>
      <c r="FD71" s="443"/>
      <c r="FE71" s="443"/>
      <c r="FF71" s="443"/>
      <c r="FG71" s="443"/>
      <c r="FH71" s="443"/>
      <c r="FI71" s="443"/>
      <c r="FJ71" s="443"/>
      <c r="FK71" s="443"/>
      <c r="FL71" s="443"/>
      <c r="FM71" s="443"/>
      <c r="FN71" s="443"/>
      <c r="FO71" s="443"/>
      <c r="FP71" s="443"/>
      <c r="FQ71" s="443"/>
      <c r="FR71" s="443"/>
      <c r="FS71" s="443"/>
      <c r="FT71" s="443"/>
      <c r="FU71" s="443"/>
      <c r="FV71" s="443"/>
      <c r="FW71" s="443"/>
      <c r="FX71" s="443"/>
      <c r="FY71" s="443"/>
      <c r="FZ71" s="443"/>
      <c r="GA71" s="443"/>
      <c r="GB71" s="443"/>
      <c r="GC71" s="443"/>
      <c r="GD71" s="443"/>
      <c r="GE71" s="443"/>
      <c r="GF71" s="443"/>
      <c r="GG71" s="443"/>
      <c r="GH71" s="443"/>
      <c r="GI71" s="443"/>
      <c r="GJ71" s="443"/>
      <c r="GK71" s="443"/>
      <c r="GL71" s="443"/>
      <c r="GM71" s="443"/>
      <c r="GN71" s="443"/>
      <c r="GO71" s="443"/>
      <c r="GP71" s="443"/>
      <c r="GQ71" s="443"/>
      <c r="GR71" s="443"/>
      <c r="GS71" s="443"/>
      <c r="GT71" s="443"/>
      <c r="GU71" s="443"/>
      <c r="GV71" s="443"/>
      <c r="GW71" s="443"/>
      <c r="GX71" s="443"/>
      <c r="GY71" s="443"/>
      <c r="GZ71" s="443"/>
      <c r="HA71" s="443"/>
      <c r="HB71" s="443"/>
      <c r="HC71" s="443"/>
      <c r="HD71" s="443"/>
      <c r="HE71" s="443"/>
      <c r="HF71" s="443"/>
      <c r="HG71" s="443"/>
      <c r="HH71" s="443"/>
      <c r="HI71" s="443"/>
      <c r="HJ71" s="443"/>
      <c r="HK71" s="443"/>
      <c r="HL71" s="443"/>
      <c r="HM71" s="443"/>
      <c r="HN71" s="443"/>
      <c r="HO71" s="443"/>
      <c r="HP71" s="443"/>
      <c r="HQ71" s="443"/>
      <c r="HR71" s="443"/>
      <c r="HS71" s="443"/>
      <c r="HT71" s="443"/>
      <c r="HU71" s="443"/>
      <c r="HV71" s="443"/>
      <c r="HW71" s="443"/>
      <c r="HX71" s="443"/>
      <c r="HY71" s="443"/>
      <c r="HZ71" s="443"/>
      <c r="IA71" s="443"/>
      <c r="IB71" s="443"/>
      <c r="IC71" s="443"/>
      <c r="ID71" s="443"/>
      <c r="IE71" s="443"/>
      <c r="IF71" s="443"/>
      <c r="IG71" s="443"/>
      <c r="IH71" s="443"/>
      <c r="II71" s="443"/>
      <c r="IJ71" s="443"/>
      <c r="IK71" s="443"/>
      <c r="IL71" s="443"/>
      <c r="IM71" s="443"/>
      <c r="IN71" s="443"/>
      <c r="IO71" s="443"/>
      <c r="IP71" s="443"/>
      <c r="IQ71" s="443"/>
      <c r="IR71" s="443"/>
      <c r="IS71" s="443"/>
      <c r="IT71" s="443"/>
      <c r="IU71" s="443"/>
      <c r="IV71" s="443"/>
      <c r="IW71" s="443"/>
      <c r="IX71" s="443"/>
      <c r="IY71" s="443"/>
      <c r="IZ71" s="443"/>
      <c r="JA71" s="443"/>
      <c r="JB71" s="443"/>
      <c r="JC71" s="443"/>
      <c r="JD71" s="443"/>
      <c r="JE71" s="443"/>
      <c r="JF71" s="443"/>
      <c r="JG71" s="443"/>
      <c r="JH71" s="443"/>
      <c r="JI71" s="443"/>
      <c r="JJ71" s="443"/>
      <c r="JK71" s="443"/>
      <c r="JL71" s="443"/>
      <c r="JM71" s="443"/>
      <c r="JN71" s="443"/>
      <c r="JO71" s="443"/>
      <c r="JP71" s="443"/>
      <c r="JQ71" s="443"/>
      <c r="JR71" s="443"/>
      <c r="JS71" s="443"/>
      <c r="JT71" s="443"/>
      <c r="JU71" s="443"/>
      <c r="JV71" s="443"/>
      <c r="JW71" s="443"/>
      <c r="JX71" s="443"/>
      <c r="JY71" s="443"/>
      <c r="JZ71" s="443"/>
      <c r="KA71" s="443"/>
      <c r="KB71" s="443"/>
      <c r="KC71" s="443"/>
      <c r="KD71" s="443"/>
      <c r="KE71" s="443"/>
      <c r="KF71" s="443"/>
      <c r="KG71" s="443"/>
      <c r="KH71" s="443"/>
      <c r="KI71" s="443"/>
      <c r="KJ71" s="443"/>
      <c r="KK71" s="443"/>
      <c r="KL71" s="443"/>
      <c r="KM71" s="443"/>
      <c r="KN71" s="443"/>
      <c r="KO71" s="443"/>
      <c r="KP71" s="443"/>
      <c r="KQ71" s="443"/>
      <c r="KR71" s="443"/>
      <c r="KS71" s="443"/>
      <c r="KT71" s="443"/>
      <c r="KU71" s="443"/>
      <c r="KV71" s="443"/>
      <c r="KW71" s="443"/>
      <c r="KX71" s="443"/>
      <c r="KY71" s="443"/>
      <c r="KZ71" s="443"/>
      <c r="LA71" s="443"/>
      <c r="LB71" s="443"/>
      <c r="LC71" s="443"/>
      <c r="LD71" s="443"/>
      <c r="LE71" s="443"/>
      <c r="LF71" s="443"/>
      <c r="LG71" s="443"/>
      <c r="LH71" s="443"/>
      <c r="LI71" s="443"/>
      <c r="LJ71" s="443"/>
      <c r="LK71" s="443"/>
      <c r="LL71" s="443"/>
      <c r="LM71" s="443"/>
      <c r="LN71" s="443"/>
      <c r="LO71" s="443"/>
      <c r="LP71" s="443"/>
      <c r="LQ71" s="443"/>
      <c r="LR71" s="443"/>
      <c r="LS71" s="443"/>
      <c r="LT71" s="443"/>
      <c r="LU71" s="443"/>
      <c r="LV71" s="443"/>
      <c r="LW71" s="443"/>
      <c r="LX71" s="443"/>
      <c r="LY71" s="443"/>
      <c r="LZ71" s="443"/>
      <c r="MA71" s="443"/>
      <c r="MB71" s="443"/>
      <c r="MC71" s="443"/>
      <c r="MD71" s="443"/>
      <c r="ME71" s="443"/>
      <c r="MF71" s="443"/>
      <c r="MG71" s="443"/>
      <c r="MH71" s="443"/>
      <c r="MI71" s="443"/>
      <c r="MJ71" s="443"/>
      <c r="MK71" s="443"/>
      <c r="ML71" s="443"/>
      <c r="MM71" s="443"/>
      <c r="MN71" s="443"/>
      <c r="MO71" s="443"/>
      <c r="MP71" s="443"/>
      <c r="MQ71" s="443"/>
      <c r="MR71" s="443"/>
      <c r="MS71" s="443"/>
      <c r="MT71" s="443"/>
      <c r="MU71" s="443"/>
      <c r="MV71" s="443"/>
      <c r="MW71" s="443"/>
      <c r="MX71" s="443"/>
      <c r="MY71" s="443"/>
      <c r="MZ71" s="443"/>
      <c r="NA71" s="443"/>
      <c r="NB71" s="443"/>
      <c r="NC71" s="443"/>
      <c r="ND71" s="443"/>
      <c r="NE71" s="443"/>
      <c r="NF71" s="443"/>
      <c r="NG71" s="443"/>
      <c r="NH71" s="443"/>
      <c r="NI71" s="443"/>
      <c r="NJ71" s="443"/>
      <c r="NK71" s="443"/>
      <c r="NL71" s="443"/>
      <c r="NM71" s="443"/>
      <c r="NN71" s="443"/>
      <c r="NO71" s="443"/>
      <c r="NP71" s="443"/>
      <c r="NQ71" s="443"/>
      <c r="NR71" s="443"/>
      <c r="NS71" s="443"/>
      <c r="NT71" s="443"/>
      <c r="NU71" s="443"/>
      <c r="NV71" s="443"/>
      <c r="NW71" s="443"/>
      <c r="NX71" s="443"/>
      <c r="NY71" s="443"/>
      <c r="NZ71" s="443"/>
      <c r="OA71" s="443"/>
      <c r="OB71" s="443"/>
      <c r="OC71" s="443"/>
      <c r="OD71" s="443"/>
      <c r="OE71" s="443"/>
      <c r="OF71" s="443"/>
      <c r="OG71" s="443"/>
      <c r="OH71" s="443"/>
      <c r="OI71" s="443"/>
      <c r="OJ71" s="443"/>
      <c r="OK71" s="443"/>
      <c r="OL71" s="443"/>
      <c r="OM71" s="443"/>
      <c r="ON71" s="443"/>
      <c r="OO71" s="443"/>
      <c r="OP71" s="443"/>
      <c r="OQ71" s="443"/>
      <c r="OR71" s="443"/>
      <c r="OS71" s="443"/>
      <c r="OT71" s="443"/>
      <c r="OU71" s="443"/>
      <c r="OV71" s="443"/>
      <c r="OW71" s="443"/>
      <c r="OX71" s="443"/>
      <c r="OY71" s="443"/>
      <c r="OZ71" s="443"/>
      <c r="PA71" s="443"/>
      <c r="PB71" s="443"/>
      <c r="PC71" s="443"/>
      <c r="PD71" s="443"/>
      <c r="PE71" s="443"/>
      <c r="PF71" s="443"/>
      <c r="PG71" s="443"/>
      <c r="PH71" s="443"/>
      <c r="PI71" s="443"/>
      <c r="PJ71" s="443"/>
      <c r="PK71" s="443"/>
      <c r="PL71" s="443"/>
      <c r="PM71" s="443"/>
      <c r="PN71" s="443"/>
      <c r="PO71" s="443"/>
      <c r="PP71" s="443"/>
      <c r="PQ71" s="443"/>
      <c r="PR71" s="443"/>
      <c r="PS71" s="443"/>
      <c r="PT71" s="443"/>
      <c r="PU71" s="443"/>
      <c r="PV71" s="443"/>
      <c r="PW71" s="443"/>
      <c r="PX71" s="443"/>
      <c r="PY71" s="443"/>
      <c r="PZ71" s="443"/>
      <c r="QA71" s="443"/>
      <c r="QB71" s="443"/>
      <c r="QC71" s="443"/>
      <c r="QD71" s="443"/>
      <c r="QE71" s="443"/>
      <c r="QF71" s="443"/>
      <c r="QG71" s="443"/>
      <c r="QH71" s="443"/>
      <c r="QI71" s="443"/>
      <c r="QJ71" s="443"/>
      <c r="QK71" s="443"/>
      <c r="QL71" s="443"/>
      <c r="QM71" s="443"/>
      <c r="QN71" s="443"/>
      <c r="QO71" s="443"/>
      <c r="QP71" s="443"/>
      <c r="QQ71" s="443"/>
      <c r="QR71" s="443"/>
      <c r="QS71" s="443"/>
      <c r="QT71" s="443"/>
      <c r="QU71" s="443"/>
      <c r="QV71" s="443"/>
      <c r="QW71" s="443"/>
      <c r="QX71" s="443"/>
      <c r="QY71" s="443"/>
      <c r="QZ71" s="443"/>
      <c r="RA71" s="443"/>
      <c r="RB71" s="443"/>
      <c r="RC71" s="443"/>
      <c r="RD71" s="443"/>
      <c r="RE71" s="443"/>
      <c r="RF71" s="443"/>
      <c r="RG71" s="443"/>
      <c r="RH71" s="443"/>
      <c r="RI71" s="443"/>
      <c r="RJ71" s="443"/>
      <c r="RK71" s="443"/>
      <c r="RL71" s="443"/>
      <c r="RM71" s="443"/>
      <c r="RN71" s="443"/>
      <c r="RO71" s="443"/>
      <c r="RP71" s="443"/>
      <c r="RQ71" s="443"/>
      <c r="RR71" s="443"/>
      <c r="RS71" s="443"/>
      <c r="RT71" s="443"/>
      <c r="RU71" s="443"/>
      <c r="RV71" s="443"/>
      <c r="RW71" s="443"/>
      <c r="RX71" s="443"/>
      <c r="RY71" s="443"/>
      <c r="RZ71" s="443"/>
      <c r="SA71" s="443"/>
      <c r="SB71" s="443"/>
      <c r="SC71" s="443"/>
      <c r="SD71" s="443"/>
      <c r="SE71" s="443"/>
      <c r="SF71" s="443"/>
      <c r="SG71" s="443"/>
      <c r="SH71" s="443"/>
      <c r="SI71" s="443"/>
      <c r="SJ71" s="443"/>
      <c r="SK71" s="443"/>
      <c r="SL71" s="443"/>
      <c r="SM71" s="443"/>
      <c r="SN71" s="443"/>
      <c r="SO71" s="443"/>
      <c r="SP71" s="443"/>
      <c r="SQ71" s="443"/>
      <c r="SR71" s="443"/>
      <c r="SS71" s="443"/>
      <c r="ST71" s="443"/>
      <c r="SU71" s="443"/>
      <c r="SV71" s="443"/>
      <c r="SW71" s="443"/>
      <c r="SX71" s="443"/>
      <c r="SY71" s="443"/>
      <c r="SZ71" s="443"/>
      <c r="TA71" s="443"/>
      <c r="TB71" s="443"/>
      <c r="TC71" s="443"/>
      <c r="TD71" s="443"/>
      <c r="TE71" s="443"/>
      <c r="TF71" s="443"/>
      <c r="TG71" s="443"/>
      <c r="TH71" s="443"/>
      <c r="TI71" s="443"/>
      <c r="TJ71" s="443"/>
      <c r="TK71" s="443"/>
      <c r="TL71" s="443"/>
      <c r="TM71" s="443"/>
      <c r="TN71" s="443"/>
      <c r="TO71" s="443"/>
      <c r="TP71" s="443"/>
      <c r="TQ71" s="443"/>
      <c r="TR71" s="443"/>
      <c r="TS71" s="443"/>
      <c r="TT71" s="443"/>
      <c r="TU71" s="443"/>
      <c r="TV71" s="443"/>
      <c r="TW71" s="443"/>
      <c r="TX71" s="443"/>
      <c r="TY71" s="443"/>
      <c r="TZ71" s="443"/>
      <c r="UA71" s="443"/>
      <c r="UB71" s="443"/>
      <c r="UC71" s="443"/>
      <c r="UD71" s="443"/>
      <c r="UE71" s="443"/>
      <c r="UF71" s="443"/>
      <c r="UG71" s="443"/>
      <c r="UH71" s="443"/>
      <c r="UI71" s="443"/>
      <c r="UJ71" s="443"/>
      <c r="UK71" s="443"/>
      <c r="UL71" s="443"/>
      <c r="UM71" s="443"/>
      <c r="UN71" s="443"/>
      <c r="UO71" s="443"/>
      <c r="UP71" s="443"/>
      <c r="UQ71" s="443"/>
      <c r="UR71" s="443"/>
      <c r="US71" s="443"/>
      <c r="UT71" s="443"/>
      <c r="UU71" s="443"/>
      <c r="UV71" s="443"/>
      <c r="UW71" s="443"/>
      <c r="UX71" s="443"/>
      <c r="UY71" s="443"/>
      <c r="UZ71" s="443"/>
      <c r="VA71" s="443"/>
      <c r="VB71" s="443"/>
      <c r="VC71" s="443"/>
      <c r="VD71" s="443"/>
      <c r="VE71" s="443"/>
      <c r="VF71" s="443"/>
      <c r="VG71" s="443"/>
      <c r="VH71" s="443"/>
      <c r="VI71" s="443"/>
      <c r="VJ71" s="443"/>
      <c r="VK71" s="443"/>
      <c r="VL71" s="443"/>
      <c r="VM71" s="443"/>
      <c r="VN71" s="443"/>
      <c r="VO71" s="443"/>
      <c r="VP71" s="443"/>
      <c r="VQ71" s="443"/>
      <c r="VR71" s="443"/>
      <c r="VS71" s="443"/>
      <c r="VT71" s="443"/>
      <c r="VU71" s="443"/>
      <c r="VV71" s="443"/>
      <c r="VW71" s="443"/>
      <c r="VX71" s="443"/>
      <c r="VY71" s="443"/>
      <c r="VZ71" s="443"/>
      <c r="WA71" s="443"/>
      <c r="WB71" s="443"/>
      <c r="WC71" s="443"/>
      <c r="WD71" s="443"/>
      <c r="WE71" s="443"/>
      <c r="WF71" s="443"/>
      <c r="WG71" s="443"/>
      <c r="WH71" s="443"/>
      <c r="WI71" s="443"/>
      <c r="WJ71" s="443"/>
      <c r="WK71" s="443"/>
      <c r="WL71" s="443"/>
      <c r="WM71" s="443"/>
      <c r="WN71" s="443"/>
      <c r="WO71" s="443"/>
      <c r="WP71" s="443"/>
      <c r="WQ71" s="443"/>
      <c r="WR71" s="443"/>
      <c r="WS71" s="443"/>
      <c r="WT71" s="443"/>
      <c r="WU71" s="443"/>
      <c r="WV71" s="443"/>
      <c r="WW71" s="443"/>
      <c r="WX71" s="443"/>
      <c r="WY71" s="443"/>
      <c r="WZ71" s="443"/>
      <c r="XA71" s="443"/>
      <c r="XB71" s="443"/>
      <c r="XC71" s="443"/>
      <c r="XD71" s="443"/>
      <c r="XE71" s="443"/>
      <c r="XF71" s="443"/>
      <c r="XG71" s="443"/>
      <c r="XH71" s="443"/>
      <c r="XI71" s="443"/>
      <c r="XJ71" s="443"/>
      <c r="XK71" s="443"/>
      <c r="XL71" s="443"/>
      <c r="XM71" s="443"/>
      <c r="XN71" s="443"/>
      <c r="XO71" s="443"/>
      <c r="XP71" s="443"/>
      <c r="XQ71" s="443"/>
      <c r="XR71" s="443"/>
      <c r="XS71" s="443"/>
      <c r="XT71" s="443"/>
      <c r="XU71" s="443"/>
      <c r="XV71" s="443"/>
      <c r="XW71" s="443"/>
      <c r="XX71" s="443"/>
      <c r="XY71" s="443"/>
      <c r="XZ71" s="443"/>
      <c r="YA71" s="443"/>
      <c r="YB71" s="443"/>
      <c r="YC71" s="443"/>
      <c r="YD71" s="443"/>
      <c r="YE71" s="443"/>
      <c r="YF71" s="443"/>
      <c r="YG71" s="443"/>
      <c r="YH71" s="443"/>
      <c r="YI71" s="443"/>
      <c r="YJ71" s="443"/>
      <c r="YK71" s="443"/>
      <c r="YL71" s="443"/>
      <c r="YM71" s="443"/>
      <c r="YN71" s="443"/>
      <c r="YO71" s="443"/>
      <c r="YP71" s="443"/>
      <c r="YQ71" s="443"/>
      <c r="YR71" s="443"/>
      <c r="YS71" s="443"/>
      <c r="YT71" s="443"/>
      <c r="YU71" s="443"/>
      <c r="YV71" s="443"/>
      <c r="YW71" s="443"/>
      <c r="YX71" s="443"/>
      <c r="YY71" s="443"/>
      <c r="YZ71" s="443"/>
      <c r="ZA71" s="443"/>
      <c r="ZB71" s="443"/>
      <c r="ZC71" s="443"/>
      <c r="ZD71" s="443"/>
      <c r="ZE71" s="443"/>
      <c r="ZF71" s="443"/>
      <c r="ZG71" s="443"/>
      <c r="ZH71" s="443"/>
      <c r="ZI71" s="443"/>
      <c r="ZJ71" s="443"/>
      <c r="ZK71" s="443"/>
      <c r="ZL71" s="443"/>
      <c r="ZM71" s="443"/>
      <c r="ZN71" s="443"/>
      <c r="ZO71" s="443"/>
      <c r="ZP71" s="443"/>
      <c r="ZQ71" s="443"/>
      <c r="ZR71" s="443"/>
      <c r="ZS71" s="443"/>
      <c r="ZT71" s="443"/>
      <c r="ZU71" s="443"/>
      <c r="ZV71" s="443"/>
      <c r="ZW71" s="443"/>
      <c r="ZX71" s="443"/>
      <c r="ZY71" s="443"/>
      <c r="ZZ71" s="443"/>
      <c r="AAA71" s="443"/>
      <c r="AAB71" s="443"/>
      <c r="AAC71" s="443"/>
      <c r="AAD71" s="443"/>
      <c r="AAE71" s="443"/>
      <c r="AAF71" s="443"/>
      <c r="AAG71" s="443"/>
      <c r="AAH71" s="443"/>
      <c r="AAI71" s="443"/>
      <c r="AAJ71" s="443"/>
      <c r="AAK71" s="443"/>
      <c r="AAL71" s="443"/>
      <c r="AAM71" s="443"/>
      <c r="AAN71" s="443"/>
      <c r="AAO71" s="443"/>
      <c r="AAP71" s="443"/>
      <c r="AAQ71" s="443"/>
      <c r="AAR71" s="443"/>
      <c r="AAS71" s="443"/>
      <c r="AAT71" s="443"/>
      <c r="AAU71" s="443"/>
      <c r="AAV71" s="443"/>
      <c r="AAW71" s="443"/>
      <c r="AAX71" s="443"/>
      <c r="AAY71" s="443"/>
      <c r="AAZ71" s="443"/>
      <c r="ABA71" s="443"/>
      <c r="ABB71" s="443"/>
      <c r="ABC71" s="443"/>
      <c r="ABD71" s="443"/>
      <c r="ABE71" s="443"/>
      <c r="ABF71" s="443"/>
      <c r="ABG71" s="443"/>
      <c r="ABH71" s="443"/>
      <c r="ABI71" s="443"/>
      <c r="ABJ71" s="443"/>
      <c r="ABK71" s="443"/>
      <c r="ABL71" s="443"/>
      <c r="ABM71" s="443"/>
      <c r="ABN71" s="443"/>
      <c r="ABO71" s="443"/>
      <c r="ABP71" s="443"/>
      <c r="ABQ71" s="443"/>
      <c r="ABR71" s="443"/>
      <c r="ABS71" s="443"/>
      <c r="ABT71" s="443"/>
      <c r="ABU71" s="443"/>
      <c r="ABV71" s="443"/>
      <c r="ABW71" s="443"/>
      <c r="ABX71" s="443"/>
      <c r="ABY71" s="443"/>
      <c r="ABZ71" s="443"/>
      <c r="ACA71" s="443"/>
      <c r="ACB71" s="443"/>
      <c r="ACC71" s="443"/>
      <c r="ACD71" s="443"/>
      <c r="ACE71" s="443"/>
      <c r="ACF71" s="443"/>
      <c r="ACG71" s="443"/>
      <c r="ACH71" s="443"/>
      <c r="ACI71" s="443"/>
      <c r="ACJ71" s="443"/>
      <c r="ACK71" s="443"/>
      <c r="ACL71" s="443"/>
      <c r="ACM71" s="443"/>
      <c r="ACN71" s="443"/>
      <c r="ACO71" s="443"/>
      <c r="ACP71" s="443"/>
      <c r="ACQ71" s="443"/>
      <c r="ACR71" s="443"/>
      <c r="ACS71" s="443"/>
      <c r="ACT71" s="443"/>
      <c r="ACU71" s="443"/>
      <c r="ACV71" s="443"/>
      <c r="ACW71" s="443"/>
      <c r="ACX71" s="443"/>
      <c r="ACY71" s="443"/>
      <c r="ACZ71" s="443"/>
      <c r="ADA71" s="443"/>
      <c r="ADB71" s="443"/>
      <c r="ADC71" s="443"/>
      <c r="ADD71" s="443"/>
      <c r="ADE71" s="443"/>
      <c r="ADF71" s="443"/>
      <c r="ADG71" s="443"/>
      <c r="ADH71" s="443"/>
      <c r="ADI71" s="443"/>
      <c r="ADJ71" s="443"/>
      <c r="ADK71" s="443"/>
      <c r="ADL71" s="443"/>
      <c r="ADM71" s="443"/>
      <c r="ADN71" s="443"/>
      <c r="ADO71" s="443"/>
      <c r="ADP71" s="443"/>
      <c r="ADQ71" s="443"/>
      <c r="ADR71" s="443"/>
      <c r="ADS71" s="443"/>
      <c r="ADT71" s="443"/>
      <c r="ADU71" s="443"/>
      <c r="ADV71" s="443"/>
      <c r="ADW71" s="443"/>
      <c r="ADX71" s="443"/>
      <c r="ADY71" s="443"/>
      <c r="ADZ71" s="443"/>
      <c r="AEA71" s="443"/>
      <c r="AEB71" s="443"/>
      <c r="AEC71" s="443"/>
      <c r="AED71" s="443"/>
      <c r="AEE71" s="443"/>
      <c r="AEF71" s="443"/>
      <c r="AEG71" s="443"/>
      <c r="AEH71" s="443"/>
      <c r="AEI71" s="443"/>
      <c r="AEJ71" s="443"/>
      <c r="AEK71" s="443"/>
      <c r="AEL71" s="443"/>
      <c r="AEM71" s="443"/>
      <c r="AEN71" s="443"/>
      <c r="AEO71" s="443"/>
      <c r="AEP71" s="443"/>
      <c r="AEQ71" s="443"/>
      <c r="AER71" s="443"/>
      <c r="AES71" s="443"/>
      <c r="AET71" s="443"/>
      <c r="AEU71" s="443"/>
      <c r="AEV71" s="443"/>
      <c r="AEW71" s="443"/>
      <c r="AEX71" s="443"/>
      <c r="AEY71" s="443"/>
      <c r="AEZ71" s="443"/>
      <c r="AFA71" s="443"/>
      <c r="AFB71" s="443"/>
      <c r="AFC71" s="443"/>
      <c r="AFD71" s="443"/>
      <c r="AFE71" s="443"/>
      <c r="AFF71" s="443"/>
      <c r="AFG71" s="443"/>
      <c r="AFH71" s="443"/>
      <c r="AFI71" s="443"/>
      <c r="AFJ71" s="443"/>
      <c r="AFK71" s="443"/>
      <c r="AFL71" s="443"/>
      <c r="AFM71" s="443"/>
      <c r="AFN71" s="443"/>
      <c r="AFO71" s="443"/>
      <c r="AFP71" s="443"/>
      <c r="AFQ71" s="443"/>
      <c r="AFR71" s="443"/>
      <c r="AFS71" s="443"/>
      <c r="AFT71" s="443"/>
      <c r="AFU71" s="443"/>
      <c r="AFV71" s="443"/>
      <c r="AFW71" s="443"/>
      <c r="AFX71" s="443"/>
      <c r="AFY71" s="443"/>
      <c r="AFZ71" s="443"/>
      <c r="AGA71" s="443"/>
      <c r="AGB71" s="443"/>
      <c r="AGC71" s="443"/>
      <c r="AGD71" s="443"/>
      <c r="AGE71" s="443"/>
      <c r="AGF71" s="443"/>
      <c r="AGG71" s="443"/>
      <c r="AGH71" s="443"/>
      <c r="AGI71" s="443"/>
      <c r="AGJ71" s="443"/>
    </row>
    <row r="72" spans="1:868" s="1" customFormat="1">
      <c r="A72" s="653" t="s">
        <v>127</v>
      </c>
      <c r="B72" s="800" t="s">
        <v>462</v>
      </c>
      <c r="C72" s="34" t="s">
        <v>147</v>
      </c>
      <c r="D72" s="122" t="s">
        <v>107</v>
      </c>
      <c r="E72" s="638">
        <f t="shared" si="22"/>
        <v>6.4613472974172373E-2</v>
      </c>
      <c r="F72" s="9">
        <v>1</v>
      </c>
      <c r="G72" s="9" t="s">
        <v>451</v>
      </c>
      <c r="H72" s="10">
        <v>1</v>
      </c>
      <c r="I72" s="10">
        <v>2</v>
      </c>
      <c r="J72" s="10">
        <v>2</v>
      </c>
      <c r="K72" s="10">
        <v>1</v>
      </c>
      <c r="L72" s="10">
        <v>1</v>
      </c>
      <c r="M72" s="10">
        <v>2</v>
      </c>
      <c r="N72" s="411">
        <f t="shared" si="25"/>
        <v>0.35859414261160716</v>
      </c>
      <c r="O72" s="411">
        <f t="shared" si="26"/>
        <v>0.37356464144298934</v>
      </c>
      <c r="P72" s="43"/>
      <c r="Q72" s="443"/>
      <c r="R72" s="443"/>
      <c r="S72" s="443"/>
      <c r="T72" s="443"/>
      <c r="U72" s="443"/>
      <c r="V72" s="443"/>
      <c r="W72" s="443"/>
      <c r="X72" s="443"/>
      <c r="Y72" s="443"/>
      <c r="Z72" s="443"/>
      <c r="AA72" s="443"/>
      <c r="AB72" s="443"/>
      <c r="AC72" s="443"/>
      <c r="AD72" s="443"/>
      <c r="AE72" s="443"/>
      <c r="AF72" s="443"/>
      <c r="AG72" s="443"/>
      <c r="AH72" s="443"/>
      <c r="AI72" s="443"/>
      <c r="AJ72" s="443"/>
      <c r="AK72" s="443"/>
      <c r="AL72" s="443"/>
      <c r="AM72" s="443"/>
      <c r="AN72" s="443"/>
      <c r="AO72" s="443"/>
      <c r="AP72" s="443"/>
      <c r="AQ72" s="443"/>
      <c r="AR72" s="443"/>
      <c r="AS72" s="443"/>
      <c r="AT72" s="443"/>
      <c r="AU72" s="443"/>
      <c r="AV72" s="443"/>
      <c r="AW72" s="443"/>
      <c r="AX72" s="443"/>
      <c r="AY72" s="443"/>
      <c r="AZ72" s="443"/>
      <c r="BA72" s="443"/>
      <c r="BB72" s="443"/>
      <c r="BC72" s="443"/>
      <c r="BD72" s="443"/>
      <c r="BE72" s="443"/>
      <c r="BF72" s="443"/>
      <c r="BG72" s="443"/>
      <c r="BH72" s="443"/>
      <c r="BI72" s="443"/>
      <c r="BJ72" s="443"/>
      <c r="BK72" s="443"/>
      <c r="BL72" s="443"/>
      <c r="BM72" s="443"/>
      <c r="BN72" s="443"/>
      <c r="BO72" s="443"/>
      <c r="BP72" s="443"/>
      <c r="BQ72" s="443"/>
      <c r="BR72" s="443"/>
      <c r="BS72" s="443"/>
      <c r="BT72" s="443"/>
      <c r="BU72" s="443"/>
      <c r="BV72" s="443"/>
      <c r="BW72" s="443"/>
      <c r="BX72" s="443"/>
      <c r="BY72" s="443"/>
      <c r="BZ72" s="443"/>
      <c r="CA72" s="443"/>
      <c r="CB72" s="443"/>
      <c r="CC72" s="443"/>
      <c r="CD72" s="443"/>
      <c r="CE72" s="443"/>
      <c r="CF72" s="443"/>
      <c r="CG72" s="443"/>
      <c r="CH72" s="443"/>
      <c r="CI72" s="443"/>
      <c r="CJ72" s="443"/>
      <c r="CK72" s="443"/>
      <c r="CL72" s="443"/>
      <c r="CM72" s="443"/>
      <c r="CN72" s="443"/>
      <c r="CO72" s="443"/>
      <c r="CP72" s="443"/>
      <c r="CQ72" s="443"/>
      <c r="CR72" s="443"/>
      <c r="CS72" s="443"/>
      <c r="CT72" s="443"/>
      <c r="CU72" s="443"/>
      <c r="CV72" s="443"/>
      <c r="CW72" s="443"/>
      <c r="CX72" s="443"/>
      <c r="CY72" s="443"/>
      <c r="CZ72" s="443"/>
      <c r="DA72" s="443"/>
      <c r="DB72" s="443"/>
      <c r="DC72" s="443"/>
      <c r="DD72" s="443"/>
      <c r="DE72" s="443"/>
      <c r="DF72" s="443"/>
      <c r="DG72" s="443"/>
      <c r="DH72" s="443"/>
      <c r="DI72" s="443"/>
      <c r="DJ72" s="443"/>
      <c r="DK72" s="443"/>
      <c r="DL72" s="443"/>
      <c r="DM72" s="443"/>
      <c r="DN72" s="443"/>
      <c r="DO72" s="443"/>
      <c r="DP72" s="443"/>
      <c r="DQ72" s="443"/>
      <c r="DR72" s="443"/>
      <c r="DS72" s="443"/>
      <c r="DT72" s="443"/>
      <c r="DU72" s="443"/>
      <c r="DV72" s="443"/>
      <c r="DW72" s="443"/>
      <c r="DX72" s="443"/>
      <c r="DY72" s="443"/>
      <c r="DZ72" s="443"/>
      <c r="EA72" s="443"/>
      <c r="EB72" s="443"/>
      <c r="EC72" s="443"/>
      <c r="ED72" s="443"/>
      <c r="EE72" s="443"/>
      <c r="EF72" s="443"/>
      <c r="EG72" s="443"/>
      <c r="EH72" s="443"/>
      <c r="EI72" s="443"/>
      <c r="EJ72" s="443"/>
      <c r="EK72" s="443"/>
      <c r="EL72" s="443"/>
      <c r="EM72" s="443"/>
      <c r="EN72" s="443"/>
      <c r="EO72" s="443"/>
      <c r="EP72" s="443"/>
      <c r="EQ72" s="443"/>
      <c r="ER72" s="443"/>
      <c r="ES72" s="443"/>
      <c r="ET72" s="443"/>
      <c r="EU72" s="443"/>
      <c r="EV72" s="443"/>
      <c r="EW72" s="443"/>
      <c r="EX72" s="443"/>
      <c r="EY72" s="443"/>
      <c r="EZ72" s="443"/>
      <c r="FA72" s="443"/>
      <c r="FB72" s="443"/>
      <c r="FC72" s="443"/>
      <c r="FD72" s="443"/>
      <c r="FE72" s="443"/>
      <c r="FF72" s="443"/>
      <c r="FG72" s="443"/>
      <c r="FH72" s="443"/>
      <c r="FI72" s="443"/>
      <c r="FJ72" s="443"/>
      <c r="FK72" s="443"/>
      <c r="FL72" s="443"/>
      <c r="FM72" s="443"/>
      <c r="FN72" s="443"/>
      <c r="FO72" s="443"/>
      <c r="FP72" s="443"/>
      <c r="FQ72" s="443"/>
      <c r="FR72" s="443"/>
      <c r="FS72" s="443"/>
      <c r="FT72" s="443"/>
      <c r="FU72" s="443"/>
      <c r="FV72" s="443"/>
      <c r="FW72" s="443"/>
      <c r="FX72" s="443"/>
      <c r="FY72" s="443"/>
      <c r="FZ72" s="443"/>
      <c r="GA72" s="443"/>
      <c r="GB72" s="443"/>
      <c r="GC72" s="443"/>
      <c r="GD72" s="443"/>
      <c r="GE72" s="443"/>
      <c r="GF72" s="443"/>
      <c r="GG72" s="443"/>
      <c r="GH72" s="443"/>
      <c r="GI72" s="443"/>
      <c r="GJ72" s="443"/>
      <c r="GK72" s="443"/>
      <c r="GL72" s="443"/>
      <c r="GM72" s="443"/>
      <c r="GN72" s="443"/>
      <c r="GO72" s="443"/>
      <c r="GP72" s="443"/>
      <c r="GQ72" s="443"/>
      <c r="GR72" s="443"/>
      <c r="GS72" s="443"/>
      <c r="GT72" s="443"/>
      <c r="GU72" s="443"/>
      <c r="GV72" s="443"/>
      <c r="GW72" s="443"/>
      <c r="GX72" s="443"/>
      <c r="GY72" s="443"/>
      <c r="GZ72" s="443"/>
      <c r="HA72" s="443"/>
      <c r="HB72" s="443"/>
      <c r="HC72" s="443"/>
      <c r="HD72" s="443"/>
      <c r="HE72" s="443"/>
      <c r="HF72" s="443"/>
      <c r="HG72" s="443"/>
      <c r="HH72" s="443"/>
      <c r="HI72" s="443"/>
      <c r="HJ72" s="443"/>
      <c r="HK72" s="443"/>
      <c r="HL72" s="443"/>
      <c r="HM72" s="443"/>
      <c r="HN72" s="443"/>
      <c r="HO72" s="443"/>
      <c r="HP72" s="443"/>
      <c r="HQ72" s="443"/>
      <c r="HR72" s="443"/>
      <c r="HS72" s="443"/>
      <c r="HT72" s="443"/>
      <c r="HU72" s="443"/>
      <c r="HV72" s="443"/>
      <c r="HW72" s="443"/>
      <c r="HX72" s="443"/>
      <c r="HY72" s="443"/>
      <c r="HZ72" s="443"/>
      <c r="IA72" s="443"/>
      <c r="IB72" s="443"/>
      <c r="IC72" s="443"/>
      <c r="ID72" s="443"/>
      <c r="IE72" s="443"/>
      <c r="IF72" s="443"/>
      <c r="IG72" s="443"/>
      <c r="IH72" s="443"/>
      <c r="II72" s="443"/>
      <c r="IJ72" s="443"/>
      <c r="IK72" s="443"/>
      <c r="IL72" s="443"/>
      <c r="IM72" s="443"/>
      <c r="IN72" s="443"/>
      <c r="IO72" s="443"/>
      <c r="IP72" s="443"/>
      <c r="IQ72" s="443"/>
      <c r="IR72" s="443"/>
      <c r="IS72" s="443"/>
      <c r="IT72" s="443"/>
      <c r="IU72" s="443"/>
      <c r="IV72" s="443"/>
      <c r="IW72" s="443"/>
      <c r="IX72" s="443"/>
      <c r="IY72" s="443"/>
      <c r="IZ72" s="443"/>
      <c r="JA72" s="443"/>
      <c r="JB72" s="443"/>
      <c r="JC72" s="443"/>
      <c r="JD72" s="443"/>
      <c r="JE72" s="443"/>
      <c r="JF72" s="443"/>
      <c r="JG72" s="443"/>
      <c r="JH72" s="443"/>
      <c r="JI72" s="443"/>
      <c r="JJ72" s="443"/>
      <c r="JK72" s="443"/>
      <c r="JL72" s="443"/>
      <c r="JM72" s="443"/>
      <c r="JN72" s="443"/>
      <c r="JO72" s="443"/>
      <c r="JP72" s="443"/>
      <c r="JQ72" s="443"/>
      <c r="JR72" s="443"/>
      <c r="JS72" s="443"/>
      <c r="JT72" s="443"/>
      <c r="JU72" s="443"/>
      <c r="JV72" s="443"/>
      <c r="JW72" s="443"/>
      <c r="JX72" s="443"/>
      <c r="JY72" s="443"/>
      <c r="JZ72" s="443"/>
      <c r="KA72" s="443"/>
      <c r="KB72" s="443"/>
      <c r="KC72" s="443"/>
      <c r="KD72" s="443"/>
      <c r="KE72" s="443"/>
      <c r="KF72" s="443"/>
      <c r="KG72" s="443"/>
      <c r="KH72" s="443"/>
      <c r="KI72" s="443"/>
      <c r="KJ72" s="443"/>
      <c r="KK72" s="443"/>
      <c r="KL72" s="443"/>
      <c r="KM72" s="443"/>
      <c r="KN72" s="443"/>
      <c r="KO72" s="443"/>
      <c r="KP72" s="443"/>
      <c r="KQ72" s="443"/>
      <c r="KR72" s="443"/>
      <c r="KS72" s="443"/>
      <c r="KT72" s="443"/>
      <c r="KU72" s="443"/>
      <c r="KV72" s="443"/>
      <c r="KW72" s="443"/>
      <c r="KX72" s="443"/>
      <c r="KY72" s="443"/>
      <c r="KZ72" s="443"/>
      <c r="LA72" s="443"/>
      <c r="LB72" s="443"/>
      <c r="LC72" s="443"/>
      <c r="LD72" s="443"/>
      <c r="LE72" s="443"/>
      <c r="LF72" s="443"/>
      <c r="LG72" s="443"/>
      <c r="LH72" s="443"/>
      <c r="LI72" s="443"/>
      <c r="LJ72" s="443"/>
      <c r="LK72" s="443"/>
      <c r="LL72" s="443"/>
      <c r="LM72" s="443"/>
      <c r="LN72" s="443"/>
      <c r="LO72" s="443"/>
      <c r="LP72" s="443"/>
      <c r="LQ72" s="443"/>
      <c r="LR72" s="443"/>
      <c r="LS72" s="443"/>
      <c r="LT72" s="443"/>
      <c r="LU72" s="443"/>
      <c r="LV72" s="443"/>
      <c r="LW72" s="443"/>
      <c r="LX72" s="443"/>
      <c r="LY72" s="443"/>
      <c r="LZ72" s="443"/>
      <c r="MA72" s="443"/>
      <c r="MB72" s="443"/>
      <c r="MC72" s="443"/>
      <c r="MD72" s="443"/>
      <c r="ME72" s="443"/>
      <c r="MF72" s="443"/>
      <c r="MG72" s="443"/>
      <c r="MH72" s="443"/>
      <c r="MI72" s="443"/>
      <c r="MJ72" s="443"/>
      <c r="MK72" s="443"/>
      <c r="ML72" s="443"/>
      <c r="MM72" s="443"/>
      <c r="MN72" s="443"/>
      <c r="MO72" s="443"/>
      <c r="MP72" s="443"/>
      <c r="MQ72" s="443"/>
      <c r="MR72" s="443"/>
      <c r="MS72" s="443"/>
      <c r="MT72" s="443"/>
      <c r="MU72" s="443"/>
      <c r="MV72" s="443"/>
      <c r="MW72" s="443"/>
      <c r="MX72" s="443"/>
      <c r="MY72" s="443"/>
      <c r="MZ72" s="443"/>
      <c r="NA72" s="443"/>
      <c r="NB72" s="443"/>
      <c r="NC72" s="443"/>
      <c r="ND72" s="443"/>
      <c r="NE72" s="443"/>
      <c r="NF72" s="443"/>
      <c r="NG72" s="443"/>
      <c r="NH72" s="443"/>
      <c r="NI72" s="443"/>
      <c r="NJ72" s="443"/>
      <c r="NK72" s="443"/>
      <c r="NL72" s="443"/>
      <c r="NM72" s="443"/>
      <c r="NN72" s="443"/>
      <c r="NO72" s="443"/>
      <c r="NP72" s="443"/>
      <c r="NQ72" s="443"/>
      <c r="NR72" s="443"/>
      <c r="NS72" s="443"/>
      <c r="NT72" s="443"/>
      <c r="NU72" s="443"/>
      <c r="NV72" s="443"/>
      <c r="NW72" s="443"/>
      <c r="NX72" s="443"/>
      <c r="NY72" s="443"/>
      <c r="NZ72" s="443"/>
      <c r="OA72" s="443"/>
      <c r="OB72" s="443"/>
      <c r="OC72" s="443"/>
      <c r="OD72" s="443"/>
      <c r="OE72" s="443"/>
      <c r="OF72" s="443"/>
      <c r="OG72" s="443"/>
      <c r="OH72" s="443"/>
      <c r="OI72" s="443"/>
      <c r="OJ72" s="443"/>
      <c r="OK72" s="443"/>
      <c r="OL72" s="443"/>
      <c r="OM72" s="443"/>
      <c r="ON72" s="443"/>
      <c r="OO72" s="443"/>
      <c r="OP72" s="443"/>
      <c r="OQ72" s="443"/>
      <c r="OR72" s="443"/>
      <c r="OS72" s="443"/>
      <c r="OT72" s="443"/>
      <c r="OU72" s="443"/>
      <c r="OV72" s="443"/>
      <c r="OW72" s="443"/>
      <c r="OX72" s="443"/>
      <c r="OY72" s="443"/>
      <c r="OZ72" s="443"/>
      <c r="PA72" s="443"/>
      <c r="PB72" s="443"/>
      <c r="PC72" s="443"/>
      <c r="PD72" s="443"/>
      <c r="PE72" s="443"/>
      <c r="PF72" s="443"/>
      <c r="PG72" s="443"/>
      <c r="PH72" s="443"/>
      <c r="PI72" s="443"/>
      <c r="PJ72" s="443"/>
      <c r="PK72" s="443"/>
      <c r="PL72" s="443"/>
      <c r="PM72" s="443"/>
      <c r="PN72" s="443"/>
      <c r="PO72" s="443"/>
      <c r="PP72" s="443"/>
      <c r="PQ72" s="443"/>
      <c r="PR72" s="443"/>
      <c r="PS72" s="443"/>
      <c r="PT72" s="443"/>
      <c r="PU72" s="443"/>
      <c r="PV72" s="443"/>
      <c r="PW72" s="443"/>
      <c r="PX72" s="443"/>
      <c r="PY72" s="443"/>
      <c r="PZ72" s="443"/>
      <c r="QA72" s="443"/>
      <c r="QB72" s="443"/>
      <c r="QC72" s="443"/>
      <c r="QD72" s="443"/>
      <c r="QE72" s="443"/>
      <c r="QF72" s="443"/>
      <c r="QG72" s="443"/>
      <c r="QH72" s="443"/>
      <c r="QI72" s="443"/>
      <c r="QJ72" s="443"/>
      <c r="QK72" s="443"/>
      <c r="QL72" s="443"/>
      <c r="QM72" s="443"/>
      <c r="QN72" s="443"/>
      <c r="QO72" s="443"/>
      <c r="QP72" s="443"/>
      <c r="QQ72" s="443"/>
      <c r="QR72" s="443"/>
      <c r="QS72" s="443"/>
      <c r="QT72" s="443"/>
      <c r="QU72" s="443"/>
      <c r="QV72" s="443"/>
      <c r="QW72" s="443"/>
      <c r="QX72" s="443"/>
      <c r="QY72" s="443"/>
      <c r="QZ72" s="443"/>
      <c r="RA72" s="443"/>
      <c r="RB72" s="443"/>
      <c r="RC72" s="443"/>
      <c r="RD72" s="443"/>
      <c r="RE72" s="443"/>
      <c r="RF72" s="443"/>
      <c r="RG72" s="443"/>
      <c r="RH72" s="443"/>
      <c r="RI72" s="443"/>
      <c r="RJ72" s="443"/>
      <c r="RK72" s="443"/>
      <c r="RL72" s="443"/>
      <c r="RM72" s="443"/>
      <c r="RN72" s="443"/>
      <c r="RO72" s="443"/>
      <c r="RP72" s="443"/>
      <c r="RQ72" s="443"/>
      <c r="RR72" s="443"/>
      <c r="RS72" s="443"/>
      <c r="RT72" s="443"/>
      <c r="RU72" s="443"/>
      <c r="RV72" s="443"/>
      <c r="RW72" s="443"/>
      <c r="RX72" s="443"/>
      <c r="RY72" s="443"/>
      <c r="RZ72" s="443"/>
      <c r="SA72" s="443"/>
      <c r="SB72" s="443"/>
      <c r="SC72" s="443"/>
      <c r="SD72" s="443"/>
      <c r="SE72" s="443"/>
      <c r="SF72" s="443"/>
      <c r="SG72" s="443"/>
      <c r="SH72" s="443"/>
      <c r="SI72" s="443"/>
      <c r="SJ72" s="443"/>
      <c r="SK72" s="443"/>
      <c r="SL72" s="443"/>
      <c r="SM72" s="443"/>
      <c r="SN72" s="443"/>
      <c r="SO72" s="443"/>
      <c r="SP72" s="443"/>
      <c r="SQ72" s="443"/>
      <c r="SR72" s="443"/>
      <c r="SS72" s="443"/>
      <c r="ST72" s="443"/>
      <c r="SU72" s="443"/>
      <c r="SV72" s="443"/>
      <c r="SW72" s="443"/>
      <c r="SX72" s="443"/>
      <c r="SY72" s="443"/>
      <c r="SZ72" s="443"/>
      <c r="TA72" s="443"/>
      <c r="TB72" s="443"/>
      <c r="TC72" s="443"/>
      <c r="TD72" s="443"/>
      <c r="TE72" s="443"/>
      <c r="TF72" s="443"/>
      <c r="TG72" s="443"/>
      <c r="TH72" s="443"/>
      <c r="TI72" s="443"/>
      <c r="TJ72" s="443"/>
      <c r="TK72" s="443"/>
      <c r="TL72" s="443"/>
      <c r="TM72" s="443"/>
      <c r="TN72" s="443"/>
      <c r="TO72" s="443"/>
      <c r="TP72" s="443"/>
      <c r="TQ72" s="443"/>
      <c r="TR72" s="443"/>
      <c r="TS72" s="443"/>
      <c r="TT72" s="443"/>
      <c r="TU72" s="443"/>
      <c r="TV72" s="443"/>
      <c r="TW72" s="443"/>
      <c r="TX72" s="443"/>
      <c r="TY72" s="443"/>
      <c r="TZ72" s="443"/>
      <c r="UA72" s="443"/>
      <c r="UB72" s="443"/>
      <c r="UC72" s="443"/>
      <c r="UD72" s="443"/>
      <c r="UE72" s="443"/>
      <c r="UF72" s="443"/>
      <c r="UG72" s="443"/>
      <c r="UH72" s="443"/>
      <c r="UI72" s="443"/>
      <c r="UJ72" s="443"/>
      <c r="UK72" s="443"/>
      <c r="UL72" s="443"/>
      <c r="UM72" s="443"/>
      <c r="UN72" s="443"/>
      <c r="UO72" s="443"/>
      <c r="UP72" s="443"/>
      <c r="UQ72" s="443"/>
      <c r="UR72" s="443"/>
      <c r="US72" s="443"/>
      <c r="UT72" s="443"/>
      <c r="UU72" s="443"/>
      <c r="UV72" s="443"/>
      <c r="UW72" s="443"/>
      <c r="UX72" s="443"/>
      <c r="UY72" s="443"/>
      <c r="UZ72" s="443"/>
      <c r="VA72" s="443"/>
      <c r="VB72" s="443"/>
      <c r="VC72" s="443"/>
      <c r="VD72" s="443"/>
      <c r="VE72" s="443"/>
      <c r="VF72" s="443"/>
      <c r="VG72" s="443"/>
      <c r="VH72" s="443"/>
      <c r="VI72" s="443"/>
      <c r="VJ72" s="443"/>
      <c r="VK72" s="443"/>
      <c r="VL72" s="443"/>
      <c r="VM72" s="443"/>
      <c r="VN72" s="443"/>
      <c r="VO72" s="443"/>
      <c r="VP72" s="443"/>
      <c r="VQ72" s="443"/>
      <c r="VR72" s="443"/>
      <c r="VS72" s="443"/>
      <c r="VT72" s="443"/>
      <c r="VU72" s="443"/>
      <c r="VV72" s="443"/>
      <c r="VW72" s="443"/>
      <c r="VX72" s="443"/>
      <c r="VY72" s="443"/>
      <c r="VZ72" s="443"/>
      <c r="WA72" s="443"/>
      <c r="WB72" s="443"/>
      <c r="WC72" s="443"/>
      <c r="WD72" s="443"/>
      <c r="WE72" s="443"/>
      <c r="WF72" s="443"/>
      <c r="WG72" s="443"/>
      <c r="WH72" s="443"/>
      <c r="WI72" s="443"/>
      <c r="WJ72" s="443"/>
      <c r="WK72" s="443"/>
      <c r="WL72" s="443"/>
      <c r="WM72" s="443"/>
      <c r="WN72" s="443"/>
      <c r="WO72" s="443"/>
      <c r="WP72" s="443"/>
      <c r="WQ72" s="443"/>
      <c r="WR72" s="443"/>
      <c r="WS72" s="443"/>
      <c r="WT72" s="443"/>
      <c r="WU72" s="443"/>
      <c r="WV72" s="443"/>
      <c r="WW72" s="443"/>
      <c r="WX72" s="443"/>
      <c r="WY72" s="443"/>
      <c r="WZ72" s="443"/>
      <c r="XA72" s="443"/>
      <c r="XB72" s="443"/>
      <c r="XC72" s="443"/>
      <c r="XD72" s="443"/>
      <c r="XE72" s="443"/>
      <c r="XF72" s="443"/>
      <c r="XG72" s="443"/>
      <c r="XH72" s="443"/>
      <c r="XI72" s="443"/>
      <c r="XJ72" s="443"/>
      <c r="XK72" s="443"/>
      <c r="XL72" s="443"/>
      <c r="XM72" s="443"/>
      <c r="XN72" s="443"/>
      <c r="XO72" s="443"/>
      <c r="XP72" s="443"/>
      <c r="XQ72" s="443"/>
      <c r="XR72" s="443"/>
      <c r="XS72" s="443"/>
      <c r="XT72" s="443"/>
      <c r="XU72" s="443"/>
      <c r="XV72" s="443"/>
      <c r="XW72" s="443"/>
      <c r="XX72" s="443"/>
      <c r="XY72" s="443"/>
      <c r="XZ72" s="443"/>
      <c r="YA72" s="443"/>
      <c r="YB72" s="443"/>
      <c r="YC72" s="443"/>
      <c r="YD72" s="443"/>
      <c r="YE72" s="443"/>
      <c r="YF72" s="443"/>
      <c r="YG72" s="443"/>
      <c r="YH72" s="443"/>
      <c r="YI72" s="443"/>
      <c r="YJ72" s="443"/>
      <c r="YK72" s="443"/>
      <c r="YL72" s="443"/>
      <c r="YM72" s="443"/>
      <c r="YN72" s="443"/>
      <c r="YO72" s="443"/>
      <c r="YP72" s="443"/>
      <c r="YQ72" s="443"/>
      <c r="YR72" s="443"/>
      <c r="YS72" s="443"/>
      <c r="YT72" s="443"/>
      <c r="YU72" s="443"/>
      <c r="YV72" s="443"/>
      <c r="YW72" s="443"/>
      <c r="YX72" s="443"/>
      <c r="YY72" s="443"/>
      <c r="YZ72" s="443"/>
      <c r="ZA72" s="443"/>
      <c r="ZB72" s="443"/>
      <c r="ZC72" s="443"/>
      <c r="ZD72" s="443"/>
      <c r="ZE72" s="443"/>
      <c r="ZF72" s="443"/>
      <c r="ZG72" s="443"/>
      <c r="ZH72" s="443"/>
      <c r="ZI72" s="443"/>
      <c r="ZJ72" s="443"/>
      <c r="ZK72" s="443"/>
      <c r="ZL72" s="443"/>
      <c r="ZM72" s="443"/>
      <c r="ZN72" s="443"/>
      <c r="ZO72" s="443"/>
      <c r="ZP72" s="443"/>
      <c r="ZQ72" s="443"/>
      <c r="ZR72" s="443"/>
      <c r="ZS72" s="443"/>
      <c r="ZT72" s="443"/>
      <c r="ZU72" s="443"/>
      <c r="ZV72" s="443"/>
      <c r="ZW72" s="443"/>
      <c r="ZX72" s="443"/>
      <c r="ZY72" s="443"/>
      <c r="ZZ72" s="443"/>
      <c r="AAA72" s="443"/>
      <c r="AAB72" s="443"/>
      <c r="AAC72" s="443"/>
      <c r="AAD72" s="443"/>
      <c r="AAE72" s="443"/>
      <c r="AAF72" s="443"/>
      <c r="AAG72" s="443"/>
      <c r="AAH72" s="443"/>
      <c r="AAI72" s="443"/>
      <c r="AAJ72" s="443"/>
      <c r="AAK72" s="443"/>
      <c r="AAL72" s="443"/>
      <c r="AAM72" s="443"/>
      <c r="AAN72" s="443"/>
      <c r="AAO72" s="443"/>
      <c r="AAP72" s="443"/>
      <c r="AAQ72" s="443"/>
      <c r="AAR72" s="443"/>
      <c r="AAS72" s="443"/>
      <c r="AAT72" s="443"/>
      <c r="AAU72" s="443"/>
      <c r="AAV72" s="443"/>
      <c r="AAW72" s="443"/>
      <c r="AAX72" s="443"/>
      <c r="AAY72" s="443"/>
      <c r="AAZ72" s="443"/>
      <c r="ABA72" s="443"/>
      <c r="ABB72" s="443"/>
      <c r="ABC72" s="443"/>
      <c r="ABD72" s="443"/>
      <c r="ABE72" s="443"/>
      <c r="ABF72" s="443"/>
      <c r="ABG72" s="443"/>
      <c r="ABH72" s="443"/>
      <c r="ABI72" s="443"/>
      <c r="ABJ72" s="443"/>
      <c r="ABK72" s="443"/>
      <c r="ABL72" s="443"/>
      <c r="ABM72" s="443"/>
      <c r="ABN72" s="443"/>
      <c r="ABO72" s="443"/>
      <c r="ABP72" s="443"/>
      <c r="ABQ72" s="443"/>
      <c r="ABR72" s="443"/>
      <c r="ABS72" s="443"/>
      <c r="ABT72" s="443"/>
      <c r="ABU72" s="443"/>
      <c r="ABV72" s="443"/>
      <c r="ABW72" s="443"/>
      <c r="ABX72" s="443"/>
      <c r="ABY72" s="443"/>
      <c r="ABZ72" s="443"/>
      <c r="ACA72" s="443"/>
      <c r="ACB72" s="443"/>
      <c r="ACC72" s="443"/>
      <c r="ACD72" s="443"/>
      <c r="ACE72" s="443"/>
      <c r="ACF72" s="443"/>
      <c r="ACG72" s="443"/>
      <c r="ACH72" s="443"/>
      <c r="ACI72" s="443"/>
      <c r="ACJ72" s="443"/>
      <c r="ACK72" s="443"/>
      <c r="ACL72" s="443"/>
      <c r="ACM72" s="443"/>
      <c r="ACN72" s="443"/>
      <c r="ACO72" s="443"/>
      <c r="ACP72" s="443"/>
      <c r="ACQ72" s="443"/>
      <c r="ACR72" s="443"/>
      <c r="ACS72" s="443"/>
      <c r="ACT72" s="443"/>
      <c r="ACU72" s="443"/>
      <c r="ACV72" s="443"/>
      <c r="ACW72" s="443"/>
      <c r="ACX72" s="443"/>
      <c r="ACY72" s="443"/>
      <c r="ACZ72" s="443"/>
      <c r="ADA72" s="443"/>
      <c r="ADB72" s="443"/>
      <c r="ADC72" s="443"/>
      <c r="ADD72" s="443"/>
      <c r="ADE72" s="443"/>
      <c r="ADF72" s="443"/>
      <c r="ADG72" s="443"/>
      <c r="ADH72" s="443"/>
      <c r="ADI72" s="443"/>
      <c r="ADJ72" s="443"/>
      <c r="ADK72" s="443"/>
      <c r="ADL72" s="443"/>
      <c r="ADM72" s="443"/>
      <c r="ADN72" s="443"/>
      <c r="ADO72" s="443"/>
      <c r="ADP72" s="443"/>
      <c r="ADQ72" s="443"/>
      <c r="ADR72" s="443"/>
      <c r="ADS72" s="443"/>
      <c r="ADT72" s="443"/>
      <c r="ADU72" s="443"/>
      <c r="ADV72" s="443"/>
      <c r="ADW72" s="443"/>
      <c r="ADX72" s="443"/>
      <c r="ADY72" s="443"/>
      <c r="ADZ72" s="443"/>
      <c r="AEA72" s="443"/>
      <c r="AEB72" s="443"/>
      <c r="AEC72" s="443"/>
      <c r="AED72" s="443"/>
      <c r="AEE72" s="443"/>
      <c r="AEF72" s="443"/>
      <c r="AEG72" s="443"/>
      <c r="AEH72" s="443"/>
      <c r="AEI72" s="443"/>
      <c r="AEJ72" s="443"/>
      <c r="AEK72" s="443"/>
      <c r="AEL72" s="443"/>
      <c r="AEM72" s="443"/>
      <c r="AEN72" s="443"/>
      <c r="AEO72" s="443"/>
      <c r="AEP72" s="443"/>
      <c r="AEQ72" s="443"/>
      <c r="AER72" s="443"/>
      <c r="AES72" s="443"/>
      <c r="AET72" s="443"/>
      <c r="AEU72" s="443"/>
      <c r="AEV72" s="443"/>
      <c r="AEW72" s="443"/>
      <c r="AEX72" s="443"/>
      <c r="AEY72" s="443"/>
      <c r="AEZ72" s="443"/>
      <c r="AFA72" s="443"/>
      <c r="AFB72" s="443"/>
      <c r="AFC72" s="443"/>
      <c r="AFD72" s="443"/>
      <c r="AFE72" s="443"/>
      <c r="AFF72" s="443"/>
      <c r="AFG72" s="443"/>
      <c r="AFH72" s="443"/>
      <c r="AFI72" s="443"/>
      <c r="AFJ72" s="443"/>
      <c r="AFK72" s="443"/>
      <c r="AFL72" s="443"/>
      <c r="AFM72" s="443"/>
      <c r="AFN72" s="443"/>
      <c r="AFO72" s="443"/>
      <c r="AFP72" s="443"/>
      <c r="AFQ72" s="443"/>
      <c r="AFR72" s="443"/>
      <c r="AFS72" s="443"/>
      <c r="AFT72" s="443"/>
      <c r="AFU72" s="443"/>
      <c r="AFV72" s="443"/>
      <c r="AFW72" s="443"/>
      <c r="AFX72" s="443"/>
      <c r="AFY72" s="443"/>
      <c r="AFZ72" s="443"/>
      <c r="AGA72" s="443"/>
      <c r="AGB72" s="443"/>
      <c r="AGC72" s="443"/>
      <c r="AGD72" s="443"/>
      <c r="AGE72" s="443"/>
      <c r="AGF72" s="443"/>
      <c r="AGG72" s="443"/>
      <c r="AGH72" s="443"/>
      <c r="AGI72" s="443"/>
      <c r="AGJ72" s="443"/>
    </row>
    <row r="73" spans="1:868" s="1" customFormat="1">
      <c r="A73" s="653" t="s">
        <v>127</v>
      </c>
      <c r="B73" s="800" t="s">
        <v>463</v>
      </c>
      <c r="C73" s="34" t="s">
        <v>147</v>
      </c>
      <c r="D73" s="122" t="s">
        <v>107</v>
      </c>
      <c r="E73" s="638">
        <f t="shared" si="22"/>
        <v>4.6596254548681999E-2</v>
      </c>
      <c r="F73" s="9">
        <v>1</v>
      </c>
      <c r="G73" s="9" t="s">
        <v>451</v>
      </c>
      <c r="H73" s="10">
        <v>1</v>
      </c>
      <c r="I73" s="10">
        <v>2</v>
      </c>
      <c r="J73" s="10">
        <v>2</v>
      </c>
      <c r="K73" s="10">
        <v>1</v>
      </c>
      <c r="L73" s="10">
        <v>1</v>
      </c>
      <c r="M73" s="10">
        <v>2</v>
      </c>
      <c r="N73" s="411">
        <f t="shared" si="25"/>
        <v>0.35859414261160716</v>
      </c>
      <c r="O73" s="411">
        <f t="shared" si="26"/>
        <v>0.37356464144298934</v>
      </c>
      <c r="P73" s="43"/>
      <c r="Q73" s="443"/>
      <c r="R73" s="443"/>
      <c r="S73" s="443"/>
      <c r="T73" s="443"/>
      <c r="U73" s="443"/>
      <c r="V73" s="443"/>
      <c r="W73" s="443"/>
      <c r="X73" s="443"/>
      <c r="Y73" s="443"/>
      <c r="Z73" s="443"/>
      <c r="AA73" s="443"/>
      <c r="AB73" s="443"/>
      <c r="AC73" s="443"/>
      <c r="AD73" s="443"/>
      <c r="AE73" s="443"/>
      <c r="AF73" s="443"/>
      <c r="AG73" s="443"/>
      <c r="AH73" s="443"/>
      <c r="AI73" s="443"/>
      <c r="AJ73" s="443"/>
      <c r="AK73" s="443"/>
      <c r="AL73" s="443"/>
      <c r="AM73" s="443"/>
      <c r="AN73" s="443"/>
      <c r="AO73" s="443"/>
      <c r="AP73" s="443"/>
      <c r="AQ73" s="443"/>
      <c r="AR73" s="443"/>
      <c r="AS73" s="443"/>
      <c r="AT73" s="443"/>
      <c r="AU73" s="443"/>
      <c r="AV73" s="443"/>
      <c r="AW73" s="443"/>
      <c r="AX73" s="443"/>
      <c r="AY73" s="443"/>
      <c r="AZ73" s="443"/>
      <c r="BA73" s="443"/>
      <c r="BB73" s="443"/>
      <c r="BC73" s="443"/>
      <c r="BD73" s="443"/>
      <c r="BE73" s="443"/>
      <c r="BF73" s="443"/>
      <c r="BG73" s="443"/>
      <c r="BH73" s="443"/>
      <c r="BI73" s="443"/>
      <c r="BJ73" s="443"/>
      <c r="BK73" s="443"/>
      <c r="BL73" s="443"/>
      <c r="BM73" s="443"/>
      <c r="BN73" s="443"/>
      <c r="BO73" s="443"/>
      <c r="BP73" s="443"/>
      <c r="BQ73" s="443"/>
      <c r="BR73" s="443"/>
      <c r="BS73" s="443"/>
      <c r="BT73" s="443"/>
      <c r="BU73" s="443"/>
      <c r="BV73" s="443"/>
      <c r="BW73" s="443"/>
      <c r="BX73" s="443"/>
      <c r="BY73" s="443"/>
      <c r="BZ73" s="443"/>
      <c r="CA73" s="443"/>
      <c r="CB73" s="443"/>
      <c r="CC73" s="443"/>
      <c r="CD73" s="443"/>
      <c r="CE73" s="443"/>
      <c r="CF73" s="443"/>
      <c r="CG73" s="443"/>
      <c r="CH73" s="443"/>
      <c r="CI73" s="443"/>
      <c r="CJ73" s="443"/>
      <c r="CK73" s="443"/>
      <c r="CL73" s="443"/>
      <c r="CM73" s="443"/>
      <c r="CN73" s="443"/>
      <c r="CO73" s="443"/>
      <c r="CP73" s="443"/>
      <c r="CQ73" s="443"/>
      <c r="CR73" s="443"/>
      <c r="CS73" s="443"/>
      <c r="CT73" s="443"/>
      <c r="CU73" s="443"/>
      <c r="CV73" s="443"/>
      <c r="CW73" s="443"/>
      <c r="CX73" s="443"/>
      <c r="CY73" s="443"/>
      <c r="CZ73" s="443"/>
      <c r="DA73" s="443"/>
      <c r="DB73" s="443"/>
      <c r="DC73" s="443"/>
      <c r="DD73" s="443"/>
      <c r="DE73" s="443"/>
      <c r="DF73" s="443"/>
      <c r="DG73" s="443"/>
      <c r="DH73" s="443"/>
      <c r="DI73" s="443"/>
      <c r="DJ73" s="443"/>
      <c r="DK73" s="443"/>
      <c r="DL73" s="443"/>
      <c r="DM73" s="443"/>
      <c r="DN73" s="443"/>
      <c r="DO73" s="443"/>
      <c r="DP73" s="443"/>
      <c r="DQ73" s="443"/>
      <c r="DR73" s="443"/>
      <c r="DS73" s="443"/>
      <c r="DT73" s="443"/>
      <c r="DU73" s="443"/>
      <c r="DV73" s="443"/>
      <c r="DW73" s="443"/>
      <c r="DX73" s="443"/>
      <c r="DY73" s="443"/>
      <c r="DZ73" s="443"/>
      <c r="EA73" s="443"/>
      <c r="EB73" s="443"/>
      <c r="EC73" s="443"/>
      <c r="ED73" s="443"/>
      <c r="EE73" s="443"/>
      <c r="EF73" s="443"/>
      <c r="EG73" s="443"/>
      <c r="EH73" s="443"/>
      <c r="EI73" s="443"/>
      <c r="EJ73" s="443"/>
      <c r="EK73" s="443"/>
      <c r="EL73" s="443"/>
      <c r="EM73" s="443"/>
      <c r="EN73" s="443"/>
      <c r="EO73" s="443"/>
      <c r="EP73" s="443"/>
      <c r="EQ73" s="443"/>
      <c r="ER73" s="443"/>
      <c r="ES73" s="443"/>
      <c r="ET73" s="443"/>
      <c r="EU73" s="443"/>
      <c r="EV73" s="443"/>
      <c r="EW73" s="443"/>
      <c r="EX73" s="443"/>
      <c r="EY73" s="443"/>
      <c r="EZ73" s="443"/>
      <c r="FA73" s="443"/>
      <c r="FB73" s="443"/>
      <c r="FC73" s="443"/>
      <c r="FD73" s="443"/>
      <c r="FE73" s="443"/>
      <c r="FF73" s="443"/>
      <c r="FG73" s="443"/>
      <c r="FH73" s="443"/>
      <c r="FI73" s="443"/>
      <c r="FJ73" s="443"/>
      <c r="FK73" s="443"/>
      <c r="FL73" s="443"/>
      <c r="FM73" s="443"/>
      <c r="FN73" s="443"/>
      <c r="FO73" s="443"/>
      <c r="FP73" s="443"/>
      <c r="FQ73" s="443"/>
      <c r="FR73" s="443"/>
      <c r="FS73" s="443"/>
      <c r="FT73" s="443"/>
      <c r="FU73" s="443"/>
      <c r="FV73" s="443"/>
      <c r="FW73" s="443"/>
      <c r="FX73" s="443"/>
      <c r="FY73" s="443"/>
      <c r="FZ73" s="443"/>
      <c r="GA73" s="443"/>
      <c r="GB73" s="443"/>
      <c r="GC73" s="443"/>
      <c r="GD73" s="443"/>
      <c r="GE73" s="443"/>
      <c r="GF73" s="443"/>
      <c r="GG73" s="443"/>
      <c r="GH73" s="443"/>
      <c r="GI73" s="443"/>
      <c r="GJ73" s="443"/>
      <c r="GK73" s="443"/>
      <c r="GL73" s="443"/>
      <c r="GM73" s="443"/>
      <c r="GN73" s="443"/>
      <c r="GO73" s="443"/>
      <c r="GP73" s="443"/>
      <c r="GQ73" s="443"/>
      <c r="GR73" s="443"/>
      <c r="GS73" s="443"/>
      <c r="GT73" s="443"/>
      <c r="GU73" s="443"/>
      <c r="GV73" s="443"/>
      <c r="GW73" s="443"/>
      <c r="GX73" s="443"/>
      <c r="GY73" s="443"/>
      <c r="GZ73" s="443"/>
      <c r="HA73" s="443"/>
      <c r="HB73" s="443"/>
      <c r="HC73" s="443"/>
      <c r="HD73" s="443"/>
      <c r="HE73" s="443"/>
      <c r="HF73" s="443"/>
      <c r="HG73" s="443"/>
      <c r="HH73" s="443"/>
      <c r="HI73" s="443"/>
      <c r="HJ73" s="443"/>
      <c r="HK73" s="443"/>
      <c r="HL73" s="443"/>
      <c r="HM73" s="443"/>
      <c r="HN73" s="443"/>
      <c r="HO73" s="443"/>
      <c r="HP73" s="443"/>
      <c r="HQ73" s="443"/>
      <c r="HR73" s="443"/>
      <c r="HS73" s="443"/>
      <c r="HT73" s="443"/>
      <c r="HU73" s="443"/>
      <c r="HV73" s="443"/>
      <c r="HW73" s="443"/>
      <c r="HX73" s="443"/>
      <c r="HY73" s="443"/>
      <c r="HZ73" s="443"/>
      <c r="IA73" s="443"/>
      <c r="IB73" s="443"/>
      <c r="IC73" s="443"/>
      <c r="ID73" s="443"/>
      <c r="IE73" s="443"/>
      <c r="IF73" s="443"/>
      <c r="IG73" s="443"/>
      <c r="IH73" s="443"/>
      <c r="II73" s="443"/>
      <c r="IJ73" s="443"/>
      <c r="IK73" s="443"/>
      <c r="IL73" s="443"/>
      <c r="IM73" s="443"/>
      <c r="IN73" s="443"/>
      <c r="IO73" s="443"/>
      <c r="IP73" s="443"/>
      <c r="IQ73" s="443"/>
      <c r="IR73" s="443"/>
      <c r="IS73" s="443"/>
      <c r="IT73" s="443"/>
      <c r="IU73" s="443"/>
      <c r="IV73" s="443"/>
      <c r="IW73" s="443"/>
      <c r="IX73" s="443"/>
      <c r="IY73" s="443"/>
      <c r="IZ73" s="443"/>
      <c r="JA73" s="443"/>
      <c r="JB73" s="443"/>
      <c r="JC73" s="443"/>
      <c r="JD73" s="443"/>
      <c r="JE73" s="443"/>
      <c r="JF73" s="443"/>
      <c r="JG73" s="443"/>
      <c r="JH73" s="443"/>
      <c r="JI73" s="443"/>
      <c r="JJ73" s="443"/>
      <c r="JK73" s="443"/>
      <c r="JL73" s="443"/>
      <c r="JM73" s="443"/>
      <c r="JN73" s="443"/>
      <c r="JO73" s="443"/>
      <c r="JP73" s="443"/>
      <c r="JQ73" s="443"/>
      <c r="JR73" s="443"/>
      <c r="JS73" s="443"/>
      <c r="JT73" s="443"/>
      <c r="JU73" s="443"/>
      <c r="JV73" s="443"/>
      <c r="JW73" s="443"/>
      <c r="JX73" s="443"/>
      <c r="JY73" s="443"/>
      <c r="JZ73" s="443"/>
      <c r="KA73" s="443"/>
      <c r="KB73" s="443"/>
      <c r="KC73" s="443"/>
      <c r="KD73" s="443"/>
      <c r="KE73" s="443"/>
      <c r="KF73" s="443"/>
      <c r="KG73" s="443"/>
      <c r="KH73" s="443"/>
      <c r="KI73" s="443"/>
      <c r="KJ73" s="443"/>
      <c r="KK73" s="443"/>
      <c r="KL73" s="443"/>
      <c r="KM73" s="443"/>
      <c r="KN73" s="443"/>
      <c r="KO73" s="443"/>
      <c r="KP73" s="443"/>
      <c r="KQ73" s="443"/>
      <c r="KR73" s="443"/>
      <c r="KS73" s="443"/>
      <c r="KT73" s="443"/>
      <c r="KU73" s="443"/>
      <c r="KV73" s="443"/>
      <c r="KW73" s="443"/>
      <c r="KX73" s="443"/>
      <c r="KY73" s="443"/>
      <c r="KZ73" s="443"/>
      <c r="LA73" s="443"/>
      <c r="LB73" s="443"/>
      <c r="LC73" s="443"/>
      <c r="LD73" s="443"/>
      <c r="LE73" s="443"/>
      <c r="LF73" s="443"/>
      <c r="LG73" s="443"/>
      <c r="LH73" s="443"/>
      <c r="LI73" s="443"/>
      <c r="LJ73" s="443"/>
      <c r="LK73" s="443"/>
      <c r="LL73" s="443"/>
      <c r="LM73" s="443"/>
      <c r="LN73" s="443"/>
      <c r="LO73" s="443"/>
      <c r="LP73" s="443"/>
      <c r="LQ73" s="443"/>
      <c r="LR73" s="443"/>
      <c r="LS73" s="443"/>
      <c r="LT73" s="443"/>
      <c r="LU73" s="443"/>
      <c r="LV73" s="443"/>
      <c r="LW73" s="443"/>
      <c r="LX73" s="443"/>
      <c r="LY73" s="443"/>
      <c r="LZ73" s="443"/>
      <c r="MA73" s="443"/>
      <c r="MB73" s="443"/>
      <c r="MC73" s="443"/>
      <c r="MD73" s="443"/>
      <c r="ME73" s="443"/>
      <c r="MF73" s="443"/>
      <c r="MG73" s="443"/>
      <c r="MH73" s="443"/>
      <c r="MI73" s="443"/>
      <c r="MJ73" s="443"/>
      <c r="MK73" s="443"/>
      <c r="ML73" s="443"/>
      <c r="MM73" s="443"/>
      <c r="MN73" s="443"/>
      <c r="MO73" s="443"/>
      <c r="MP73" s="443"/>
      <c r="MQ73" s="443"/>
      <c r="MR73" s="443"/>
      <c r="MS73" s="443"/>
      <c r="MT73" s="443"/>
      <c r="MU73" s="443"/>
      <c r="MV73" s="443"/>
      <c r="MW73" s="443"/>
      <c r="MX73" s="443"/>
      <c r="MY73" s="443"/>
      <c r="MZ73" s="443"/>
      <c r="NA73" s="443"/>
      <c r="NB73" s="443"/>
      <c r="NC73" s="443"/>
      <c r="ND73" s="443"/>
      <c r="NE73" s="443"/>
      <c r="NF73" s="443"/>
      <c r="NG73" s="443"/>
      <c r="NH73" s="443"/>
      <c r="NI73" s="443"/>
      <c r="NJ73" s="443"/>
      <c r="NK73" s="443"/>
      <c r="NL73" s="443"/>
      <c r="NM73" s="443"/>
      <c r="NN73" s="443"/>
      <c r="NO73" s="443"/>
      <c r="NP73" s="443"/>
      <c r="NQ73" s="443"/>
      <c r="NR73" s="443"/>
      <c r="NS73" s="443"/>
      <c r="NT73" s="443"/>
      <c r="NU73" s="443"/>
      <c r="NV73" s="443"/>
      <c r="NW73" s="443"/>
      <c r="NX73" s="443"/>
      <c r="NY73" s="443"/>
      <c r="NZ73" s="443"/>
      <c r="OA73" s="443"/>
      <c r="OB73" s="443"/>
      <c r="OC73" s="443"/>
      <c r="OD73" s="443"/>
      <c r="OE73" s="443"/>
      <c r="OF73" s="443"/>
      <c r="OG73" s="443"/>
      <c r="OH73" s="443"/>
      <c r="OI73" s="443"/>
      <c r="OJ73" s="443"/>
      <c r="OK73" s="443"/>
      <c r="OL73" s="443"/>
      <c r="OM73" s="443"/>
      <c r="ON73" s="443"/>
      <c r="OO73" s="443"/>
      <c r="OP73" s="443"/>
      <c r="OQ73" s="443"/>
      <c r="OR73" s="443"/>
      <c r="OS73" s="443"/>
      <c r="OT73" s="443"/>
      <c r="OU73" s="443"/>
      <c r="OV73" s="443"/>
      <c r="OW73" s="443"/>
      <c r="OX73" s="443"/>
      <c r="OY73" s="443"/>
      <c r="OZ73" s="443"/>
      <c r="PA73" s="443"/>
      <c r="PB73" s="443"/>
      <c r="PC73" s="443"/>
      <c r="PD73" s="443"/>
      <c r="PE73" s="443"/>
      <c r="PF73" s="443"/>
      <c r="PG73" s="443"/>
      <c r="PH73" s="443"/>
      <c r="PI73" s="443"/>
      <c r="PJ73" s="443"/>
      <c r="PK73" s="443"/>
      <c r="PL73" s="443"/>
      <c r="PM73" s="443"/>
      <c r="PN73" s="443"/>
      <c r="PO73" s="443"/>
      <c r="PP73" s="443"/>
      <c r="PQ73" s="443"/>
      <c r="PR73" s="443"/>
      <c r="PS73" s="443"/>
      <c r="PT73" s="443"/>
      <c r="PU73" s="443"/>
      <c r="PV73" s="443"/>
      <c r="PW73" s="443"/>
      <c r="PX73" s="443"/>
      <c r="PY73" s="443"/>
      <c r="PZ73" s="443"/>
      <c r="QA73" s="443"/>
      <c r="QB73" s="443"/>
      <c r="QC73" s="443"/>
      <c r="QD73" s="443"/>
      <c r="QE73" s="443"/>
      <c r="QF73" s="443"/>
      <c r="QG73" s="443"/>
      <c r="QH73" s="443"/>
      <c r="QI73" s="443"/>
      <c r="QJ73" s="443"/>
      <c r="QK73" s="443"/>
      <c r="QL73" s="443"/>
      <c r="QM73" s="443"/>
      <c r="QN73" s="443"/>
      <c r="QO73" s="443"/>
      <c r="QP73" s="443"/>
      <c r="QQ73" s="443"/>
      <c r="QR73" s="443"/>
      <c r="QS73" s="443"/>
      <c r="QT73" s="443"/>
      <c r="QU73" s="443"/>
      <c r="QV73" s="443"/>
      <c r="QW73" s="443"/>
      <c r="QX73" s="443"/>
      <c r="QY73" s="443"/>
      <c r="QZ73" s="443"/>
      <c r="RA73" s="443"/>
      <c r="RB73" s="443"/>
      <c r="RC73" s="443"/>
      <c r="RD73" s="443"/>
      <c r="RE73" s="443"/>
      <c r="RF73" s="443"/>
      <c r="RG73" s="443"/>
      <c r="RH73" s="443"/>
      <c r="RI73" s="443"/>
      <c r="RJ73" s="443"/>
      <c r="RK73" s="443"/>
      <c r="RL73" s="443"/>
      <c r="RM73" s="443"/>
      <c r="RN73" s="443"/>
      <c r="RO73" s="443"/>
      <c r="RP73" s="443"/>
      <c r="RQ73" s="443"/>
      <c r="RR73" s="443"/>
      <c r="RS73" s="443"/>
      <c r="RT73" s="443"/>
      <c r="RU73" s="443"/>
      <c r="RV73" s="443"/>
      <c r="RW73" s="443"/>
      <c r="RX73" s="443"/>
      <c r="RY73" s="443"/>
      <c r="RZ73" s="443"/>
      <c r="SA73" s="443"/>
      <c r="SB73" s="443"/>
      <c r="SC73" s="443"/>
      <c r="SD73" s="443"/>
      <c r="SE73" s="443"/>
      <c r="SF73" s="443"/>
      <c r="SG73" s="443"/>
      <c r="SH73" s="443"/>
      <c r="SI73" s="443"/>
      <c r="SJ73" s="443"/>
      <c r="SK73" s="443"/>
      <c r="SL73" s="443"/>
      <c r="SM73" s="443"/>
      <c r="SN73" s="443"/>
      <c r="SO73" s="443"/>
      <c r="SP73" s="443"/>
      <c r="SQ73" s="443"/>
      <c r="SR73" s="443"/>
      <c r="SS73" s="443"/>
      <c r="ST73" s="443"/>
      <c r="SU73" s="443"/>
      <c r="SV73" s="443"/>
      <c r="SW73" s="443"/>
      <c r="SX73" s="443"/>
      <c r="SY73" s="443"/>
      <c r="SZ73" s="443"/>
      <c r="TA73" s="443"/>
      <c r="TB73" s="443"/>
      <c r="TC73" s="443"/>
      <c r="TD73" s="443"/>
      <c r="TE73" s="443"/>
      <c r="TF73" s="443"/>
      <c r="TG73" s="443"/>
      <c r="TH73" s="443"/>
      <c r="TI73" s="443"/>
      <c r="TJ73" s="443"/>
      <c r="TK73" s="443"/>
      <c r="TL73" s="443"/>
      <c r="TM73" s="443"/>
      <c r="TN73" s="443"/>
      <c r="TO73" s="443"/>
      <c r="TP73" s="443"/>
      <c r="TQ73" s="443"/>
      <c r="TR73" s="443"/>
      <c r="TS73" s="443"/>
      <c r="TT73" s="443"/>
      <c r="TU73" s="443"/>
      <c r="TV73" s="443"/>
      <c r="TW73" s="443"/>
      <c r="TX73" s="443"/>
      <c r="TY73" s="443"/>
      <c r="TZ73" s="443"/>
      <c r="UA73" s="443"/>
      <c r="UB73" s="443"/>
      <c r="UC73" s="443"/>
      <c r="UD73" s="443"/>
      <c r="UE73" s="443"/>
      <c r="UF73" s="443"/>
      <c r="UG73" s="443"/>
      <c r="UH73" s="443"/>
      <c r="UI73" s="443"/>
      <c r="UJ73" s="443"/>
      <c r="UK73" s="443"/>
      <c r="UL73" s="443"/>
      <c r="UM73" s="443"/>
      <c r="UN73" s="443"/>
      <c r="UO73" s="443"/>
      <c r="UP73" s="443"/>
      <c r="UQ73" s="443"/>
      <c r="UR73" s="443"/>
      <c r="US73" s="443"/>
      <c r="UT73" s="443"/>
      <c r="UU73" s="443"/>
      <c r="UV73" s="443"/>
      <c r="UW73" s="443"/>
      <c r="UX73" s="443"/>
      <c r="UY73" s="443"/>
      <c r="UZ73" s="443"/>
      <c r="VA73" s="443"/>
      <c r="VB73" s="443"/>
      <c r="VC73" s="443"/>
      <c r="VD73" s="443"/>
      <c r="VE73" s="443"/>
      <c r="VF73" s="443"/>
      <c r="VG73" s="443"/>
      <c r="VH73" s="443"/>
      <c r="VI73" s="443"/>
      <c r="VJ73" s="443"/>
      <c r="VK73" s="443"/>
      <c r="VL73" s="443"/>
      <c r="VM73" s="443"/>
      <c r="VN73" s="443"/>
      <c r="VO73" s="443"/>
      <c r="VP73" s="443"/>
      <c r="VQ73" s="443"/>
      <c r="VR73" s="443"/>
      <c r="VS73" s="443"/>
      <c r="VT73" s="443"/>
      <c r="VU73" s="443"/>
      <c r="VV73" s="443"/>
      <c r="VW73" s="443"/>
      <c r="VX73" s="443"/>
      <c r="VY73" s="443"/>
      <c r="VZ73" s="443"/>
      <c r="WA73" s="443"/>
      <c r="WB73" s="443"/>
      <c r="WC73" s="443"/>
      <c r="WD73" s="443"/>
      <c r="WE73" s="443"/>
      <c r="WF73" s="443"/>
      <c r="WG73" s="443"/>
      <c r="WH73" s="443"/>
      <c r="WI73" s="443"/>
      <c r="WJ73" s="443"/>
      <c r="WK73" s="443"/>
      <c r="WL73" s="443"/>
      <c r="WM73" s="443"/>
      <c r="WN73" s="443"/>
      <c r="WO73" s="443"/>
      <c r="WP73" s="443"/>
      <c r="WQ73" s="443"/>
      <c r="WR73" s="443"/>
      <c r="WS73" s="443"/>
      <c r="WT73" s="443"/>
      <c r="WU73" s="443"/>
      <c r="WV73" s="443"/>
      <c r="WW73" s="443"/>
      <c r="WX73" s="443"/>
      <c r="WY73" s="443"/>
      <c r="WZ73" s="443"/>
      <c r="XA73" s="443"/>
      <c r="XB73" s="443"/>
      <c r="XC73" s="443"/>
      <c r="XD73" s="443"/>
      <c r="XE73" s="443"/>
      <c r="XF73" s="443"/>
      <c r="XG73" s="443"/>
      <c r="XH73" s="443"/>
      <c r="XI73" s="443"/>
      <c r="XJ73" s="443"/>
      <c r="XK73" s="443"/>
      <c r="XL73" s="443"/>
      <c r="XM73" s="443"/>
      <c r="XN73" s="443"/>
      <c r="XO73" s="443"/>
      <c r="XP73" s="443"/>
      <c r="XQ73" s="443"/>
      <c r="XR73" s="443"/>
      <c r="XS73" s="443"/>
      <c r="XT73" s="443"/>
      <c r="XU73" s="443"/>
      <c r="XV73" s="443"/>
      <c r="XW73" s="443"/>
      <c r="XX73" s="443"/>
      <c r="XY73" s="443"/>
      <c r="XZ73" s="443"/>
      <c r="YA73" s="443"/>
      <c r="YB73" s="443"/>
      <c r="YC73" s="443"/>
      <c r="YD73" s="443"/>
      <c r="YE73" s="443"/>
      <c r="YF73" s="443"/>
      <c r="YG73" s="443"/>
      <c r="YH73" s="443"/>
      <c r="YI73" s="443"/>
      <c r="YJ73" s="443"/>
      <c r="YK73" s="443"/>
      <c r="YL73" s="443"/>
      <c r="YM73" s="443"/>
      <c r="YN73" s="443"/>
      <c r="YO73" s="443"/>
      <c r="YP73" s="443"/>
      <c r="YQ73" s="443"/>
      <c r="YR73" s="443"/>
      <c r="YS73" s="443"/>
      <c r="YT73" s="443"/>
      <c r="YU73" s="443"/>
      <c r="YV73" s="443"/>
      <c r="YW73" s="443"/>
      <c r="YX73" s="443"/>
      <c r="YY73" s="443"/>
      <c r="YZ73" s="443"/>
      <c r="ZA73" s="443"/>
      <c r="ZB73" s="443"/>
      <c r="ZC73" s="443"/>
      <c r="ZD73" s="443"/>
      <c r="ZE73" s="443"/>
      <c r="ZF73" s="443"/>
      <c r="ZG73" s="443"/>
      <c r="ZH73" s="443"/>
      <c r="ZI73" s="443"/>
      <c r="ZJ73" s="443"/>
      <c r="ZK73" s="443"/>
      <c r="ZL73" s="443"/>
      <c r="ZM73" s="443"/>
      <c r="ZN73" s="443"/>
      <c r="ZO73" s="443"/>
      <c r="ZP73" s="443"/>
      <c r="ZQ73" s="443"/>
      <c r="ZR73" s="443"/>
      <c r="ZS73" s="443"/>
      <c r="ZT73" s="443"/>
      <c r="ZU73" s="443"/>
      <c r="ZV73" s="443"/>
      <c r="ZW73" s="443"/>
      <c r="ZX73" s="443"/>
      <c r="ZY73" s="443"/>
      <c r="ZZ73" s="443"/>
      <c r="AAA73" s="443"/>
      <c r="AAB73" s="443"/>
      <c r="AAC73" s="443"/>
      <c r="AAD73" s="443"/>
      <c r="AAE73" s="443"/>
      <c r="AAF73" s="443"/>
      <c r="AAG73" s="443"/>
      <c r="AAH73" s="443"/>
      <c r="AAI73" s="443"/>
      <c r="AAJ73" s="443"/>
      <c r="AAK73" s="443"/>
      <c r="AAL73" s="443"/>
      <c r="AAM73" s="443"/>
      <c r="AAN73" s="443"/>
      <c r="AAO73" s="443"/>
      <c r="AAP73" s="443"/>
      <c r="AAQ73" s="443"/>
      <c r="AAR73" s="443"/>
      <c r="AAS73" s="443"/>
      <c r="AAT73" s="443"/>
      <c r="AAU73" s="443"/>
      <c r="AAV73" s="443"/>
      <c r="AAW73" s="443"/>
      <c r="AAX73" s="443"/>
      <c r="AAY73" s="443"/>
      <c r="AAZ73" s="443"/>
      <c r="ABA73" s="443"/>
      <c r="ABB73" s="443"/>
      <c r="ABC73" s="443"/>
      <c r="ABD73" s="443"/>
      <c r="ABE73" s="443"/>
      <c r="ABF73" s="443"/>
      <c r="ABG73" s="443"/>
      <c r="ABH73" s="443"/>
      <c r="ABI73" s="443"/>
      <c r="ABJ73" s="443"/>
      <c r="ABK73" s="443"/>
      <c r="ABL73" s="443"/>
      <c r="ABM73" s="443"/>
      <c r="ABN73" s="443"/>
      <c r="ABO73" s="443"/>
      <c r="ABP73" s="443"/>
      <c r="ABQ73" s="443"/>
      <c r="ABR73" s="443"/>
      <c r="ABS73" s="443"/>
      <c r="ABT73" s="443"/>
      <c r="ABU73" s="443"/>
      <c r="ABV73" s="443"/>
      <c r="ABW73" s="443"/>
      <c r="ABX73" s="443"/>
      <c r="ABY73" s="443"/>
      <c r="ABZ73" s="443"/>
      <c r="ACA73" s="443"/>
      <c r="ACB73" s="443"/>
      <c r="ACC73" s="443"/>
      <c r="ACD73" s="443"/>
      <c r="ACE73" s="443"/>
      <c r="ACF73" s="443"/>
      <c r="ACG73" s="443"/>
      <c r="ACH73" s="443"/>
      <c r="ACI73" s="443"/>
      <c r="ACJ73" s="443"/>
      <c r="ACK73" s="443"/>
      <c r="ACL73" s="443"/>
      <c r="ACM73" s="443"/>
      <c r="ACN73" s="443"/>
      <c r="ACO73" s="443"/>
      <c r="ACP73" s="443"/>
      <c r="ACQ73" s="443"/>
      <c r="ACR73" s="443"/>
      <c r="ACS73" s="443"/>
      <c r="ACT73" s="443"/>
      <c r="ACU73" s="443"/>
      <c r="ACV73" s="443"/>
      <c r="ACW73" s="443"/>
      <c r="ACX73" s="443"/>
      <c r="ACY73" s="443"/>
      <c r="ACZ73" s="443"/>
      <c r="ADA73" s="443"/>
      <c r="ADB73" s="443"/>
      <c r="ADC73" s="443"/>
      <c r="ADD73" s="443"/>
      <c r="ADE73" s="443"/>
      <c r="ADF73" s="443"/>
      <c r="ADG73" s="443"/>
      <c r="ADH73" s="443"/>
      <c r="ADI73" s="443"/>
      <c r="ADJ73" s="443"/>
      <c r="ADK73" s="443"/>
      <c r="ADL73" s="443"/>
      <c r="ADM73" s="443"/>
      <c r="ADN73" s="443"/>
      <c r="ADO73" s="443"/>
      <c r="ADP73" s="443"/>
      <c r="ADQ73" s="443"/>
      <c r="ADR73" s="443"/>
      <c r="ADS73" s="443"/>
      <c r="ADT73" s="443"/>
      <c r="ADU73" s="443"/>
      <c r="ADV73" s="443"/>
      <c r="ADW73" s="443"/>
      <c r="ADX73" s="443"/>
      <c r="ADY73" s="443"/>
      <c r="ADZ73" s="443"/>
      <c r="AEA73" s="443"/>
      <c r="AEB73" s="443"/>
      <c r="AEC73" s="443"/>
      <c r="AED73" s="443"/>
      <c r="AEE73" s="443"/>
      <c r="AEF73" s="443"/>
      <c r="AEG73" s="443"/>
      <c r="AEH73" s="443"/>
      <c r="AEI73" s="443"/>
      <c r="AEJ73" s="443"/>
      <c r="AEK73" s="443"/>
      <c r="AEL73" s="443"/>
      <c r="AEM73" s="443"/>
      <c r="AEN73" s="443"/>
      <c r="AEO73" s="443"/>
      <c r="AEP73" s="443"/>
      <c r="AEQ73" s="443"/>
      <c r="AER73" s="443"/>
      <c r="AES73" s="443"/>
      <c r="AET73" s="443"/>
      <c r="AEU73" s="443"/>
      <c r="AEV73" s="443"/>
      <c r="AEW73" s="443"/>
      <c r="AEX73" s="443"/>
      <c r="AEY73" s="443"/>
      <c r="AEZ73" s="443"/>
      <c r="AFA73" s="443"/>
      <c r="AFB73" s="443"/>
      <c r="AFC73" s="443"/>
      <c r="AFD73" s="443"/>
      <c r="AFE73" s="443"/>
      <c r="AFF73" s="443"/>
      <c r="AFG73" s="443"/>
      <c r="AFH73" s="443"/>
      <c r="AFI73" s="443"/>
      <c r="AFJ73" s="443"/>
      <c r="AFK73" s="443"/>
      <c r="AFL73" s="443"/>
      <c r="AFM73" s="443"/>
      <c r="AFN73" s="443"/>
      <c r="AFO73" s="443"/>
      <c r="AFP73" s="443"/>
      <c r="AFQ73" s="443"/>
      <c r="AFR73" s="443"/>
      <c r="AFS73" s="443"/>
      <c r="AFT73" s="443"/>
      <c r="AFU73" s="443"/>
      <c r="AFV73" s="443"/>
      <c r="AFW73" s="443"/>
      <c r="AFX73" s="443"/>
      <c r="AFY73" s="443"/>
      <c r="AFZ73" s="443"/>
      <c r="AGA73" s="443"/>
      <c r="AGB73" s="443"/>
      <c r="AGC73" s="443"/>
      <c r="AGD73" s="443"/>
      <c r="AGE73" s="443"/>
      <c r="AGF73" s="443"/>
      <c r="AGG73" s="443"/>
      <c r="AGH73" s="443"/>
      <c r="AGI73" s="443"/>
      <c r="AGJ73" s="443"/>
    </row>
    <row r="74" spans="1:868" s="1" customFormat="1" ht="15.75" thickBot="1">
      <c r="A74" s="652" t="s">
        <v>127</v>
      </c>
      <c r="B74" s="804" t="s">
        <v>464</v>
      </c>
      <c r="C74" s="34" t="s">
        <v>147</v>
      </c>
      <c r="D74" s="123" t="s">
        <v>107</v>
      </c>
      <c r="E74" s="768">
        <f t="shared" si="22"/>
        <v>5.5915505458418391E-2</v>
      </c>
      <c r="F74" s="12">
        <v>1</v>
      </c>
      <c r="G74" s="12" t="s">
        <v>451</v>
      </c>
      <c r="H74" s="14">
        <v>1</v>
      </c>
      <c r="I74" s="14">
        <v>2</v>
      </c>
      <c r="J74" s="14">
        <v>2</v>
      </c>
      <c r="K74" s="14">
        <v>1</v>
      </c>
      <c r="L74" s="14">
        <v>1</v>
      </c>
      <c r="M74" s="14">
        <v>2</v>
      </c>
      <c r="N74" s="434">
        <f t="shared" si="25"/>
        <v>0.35859414261160716</v>
      </c>
      <c r="O74" s="434">
        <f t="shared" si="26"/>
        <v>0.37356464144298934</v>
      </c>
      <c r="P74" s="44"/>
      <c r="Q74" s="443"/>
      <c r="R74" s="443"/>
      <c r="S74" s="443"/>
      <c r="T74" s="443"/>
      <c r="U74" s="443"/>
      <c r="V74" s="443"/>
      <c r="W74" s="443"/>
      <c r="X74" s="443"/>
      <c r="Y74" s="443"/>
      <c r="Z74" s="443"/>
      <c r="AA74" s="443"/>
      <c r="AB74" s="443"/>
      <c r="AC74" s="443"/>
      <c r="AD74" s="443"/>
      <c r="AE74" s="443"/>
      <c r="AF74" s="443"/>
      <c r="AG74" s="443"/>
      <c r="AH74" s="443"/>
      <c r="AI74" s="443"/>
      <c r="AJ74" s="443"/>
      <c r="AK74" s="443"/>
      <c r="AL74" s="443"/>
      <c r="AM74" s="443"/>
      <c r="AN74" s="443"/>
      <c r="AO74" s="443"/>
      <c r="AP74" s="443"/>
      <c r="AQ74" s="443"/>
      <c r="AR74" s="443"/>
      <c r="AS74" s="443"/>
      <c r="AT74" s="443"/>
      <c r="AU74" s="443"/>
      <c r="AV74" s="443"/>
      <c r="AW74" s="443"/>
      <c r="AX74" s="443"/>
      <c r="AY74" s="443"/>
      <c r="AZ74" s="443"/>
      <c r="BA74" s="443"/>
      <c r="BB74" s="443"/>
      <c r="BC74" s="443"/>
      <c r="BD74" s="443"/>
      <c r="BE74" s="443"/>
      <c r="BF74" s="443"/>
      <c r="BG74" s="443"/>
      <c r="BH74" s="443"/>
      <c r="BI74" s="443"/>
      <c r="BJ74" s="443"/>
      <c r="BK74" s="443"/>
      <c r="BL74" s="443"/>
      <c r="BM74" s="443"/>
      <c r="BN74" s="443"/>
      <c r="BO74" s="443"/>
      <c r="BP74" s="443"/>
      <c r="BQ74" s="443"/>
      <c r="BR74" s="443"/>
      <c r="BS74" s="443"/>
      <c r="BT74" s="443"/>
      <c r="BU74" s="443"/>
      <c r="BV74" s="443"/>
      <c r="BW74" s="443"/>
      <c r="BX74" s="443"/>
      <c r="BY74" s="443"/>
      <c r="BZ74" s="443"/>
      <c r="CA74" s="443"/>
      <c r="CB74" s="443"/>
      <c r="CC74" s="443"/>
      <c r="CD74" s="443"/>
      <c r="CE74" s="443"/>
      <c r="CF74" s="443"/>
      <c r="CG74" s="443"/>
      <c r="CH74" s="443"/>
      <c r="CI74" s="443"/>
      <c r="CJ74" s="443"/>
      <c r="CK74" s="443"/>
      <c r="CL74" s="443"/>
      <c r="CM74" s="443"/>
      <c r="CN74" s="443"/>
      <c r="CO74" s="443"/>
      <c r="CP74" s="443"/>
      <c r="CQ74" s="443"/>
      <c r="CR74" s="443"/>
      <c r="CS74" s="443"/>
      <c r="CT74" s="443"/>
      <c r="CU74" s="443"/>
      <c r="CV74" s="443"/>
      <c r="CW74" s="443"/>
      <c r="CX74" s="443"/>
      <c r="CY74" s="443"/>
      <c r="CZ74" s="443"/>
      <c r="DA74" s="443"/>
      <c r="DB74" s="443"/>
      <c r="DC74" s="443"/>
      <c r="DD74" s="443"/>
      <c r="DE74" s="443"/>
      <c r="DF74" s="443"/>
      <c r="DG74" s="443"/>
      <c r="DH74" s="443"/>
      <c r="DI74" s="443"/>
      <c r="DJ74" s="443"/>
      <c r="DK74" s="443"/>
      <c r="DL74" s="443"/>
      <c r="DM74" s="443"/>
      <c r="DN74" s="443"/>
      <c r="DO74" s="443"/>
      <c r="DP74" s="443"/>
      <c r="DQ74" s="443"/>
      <c r="DR74" s="443"/>
      <c r="DS74" s="443"/>
      <c r="DT74" s="443"/>
      <c r="DU74" s="443"/>
      <c r="DV74" s="443"/>
      <c r="DW74" s="443"/>
      <c r="DX74" s="443"/>
      <c r="DY74" s="443"/>
      <c r="DZ74" s="443"/>
      <c r="EA74" s="443"/>
      <c r="EB74" s="443"/>
      <c r="EC74" s="443"/>
      <c r="ED74" s="443"/>
      <c r="EE74" s="443"/>
      <c r="EF74" s="443"/>
      <c r="EG74" s="443"/>
      <c r="EH74" s="443"/>
      <c r="EI74" s="443"/>
      <c r="EJ74" s="443"/>
      <c r="EK74" s="443"/>
      <c r="EL74" s="443"/>
      <c r="EM74" s="443"/>
      <c r="EN74" s="443"/>
      <c r="EO74" s="443"/>
      <c r="EP74" s="443"/>
      <c r="EQ74" s="443"/>
      <c r="ER74" s="443"/>
      <c r="ES74" s="443"/>
      <c r="ET74" s="443"/>
      <c r="EU74" s="443"/>
      <c r="EV74" s="443"/>
      <c r="EW74" s="443"/>
      <c r="EX74" s="443"/>
      <c r="EY74" s="443"/>
      <c r="EZ74" s="443"/>
      <c r="FA74" s="443"/>
      <c r="FB74" s="443"/>
      <c r="FC74" s="443"/>
      <c r="FD74" s="443"/>
      <c r="FE74" s="443"/>
      <c r="FF74" s="443"/>
      <c r="FG74" s="443"/>
      <c r="FH74" s="443"/>
      <c r="FI74" s="443"/>
      <c r="FJ74" s="443"/>
      <c r="FK74" s="443"/>
      <c r="FL74" s="443"/>
      <c r="FM74" s="443"/>
      <c r="FN74" s="443"/>
      <c r="FO74" s="443"/>
      <c r="FP74" s="443"/>
      <c r="FQ74" s="443"/>
      <c r="FR74" s="443"/>
      <c r="FS74" s="443"/>
      <c r="FT74" s="443"/>
      <c r="FU74" s="443"/>
      <c r="FV74" s="443"/>
      <c r="FW74" s="443"/>
      <c r="FX74" s="443"/>
      <c r="FY74" s="443"/>
      <c r="FZ74" s="443"/>
      <c r="GA74" s="443"/>
      <c r="GB74" s="443"/>
      <c r="GC74" s="443"/>
      <c r="GD74" s="443"/>
      <c r="GE74" s="443"/>
      <c r="GF74" s="443"/>
      <c r="GG74" s="443"/>
      <c r="GH74" s="443"/>
      <c r="GI74" s="443"/>
      <c r="GJ74" s="443"/>
      <c r="GK74" s="443"/>
      <c r="GL74" s="443"/>
      <c r="GM74" s="443"/>
      <c r="GN74" s="443"/>
      <c r="GO74" s="443"/>
      <c r="GP74" s="443"/>
      <c r="GQ74" s="443"/>
      <c r="GR74" s="443"/>
      <c r="GS74" s="443"/>
      <c r="GT74" s="443"/>
      <c r="GU74" s="443"/>
      <c r="GV74" s="443"/>
      <c r="GW74" s="443"/>
      <c r="GX74" s="443"/>
      <c r="GY74" s="443"/>
      <c r="GZ74" s="443"/>
      <c r="HA74" s="443"/>
      <c r="HB74" s="443"/>
      <c r="HC74" s="443"/>
      <c r="HD74" s="443"/>
      <c r="HE74" s="443"/>
      <c r="HF74" s="443"/>
      <c r="HG74" s="443"/>
      <c r="HH74" s="443"/>
      <c r="HI74" s="443"/>
      <c r="HJ74" s="443"/>
      <c r="HK74" s="443"/>
      <c r="HL74" s="443"/>
      <c r="HM74" s="443"/>
      <c r="HN74" s="443"/>
      <c r="HO74" s="443"/>
      <c r="HP74" s="443"/>
      <c r="HQ74" s="443"/>
      <c r="HR74" s="443"/>
      <c r="HS74" s="443"/>
      <c r="HT74" s="443"/>
      <c r="HU74" s="443"/>
      <c r="HV74" s="443"/>
      <c r="HW74" s="443"/>
      <c r="HX74" s="443"/>
      <c r="HY74" s="443"/>
      <c r="HZ74" s="443"/>
      <c r="IA74" s="443"/>
      <c r="IB74" s="443"/>
      <c r="IC74" s="443"/>
      <c r="ID74" s="443"/>
      <c r="IE74" s="443"/>
      <c r="IF74" s="443"/>
      <c r="IG74" s="443"/>
      <c r="IH74" s="443"/>
      <c r="II74" s="443"/>
      <c r="IJ74" s="443"/>
      <c r="IK74" s="443"/>
      <c r="IL74" s="443"/>
      <c r="IM74" s="443"/>
      <c r="IN74" s="443"/>
      <c r="IO74" s="443"/>
      <c r="IP74" s="443"/>
      <c r="IQ74" s="443"/>
      <c r="IR74" s="443"/>
      <c r="IS74" s="443"/>
      <c r="IT74" s="443"/>
      <c r="IU74" s="443"/>
      <c r="IV74" s="443"/>
      <c r="IW74" s="443"/>
      <c r="IX74" s="443"/>
      <c r="IY74" s="443"/>
      <c r="IZ74" s="443"/>
      <c r="JA74" s="443"/>
      <c r="JB74" s="443"/>
      <c r="JC74" s="443"/>
      <c r="JD74" s="443"/>
      <c r="JE74" s="443"/>
      <c r="JF74" s="443"/>
      <c r="JG74" s="443"/>
      <c r="JH74" s="443"/>
      <c r="JI74" s="443"/>
      <c r="JJ74" s="443"/>
      <c r="JK74" s="443"/>
      <c r="JL74" s="443"/>
      <c r="JM74" s="443"/>
      <c r="JN74" s="443"/>
      <c r="JO74" s="443"/>
      <c r="JP74" s="443"/>
      <c r="JQ74" s="443"/>
      <c r="JR74" s="443"/>
      <c r="JS74" s="443"/>
      <c r="JT74" s="443"/>
      <c r="JU74" s="443"/>
      <c r="JV74" s="443"/>
      <c r="JW74" s="443"/>
      <c r="JX74" s="443"/>
      <c r="JY74" s="443"/>
      <c r="JZ74" s="443"/>
      <c r="KA74" s="443"/>
      <c r="KB74" s="443"/>
      <c r="KC74" s="443"/>
      <c r="KD74" s="443"/>
      <c r="KE74" s="443"/>
      <c r="KF74" s="443"/>
      <c r="KG74" s="443"/>
      <c r="KH74" s="443"/>
      <c r="KI74" s="443"/>
      <c r="KJ74" s="443"/>
      <c r="KK74" s="443"/>
      <c r="KL74" s="443"/>
      <c r="KM74" s="443"/>
      <c r="KN74" s="443"/>
      <c r="KO74" s="443"/>
      <c r="KP74" s="443"/>
      <c r="KQ74" s="443"/>
      <c r="KR74" s="443"/>
      <c r="KS74" s="443"/>
      <c r="KT74" s="443"/>
      <c r="KU74" s="443"/>
      <c r="KV74" s="443"/>
      <c r="KW74" s="443"/>
      <c r="KX74" s="443"/>
      <c r="KY74" s="443"/>
      <c r="KZ74" s="443"/>
      <c r="LA74" s="443"/>
      <c r="LB74" s="443"/>
      <c r="LC74" s="443"/>
      <c r="LD74" s="443"/>
      <c r="LE74" s="443"/>
      <c r="LF74" s="443"/>
      <c r="LG74" s="443"/>
      <c r="LH74" s="443"/>
      <c r="LI74" s="443"/>
      <c r="LJ74" s="443"/>
      <c r="LK74" s="443"/>
      <c r="LL74" s="443"/>
      <c r="LM74" s="443"/>
      <c r="LN74" s="443"/>
      <c r="LO74" s="443"/>
      <c r="LP74" s="443"/>
      <c r="LQ74" s="443"/>
      <c r="LR74" s="443"/>
      <c r="LS74" s="443"/>
      <c r="LT74" s="443"/>
      <c r="LU74" s="443"/>
      <c r="LV74" s="443"/>
      <c r="LW74" s="443"/>
      <c r="LX74" s="443"/>
      <c r="LY74" s="443"/>
      <c r="LZ74" s="443"/>
      <c r="MA74" s="443"/>
      <c r="MB74" s="443"/>
      <c r="MC74" s="443"/>
      <c r="MD74" s="443"/>
      <c r="ME74" s="443"/>
      <c r="MF74" s="443"/>
      <c r="MG74" s="443"/>
      <c r="MH74" s="443"/>
      <c r="MI74" s="443"/>
      <c r="MJ74" s="443"/>
      <c r="MK74" s="443"/>
      <c r="ML74" s="443"/>
      <c r="MM74" s="443"/>
      <c r="MN74" s="443"/>
      <c r="MO74" s="443"/>
      <c r="MP74" s="443"/>
      <c r="MQ74" s="443"/>
      <c r="MR74" s="443"/>
      <c r="MS74" s="443"/>
      <c r="MT74" s="443"/>
      <c r="MU74" s="443"/>
      <c r="MV74" s="443"/>
      <c r="MW74" s="443"/>
      <c r="MX74" s="443"/>
      <c r="MY74" s="443"/>
      <c r="MZ74" s="443"/>
      <c r="NA74" s="443"/>
      <c r="NB74" s="443"/>
      <c r="NC74" s="443"/>
      <c r="ND74" s="443"/>
      <c r="NE74" s="443"/>
      <c r="NF74" s="443"/>
      <c r="NG74" s="443"/>
      <c r="NH74" s="443"/>
      <c r="NI74" s="443"/>
      <c r="NJ74" s="443"/>
      <c r="NK74" s="443"/>
      <c r="NL74" s="443"/>
      <c r="NM74" s="443"/>
      <c r="NN74" s="443"/>
      <c r="NO74" s="443"/>
      <c r="NP74" s="443"/>
      <c r="NQ74" s="443"/>
      <c r="NR74" s="443"/>
      <c r="NS74" s="443"/>
      <c r="NT74" s="443"/>
      <c r="NU74" s="443"/>
      <c r="NV74" s="443"/>
      <c r="NW74" s="443"/>
      <c r="NX74" s="443"/>
      <c r="NY74" s="443"/>
      <c r="NZ74" s="443"/>
      <c r="OA74" s="443"/>
      <c r="OB74" s="443"/>
      <c r="OC74" s="443"/>
      <c r="OD74" s="443"/>
      <c r="OE74" s="443"/>
      <c r="OF74" s="443"/>
      <c r="OG74" s="443"/>
      <c r="OH74" s="443"/>
      <c r="OI74" s="443"/>
      <c r="OJ74" s="443"/>
      <c r="OK74" s="443"/>
      <c r="OL74" s="443"/>
      <c r="OM74" s="443"/>
      <c r="ON74" s="443"/>
      <c r="OO74" s="443"/>
      <c r="OP74" s="443"/>
      <c r="OQ74" s="443"/>
      <c r="OR74" s="443"/>
      <c r="OS74" s="443"/>
      <c r="OT74" s="443"/>
      <c r="OU74" s="443"/>
      <c r="OV74" s="443"/>
      <c r="OW74" s="443"/>
      <c r="OX74" s="443"/>
      <c r="OY74" s="443"/>
      <c r="OZ74" s="443"/>
      <c r="PA74" s="443"/>
      <c r="PB74" s="443"/>
      <c r="PC74" s="443"/>
      <c r="PD74" s="443"/>
      <c r="PE74" s="443"/>
      <c r="PF74" s="443"/>
      <c r="PG74" s="443"/>
      <c r="PH74" s="443"/>
      <c r="PI74" s="443"/>
      <c r="PJ74" s="443"/>
      <c r="PK74" s="443"/>
      <c r="PL74" s="443"/>
      <c r="PM74" s="443"/>
      <c r="PN74" s="443"/>
      <c r="PO74" s="443"/>
      <c r="PP74" s="443"/>
      <c r="PQ74" s="443"/>
      <c r="PR74" s="443"/>
      <c r="PS74" s="443"/>
      <c r="PT74" s="443"/>
      <c r="PU74" s="443"/>
      <c r="PV74" s="443"/>
      <c r="PW74" s="443"/>
      <c r="PX74" s="443"/>
      <c r="PY74" s="443"/>
      <c r="PZ74" s="443"/>
      <c r="QA74" s="443"/>
      <c r="QB74" s="443"/>
      <c r="QC74" s="443"/>
      <c r="QD74" s="443"/>
      <c r="QE74" s="443"/>
      <c r="QF74" s="443"/>
      <c r="QG74" s="443"/>
      <c r="QH74" s="443"/>
      <c r="QI74" s="443"/>
      <c r="QJ74" s="443"/>
      <c r="QK74" s="443"/>
      <c r="QL74" s="443"/>
      <c r="QM74" s="443"/>
      <c r="QN74" s="443"/>
      <c r="QO74" s="443"/>
      <c r="QP74" s="443"/>
      <c r="QQ74" s="443"/>
      <c r="QR74" s="443"/>
      <c r="QS74" s="443"/>
      <c r="QT74" s="443"/>
      <c r="QU74" s="443"/>
      <c r="QV74" s="443"/>
      <c r="QW74" s="443"/>
      <c r="QX74" s="443"/>
      <c r="QY74" s="443"/>
      <c r="QZ74" s="443"/>
      <c r="RA74" s="443"/>
      <c r="RB74" s="443"/>
      <c r="RC74" s="443"/>
      <c r="RD74" s="443"/>
      <c r="RE74" s="443"/>
      <c r="RF74" s="443"/>
      <c r="RG74" s="443"/>
      <c r="RH74" s="443"/>
      <c r="RI74" s="443"/>
      <c r="RJ74" s="443"/>
      <c r="RK74" s="443"/>
      <c r="RL74" s="443"/>
      <c r="RM74" s="443"/>
      <c r="RN74" s="443"/>
      <c r="RO74" s="443"/>
      <c r="RP74" s="443"/>
      <c r="RQ74" s="443"/>
      <c r="RR74" s="443"/>
      <c r="RS74" s="443"/>
      <c r="RT74" s="443"/>
      <c r="RU74" s="443"/>
      <c r="RV74" s="443"/>
      <c r="RW74" s="443"/>
      <c r="RX74" s="443"/>
      <c r="RY74" s="443"/>
      <c r="RZ74" s="443"/>
      <c r="SA74" s="443"/>
      <c r="SB74" s="443"/>
      <c r="SC74" s="443"/>
      <c r="SD74" s="443"/>
      <c r="SE74" s="443"/>
      <c r="SF74" s="443"/>
      <c r="SG74" s="443"/>
      <c r="SH74" s="443"/>
      <c r="SI74" s="443"/>
      <c r="SJ74" s="443"/>
      <c r="SK74" s="443"/>
      <c r="SL74" s="443"/>
      <c r="SM74" s="443"/>
      <c r="SN74" s="443"/>
      <c r="SO74" s="443"/>
      <c r="SP74" s="443"/>
      <c r="SQ74" s="443"/>
      <c r="SR74" s="443"/>
      <c r="SS74" s="443"/>
      <c r="ST74" s="443"/>
      <c r="SU74" s="443"/>
      <c r="SV74" s="443"/>
      <c r="SW74" s="443"/>
      <c r="SX74" s="443"/>
      <c r="SY74" s="443"/>
      <c r="SZ74" s="443"/>
      <c r="TA74" s="443"/>
      <c r="TB74" s="443"/>
      <c r="TC74" s="443"/>
      <c r="TD74" s="443"/>
      <c r="TE74" s="443"/>
      <c r="TF74" s="443"/>
      <c r="TG74" s="443"/>
      <c r="TH74" s="443"/>
      <c r="TI74" s="443"/>
      <c r="TJ74" s="443"/>
      <c r="TK74" s="443"/>
      <c r="TL74" s="443"/>
      <c r="TM74" s="443"/>
      <c r="TN74" s="443"/>
      <c r="TO74" s="443"/>
      <c r="TP74" s="443"/>
      <c r="TQ74" s="443"/>
      <c r="TR74" s="443"/>
      <c r="TS74" s="443"/>
      <c r="TT74" s="443"/>
      <c r="TU74" s="443"/>
      <c r="TV74" s="443"/>
      <c r="TW74" s="443"/>
      <c r="TX74" s="443"/>
      <c r="TY74" s="443"/>
      <c r="TZ74" s="443"/>
      <c r="UA74" s="443"/>
      <c r="UB74" s="443"/>
      <c r="UC74" s="443"/>
      <c r="UD74" s="443"/>
      <c r="UE74" s="443"/>
      <c r="UF74" s="443"/>
      <c r="UG74" s="443"/>
      <c r="UH74" s="443"/>
      <c r="UI74" s="443"/>
      <c r="UJ74" s="443"/>
      <c r="UK74" s="443"/>
      <c r="UL74" s="443"/>
      <c r="UM74" s="443"/>
      <c r="UN74" s="443"/>
      <c r="UO74" s="443"/>
      <c r="UP74" s="443"/>
      <c r="UQ74" s="443"/>
      <c r="UR74" s="443"/>
      <c r="US74" s="443"/>
      <c r="UT74" s="443"/>
      <c r="UU74" s="443"/>
      <c r="UV74" s="443"/>
      <c r="UW74" s="443"/>
      <c r="UX74" s="443"/>
      <c r="UY74" s="443"/>
      <c r="UZ74" s="443"/>
      <c r="VA74" s="443"/>
      <c r="VB74" s="443"/>
      <c r="VC74" s="443"/>
      <c r="VD74" s="443"/>
      <c r="VE74" s="443"/>
      <c r="VF74" s="443"/>
      <c r="VG74" s="443"/>
      <c r="VH74" s="443"/>
      <c r="VI74" s="443"/>
      <c r="VJ74" s="443"/>
      <c r="VK74" s="443"/>
      <c r="VL74" s="443"/>
      <c r="VM74" s="443"/>
      <c r="VN74" s="443"/>
      <c r="VO74" s="443"/>
      <c r="VP74" s="443"/>
      <c r="VQ74" s="443"/>
      <c r="VR74" s="443"/>
      <c r="VS74" s="443"/>
      <c r="VT74" s="443"/>
      <c r="VU74" s="443"/>
      <c r="VV74" s="443"/>
      <c r="VW74" s="443"/>
      <c r="VX74" s="443"/>
      <c r="VY74" s="443"/>
      <c r="VZ74" s="443"/>
      <c r="WA74" s="443"/>
      <c r="WB74" s="443"/>
      <c r="WC74" s="443"/>
      <c r="WD74" s="443"/>
      <c r="WE74" s="443"/>
      <c r="WF74" s="443"/>
      <c r="WG74" s="443"/>
      <c r="WH74" s="443"/>
      <c r="WI74" s="443"/>
      <c r="WJ74" s="443"/>
      <c r="WK74" s="443"/>
      <c r="WL74" s="443"/>
      <c r="WM74" s="443"/>
      <c r="WN74" s="443"/>
      <c r="WO74" s="443"/>
      <c r="WP74" s="443"/>
      <c r="WQ74" s="443"/>
      <c r="WR74" s="443"/>
      <c r="WS74" s="443"/>
      <c r="WT74" s="443"/>
      <c r="WU74" s="443"/>
      <c r="WV74" s="443"/>
      <c r="WW74" s="443"/>
      <c r="WX74" s="443"/>
      <c r="WY74" s="443"/>
      <c r="WZ74" s="443"/>
      <c r="XA74" s="443"/>
      <c r="XB74" s="443"/>
      <c r="XC74" s="443"/>
      <c r="XD74" s="443"/>
      <c r="XE74" s="443"/>
      <c r="XF74" s="443"/>
      <c r="XG74" s="443"/>
      <c r="XH74" s="443"/>
      <c r="XI74" s="443"/>
      <c r="XJ74" s="443"/>
      <c r="XK74" s="443"/>
      <c r="XL74" s="443"/>
      <c r="XM74" s="443"/>
      <c r="XN74" s="443"/>
      <c r="XO74" s="443"/>
      <c r="XP74" s="443"/>
      <c r="XQ74" s="443"/>
      <c r="XR74" s="443"/>
      <c r="XS74" s="443"/>
      <c r="XT74" s="443"/>
      <c r="XU74" s="443"/>
      <c r="XV74" s="443"/>
      <c r="XW74" s="443"/>
      <c r="XX74" s="443"/>
      <c r="XY74" s="443"/>
      <c r="XZ74" s="443"/>
      <c r="YA74" s="443"/>
      <c r="YB74" s="443"/>
      <c r="YC74" s="443"/>
      <c r="YD74" s="443"/>
      <c r="YE74" s="443"/>
      <c r="YF74" s="443"/>
      <c r="YG74" s="443"/>
      <c r="YH74" s="443"/>
      <c r="YI74" s="443"/>
      <c r="YJ74" s="443"/>
      <c r="YK74" s="443"/>
      <c r="YL74" s="443"/>
      <c r="YM74" s="443"/>
      <c r="YN74" s="443"/>
      <c r="YO74" s="443"/>
      <c r="YP74" s="443"/>
      <c r="YQ74" s="443"/>
      <c r="YR74" s="443"/>
      <c r="YS74" s="443"/>
      <c r="YT74" s="443"/>
      <c r="YU74" s="443"/>
      <c r="YV74" s="443"/>
      <c r="YW74" s="443"/>
      <c r="YX74" s="443"/>
      <c r="YY74" s="443"/>
      <c r="YZ74" s="443"/>
      <c r="ZA74" s="443"/>
      <c r="ZB74" s="443"/>
      <c r="ZC74" s="443"/>
      <c r="ZD74" s="443"/>
      <c r="ZE74" s="443"/>
      <c r="ZF74" s="443"/>
      <c r="ZG74" s="443"/>
      <c r="ZH74" s="443"/>
      <c r="ZI74" s="443"/>
      <c r="ZJ74" s="443"/>
      <c r="ZK74" s="443"/>
      <c r="ZL74" s="443"/>
      <c r="ZM74" s="443"/>
      <c r="ZN74" s="443"/>
      <c r="ZO74" s="443"/>
      <c r="ZP74" s="443"/>
      <c r="ZQ74" s="443"/>
      <c r="ZR74" s="443"/>
      <c r="ZS74" s="443"/>
      <c r="ZT74" s="443"/>
      <c r="ZU74" s="443"/>
      <c r="ZV74" s="443"/>
      <c r="ZW74" s="443"/>
      <c r="ZX74" s="443"/>
      <c r="ZY74" s="443"/>
      <c r="ZZ74" s="443"/>
      <c r="AAA74" s="443"/>
      <c r="AAB74" s="443"/>
      <c r="AAC74" s="443"/>
      <c r="AAD74" s="443"/>
      <c r="AAE74" s="443"/>
      <c r="AAF74" s="443"/>
      <c r="AAG74" s="443"/>
      <c r="AAH74" s="443"/>
      <c r="AAI74" s="443"/>
      <c r="AAJ74" s="443"/>
      <c r="AAK74" s="443"/>
      <c r="AAL74" s="443"/>
      <c r="AAM74" s="443"/>
      <c r="AAN74" s="443"/>
      <c r="AAO74" s="443"/>
      <c r="AAP74" s="443"/>
      <c r="AAQ74" s="443"/>
      <c r="AAR74" s="443"/>
      <c r="AAS74" s="443"/>
      <c r="AAT74" s="443"/>
      <c r="AAU74" s="443"/>
      <c r="AAV74" s="443"/>
      <c r="AAW74" s="443"/>
      <c r="AAX74" s="443"/>
      <c r="AAY74" s="443"/>
      <c r="AAZ74" s="443"/>
      <c r="ABA74" s="443"/>
      <c r="ABB74" s="443"/>
      <c r="ABC74" s="443"/>
      <c r="ABD74" s="443"/>
      <c r="ABE74" s="443"/>
      <c r="ABF74" s="443"/>
      <c r="ABG74" s="443"/>
      <c r="ABH74" s="443"/>
      <c r="ABI74" s="443"/>
      <c r="ABJ74" s="443"/>
      <c r="ABK74" s="443"/>
      <c r="ABL74" s="443"/>
      <c r="ABM74" s="443"/>
      <c r="ABN74" s="443"/>
      <c r="ABO74" s="443"/>
      <c r="ABP74" s="443"/>
      <c r="ABQ74" s="443"/>
      <c r="ABR74" s="443"/>
      <c r="ABS74" s="443"/>
      <c r="ABT74" s="443"/>
      <c r="ABU74" s="443"/>
      <c r="ABV74" s="443"/>
      <c r="ABW74" s="443"/>
      <c r="ABX74" s="443"/>
      <c r="ABY74" s="443"/>
      <c r="ABZ74" s="443"/>
      <c r="ACA74" s="443"/>
      <c r="ACB74" s="443"/>
      <c r="ACC74" s="443"/>
      <c r="ACD74" s="443"/>
      <c r="ACE74" s="443"/>
      <c r="ACF74" s="443"/>
      <c r="ACG74" s="443"/>
      <c r="ACH74" s="443"/>
      <c r="ACI74" s="443"/>
      <c r="ACJ74" s="443"/>
      <c r="ACK74" s="443"/>
      <c r="ACL74" s="443"/>
      <c r="ACM74" s="443"/>
      <c r="ACN74" s="443"/>
      <c r="ACO74" s="443"/>
      <c r="ACP74" s="443"/>
      <c r="ACQ74" s="443"/>
      <c r="ACR74" s="443"/>
      <c r="ACS74" s="443"/>
      <c r="ACT74" s="443"/>
      <c r="ACU74" s="443"/>
      <c r="ACV74" s="443"/>
      <c r="ACW74" s="443"/>
      <c r="ACX74" s="443"/>
      <c r="ACY74" s="443"/>
      <c r="ACZ74" s="443"/>
      <c r="ADA74" s="443"/>
      <c r="ADB74" s="443"/>
      <c r="ADC74" s="443"/>
      <c r="ADD74" s="443"/>
      <c r="ADE74" s="443"/>
      <c r="ADF74" s="443"/>
      <c r="ADG74" s="443"/>
      <c r="ADH74" s="443"/>
      <c r="ADI74" s="443"/>
      <c r="ADJ74" s="443"/>
      <c r="ADK74" s="443"/>
      <c r="ADL74" s="443"/>
      <c r="ADM74" s="443"/>
      <c r="ADN74" s="443"/>
      <c r="ADO74" s="443"/>
      <c r="ADP74" s="443"/>
      <c r="ADQ74" s="443"/>
      <c r="ADR74" s="443"/>
      <c r="ADS74" s="443"/>
      <c r="ADT74" s="443"/>
      <c r="ADU74" s="443"/>
      <c r="ADV74" s="443"/>
      <c r="ADW74" s="443"/>
      <c r="ADX74" s="443"/>
      <c r="ADY74" s="443"/>
      <c r="ADZ74" s="443"/>
      <c r="AEA74" s="443"/>
      <c r="AEB74" s="443"/>
      <c r="AEC74" s="443"/>
      <c r="AED74" s="443"/>
      <c r="AEE74" s="443"/>
      <c r="AEF74" s="443"/>
      <c r="AEG74" s="443"/>
      <c r="AEH74" s="443"/>
      <c r="AEI74" s="443"/>
      <c r="AEJ74" s="443"/>
      <c r="AEK74" s="443"/>
      <c r="AEL74" s="443"/>
      <c r="AEM74" s="443"/>
      <c r="AEN74" s="443"/>
      <c r="AEO74" s="443"/>
      <c r="AEP74" s="443"/>
      <c r="AEQ74" s="443"/>
      <c r="AER74" s="443"/>
      <c r="AES74" s="443"/>
      <c r="AET74" s="443"/>
      <c r="AEU74" s="443"/>
      <c r="AEV74" s="443"/>
      <c r="AEW74" s="443"/>
      <c r="AEX74" s="443"/>
      <c r="AEY74" s="443"/>
      <c r="AEZ74" s="443"/>
      <c r="AFA74" s="443"/>
      <c r="AFB74" s="443"/>
      <c r="AFC74" s="443"/>
      <c r="AFD74" s="443"/>
      <c r="AFE74" s="443"/>
      <c r="AFF74" s="443"/>
      <c r="AFG74" s="443"/>
      <c r="AFH74" s="443"/>
      <c r="AFI74" s="443"/>
      <c r="AFJ74" s="443"/>
      <c r="AFK74" s="443"/>
      <c r="AFL74" s="443"/>
      <c r="AFM74" s="443"/>
      <c r="AFN74" s="443"/>
      <c r="AFO74" s="443"/>
      <c r="AFP74" s="443"/>
      <c r="AFQ74" s="443"/>
      <c r="AFR74" s="443"/>
      <c r="AFS74" s="443"/>
      <c r="AFT74" s="443"/>
      <c r="AFU74" s="443"/>
      <c r="AFV74" s="443"/>
      <c r="AFW74" s="443"/>
      <c r="AFX74" s="443"/>
      <c r="AFY74" s="443"/>
      <c r="AFZ74" s="443"/>
      <c r="AGA74" s="443"/>
      <c r="AGB74" s="443"/>
      <c r="AGC74" s="443"/>
      <c r="AGD74" s="443"/>
      <c r="AGE74" s="443"/>
      <c r="AGF74" s="443"/>
      <c r="AGG74" s="443"/>
      <c r="AGH74" s="443"/>
      <c r="AGI74" s="443"/>
      <c r="AGJ74" s="443"/>
    </row>
    <row r="75" spans="1:868" s="443" customFormat="1">
      <c r="A75" s="654" t="s">
        <v>463</v>
      </c>
      <c r="B75" s="794" t="s">
        <v>465</v>
      </c>
      <c r="C75" s="34" t="s">
        <v>147</v>
      </c>
      <c r="D75" s="631" t="s">
        <v>107</v>
      </c>
      <c r="E75" s="764">
        <v>0.01</v>
      </c>
      <c r="F75" s="118">
        <v>2</v>
      </c>
      <c r="G75" s="118" t="s">
        <v>451</v>
      </c>
      <c r="H75" s="66">
        <v>1</v>
      </c>
      <c r="I75" s="66">
        <v>2</v>
      </c>
      <c r="J75" s="66">
        <v>2</v>
      </c>
      <c r="K75" s="66">
        <v>1</v>
      </c>
      <c r="L75" s="66">
        <v>1</v>
      </c>
      <c r="M75" s="66">
        <v>1</v>
      </c>
      <c r="N75" s="445">
        <f t="shared" si="25"/>
        <v>0.16933510251023262</v>
      </c>
      <c r="O75" s="445">
        <f t="shared" si="26"/>
        <v>0.19908580854301616</v>
      </c>
      <c r="P75" s="118" t="s">
        <v>466</v>
      </c>
    </row>
    <row r="76" spans="1:868" s="443" customFormat="1" ht="15.75" thickBot="1">
      <c r="A76" s="655" t="s">
        <v>463</v>
      </c>
      <c r="B76" s="795" t="s">
        <v>467</v>
      </c>
      <c r="C76" s="34" t="s">
        <v>147</v>
      </c>
      <c r="D76" s="124" t="s">
        <v>107</v>
      </c>
      <c r="E76" s="769" t="s">
        <v>158</v>
      </c>
      <c r="F76" s="119">
        <v>1</v>
      </c>
      <c r="G76" s="119" t="s">
        <v>451</v>
      </c>
      <c r="H76" s="15"/>
      <c r="I76" s="15"/>
      <c r="J76" s="15"/>
      <c r="K76" s="15"/>
      <c r="L76" s="15"/>
      <c r="M76" s="15"/>
      <c r="N76" s="430" t="str">
        <f t="shared" si="25"/>
        <v/>
      </c>
      <c r="O76" s="430" t="str">
        <f t="shared" si="26"/>
        <v/>
      </c>
      <c r="P76" s="119"/>
    </row>
    <row r="77" spans="1:868" s="443" customFormat="1" ht="15.75" thickBot="1">
      <c r="A77" s="650" t="s">
        <v>465</v>
      </c>
      <c r="B77" s="805" t="s">
        <v>271</v>
      </c>
      <c r="C77" s="34" t="s">
        <v>147</v>
      </c>
      <c r="D77" s="801" t="s">
        <v>107</v>
      </c>
      <c r="E77" s="771">
        <v>1</v>
      </c>
      <c r="F77" s="770">
        <v>2</v>
      </c>
      <c r="G77" s="770" t="s">
        <v>451</v>
      </c>
      <c r="H77" s="70">
        <v>1</v>
      </c>
      <c r="I77" s="70">
        <v>2</v>
      </c>
      <c r="J77" s="70">
        <v>2</v>
      </c>
      <c r="K77" s="70">
        <v>1</v>
      </c>
      <c r="L77" s="70">
        <v>1</v>
      </c>
      <c r="M77" s="70">
        <v>1</v>
      </c>
      <c r="N77" s="446">
        <f t="shared" si="25"/>
        <v>0.16933510251023262</v>
      </c>
      <c r="O77" s="446">
        <f t="shared" si="26"/>
        <v>0.19908580854301616</v>
      </c>
      <c r="P77" s="772" t="s">
        <v>468</v>
      </c>
    </row>
    <row r="78" spans="1:868" s="443" customFormat="1">
      <c r="A78" s="654" t="s">
        <v>464</v>
      </c>
      <c r="B78" s="794" t="s">
        <v>469</v>
      </c>
      <c r="C78" s="34" t="s">
        <v>147</v>
      </c>
      <c r="D78" s="631" t="s">
        <v>107</v>
      </c>
      <c r="E78" s="764">
        <v>0.01</v>
      </c>
      <c r="F78" s="118">
        <v>2</v>
      </c>
      <c r="G78" s="118" t="s">
        <v>451</v>
      </c>
      <c r="H78" s="66">
        <v>1</v>
      </c>
      <c r="I78" s="66">
        <v>2</v>
      </c>
      <c r="J78" s="66">
        <v>2</v>
      </c>
      <c r="K78" s="66">
        <v>1</v>
      </c>
      <c r="L78" s="66">
        <v>1</v>
      </c>
      <c r="M78" s="66">
        <v>1</v>
      </c>
      <c r="N78" s="445">
        <f t="shared" si="25"/>
        <v>0.16933510251023262</v>
      </c>
      <c r="O78" s="445">
        <f t="shared" si="26"/>
        <v>0.19908580854301616</v>
      </c>
      <c r="P78" s="118" t="s">
        <v>470</v>
      </c>
    </row>
    <row r="79" spans="1:868" s="443" customFormat="1" ht="15.75" thickBot="1">
      <c r="A79" s="655" t="s">
        <v>464</v>
      </c>
      <c r="B79" s="795" t="s">
        <v>471</v>
      </c>
      <c r="C79" s="34" t="s">
        <v>147</v>
      </c>
      <c r="D79" s="124" t="s">
        <v>107</v>
      </c>
      <c r="E79" s="769" t="s">
        <v>158</v>
      </c>
      <c r="F79" s="119">
        <v>1</v>
      </c>
      <c r="G79" s="119" t="s">
        <v>451</v>
      </c>
      <c r="H79" s="15"/>
      <c r="I79" s="15"/>
      <c r="J79" s="15"/>
      <c r="K79" s="15"/>
      <c r="L79" s="15"/>
      <c r="M79" s="15"/>
      <c r="N79" s="430" t="str">
        <f t="shared" si="25"/>
        <v/>
      </c>
      <c r="O79" s="430" t="str">
        <f t="shared" si="26"/>
        <v/>
      </c>
      <c r="P79" s="119"/>
    </row>
    <row r="80" spans="1:868" s="443" customFormat="1" ht="15.75" thickBot="1">
      <c r="A80" s="650" t="s">
        <v>469</v>
      </c>
      <c r="B80" s="805" t="s">
        <v>271</v>
      </c>
      <c r="C80" s="34" t="s">
        <v>147</v>
      </c>
      <c r="D80" s="801" t="s">
        <v>107</v>
      </c>
      <c r="E80" s="771">
        <v>1</v>
      </c>
      <c r="F80" s="770">
        <v>2</v>
      </c>
      <c r="G80" s="770" t="s">
        <v>451</v>
      </c>
      <c r="H80" s="70">
        <v>1</v>
      </c>
      <c r="I80" s="70">
        <v>2</v>
      </c>
      <c r="J80" s="70">
        <v>2</v>
      </c>
      <c r="K80" s="70">
        <v>1</v>
      </c>
      <c r="L80" s="70">
        <v>1</v>
      </c>
      <c r="M80" s="70">
        <v>1</v>
      </c>
      <c r="N80" s="446">
        <f t="shared" si="25"/>
        <v>0.16933510251023262</v>
      </c>
      <c r="O80" s="446">
        <f t="shared" si="26"/>
        <v>0.19908580854301616</v>
      </c>
      <c r="P80" s="772" t="s">
        <v>468</v>
      </c>
    </row>
    <row r="81" spans="1:18" s="443" customFormat="1">
      <c r="A81" s="654" t="s">
        <v>467</v>
      </c>
      <c r="B81" s="794" t="s">
        <v>271</v>
      </c>
      <c r="C81" s="34" t="s">
        <v>147</v>
      </c>
      <c r="D81" s="631" t="s">
        <v>107</v>
      </c>
      <c r="E81" s="764">
        <v>0.01</v>
      </c>
      <c r="F81" s="118">
        <v>2</v>
      </c>
      <c r="G81" s="118" t="s">
        <v>451</v>
      </c>
      <c r="H81" s="66">
        <v>1</v>
      </c>
      <c r="I81" s="66">
        <v>2</v>
      </c>
      <c r="J81" s="66">
        <v>2</v>
      </c>
      <c r="K81" s="66">
        <v>1</v>
      </c>
      <c r="L81" s="66">
        <v>1</v>
      </c>
      <c r="M81" s="66">
        <v>1</v>
      </c>
      <c r="N81" s="445">
        <f t="shared" si="25"/>
        <v>0.16933510251023262</v>
      </c>
      <c r="O81" s="445">
        <f t="shared" si="26"/>
        <v>0.19908580854301616</v>
      </c>
      <c r="P81" s="118" t="s">
        <v>472</v>
      </c>
    </row>
    <row r="82" spans="1:18" s="443" customFormat="1" ht="15.75" thickBot="1">
      <c r="A82" s="655" t="s">
        <v>467</v>
      </c>
      <c r="B82" s="795" t="s">
        <v>344</v>
      </c>
      <c r="C82" s="34" t="s">
        <v>147</v>
      </c>
      <c r="D82" s="124" t="s">
        <v>107</v>
      </c>
      <c r="E82" s="769" t="s">
        <v>158</v>
      </c>
      <c r="F82" s="119">
        <v>1</v>
      </c>
      <c r="G82" s="119" t="s">
        <v>451</v>
      </c>
      <c r="H82" s="15"/>
      <c r="I82" s="15"/>
      <c r="J82" s="15"/>
      <c r="K82" s="15"/>
      <c r="L82" s="15"/>
      <c r="M82" s="15"/>
      <c r="N82" s="430" t="str">
        <f t="shared" si="25"/>
        <v/>
      </c>
      <c r="O82" s="430" t="str">
        <f t="shared" si="26"/>
        <v/>
      </c>
      <c r="P82" s="119"/>
    </row>
    <row r="83" spans="1:18" s="443" customFormat="1">
      <c r="A83" s="651" t="s">
        <v>471</v>
      </c>
      <c r="B83" s="803" t="s">
        <v>271</v>
      </c>
      <c r="C83" s="34" t="s">
        <v>147</v>
      </c>
      <c r="D83" s="121" t="s">
        <v>107</v>
      </c>
      <c r="E83" s="649">
        <v>0.05</v>
      </c>
      <c r="F83" s="11">
        <v>2</v>
      </c>
      <c r="G83" s="11" t="s">
        <v>451</v>
      </c>
      <c r="H83" s="13">
        <v>1</v>
      </c>
      <c r="I83" s="13">
        <v>2</v>
      </c>
      <c r="J83" s="13">
        <v>2</v>
      </c>
      <c r="K83" s="13">
        <v>1</v>
      </c>
      <c r="L83" s="13">
        <v>1</v>
      </c>
      <c r="M83" s="13">
        <v>1</v>
      </c>
      <c r="N83" s="431">
        <f t="shared" si="25"/>
        <v>0.16933510251023262</v>
      </c>
      <c r="O83" s="431">
        <f t="shared" si="26"/>
        <v>0.19908580854301616</v>
      </c>
      <c r="P83" s="42" t="s">
        <v>473</v>
      </c>
    </row>
    <row r="84" spans="1:18" s="443" customFormat="1" ht="15.75" thickBot="1">
      <c r="A84" s="652" t="s">
        <v>471</v>
      </c>
      <c r="B84" s="804" t="s">
        <v>344</v>
      </c>
      <c r="C84" s="34" t="s">
        <v>147</v>
      </c>
      <c r="D84" s="123" t="s">
        <v>107</v>
      </c>
      <c r="E84" s="773" t="s">
        <v>158</v>
      </c>
      <c r="F84" s="12">
        <v>1</v>
      </c>
      <c r="G84" s="12" t="s">
        <v>451</v>
      </c>
      <c r="H84" s="14"/>
      <c r="I84" s="14"/>
      <c r="J84" s="14"/>
      <c r="K84" s="14"/>
      <c r="L84" s="14"/>
      <c r="M84" s="14"/>
      <c r="N84" s="434" t="str">
        <f t="shared" si="25"/>
        <v/>
      </c>
      <c r="O84" s="434" t="str">
        <f t="shared" si="26"/>
        <v/>
      </c>
      <c r="P84" s="44"/>
    </row>
    <row r="85" spans="1:18" s="443" customFormat="1">
      <c r="A85" s="654" t="s">
        <v>450</v>
      </c>
      <c r="B85" s="794" t="s">
        <v>474</v>
      </c>
      <c r="C85" s="34" t="s">
        <v>147</v>
      </c>
      <c r="D85" s="631" t="s">
        <v>107</v>
      </c>
      <c r="E85" s="764">
        <f>0.5*0.97</f>
        <v>0.48499999999999999</v>
      </c>
      <c r="F85" s="118">
        <v>2</v>
      </c>
      <c r="G85" s="118" t="s">
        <v>451</v>
      </c>
      <c r="H85" s="66">
        <v>1</v>
      </c>
      <c r="I85" s="66">
        <v>2</v>
      </c>
      <c r="J85" s="66">
        <v>2</v>
      </c>
      <c r="K85" s="66">
        <v>1</v>
      </c>
      <c r="L85" s="66">
        <v>1</v>
      </c>
      <c r="M85" s="66">
        <v>1</v>
      </c>
      <c r="N85" s="445">
        <f t="shared" si="25"/>
        <v>0.16933510251023262</v>
      </c>
      <c r="O85" s="445">
        <f t="shared" si="26"/>
        <v>0.19908580854301616</v>
      </c>
      <c r="P85" s="118" t="s">
        <v>475</v>
      </c>
    </row>
    <row r="86" spans="1:18" s="443" customFormat="1">
      <c r="A86" s="318" t="s">
        <v>450</v>
      </c>
      <c r="B86" s="800" t="s">
        <v>476</v>
      </c>
      <c r="C86" s="34" t="s">
        <v>147</v>
      </c>
      <c r="D86" s="122" t="s">
        <v>107</v>
      </c>
      <c r="E86" s="245">
        <f>0.5*0.97</f>
        <v>0.48499999999999999</v>
      </c>
      <c r="F86" s="9">
        <v>2</v>
      </c>
      <c r="G86" s="9" t="s">
        <v>451</v>
      </c>
      <c r="H86" s="10">
        <v>1</v>
      </c>
      <c r="I86" s="10">
        <v>2</v>
      </c>
      <c r="J86" s="10">
        <v>2</v>
      </c>
      <c r="K86" s="10">
        <v>1</v>
      </c>
      <c r="L86" s="10">
        <v>1</v>
      </c>
      <c r="M86" s="10">
        <v>1</v>
      </c>
      <c r="N86" s="411">
        <f t="shared" si="25"/>
        <v>0.16933510251023262</v>
      </c>
      <c r="O86" s="411">
        <f t="shared" si="26"/>
        <v>0.19908580854301616</v>
      </c>
      <c r="P86" s="9" t="s">
        <v>477</v>
      </c>
    </row>
    <row r="87" spans="1:18" s="443" customFormat="1" ht="15.75" thickBot="1">
      <c r="A87" s="655" t="s">
        <v>450</v>
      </c>
      <c r="B87" s="795" t="s">
        <v>236</v>
      </c>
      <c r="C87" s="34" t="s">
        <v>147</v>
      </c>
      <c r="D87" s="124" t="s">
        <v>107</v>
      </c>
      <c r="E87" s="769">
        <v>0.03</v>
      </c>
      <c r="F87" s="119">
        <v>1</v>
      </c>
      <c r="G87" s="119" t="s">
        <v>451</v>
      </c>
      <c r="H87" s="15">
        <v>1</v>
      </c>
      <c r="I87" s="15">
        <v>2</v>
      </c>
      <c r="J87" s="15">
        <v>2</v>
      </c>
      <c r="K87" s="15">
        <v>1</v>
      </c>
      <c r="L87" s="15">
        <v>1</v>
      </c>
      <c r="M87" s="15">
        <v>1</v>
      </c>
      <c r="N87" s="430">
        <f t="shared" si="25"/>
        <v>0.16933510251023262</v>
      </c>
      <c r="O87" s="430">
        <f t="shared" si="26"/>
        <v>0.19908580854301616</v>
      </c>
      <c r="P87" s="119" t="s">
        <v>478</v>
      </c>
    </row>
    <row r="88" spans="1:18" s="443" customFormat="1">
      <c r="A88" s="651" t="s">
        <v>474</v>
      </c>
      <c r="B88" s="803" t="s">
        <v>479</v>
      </c>
      <c r="C88" s="34" t="s">
        <v>147</v>
      </c>
      <c r="D88" s="121" t="s">
        <v>107</v>
      </c>
      <c r="E88" s="649">
        <v>0.03</v>
      </c>
      <c r="F88" s="11">
        <v>2</v>
      </c>
      <c r="G88" s="11" t="s">
        <v>451</v>
      </c>
      <c r="H88" s="13">
        <v>1</v>
      </c>
      <c r="I88" s="13">
        <v>2</v>
      </c>
      <c r="J88" s="13">
        <v>2</v>
      </c>
      <c r="K88" s="13">
        <v>1</v>
      </c>
      <c r="L88" s="13">
        <v>1</v>
      </c>
      <c r="M88" s="13">
        <v>1</v>
      </c>
      <c r="N88" s="431">
        <f t="shared" si="25"/>
        <v>0.16933510251023262</v>
      </c>
      <c r="O88" s="431">
        <f t="shared" si="26"/>
        <v>0.19908580854301616</v>
      </c>
      <c r="P88" s="42" t="s">
        <v>480</v>
      </c>
    </row>
    <row r="89" spans="1:18" s="443" customFormat="1" ht="15.75" thickBot="1">
      <c r="A89" s="652" t="s">
        <v>474</v>
      </c>
      <c r="B89" s="804" t="s">
        <v>481</v>
      </c>
      <c r="C89" s="34" t="s">
        <v>147</v>
      </c>
      <c r="D89" s="123" t="s">
        <v>107</v>
      </c>
      <c r="E89" s="773" t="s">
        <v>158</v>
      </c>
      <c r="F89" s="12">
        <v>1</v>
      </c>
      <c r="G89" s="12" t="s">
        <v>451</v>
      </c>
      <c r="H89" s="14"/>
      <c r="I89" s="14"/>
      <c r="J89" s="14"/>
      <c r="K89" s="14"/>
      <c r="L89" s="14"/>
      <c r="M89" s="14"/>
      <c r="N89" s="434" t="str">
        <f t="shared" si="25"/>
        <v/>
      </c>
      <c r="O89" s="434" t="str">
        <f t="shared" si="26"/>
        <v/>
      </c>
      <c r="P89" s="44"/>
    </row>
    <row r="90" spans="1:18" s="443" customFormat="1">
      <c r="A90" s="654" t="s">
        <v>479</v>
      </c>
      <c r="B90" s="794" t="s">
        <v>244</v>
      </c>
      <c r="C90" s="34" t="s">
        <v>147</v>
      </c>
      <c r="D90" s="631" t="s">
        <v>107</v>
      </c>
      <c r="E90" s="769">
        <v>0.05</v>
      </c>
      <c r="F90" s="119">
        <v>2</v>
      </c>
      <c r="G90" s="11" t="s">
        <v>165</v>
      </c>
      <c r="H90" s="15">
        <v>1</v>
      </c>
      <c r="I90" s="15">
        <v>2</v>
      </c>
      <c r="J90" s="15">
        <v>2</v>
      </c>
      <c r="K90" s="15">
        <v>1</v>
      </c>
      <c r="L90" s="15">
        <v>3</v>
      </c>
      <c r="M90" s="13">
        <v>3</v>
      </c>
      <c r="N90" s="430">
        <f>IF( OR( ISBLANK(H90),ISBLANK(J90), ISBLANK(K90), ISBLANK(L90), ISBLANK(M90) ), "", 1.5*SQRT(   EXP(2.21*(H90-1)) + EXP(2.21*(J90-1)) + EXP(2.21*(K90-1)) + EXP(2.21*(L90-1)) + EXP(2.21*M90)   )/100*2.45 )</f>
        <v>1.0725046436742278</v>
      </c>
      <c r="O90" s="430">
        <f>IF( OR( ISBLANK(I90),ISBLANK(J90), ISBLANK(K90), ISBLANK(L90), ISBLANK(M90) ), "", 1.5*SQRT( EXP(2.21*(I90-1)) + EXP(2.21*(J90-1)) + EXP(2.21*(K90-1)) + EXP(2.21*(L90-1)) + EXP(2.21*M90)   )/100*2.45 )</f>
        <v>1.0776024280428556</v>
      </c>
      <c r="P90" s="119" t="s">
        <v>482</v>
      </c>
      <c r="R90" s="776"/>
    </row>
    <row r="91" spans="1:18" s="443" customFormat="1">
      <c r="A91" s="318" t="s">
        <v>479</v>
      </c>
      <c r="B91" s="800" t="s">
        <v>245</v>
      </c>
      <c r="C91" s="34" t="s">
        <v>147</v>
      </c>
      <c r="D91" s="122" t="s">
        <v>107</v>
      </c>
      <c r="E91" s="245">
        <v>0.39400000000000002</v>
      </c>
      <c r="F91" s="9">
        <v>2</v>
      </c>
      <c r="G91" s="9" t="s">
        <v>451</v>
      </c>
      <c r="H91" s="10">
        <v>1</v>
      </c>
      <c r="I91" s="10">
        <v>2</v>
      </c>
      <c r="J91" s="10">
        <v>2</v>
      </c>
      <c r="K91" s="10">
        <v>1</v>
      </c>
      <c r="L91" s="10">
        <v>1</v>
      </c>
      <c r="M91" s="10">
        <v>1</v>
      </c>
      <c r="N91" s="411">
        <f t="shared" si="25"/>
        <v>0.16933510251023262</v>
      </c>
      <c r="O91" s="411">
        <f t="shared" si="26"/>
        <v>0.19908580854301616</v>
      </c>
      <c r="P91" s="9" t="s">
        <v>483</v>
      </c>
    </row>
    <row r="92" spans="1:18" s="443" customFormat="1">
      <c r="A92" s="655" t="s">
        <v>479</v>
      </c>
      <c r="B92" s="795" t="s">
        <v>264</v>
      </c>
      <c r="C92" s="34" t="s">
        <v>147</v>
      </c>
      <c r="D92" s="124" t="s">
        <v>107</v>
      </c>
      <c r="E92" s="245">
        <v>0.52200000000000002</v>
      </c>
      <c r="F92" s="7">
        <v>1</v>
      </c>
      <c r="G92" s="9" t="s">
        <v>451</v>
      </c>
      <c r="H92" s="10">
        <v>1</v>
      </c>
      <c r="I92" s="10">
        <v>2</v>
      </c>
      <c r="J92" s="10">
        <v>2</v>
      </c>
      <c r="K92" s="10">
        <v>1</v>
      </c>
      <c r="L92" s="10">
        <v>1</v>
      </c>
      <c r="M92" s="10">
        <v>1</v>
      </c>
      <c r="N92" s="411">
        <f>IF( OR( ISBLANK(H92),ISBLANK(J92), ISBLANK(K92), ISBLANK(L92), ISBLANK(M92) ), "", 1.5*SQRT(   EXP(2.21*(H92-1)) + EXP(2.21*(J92-1)) + EXP(2.21*(K92-1)) + EXP(2.21*(L92-1)) + EXP(2.21*M92)   )/100*2.45 )</f>
        <v>0.16933510251023262</v>
      </c>
      <c r="O92" s="411">
        <f>IF( OR( ISBLANK(I92),ISBLANK(J92), ISBLANK(K92), ISBLANK(L92), ISBLANK(M92) ), "", 1.5*SQRT( EXP(2.21*(I92-1)) + EXP(2.21*(J92-1)) + EXP(2.21*(K92-1)) + EXP(2.21*(L92-1)) + EXP(2.21*M92)   )/100*2.45 )</f>
        <v>0.19908580854301616</v>
      </c>
      <c r="P92" s="9" t="s">
        <v>484</v>
      </c>
    </row>
    <row r="93" spans="1:18" s="443" customFormat="1" ht="15.75" thickBot="1">
      <c r="A93" s="655" t="s">
        <v>479</v>
      </c>
      <c r="B93" s="795" t="s">
        <v>271</v>
      </c>
      <c r="C93" s="34" t="s">
        <v>147</v>
      </c>
      <c r="D93" s="124" t="s">
        <v>107</v>
      </c>
      <c r="E93" s="769">
        <v>3.4000000000000002E-2</v>
      </c>
      <c r="F93" s="119">
        <v>2</v>
      </c>
      <c r="G93" s="9" t="s">
        <v>451</v>
      </c>
      <c r="H93" s="15"/>
      <c r="I93" s="15"/>
      <c r="J93" s="15"/>
      <c r="K93" s="15"/>
      <c r="L93" s="15"/>
      <c r="M93" s="15"/>
      <c r="N93" s="430"/>
      <c r="O93" s="430"/>
      <c r="P93" s="774" t="s">
        <v>485</v>
      </c>
    </row>
    <row r="94" spans="1:18" s="443" customFormat="1">
      <c r="A94" s="651" t="s">
        <v>476</v>
      </c>
      <c r="B94" s="803" t="s">
        <v>486</v>
      </c>
      <c r="C94" s="34" t="s">
        <v>147</v>
      </c>
      <c r="D94" s="121" t="s">
        <v>107</v>
      </c>
      <c r="E94" s="649">
        <f>0.1*E88</f>
        <v>3.0000000000000001E-3</v>
      </c>
      <c r="F94" s="11">
        <v>2</v>
      </c>
      <c r="G94" s="11" t="s">
        <v>451</v>
      </c>
      <c r="H94" s="13">
        <v>1</v>
      </c>
      <c r="I94" s="13">
        <v>2</v>
      </c>
      <c r="J94" s="13">
        <v>2</v>
      </c>
      <c r="K94" s="13">
        <v>1</v>
      </c>
      <c r="L94" s="13">
        <v>1</v>
      </c>
      <c r="M94" s="13">
        <v>1</v>
      </c>
      <c r="N94" s="431">
        <f t="shared" si="25"/>
        <v>0.16933510251023262</v>
      </c>
      <c r="O94" s="431">
        <f t="shared" si="26"/>
        <v>0.19908580854301616</v>
      </c>
      <c r="P94" s="42" t="s">
        <v>487</v>
      </c>
    </row>
    <row r="95" spans="1:18" s="443" customFormat="1" ht="15.75" thickBot="1">
      <c r="A95" s="652" t="s">
        <v>476</v>
      </c>
      <c r="B95" s="804" t="s">
        <v>488</v>
      </c>
      <c r="C95" s="34" t="s">
        <v>147</v>
      </c>
      <c r="D95" s="123" t="s">
        <v>107</v>
      </c>
      <c r="E95" s="773" t="s">
        <v>158</v>
      </c>
      <c r="F95" s="12">
        <v>1</v>
      </c>
      <c r="G95" s="12" t="s">
        <v>451</v>
      </c>
      <c r="H95" s="14"/>
      <c r="I95" s="14"/>
      <c r="J95" s="14"/>
      <c r="K95" s="14"/>
      <c r="L95" s="14"/>
      <c r="M95" s="14"/>
      <c r="N95" s="434" t="str">
        <f t="shared" si="25"/>
        <v/>
      </c>
      <c r="O95" s="434" t="str">
        <f t="shared" si="26"/>
        <v/>
      </c>
      <c r="P95" s="44" t="s">
        <v>489</v>
      </c>
    </row>
    <row r="96" spans="1:18" s="443" customFormat="1" ht="15.75" thickBot="1">
      <c r="A96" s="778" t="s">
        <v>486</v>
      </c>
      <c r="B96" s="797" t="s">
        <v>241</v>
      </c>
      <c r="C96" s="34" t="s">
        <v>147</v>
      </c>
      <c r="D96" s="807" t="s">
        <v>107</v>
      </c>
      <c r="E96" s="775">
        <v>1</v>
      </c>
      <c r="F96" s="774">
        <v>2</v>
      </c>
      <c r="G96" s="774" t="s">
        <v>451</v>
      </c>
      <c r="H96" s="71">
        <v>1</v>
      </c>
      <c r="I96" s="71">
        <v>2</v>
      </c>
      <c r="J96" s="71">
        <v>2</v>
      </c>
      <c r="K96" s="71">
        <v>1</v>
      </c>
      <c r="L96" s="71">
        <v>1</v>
      </c>
      <c r="M96" s="71">
        <v>1</v>
      </c>
      <c r="N96" s="779">
        <f t="shared" si="25"/>
        <v>0.16933510251023262</v>
      </c>
      <c r="O96" s="779">
        <f t="shared" si="26"/>
        <v>0.19908580854301616</v>
      </c>
      <c r="P96" s="774" t="s">
        <v>490</v>
      </c>
    </row>
    <row r="97" spans="1:16" s="443" customFormat="1">
      <c r="A97" s="651" t="s">
        <v>481</v>
      </c>
      <c r="B97" s="803" t="s">
        <v>244</v>
      </c>
      <c r="C97" s="34" t="s">
        <v>147</v>
      </c>
      <c r="D97" s="121" t="s">
        <v>107</v>
      </c>
      <c r="E97" s="649">
        <v>0</v>
      </c>
      <c r="F97" s="11">
        <v>2</v>
      </c>
      <c r="G97" s="11" t="s">
        <v>451</v>
      </c>
      <c r="H97" s="13">
        <v>1</v>
      </c>
      <c r="I97" s="13">
        <v>2</v>
      </c>
      <c r="J97" s="13">
        <v>2</v>
      </c>
      <c r="K97" s="13">
        <v>1</v>
      </c>
      <c r="L97" s="13">
        <v>1</v>
      </c>
      <c r="M97" s="13">
        <v>1</v>
      </c>
      <c r="N97" s="431">
        <f t="shared" si="25"/>
        <v>0.16933510251023262</v>
      </c>
      <c r="O97" s="431">
        <f t="shared" si="26"/>
        <v>0.19908580854301616</v>
      </c>
      <c r="P97" s="42" t="s">
        <v>491</v>
      </c>
    </row>
    <row r="98" spans="1:16" s="443" customFormat="1">
      <c r="A98" s="653" t="s">
        <v>481</v>
      </c>
      <c r="B98" s="800" t="s">
        <v>245</v>
      </c>
      <c r="C98" s="34" t="s">
        <v>147</v>
      </c>
      <c r="D98" s="122" t="s">
        <v>107</v>
      </c>
      <c r="E98" s="245">
        <v>0</v>
      </c>
      <c r="F98" s="9">
        <v>2</v>
      </c>
      <c r="G98" s="9" t="s">
        <v>451</v>
      </c>
      <c r="H98" s="10">
        <v>1</v>
      </c>
      <c r="I98" s="10">
        <v>2</v>
      </c>
      <c r="J98" s="10">
        <v>2</v>
      </c>
      <c r="K98" s="10">
        <v>1</v>
      </c>
      <c r="L98" s="10">
        <v>1</v>
      </c>
      <c r="M98" s="10">
        <v>1</v>
      </c>
      <c r="N98" s="411">
        <f t="shared" si="25"/>
        <v>0.16933510251023262</v>
      </c>
      <c r="O98" s="411">
        <f t="shared" si="26"/>
        <v>0.19908580854301616</v>
      </c>
      <c r="P98" s="43" t="s">
        <v>491</v>
      </c>
    </row>
    <row r="99" spans="1:16" s="443" customFormat="1">
      <c r="A99" s="653" t="s">
        <v>481</v>
      </c>
      <c r="B99" s="800" t="s">
        <v>264</v>
      </c>
      <c r="C99" s="34" t="s">
        <v>147</v>
      </c>
      <c r="D99" s="122" t="s">
        <v>107</v>
      </c>
      <c r="E99" s="245">
        <v>0</v>
      </c>
      <c r="F99" s="9">
        <v>2</v>
      </c>
      <c r="G99" s="9" t="s">
        <v>451</v>
      </c>
      <c r="H99" s="10">
        <v>1</v>
      </c>
      <c r="I99" s="10">
        <v>2</v>
      </c>
      <c r="J99" s="10">
        <v>2</v>
      </c>
      <c r="K99" s="10">
        <v>1</v>
      </c>
      <c r="L99" s="10">
        <v>1</v>
      </c>
      <c r="M99" s="10">
        <v>1</v>
      </c>
      <c r="N99" s="411">
        <f>IF( OR( ISBLANK(H99),ISBLANK(J99), ISBLANK(K99), ISBLANK(L99), ISBLANK(M99) ), "", 1.5*SQRT(   EXP(2.21*(H99-1)) + EXP(2.21*(J99-1)) + EXP(2.21*(K99-1)) + EXP(2.21*(L99-1)) + EXP(2.21*M99)   )/100*2.45 )</f>
        <v>0.16933510251023262</v>
      </c>
      <c r="O99" s="411">
        <f>IF( OR( ISBLANK(I99),ISBLANK(J99), ISBLANK(K99), ISBLANK(L99), ISBLANK(M99) ), "", 1.5*SQRT( EXP(2.21*(I99-1)) + EXP(2.21*(J99-1)) + EXP(2.21*(K99-1)) + EXP(2.21*(L99-1)) + EXP(2.21*M99)   )/100*2.45 )</f>
        <v>0.19908580854301616</v>
      </c>
      <c r="P99" s="43" t="s">
        <v>491</v>
      </c>
    </row>
    <row r="100" spans="1:16" s="443" customFormat="1">
      <c r="A100" s="653" t="s">
        <v>481</v>
      </c>
      <c r="B100" s="795" t="s">
        <v>271</v>
      </c>
      <c r="C100" s="34" t="s">
        <v>147</v>
      </c>
      <c r="D100" s="124" t="s">
        <v>107</v>
      </c>
      <c r="E100" s="769">
        <v>0</v>
      </c>
      <c r="F100" s="119">
        <v>2</v>
      </c>
      <c r="G100" s="119" t="s">
        <v>451</v>
      </c>
      <c r="H100" s="10">
        <v>1</v>
      </c>
      <c r="I100" s="10">
        <v>2</v>
      </c>
      <c r="J100" s="10">
        <v>2</v>
      </c>
      <c r="K100" s="10">
        <v>1</v>
      </c>
      <c r="L100" s="10">
        <v>1</v>
      </c>
      <c r="M100" s="10">
        <v>1</v>
      </c>
      <c r="N100" s="411">
        <f>IF( OR( ISBLANK(H100),ISBLANK(J100), ISBLANK(K100), ISBLANK(L100), ISBLANK(M100) ), "", 1.5*SQRT(   EXP(2.21*(H100-1)) + EXP(2.21*(J100-1)) + EXP(2.21*(K100-1)) + EXP(2.21*(L100-1)) + EXP(2.21*M100)   )/100*2.45 )</f>
        <v>0.16933510251023262</v>
      </c>
      <c r="O100" s="411">
        <f>IF( OR( ISBLANK(I100),ISBLANK(J100), ISBLANK(K100), ISBLANK(L100), ISBLANK(M100) ), "", 1.5*SQRT( EXP(2.21*(I100-1)) + EXP(2.21*(J100-1)) + EXP(2.21*(K100-1)) + EXP(2.21*(L100-1)) + EXP(2.21*M100)   )/100*2.45 )</f>
        <v>0.19908580854301616</v>
      </c>
      <c r="P100" s="156" t="s">
        <v>491</v>
      </c>
    </row>
    <row r="101" spans="1:16" s="443" customFormat="1" ht="15.75" thickBot="1">
      <c r="A101" s="652" t="s">
        <v>481</v>
      </c>
      <c r="B101" s="804" t="s">
        <v>344</v>
      </c>
      <c r="C101" s="34" t="s">
        <v>147</v>
      </c>
      <c r="D101" s="123" t="s">
        <v>107</v>
      </c>
      <c r="E101" s="773" t="s">
        <v>158</v>
      </c>
      <c r="F101" s="12">
        <v>1</v>
      </c>
      <c r="G101" s="12" t="s">
        <v>451</v>
      </c>
      <c r="H101" s="14"/>
      <c r="I101" s="14"/>
      <c r="J101" s="14"/>
      <c r="K101" s="14"/>
      <c r="L101" s="14"/>
      <c r="M101" s="14"/>
      <c r="N101" s="434" t="str">
        <f t="shared" si="25"/>
        <v/>
      </c>
      <c r="O101" s="434" t="str">
        <f t="shared" si="26"/>
        <v/>
      </c>
      <c r="P101" s="44"/>
    </row>
    <row r="102" spans="1:16" s="443" customFormat="1">
      <c r="A102" s="654" t="s">
        <v>488</v>
      </c>
      <c r="B102" s="794" t="s">
        <v>241</v>
      </c>
      <c r="C102" s="34" t="s">
        <v>147</v>
      </c>
      <c r="D102" s="631" t="s">
        <v>107</v>
      </c>
      <c r="E102" s="764">
        <v>0</v>
      </c>
      <c r="F102" s="118">
        <v>2</v>
      </c>
      <c r="G102" s="118" t="s">
        <v>451</v>
      </c>
      <c r="H102" s="66">
        <v>1</v>
      </c>
      <c r="I102" s="66">
        <v>2</v>
      </c>
      <c r="J102" s="66">
        <v>2</v>
      </c>
      <c r="K102" s="66">
        <v>1</v>
      </c>
      <c r="L102" s="66">
        <v>1</v>
      </c>
      <c r="M102" s="66">
        <v>1</v>
      </c>
      <c r="N102" s="445">
        <f t="shared" si="25"/>
        <v>0.16933510251023262</v>
      </c>
      <c r="O102" s="445">
        <f t="shared" si="26"/>
        <v>0.19908580854301616</v>
      </c>
      <c r="P102" s="118" t="s">
        <v>492</v>
      </c>
    </row>
    <row r="103" spans="1:16" s="443" customFormat="1" ht="15.75" thickBot="1">
      <c r="A103" s="655" t="s">
        <v>488</v>
      </c>
      <c r="B103" s="795" t="s">
        <v>344</v>
      </c>
      <c r="C103" s="34" t="s">
        <v>147</v>
      </c>
      <c r="D103" s="124" t="s">
        <v>107</v>
      </c>
      <c r="E103" s="769" t="s">
        <v>158</v>
      </c>
      <c r="F103" s="119">
        <v>1</v>
      </c>
      <c r="G103" s="119" t="s">
        <v>451</v>
      </c>
      <c r="H103" s="15"/>
      <c r="I103" s="15"/>
      <c r="J103" s="15"/>
      <c r="K103" s="15"/>
      <c r="L103" s="15"/>
      <c r="M103" s="15"/>
      <c r="N103" s="430" t="str">
        <f t="shared" si="25"/>
        <v/>
      </c>
      <c r="O103" s="430" t="str">
        <f t="shared" si="26"/>
        <v/>
      </c>
      <c r="P103" s="119" t="s">
        <v>493</v>
      </c>
    </row>
    <row r="104" spans="1:16" s="443" customFormat="1">
      <c r="A104" s="651" t="s">
        <v>452</v>
      </c>
      <c r="B104" s="803" t="s">
        <v>494</v>
      </c>
      <c r="C104" s="34" t="s">
        <v>147</v>
      </c>
      <c r="D104" s="121" t="s">
        <v>107</v>
      </c>
      <c r="E104" s="649">
        <f>0.97*0.4</f>
        <v>0.38800000000000001</v>
      </c>
      <c r="F104" s="11">
        <v>2</v>
      </c>
      <c r="G104" s="11" t="s">
        <v>451</v>
      </c>
      <c r="H104" s="13">
        <v>1</v>
      </c>
      <c r="I104" s="13">
        <v>2</v>
      </c>
      <c r="J104" s="13">
        <v>2</v>
      </c>
      <c r="K104" s="13">
        <v>1</v>
      </c>
      <c r="L104" s="13">
        <v>1</v>
      </c>
      <c r="M104" s="13">
        <v>1</v>
      </c>
      <c r="N104" s="431">
        <f t="shared" si="25"/>
        <v>0.16933510251023262</v>
      </c>
      <c r="O104" s="431">
        <f t="shared" si="26"/>
        <v>0.19908580854301616</v>
      </c>
      <c r="P104" s="42" t="s">
        <v>495</v>
      </c>
    </row>
    <row r="105" spans="1:16" s="443" customFormat="1">
      <c r="A105" s="653" t="s">
        <v>452</v>
      </c>
      <c r="B105" s="800" t="s">
        <v>496</v>
      </c>
      <c r="C105" s="34" t="s">
        <v>147</v>
      </c>
      <c r="D105" s="122" t="s">
        <v>107</v>
      </c>
      <c r="E105" s="245">
        <f>0.97*0.6</f>
        <v>0.58199999999999996</v>
      </c>
      <c r="F105" s="9">
        <v>2</v>
      </c>
      <c r="G105" s="9" t="s">
        <v>451</v>
      </c>
      <c r="H105" s="10">
        <v>1</v>
      </c>
      <c r="I105" s="10">
        <v>2</v>
      </c>
      <c r="J105" s="10">
        <v>2</v>
      </c>
      <c r="K105" s="10">
        <v>1</v>
      </c>
      <c r="L105" s="10">
        <v>1</v>
      </c>
      <c r="M105" s="10">
        <v>1</v>
      </c>
      <c r="N105" s="411">
        <f t="shared" si="25"/>
        <v>0.16933510251023262</v>
      </c>
      <c r="O105" s="411">
        <f t="shared" si="26"/>
        <v>0.19908580854301616</v>
      </c>
      <c r="P105" s="43" t="s">
        <v>497</v>
      </c>
    </row>
    <row r="106" spans="1:16" s="443" customFormat="1" ht="15.75" thickBot="1">
      <c r="A106" s="652" t="s">
        <v>452</v>
      </c>
      <c r="B106" s="804" t="s">
        <v>236</v>
      </c>
      <c r="C106" s="34" t="s">
        <v>147</v>
      </c>
      <c r="D106" s="123" t="s">
        <v>107</v>
      </c>
      <c r="E106" s="773">
        <v>0.03</v>
      </c>
      <c r="F106" s="12">
        <v>1</v>
      </c>
      <c r="G106" s="12" t="s">
        <v>451</v>
      </c>
      <c r="H106" s="14">
        <v>1</v>
      </c>
      <c r="I106" s="14">
        <v>2</v>
      </c>
      <c r="J106" s="14">
        <v>2</v>
      </c>
      <c r="K106" s="14">
        <v>1</v>
      </c>
      <c r="L106" s="14">
        <v>1</v>
      </c>
      <c r="M106" s="14">
        <v>1</v>
      </c>
      <c r="N106" s="434">
        <f t="shared" si="25"/>
        <v>0.16933510251023262</v>
      </c>
      <c r="O106" s="434">
        <f t="shared" si="26"/>
        <v>0.19908580854301616</v>
      </c>
      <c r="P106" s="44" t="s">
        <v>478</v>
      </c>
    </row>
    <row r="107" spans="1:16" s="443" customFormat="1">
      <c r="A107" s="654" t="s">
        <v>494</v>
      </c>
      <c r="B107" s="794" t="s">
        <v>498</v>
      </c>
      <c r="C107" s="34" t="s">
        <v>147</v>
      </c>
      <c r="D107" s="631" t="s">
        <v>107</v>
      </c>
      <c r="E107" s="764">
        <v>0.03</v>
      </c>
      <c r="F107" s="118">
        <v>2</v>
      </c>
      <c r="G107" s="118" t="s">
        <v>451</v>
      </c>
      <c r="H107" s="66">
        <v>1</v>
      </c>
      <c r="I107" s="66">
        <v>2</v>
      </c>
      <c r="J107" s="66">
        <v>2</v>
      </c>
      <c r="K107" s="66">
        <v>1</v>
      </c>
      <c r="L107" s="66">
        <v>1</v>
      </c>
      <c r="M107" s="66">
        <v>1</v>
      </c>
      <c r="N107" s="445">
        <f t="shared" si="25"/>
        <v>0.16933510251023262</v>
      </c>
      <c r="O107" s="445">
        <f t="shared" si="26"/>
        <v>0.19908580854301616</v>
      </c>
      <c r="P107" s="118" t="s">
        <v>480</v>
      </c>
    </row>
    <row r="108" spans="1:16" s="443" customFormat="1" ht="15.75" thickBot="1">
      <c r="A108" s="655" t="s">
        <v>494</v>
      </c>
      <c r="B108" s="795" t="s">
        <v>499</v>
      </c>
      <c r="C108" s="34" t="s">
        <v>147</v>
      </c>
      <c r="D108" s="124" t="s">
        <v>107</v>
      </c>
      <c r="E108" s="769" t="s">
        <v>158</v>
      </c>
      <c r="F108" s="119">
        <v>1</v>
      </c>
      <c r="G108" s="119" t="s">
        <v>451</v>
      </c>
      <c r="H108" s="15"/>
      <c r="I108" s="15"/>
      <c r="J108" s="15"/>
      <c r="K108" s="15"/>
      <c r="L108" s="15"/>
      <c r="M108" s="15"/>
      <c r="N108" s="430" t="str">
        <f t="shared" si="25"/>
        <v/>
      </c>
      <c r="O108" s="430" t="str">
        <f t="shared" si="26"/>
        <v/>
      </c>
      <c r="P108" s="119" t="s">
        <v>500</v>
      </c>
    </row>
    <row r="109" spans="1:16" s="443" customFormat="1">
      <c r="A109" s="444" t="s">
        <v>498</v>
      </c>
      <c r="B109" s="444" t="s">
        <v>244</v>
      </c>
      <c r="C109" s="34" t="s">
        <v>147</v>
      </c>
      <c r="D109" s="121" t="s">
        <v>107</v>
      </c>
      <c r="E109" s="790">
        <v>0.05</v>
      </c>
      <c r="F109" s="791">
        <v>2</v>
      </c>
      <c r="G109" s="11" t="s">
        <v>165</v>
      </c>
      <c r="H109" s="13">
        <v>1</v>
      </c>
      <c r="I109" s="13">
        <v>2</v>
      </c>
      <c r="J109" s="13">
        <v>2</v>
      </c>
      <c r="K109" s="13">
        <v>1</v>
      </c>
      <c r="L109" s="792">
        <v>3</v>
      </c>
      <c r="M109" s="13">
        <v>3</v>
      </c>
      <c r="N109" s="431">
        <f t="shared" si="25"/>
        <v>1.0725046436742278</v>
      </c>
      <c r="O109" s="431">
        <f t="shared" si="26"/>
        <v>1.0776024280428556</v>
      </c>
      <c r="P109" s="780" t="s">
        <v>482</v>
      </c>
    </row>
    <row r="110" spans="1:16" s="443" customFormat="1">
      <c r="A110" s="504" t="s">
        <v>498</v>
      </c>
      <c r="B110" s="504" t="s">
        <v>245</v>
      </c>
      <c r="C110" s="34" t="s">
        <v>147</v>
      </c>
      <c r="D110" s="122" t="s">
        <v>107</v>
      </c>
      <c r="E110" s="245">
        <v>0.39400000000000002</v>
      </c>
      <c r="F110" s="9">
        <v>2</v>
      </c>
      <c r="G110" s="9" t="s">
        <v>451</v>
      </c>
      <c r="H110" s="10">
        <v>1</v>
      </c>
      <c r="I110" s="10">
        <v>2</v>
      </c>
      <c r="J110" s="10">
        <v>2</v>
      </c>
      <c r="K110" s="10">
        <v>1</v>
      </c>
      <c r="L110" s="10">
        <v>1</v>
      </c>
      <c r="M110" s="10">
        <v>1</v>
      </c>
      <c r="N110" s="411">
        <f t="shared" si="25"/>
        <v>0.16933510251023262</v>
      </c>
      <c r="O110" s="411">
        <f t="shared" si="26"/>
        <v>0.19908580854301616</v>
      </c>
      <c r="P110" s="43" t="s">
        <v>483</v>
      </c>
    </row>
    <row r="111" spans="1:16" s="443" customFormat="1">
      <c r="A111" s="504" t="s">
        <v>498</v>
      </c>
      <c r="B111" s="504" t="s">
        <v>264</v>
      </c>
      <c r="C111" s="34" t="s">
        <v>147</v>
      </c>
      <c r="D111" s="122" t="s">
        <v>107</v>
      </c>
      <c r="E111" s="245">
        <v>0.52200000000000002</v>
      </c>
      <c r="F111" s="7">
        <v>1</v>
      </c>
      <c r="G111" s="9" t="s">
        <v>451</v>
      </c>
      <c r="H111" s="10">
        <v>1</v>
      </c>
      <c r="I111" s="10">
        <v>2</v>
      </c>
      <c r="J111" s="10">
        <v>2</v>
      </c>
      <c r="K111" s="10">
        <v>1</v>
      </c>
      <c r="L111" s="10">
        <v>1</v>
      </c>
      <c r="M111" s="10">
        <v>1</v>
      </c>
      <c r="N111" s="411">
        <f t="shared" si="25"/>
        <v>0.16933510251023262</v>
      </c>
      <c r="O111" s="411">
        <f t="shared" si="26"/>
        <v>0.19908580854301616</v>
      </c>
      <c r="P111" s="43" t="s">
        <v>484</v>
      </c>
    </row>
    <row r="112" spans="1:16" s="443" customFormat="1" ht="15.75" thickBot="1">
      <c r="A112" s="504" t="s">
        <v>498</v>
      </c>
      <c r="B112" s="793" t="s">
        <v>271</v>
      </c>
      <c r="C112" s="34" t="s">
        <v>147</v>
      </c>
      <c r="D112" s="123" t="s">
        <v>107</v>
      </c>
      <c r="E112" s="773">
        <v>3.4000000000000002E-2</v>
      </c>
      <c r="F112" s="12">
        <v>2</v>
      </c>
      <c r="G112" s="12" t="s">
        <v>451</v>
      </c>
      <c r="H112" s="14"/>
      <c r="I112" s="14"/>
      <c r="J112" s="14"/>
      <c r="K112" s="14"/>
      <c r="L112" s="14"/>
      <c r="M112" s="14"/>
      <c r="N112" s="434"/>
      <c r="O112" s="434"/>
      <c r="P112" s="44" t="s">
        <v>485</v>
      </c>
    </row>
    <row r="113" spans="1:16" s="443" customFormat="1">
      <c r="A113" s="654" t="s">
        <v>496</v>
      </c>
      <c r="B113" s="794" t="s">
        <v>501</v>
      </c>
      <c r="C113" s="34" t="s">
        <v>147</v>
      </c>
      <c r="D113" s="631" t="s">
        <v>107</v>
      </c>
      <c r="E113" s="764">
        <f>0.1*E107</f>
        <v>3.0000000000000001E-3</v>
      </c>
      <c r="F113" s="118">
        <v>2</v>
      </c>
      <c r="G113" s="118" t="s">
        <v>451</v>
      </c>
      <c r="H113" s="66">
        <v>1</v>
      </c>
      <c r="I113" s="66">
        <v>2</v>
      </c>
      <c r="J113" s="66">
        <v>2</v>
      </c>
      <c r="K113" s="66">
        <v>1</v>
      </c>
      <c r="L113" s="66">
        <v>1</v>
      </c>
      <c r="M113" s="66">
        <v>1</v>
      </c>
      <c r="N113" s="445">
        <f t="shared" si="25"/>
        <v>0.16933510251023262</v>
      </c>
      <c r="O113" s="445">
        <f t="shared" si="26"/>
        <v>0.19908580854301616</v>
      </c>
      <c r="P113" s="118" t="s">
        <v>487</v>
      </c>
    </row>
    <row r="114" spans="1:16" s="443" customFormat="1" ht="15.75" thickBot="1">
      <c r="A114" s="655" t="s">
        <v>496</v>
      </c>
      <c r="B114" s="795" t="s">
        <v>502</v>
      </c>
      <c r="C114" s="34" t="s">
        <v>147</v>
      </c>
      <c r="D114" s="124" t="s">
        <v>107</v>
      </c>
      <c r="E114" s="769" t="s">
        <v>158</v>
      </c>
      <c r="F114" s="119">
        <v>1</v>
      </c>
      <c r="G114" s="119" t="s">
        <v>451</v>
      </c>
      <c r="H114" s="15"/>
      <c r="I114" s="15"/>
      <c r="J114" s="15"/>
      <c r="K114" s="15"/>
      <c r="L114" s="15"/>
      <c r="M114" s="15"/>
      <c r="N114" s="430" t="str">
        <f t="shared" si="25"/>
        <v/>
      </c>
      <c r="O114" s="430" t="str">
        <f t="shared" si="26"/>
        <v/>
      </c>
      <c r="P114" s="119" t="s">
        <v>500</v>
      </c>
    </row>
    <row r="115" spans="1:16" s="443" customFormat="1" ht="15.75" thickBot="1">
      <c r="A115" s="650" t="s">
        <v>501</v>
      </c>
      <c r="B115" s="805" t="s">
        <v>241</v>
      </c>
      <c r="C115" s="34" t="s">
        <v>147</v>
      </c>
      <c r="D115" s="801" t="s">
        <v>107</v>
      </c>
      <c r="E115" s="771">
        <v>1</v>
      </c>
      <c r="F115" s="770">
        <v>2</v>
      </c>
      <c r="G115" s="770" t="s">
        <v>451</v>
      </c>
      <c r="H115" s="70">
        <v>1</v>
      </c>
      <c r="I115" s="70">
        <v>2</v>
      </c>
      <c r="J115" s="70">
        <v>2</v>
      </c>
      <c r="K115" s="70">
        <v>1</v>
      </c>
      <c r="L115" s="70">
        <v>1</v>
      </c>
      <c r="M115" s="70">
        <v>1</v>
      </c>
      <c r="N115" s="446">
        <f t="shared" si="25"/>
        <v>0.16933510251023262</v>
      </c>
      <c r="O115" s="446">
        <f t="shared" si="26"/>
        <v>0.19908580854301616</v>
      </c>
      <c r="P115" s="772" t="s">
        <v>490</v>
      </c>
    </row>
    <row r="116" spans="1:16" s="443" customFormat="1">
      <c r="A116" s="654" t="s">
        <v>499</v>
      </c>
      <c r="B116" s="803" t="s">
        <v>244</v>
      </c>
      <c r="C116" s="34" t="s">
        <v>147</v>
      </c>
      <c r="D116" s="631" t="s">
        <v>107</v>
      </c>
      <c r="E116" s="764">
        <v>1.6000000000000001E-3</v>
      </c>
      <c r="F116" s="118">
        <v>2</v>
      </c>
      <c r="G116" s="118" t="s">
        <v>503</v>
      </c>
      <c r="H116" s="66">
        <v>1</v>
      </c>
      <c r="I116" s="66">
        <v>2</v>
      </c>
      <c r="J116" s="66">
        <v>2</v>
      </c>
      <c r="K116" s="66">
        <v>1</v>
      </c>
      <c r="L116" s="15">
        <v>3</v>
      </c>
      <c r="M116" s="13">
        <v>3</v>
      </c>
      <c r="N116" s="445">
        <f t="shared" si="25"/>
        <v>1.0725046436742278</v>
      </c>
      <c r="O116" s="445">
        <f t="shared" si="26"/>
        <v>1.0776024280428556</v>
      </c>
      <c r="P116" s="118" t="s">
        <v>504</v>
      </c>
    </row>
    <row r="117" spans="1:16" s="443" customFormat="1">
      <c r="A117" s="318" t="s">
        <v>499</v>
      </c>
      <c r="B117" s="800" t="s">
        <v>245</v>
      </c>
      <c r="C117" s="34" t="s">
        <v>147</v>
      </c>
      <c r="D117" s="122" t="s">
        <v>107</v>
      </c>
      <c r="E117" s="245">
        <v>1.26E-2</v>
      </c>
      <c r="F117" s="9">
        <v>2</v>
      </c>
      <c r="G117" s="9" t="s">
        <v>451</v>
      </c>
      <c r="H117" s="10">
        <v>1</v>
      </c>
      <c r="I117" s="10">
        <v>2</v>
      </c>
      <c r="J117" s="10">
        <v>2</v>
      </c>
      <c r="K117" s="10">
        <v>1</v>
      </c>
      <c r="L117" s="10">
        <v>1</v>
      </c>
      <c r="M117" s="10">
        <v>1</v>
      </c>
      <c r="N117" s="411">
        <f t="shared" si="25"/>
        <v>0.16933510251023262</v>
      </c>
      <c r="O117" s="411">
        <f t="shared" si="26"/>
        <v>0.19908580854301616</v>
      </c>
      <c r="P117" s="9" t="s">
        <v>505</v>
      </c>
    </row>
    <row r="118" spans="1:16" s="443" customFormat="1">
      <c r="A118" s="318" t="s">
        <v>499</v>
      </c>
      <c r="B118" s="800" t="s">
        <v>264</v>
      </c>
      <c r="C118" s="34" t="s">
        <v>147</v>
      </c>
      <c r="D118" s="122" t="s">
        <v>107</v>
      </c>
      <c r="E118" s="245">
        <v>1.67E-2</v>
      </c>
      <c r="F118" s="9">
        <v>2</v>
      </c>
      <c r="G118" s="9" t="s">
        <v>451</v>
      </c>
      <c r="H118" s="10">
        <v>1</v>
      </c>
      <c r="I118" s="10">
        <v>2</v>
      </c>
      <c r="J118" s="10">
        <v>2</v>
      </c>
      <c r="K118" s="10">
        <v>1</v>
      </c>
      <c r="L118" s="10">
        <v>1</v>
      </c>
      <c r="M118" s="10">
        <v>1</v>
      </c>
      <c r="N118" s="411">
        <f t="shared" si="25"/>
        <v>0.16933510251023262</v>
      </c>
      <c r="O118" s="411">
        <f t="shared" si="26"/>
        <v>0.19908580854301616</v>
      </c>
      <c r="P118" s="9" t="s">
        <v>506</v>
      </c>
    </row>
    <row r="119" spans="1:16" s="443" customFormat="1">
      <c r="A119" s="318" t="s">
        <v>499</v>
      </c>
      <c r="B119" s="795" t="s">
        <v>271</v>
      </c>
      <c r="C119" s="34" t="s">
        <v>147</v>
      </c>
      <c r="D119" s="124" t="s">
        <v>107</v>
      </c>
      <c r="E119" s="769">
        <v>1.1000000000000001E-3</v>
      </c>
      <c r="F119" s="119">
        <v>2</v>
      </c>
      <c r="G119" s="119" t="s">
        <v>451</v>
      </c>
      <c r="H119" s="10">
        <v>1</v>
      </c>
      <c r="I119" s="10">
        <v>2</v>
      </c>
      <c r="J119" s="10">
        <v>2</v>
      </c>
      <c r="K119" s="10">
        <v>1</v>
      </c>
      <c r="L119" s="10">
        <v>1</v>
      </c>
      <c r="M119" s="10">
        <v>1</v>
      </c>
      <c r="N119" s="411">
        <f>IF( OR( ISBLANK(H119),ISBLANK(J119), ISBLANK(K119), ISBLANK(L119), ISBLANK(M119) ), "", 1.5*SQRT(   EXP(2.21*(H119-1)) + EXP(2.21*(J119-1)) + EXP(2.21*(K119-1)) + EXP(2.21*(L119-1)) + EXP(2.21*M119)   )/100*2.45 )</f>
        <v>0.16933510251023262</v>
      </c>
      <c r="O119" s="411">
        <f>IF( OR( ISBLANK(I119),ISBLANK(J119), ISBLANK(K119), ISBLANK(L119), ISBLANK(M119) ), "", 1.5*SQRT( EXP(2.21*(I119-1)) + EXP(2.21*(J119-1)) + EXP(2.21*(K119-1)) + EXP(2.21*(L119-1)) + EXP(2.21*M119)   )/100*2.45 )</f>
        <v>0.19908580854301616</v>
      </c>
      <c r="P119" s="9" t="s">
        <v>507</v>
      </c>
    </row>
    <row r="120" spans="1:16" s="443" customFormat="1" ht="15.75" thickBot="1">
      <c r="A120" s="655" t="s">
        <v>499</v>
      </c>
      <c r="B120" s="804" t="s">
        <v>344</v>
      </c>
      <c r="C120" s="34" t="s">
        <v>147</v>
      </c>
      <c r="D120" s="124" t="s">
        <v>107</v>
      </c>
      <c r="E120" s="769" t="s">
        <v>158</v>
      </c>
      <c r="F120" s="119">
        <v>1</v>
      </c>
      <c r="G120" s="119" t="s">
        <v>451</v>
      </c>
      <c r="H120" s="15"/>
      <c r="I120" s="15"/>
      <c r="J120" s="15"/>
      <c r="K120" s="15"/>
      <c r="L120" s="15"/>
      <c r="M120" s="15"/>
      <c r="N120" s="430" t="str">
        <f t="shared" si="25"/>
        <v/>
      </c>
      <c r="O120" s="430" t="str">
        <f t="shared" si="26"/>
        <v/>
      </c>
      <c r="P120" s="119"/>
    </row>
    <row r="121" spans="1:16" s="443" customFormat="1">
      <c r="A121" s="651" t="s">
        <v>502</v>
      </c>
      <c r="B121" s="803" t="s">
        <v>241</v>
      </c>
      <c r="C121" s="34" t="s">
        <v>147</v>
      </c>
      <c r="D121" s="121" t="s">
        <v>107</v>
      </c>
      <c r="E121" s="649">
        <v>3.2000000000000001E-2</v>
      </c>
      <c r="F121" s="11">
        <v>2</v>
      </c>
      <c r="G121" s="11" t="s">
        <v>451</v>
      </c>
      <c r="H121" s="13">
        <v>1</v>
      </c>
      <c r="I121" s="13">
        <v>2</v>
      </c>
      <c r="J121" s="13">
        <v>2</v>
      </c>
      <c r="K121" s="13">
        <v>1</v>
      </c>
      <c r="L121" s="13">
        <v>1</v>
      </c>
      <c r="M121" s="13">
        <v>1</v>
      </c>
      <c r="N121" s="431">
        <f t="shared" si="25"/>
        <v>0.16933510251023262</v>
      </c>
      <c r="O121" s="431">
        <f t="shared" si="26"/>
        <v>0.19908580854301616</v>
      </c>
      <c r="P121" s="42" t="s">
        <v>508</v>
      </c>
    </row>
    <row r="122" spans="1:16" s="443" customFormat="1" ht="15.75" thickBot="1">
      <c r="A122" s="652" t="s">
        <v>502</v>
      </c>
      <c r="B122" s="804" t="s">
        <v>344</v>
      </c>
      <c r="C122" s="34" t="s">
        <v>147</v>
      </c>
      <c r="D122" s="123" t="s">
        <v>107</v>
      </c>
      <c r="E122" s="773" t="s">
        <v>158</v>
      </c>
      <c r="F122" s="12">
        <v>1</v>
      </c>
      <c r="G122" s="12" t="s">
        <v>451</v>
      </c>
      <c r="H122" s="14"/>
      <c r="I122" s="14"/>
      <c r="J122" s="14"/>
      <c r="K122" s="14"/>
      <c r="L122" s="14"/>
      <c r="M122" s="14"/>
      <c r="N122" s="434" t="str">
        <f t="shared" si="25"/>
        <v/>
      </c>
      <c r="O122" s="434" t="str">
        <f t="shared" si="26"/>
        <v/>
      </c>
      <c r="P122" s="44" t="s">
        <v>509</v>
      </c>
    </row>
    <row r="123" spans="1:16" s="443" customFormat="1">
      <c r="A123" s="654" t="s">
        <v>453</v>
      </c>
      <c r="B123" s="794" t="s">
        <v>510</v>
      </c>
      <c r="C123" s="34" t="s">
        <v>147</v>
      </c>
      <c r="D123" s="631" t="s">
        <v>107</v>
      </c>
      <c r="E123" s="764">
        <f>0.97*0.25</f>
        <v>0.24249999999999999</v>
      </c>
      <c r="F123" s="118">
        <v>2</v>
      </c>
      <c r="G123" s="118" t="s">
        <v>451</v>
      </c>
      <c r="H123" s="66">
        <v>1</v>
      </c>
      <c r="I123" s="66">
        <v>2</v>
      </c>
      <c r="J123" s="66">
        <v>2</v>
      </c>
      <c r="K123" s="66">
        <v>1</v>
      </c>
      <c r="L123" s="66">
        <v>1</v>
      </c>
      <c r="M123" s="66">
        <v>1</v>
      </c>
      <c r="N123" s="445">
        <f t="shared" si="25"/>
        <v>0.16933510251023262</v>
      </c>
      <c r="O123" s="445">
        <f t="shared" si="26"/>
        <v>0.19908580854301616</v>
      </c>
      <c r="P123" s="118" t="s">
        <v>511</v>
      </c>
    </row>
    <row r="124" spans="1:16" s="443" customFormat="1">
      <c r="A124" s="318" t="s">
        <v>453</v>
      </c>
      <c r="B124" s="800" t="s">
        <v>512</v>
      </c>
      <c r="C124" s="34" t="s">
        <v>147</v>
      </c>
      <c r="D124" s="122" t="s">
        <v>107</v>
      </c>
      <c r="E124" s="245">
        <f>0.97*0.75</f>
        <v>0.72750000000000004</v>
      </c>
      <c r="F124" s="9">
        <v>2</v>
      </c>
      <c r="G124" s="9" t="s">
        <v>451</v>
      </c>
      <c r="H124" s="10">
        <v>1</v>
      </c>
      <c r="I124" s="10">
        <v>2</v>
      </c>
      <c r="J124" s="10">
        <v>2</v>
      </c>
      <c r="K124" s="10">
        <v>1</v>
      </c>
      <c r="L124" s="10">
        <v>1</v>
      </c>
      <c r="M124" s="10">
        <v>1</v>
      </c>
      <c r="N124" s="411">
        <f t="shared" si="25"/>
        <v>0.16933510251023262</v>
      </c>
      <c r="O124" s="411">
        <f t="shared" si="26"/>
        <v>0.19908580854301616</v>
      </c>
      <c r="P124" s="9" t="s">
        <v>513</v>
      </c>
    </row>
    <row r="125" spans="1:16" s="443" customFormat="1" ht="15.75" thickBot="1">
      <c r="A125" s="655" t="s">
        <v>453</v>
      </c>
      <c r="B125" s="795" t="s">
        <v>236</v>
      </c>
      <c r="C125" s="34" t="s">
        <v>147</v>
      </c>
      <c r="D125" s="124" t="s">
        <v>107</v>
      </c>
      <c r="E125" s="769">
        <v>0.03</v>
      </c>
      <c r="F125" s="119">
        <v>1</v>
      </c>
      <c r="G125" s="119" t="s">
        <v>451</v>
      </c>
      <c r="H125" s="15">
        <v>1</v>
      </c>
      <c r="I125" s="15">
        <v>2</v>
      </c>
      <c r="J125" s="15">
        <v>2</v>
      </c>
      <c r="K125" s="15">
        <v>1</v>
      </c>
      <c r="L125" s="15">
        <v>1</v>
      </c>
      <c r="M125" s="15">
        <v>1</v>
      </c>
      <c r="N125" s="430">
        <f t="shared" si="25"/>
        <v>0.16933510251023262</v>
      </c>
      <c r="O125" s="430">
        <f t="shared" si="26"/>
        <v>0.19908580854301616</v>
      </c>
      <c r="P125" s="119" t="s">
        <v>478</v>
      </c>
    </row>
    <row r="126" spans="1:16" s="443" customFormat="1">
      <c r="A126" s="651" t="s">
        <v>510</v>
      </c>
      <c r="B126" s="803" t="s">
        <v>514</v>
      </c>
      <c r="C126" s="34" t="s">
        <v>147</v>
      </c>
      <c r="D126" s="121" t="s">
        <v>107</v>
      </c>
      <c r="E126" s="649">
        <v>0.03</v>
      </c>
      <c r="F126" s="11">
        <v>2</v>
      </c>
      <c r="G126" s="11" t="s">
        <v>451</v>
      </c>
      <c r="H126" s="13">
        <v>1</v>
      </c>
      <c r="I126" s="13">
        <v>2</v>
      </c>
      <c r="J126" s="13">
        <v>2</v>
      </c>
      <c r="K126" s="13">
        <v>1</v>
      </c>
      <c r="L126" s="13">
        <v>1</v>
      </c>
      <c r="M126" s="13">
        <v>1</v>
      </c>
      <c r="N126" s="431">
        <f t="shared" si="25"/>
        <v>0.16933510251023262</v>
      </c>
      <c r="O126" s="431">
        <f t="shared" si="26"/>
        <v>0.19908580854301616</v>
      </c>
      <c r="P126" s="42" t="s">
        <v>480</v>
      </c>
    </row>
    <row r="127" spans="1:16" s="443" customFormat="1" ht="15.75" thickBot="1">
      <c r="A127" s="652" t="s">
        <v>510</v>
      </c>
      <c r="B127" s="804" t="s">
        <v>515</v>
      </c>
      <c r="C127" s="34" t="s">
        <v>147</v>
      </c>
      <c r="D127" s="123" t="s">
        <v>107</v>
      </c>
      <c r="E127" s="773" t="s">
        <v>158</v>
      </c>
      <c r="F127" s="12">
        <v>1</v>
      </c>
      <c r="G127" s="12" t="s">
        <v>451</v>
      </c>
      <c r="H127" s="14"/>
      <c r="I127" s="14"/>
      <c r="J127" s="14"/>
      <c r="K127" s="14"/>
      <c r="L127" s="14"/>
      <c r="M127" s="14"/>
      <c r="N127" s="434" t="str">
        <f t="shared" si="25"/>
        <v/>
      </c>
      <c r="O127" s="434" t="str">
        <f t="shared" si="26"/>
        <v/>
      </c>
      <c r="P127" s="44" t="s">
        <v>516</v>
      </c>
    </row>
    <row r="128" spans="1:16" s="443" customFormat="1">
      <c r="A128" s="654" t="s">
        <v>514</v>
      </c>
      <c r="B128" s="794" t="s">
        <v>244</v>
      </c>
      <c r="C128" s="34" t="s">
        <v>147</v>
      </c>
      <c r="D128" s="631" t="s">
        <v>107</v>
      </c>
      <c r="E128" s="769">
        <v>0.05</v>
      </c>
      <c r="F128" s="119">
        <v>2</v>
      </c>
      <c r="G128" s="11" t="s">
        <v>165</v>
      </c>
      <c r="H128" s="66">
        <v>1</v>
      </c>
      <c r="I128" s="66">
        <v>2</v>
      </c>
      <c r="J128" s="66">
        <v>2</v>
      </c>
      <c r="K128" s="66">
        <v>1</v>
      </c>
      <c r="L128" s="15">
        <v>3</v>
      </c>
      <c r="M128" s="13">
        <v>3</v>
      </c>
      <c r="N128" s="445">
        <f t="shared" si="25"/>
        <v>1.0725046436742278</v>
      </c>
      <c r="O128" s="445">
        <f t="shared" si="26"/>
        <v>1.0776024280428556</v>
      </c>
      <c r="P128" s="119" t="s">
        <v>482</v>
      </c>
    </row>
    <row r="129" spans="1:16" s="443" customFormat="1">
      <c r="A129" s="318" t="s">
        <v>514</v>
      </c>
      <c r="B129" s="800" t="s">
        <v>245</v>
      </c>
      <c r="C129" s="34" t="s">
        <v>147</v>
      </c>
      <c r="D129" s="122" t="s">
        <v>107</v>
      </c>
      <c r="E129" s="245">
        <v>0.39400000000000002</v>
      </c>
      <c r="F129" s="9">
        <v>2</v>
      </c>
      <c r="G129" s="9" t="s">
        <v>451</v>
      </c>
      <c r="H129" s="10">
        <v>1</v>
      </c>
      <c r="I129" s="10">
        <v>2</v>
      </c>
      <c r="J129" s="10">
        <v>2</v>
      </c>
      <c r="K129" s="10">
        <v>1</v>
      </c>
      <c r="L129" s="10">
        <v>1</v>
      </c>
      <c r="M129" s="10">
        <v>1</v>
      </c>
      <c r="N129" s="411">
        <f t="shared" si="25"/>
        <v>0.16933510251023262</v>
      </c>
      <c r="O129" s="411">
        <f t="shared" si="26"/>
        <v>0.19908580854301616</v>
      </c>
      <c r="P129" s="9" t="s">
        <v>483</v>
      </c>
    </row>
    <row r="130" spans="1:16" s="443" customFormat="1">
      <c r="A130" s="655" t="s">
        <v>514</v>
      </c>
      <c r="B130" s="795" t="s">
        <v>264</v>
      </c>
      <c r="C130" s="34" t="s">
        <v>147</v>
      </c>
      <c r="D130" s="124" t="s">
        <v>107</v>
      </c>
      <c r="E130" s="245">
        <v>0.52200000000000002</v>
      </c>
      <c r="F130" s="7">
        <v>1</v>
      </c>
      <c r="G130" s="9" t="s">
        <v>451</v>
      </c>
      <c r="H130" s="15">
        <v>1</v>
      </c>
      <c r="I130" s="15">
        <v>2</v>
      </c>
      <c r="J130" s="15">
        <v>2</v>
      </c>
      <c r="K130" s="15">
        <v>1</v>
      </c>
      <c r="L130" s="15">
        <v>1</v>
      </c>
      <c r="M130" s="15">
        <v>1</v>
      </c>
      <c r="N130" s="430">
        <f t="shared" ref="N130:N201" si="27">IF( OR( ISBLANK(H130),ISBLANK(J130), ISBLANK(K130), ISBLANK(L130), ISBLANK(M130) ), "", 1.5*SQRT(   EXP(2.21*(H130-1)) + EXP(2.21*(J130-1)) + EXP(2.21*(K130-1)) + EXP(2.21*(L130-1)) + EXP(2.21*M130)   )/100*2.45 )</f>
        <v>0.16933510251023262</v>
      </c>
      <c r="O130" s="430">
        <f t="shared" ref="O130:O201" si="28">IF( OR( ISBLANK(I130),ISBLANK(J130), ISBLANK(K130), ISBLANK(L130), ISBLANK(M130) ), "", 1.5*SQRT( EXP(2.21*(I130-1)) + EXP(2.21*(J130-1)) + EXP(2.21*(K130-1)) + EXP(2.21*(L130-1)) + EXP(2.21*M130)   )/100*2.45 )</f>
        <v>0.19908580854301616</v>
      </c>
      <c r="P130" s="9" t="s">
        <v>484</v>
      </c>
    </row>
    <row r="131" spans="1:16" s="443" customFormat="1" ht="15.75" thickBot="1">
      <c r="A131" s="655" t="s">
        <v>514</v>
      </c>
      <c r="B131" s="795" t="s">
        <v>271</v>
      </c>
      <c r="C131" s="34" t="s">
        <v>147</v>
      </c>
      <c r="D131" s="124" t="s">
        <v>107</v>
      </c>
      <c r="E131" s="769">
        <v>3.4000000000000002E-2</v>
      </c>
      <c r="F131" s="119">
        <v>2</v>
      </c>
      <c r="G131" s="9" t="s">
        <v>451</v>
      </c>
      <c r="H131" s="15"/>
      <c r="I131" s="15"/>
      <c r="J131" s="15"/>
      <c r="K131" s="15"/>
      <c r="L131" s="15"/>
      <c r="M131" s="15"/>
      <c r="N131" s="430"/>
      <c r="O131" s="430"/>
      <c r="P131" s="119" t="s">
        <v>485</v>
      </c>
    </row>
    <row r="132" spans="1:16" s="443" customFormat="1">
      <c r="A132" s="651" t="s">
        <v>512</v>
      </c>
      <c r="B132" s="803" t="s">
        <v>517</v>
      </c>
      <c r="C132" s="34" t="s">
        <v>147</v>
      </c>
      <c r="D132" s="121" t="s">
        <v>107</v>
      </c>
      <c r="E132" s="649">
        <f>0.1*E126</f>
        <v>3.0000000000000001E-3</v>
      </c>
      <c r="F132" s="11">
        <v>2</v>
      </c>
      <c r="G132" s="11" t="s">
        <v>451</v>
      </c>
      <c r="H132" s="13">
        <v>1</v>
      </c>
      <c r="I132" s="13">
        <v>2</v>
      </c>
      <c r="J132" s="13">
        <v>2</v>
      </c>
      <c r="K132" s="13">
        <v>1</v>
      </c>
      <c r="L132" s="13">
        <v>1</v>
      </c>
      <c r="M132" s="13">
        <v>1</v>
      </c>
      <c r="N132" s="431">
        <f t="shared" si="27"/>
        <v>0.16933510251023262</v>
      </c>
      <c r="O132" s="431">
        <f t="shared" si="28"/>
        <v>0.19908580854301616</v>
      </c>
      <c r="P132" s="42" t="s">
        <v>487</v>
      </c>
    </row>
    <row r="133" spans="1:16" s="443" customFormat="1" ht="15.75" thickBot="1">
      <c r="A133" s="652" t="s">
        <v>512</v>
      </c>
      <c r="B133" s="804" t="s">
        <v>518</v>
      </c>
      <c r="C133" s="34" t="s">
        <v>147</v>
      </c>
      <c r="D133" s="123" t="s">
        <v>107</v>
      </c>
      <c r="E133" s="773" t="s">
        <v>158</v>
      </c>
      <c r="F133" s="12">
        <v>1</v>
      </c>
      <c r="G133" s="12" t="s">
        <v>451</v>
      </c>
      <c r="H133" s="14"/>
      <c r="I133" s="14"/>
      <c r="J133" s="14"/>
      <c r="K133" s="14"/>
      <c r="L133" s="14"/>
      <c r="M133" s="14"/>
      <c r="N133" s="434" t="str">
        <f t="shared" si="27"/>
        <v/>
      </c>
      <c r="O133" s="434" t="str">
        <f t="shared" si="28"/>
        <v/>
      </c>
      <c r="P133" s="44" t="s">
        <v>516</v>
      </c>
    </row>
    <row r="134" spans="1:16" s="443" customFormat="1" ht="15.75" thickBot="1">
      <c r="A134" s="778" t="s">
        <v>517</v>
      </c>
      <c r="B134" s="797" t="s">
        <v>241</v>
      </c>
      <c r="C134" s="34" t="s">
        <v>147</v>
      </c>
      <c r="D134" s="807" t="s">
        <v>107</v>
      </c>
      <c r="E134" s="775">
        <v>1</v>
      </c>
      <c r="F134" s="774">
        <v>2</v>
      </c>
      <c r="G134" s="774" t="s">
        <v>451</v>
      </c>
      <c r="H134" s="71">
        <v>1</v>
      </c>
      <c r="I134" s="71">
        <v>2</v>
      </c>
      <c r="J134" s="71">
        <v>2</v>
      </c>
      <c r="K134" s="71">
        <v>1</v>
      </c>
      <c r="L134" s="71">
        <v>1</v>
      </c>
      <c r="M134" s="71">
        <v>1</v>
      </c>
      <c r="N134" s="779">
        <f t="shared" si="27"/>
        <v>0.16933510251023262</v>
      </c>
      <c r="O134" s="779">
        <f t="shared" si="28"/>
        <v>0.19908580854301616</v>
      </c>
      <c r="P134" s="774" t="s">
        <v>490</v>
      </c>
    </row>
    <row r="135" spans="1:16" s="443" customFormat="1">
      <c r="A135" s="651" t="s">
        <v>515</v>
      </c>
      <c r="B135" s="803" t="s">
        <v>244</v>
      </c>
      <c r="C135" s="34" t="s">
        <v>147</v>
      </c>
      <c r="D135" s="121" t="s">
        <v>107</v>
      </c>
      <c r="E135" s="649">
        <v>1.6000000000000001E-3</v>
      </c>
      <c r="F135" s="11">
        <v>2</v>
      </c>
      <c r="G135" s="118" t="s">
        <v>503</v>
      </c>
      <c r="H135" s="13">
        <v>1</v>
      </c>
      <c r="I135" s="13">
        <v>2</v>
      </c>
      <c r="J135" s="13">
        <v>2</v>
      </c>
      <c r="K135" s="13">
        <v>1</v>
      </c>
      <c r="L135" s="15">
        <v>3</v>
      </c>
      <c r="M135" s="13">
        <v>3</v>
      </c>
      <c r="N135" s="431">
        <f t="shared" si="27"/>
        <v>1.0725046436742278</v>
      </c>
      <c r="O135" s="431">
        <f t="shared" si="28"/>
        <v>1.0776024280428556</v>
      </c>
      <c r="P135" s="42" t="s">
        <v>519</v>
      </c>
    </row>
    <row r="136" spans="1:16" s="443" customFormat="1">
      <c r="A136" s="653" t="s">
        <v>515</v>
      </c>
      <c r="B136" s="800" t="s">
        <v>245</v>
      </c>
      <c r="C136" s="34" t="s">
        <v>147</v>
      </c>
      <c r="D136" s="122" t="s">
        <v>107</v>
      </c>
      <c r="E136" s="245">
        <v>1.26E-2</v>
      </c>
      <c r="F136" s="9">
        <v>2</v>
      </c>
      <c r="G136" s="9" t="s">
        <v>451</v>
      </c>
      <c r="H136" s="10">
        <v>1</v>
      </c>
      <c r="I136" s="10">
        <v>2</v>
      </c>
      <c r="J136" s="10">
        <v>2</v>
      </c>
      <c r="K136" s="10">
        <v>1</v>
      </c>
      <c r="L136" s="10">
        <v>1</v>
      </c>
      <c r="M136" s="10">
        <v>1</v>
      </c>
      <c r="N136" s="411">
        <f t="shared" si="27"/>
        <v>0.16933510251023262</v>
      </c>
      <c r="O136" s="411">
        <f t="shared" si="28"/>
        <v>0.19908580854301616</v>
      </c>
      <c r="P136" s="43" t="s">
        <v>520</v>
      </c>
    </row>
    <row r="137" spans="1:16" s="443" customFormat="1">
      <c r="A137" s="653" t="s">
        <v>515</v>
      </c>
      <c r="B137" s="800" t="s">
        <v>264</v>
      </c>
      <c r="C137" s="34" t="s">
        <v>147</v>
      </c>
      <c r="D137" s="122" t="s">
        <v>107</v>
      </c>
      <c r="E137" s="245">
        <v>1.67E-2</v>
      </c>
      <c r="F137" s="9">
        <v>2</v>
      </c>
      <c r="G137" s="9" t="s">
        <v>451</v>
      </c>
      <c r="H137" s="10">
        <v>1</v>
      </c>
      <c r="I137" s="10">
        <v>2</v>
      </c>
      <c r="J137" s="10">
        <v>2</v>
      </c>
      <c r="K137" s="10">
        <v>1</v>
      </c>
      <c r="L137" s="10">
        <v>1</v>
      </c>
      <c r="M137" s="10">
        <v>1</v>
      </c>
      <c r="N137" s="411">
        <f t="shared" si="27"/>
        <v>0.16933510251023262</v>
      </c>
      <c r="O137" s="411">
        <f t="shared" si="28"/>
        <v>0.19908580854301616</v>
      </c>
      <c r="P137" s="43" t="s">
        <v>521</v>
      </c>
    </row>
    <row r="138" spans="1:16" s="443" customFormat="1">
      <c r="A138" s="653" t="s">
        <v>515</v>
      </c>
      <c r="B138" s="795" t="s">
        <v>271</v>
      </c>
      <c r="C138" s="34" t="s">
        <v>147</v>
      </c>
      <c r="D138" s="124" t="s">
        <v>107</v>
      </c>
      <c r="E138" s="769">
        <v>1.1000000000000001E-3</v>
      </c>
      <c r="F138" s="119">
        <v>2</v>
      </c>
      <c r="G138" s="119" t="s">
        <v>451</v>
      </c>
      <c r="H138" s="10">
        <v>1</v>
      </c>
      <c r="I138" s="10">
        <v>2</v>
      </c>
      <c r="J138" s="10">
        <v>2</v>
      </c>
      <c r="K138" s="10">
        <v>1</v>
      </c>
      <c r="L138" s="10">
        <v>1</v>
      </c>
      <c r="M138" s="10">
        <v>1</v>
      </c>
      <c r="N138" s="411">
        <f>IF( OR( ISBLANK(H138),ISBLANK(J138), ISBLANK(K138), ISBLANK(L138), ISBLANK(M138) ), "", 1.5*SQRT(   EXP(2.21*(H138-1)) + EXP(2.21*(J138-1)) + EXP(2.21*(K138-1)) + EXP(2.21*(L138-1)) + EXP(2.21*M138)   )/100*2.45 )</f>
        <v>0.16933510251023262</v>
      </c>
      <c r="O138" s="411">
        <f>IF( OR( ISBLANK(I138),ISBLANK(J138), ISBLANK(K138), ISBLANK(L138), ISBLANK(M138) ), "", 1.5*SQRT( EXP(2.21*(I138-1)) + EXP(2.21*(J138-1)) + EXP(2.21*(K138-1)) + EXP(2.21*(L138-1)) + EXP(2.21*M138)   )/100*2.45 )</f>
        <v>0.19908580854301616</v>
      </c>
      <c r="P138" s="43" t="s">
        <v>522</v>
      </c>
    </row>
    <row r="139" spans="1:16" s="443" customFormat="1" ht="15.75" thickBot="1">
      <c r="A139" s="652" t="s">
        <v>515</v>
      </c>
      <c r="B139" s="804" t="s">
        <v>344</v>
      </c>
      <c r="C139" s="34" t="s">
        <v>147</v>
      </c>
      <c r="D139" s="123" t="s">
        <v>107</v>
      </c>
      <c r="E139" s="773" t="s">
        <v>158</v>
      </c>
      <c r="F139" s="12">
        <v>1</v>
      </c>
      <c r="G139" s="12" t="s">
        <v>451</v>
      </c>
      <c r="H139" s="14"/>
      <c r="I139" s="14"/>
      <c r="J139" s="14"/>
      <c r="K139" s="14"/>
      <c r="L139" s="14"/>
      <c r="M139" s="14"/>
      <c r="N139" s="434" t="str">
        <f t="shared" si="27"/>
        <v/>
      </c>
      <c r="O139" s="434" t="str">
        <f t="shared" si="28"/>
        <v/>
      </c>
      <c r="P139" s="44"/>
    </row>
    <row r="140" spans="1:16" s="443" customFormat="1">
      <c r="A140" s="654" t="s">
        <v>518</v>
      </c>
      <c r="B140" s="794" t="s">
        <v>241</v>
      </c>
      <c r="C140" s="34" t="s">
        <v>147</v>
      </c>
      <c r="D140" s="631" t="s">
        <v>107</v>
      </c>
      <c r="E140" s="764">
        <v>3.2000000000000001E-2</v>
      </c>
      <c r="F140" s="118">
        <v>2</v>
      </c>
      <c r="G140" s="118" t="s">
        <v>451</v>
      </c>
      <c r="H140" s="66">
        <v>1</v>
      </c>
      <c r="I140" s="66">
        <v>2</v>
      </c>
      <c r="J140" s="66">
        <v>2</v>
      </c>
      <c r="K140" s="66">
        <v>1</v>
      </c>
      <c r="L140" s="66">
        <v>1</v>
      </c>
      <c r="M140" s="66">
        <v>1</v>
      </c>
      <c r="N140" s="445">
        <f t="shared" si="27"/>
        <v>0.16933510251023262</v>
      </c>
      <c r="O140" s="445">
        <f t="shared" si="28"/>
        <v>0.19908580854301616</v>
      </c>
      <c r="P140" s="118" t="s">
        <v>508</v>
      </c>
    </row>
    <row r="141" spans="1:16" s="443" customFormat="1" ht="15.75" thickBot="1">
      <c r="A141" s="655" t="s">
        <v>518</v>
      </c>
      <c r="B141" s="795" t="s">
        <v>344</v>
      </c>
      <c r="C141" s="34" t="s">
        <v>147</v>
      </c>
      <c r="D141" s="124" t="s">
        <v>107</v>
      </c>
      <c r="E141" s="769" t="s">
        <v>158</v>
      </c>
      <c r="F141" s="119">
        <v>1</v>
      </c>
      <c r="G141" s="119" t="s">
        <v>451</v>
      </c>
      <c r="H141" s="15"/>
      <c r="I141" s="15"/>
      <c r="J141" s="15"/>
      <c r="K141" s="15"/>
      <c r="L141" s="15"/>
      <c r="M141" s="15"/>
      <c r="N141" s="430" t="str">
        <f t="shared" si="27"/>
        <v/>
      </c>
      <c r="O141" s="430" t="str">
        <f t="shared" si="28"/>
        <v/>
      </c>
      <c r="P141" s="119" t="s">
        <v>523</v>
      </c>
    </row>
    <row r="142" spans="1:16" s="443" customFormat="1">
      <c r="A142" s="651" t="s">
        <v>454</v>
      </c>
      <c r="B142" s="803" t="s">
        <v>524</v>
      </c>
      <c r="C142" s="34" t="s">
        <v>147</v>
      </c>
      <c r="D142" s="121" t="s">
        <v>107</v>
      </c>
      <c r="E142" s="649">
        <f>0.97*0.07</f>
        <v>6.7900000000000002E-2</v>
      </c>
      <c r="F142" s="11">
        <v>2</v>
      </c>
      <c r="G142" s="11" t="s">
        <v>451</v>
      </c>
      <c r="H142" s="13">
        <v>1</v>
      </c>
      <c r="I142" s="13">
        <v>2</v>
      </c>
      <c r="J142" s="13">
        <v>2</v>
      </c>
      <c r="K142" s="13">
        <v>1</v>
      </c>
      <c r="L142" s="13">
        <v>1</v>
      </c>
      <c r="M142" s="13">
        <v>1</v>
      </c>
      <c r="N142" s="431">
        <f t="shared" si="27"/>
        <v>0.16933510251023262</v>
      </c>
      <c r="O142" s="431">
        <f t="shared" si="28"/>
        <v>0.19908580854301616</v>
      </c>
      <c r="P142" s="42" t="s">
        <v>525</v>
      </c>
    </row>
    <row r="143" spans="1:16" s="443" customFormat="1">
      <c r="A143" s="653" t="s">
        <v>454</v>
      </c>
      <c r="B143" s="800" t="s">
        <v>526</v>
      </c>
      <c r="C143" s="34" t="s">
        <v>147</v>
      </c>
      <c r="D143" s="122" t="s">
        <v>107</v>
      </c>
      <c r="E143" s="245">
        <f>0.97*0.93</f>
        <v>0.90210000000000001</v>
      </c>
      <c r="F143" s="9">
        <v>2</v>
      </c>
      <c r="G143" s="9" t="s">
        <v>451</v>
      </c>
      <c r="H143" s="10">
        <v>1</v>
      </c>
      <c r="I143" s="10">
        <v>2</v>
      </c>
      <c r="J143" s="10">
        <v>2</v>
      </c>
      <c r="K143" s="10">
        <v>1</v>
      </c>
      <c r="L143" s="10">
        <v>1</v>
      </c>
      <c r="M143" s="10">
        <v>1</v>
      </c>
      <c r="N143" s="411">
        <f t="shared" si="27"/>
        <v>0.16933510251023262</v>
      </c>
      <c r="O143" s="411">
        <f t="shared" si="28"/>
        <v>0.19908580854301616</v>
      </c>
      <c r="P143" s="43" t="s">
        <v>527</v>
      </c>
    </row>
    <row r="144" spans="1:16" s="443" customFormat="1" ht="15.75" thickBot="1">
      <c r="A144" s="652" t="s">
        <v>454</v>
      </c>
      <c r="B144" s="804" t="s">
        <v>236</v>
      </c>
      <c r="C144" s="34" t="s">
        <v>147</v>
      </c>
      <c r="D144" s="123" t="s">
        <v>107</v>
      </c>
      <c r="E144" s="773">
        <v>0.03</v>
      </c>
      <c r="F144" s="12">
        <v>1</v>
      </c>
      <c r="G144" s="12" t="s">
        <v>451</v>
      </c>
      <c r="H144" s="14">
        <v>1</v>
      </c>
      <c r="I144" s="14">
        <v>2</v>
      </c>
      <c r="J144" s="14">
        <v>2</v>
      </c>
      <c r="K144" s="14">
        <v>1</v>
      </c>
      <c r="L144" s="14">
        <v>1</v>
      </c>
      <c r="M144" s="14">
        <v>1</v>
      </c>
      <c r="N144" s="434">
        <f t="shared" si="27"/>
        <v>0.16933510251023262</v>
      </c>
      <c r="O144" s="434">
        <f t="shared" si="28"/>
        <v>0.19908580854301616</v>
      </c>
      <c r="P144" s="44" t="s">
        <v>478</v>
      </c>
    </row>
    <row r="145" spans="1:16" s="443" customFormat="1">
      <c r="A145" s="794" t="s">
        <v>524</v>
      </c>
      <c r="B145" s="444" t="s">
        <v>528</v>
      </c>
      <c r="C145" s="34" t="s">
        <v>147</v>
      </c>
      <c r="D145" s="121" t="s">
        <v>107</v>
      </c>
      <c r="E145" s="649">
        <v>0.03</v>
      </c>
      <c r="F145" s="11">
        <v>2</v>
      </c>
      <c r="G145" s="11" t="s">
        <v>451</v>
      </c>
      <c r="H145" s="13">
        <v>1</v>
      </c>
      <c r="I145" s="13">
        <v>2</v>
      </c>
      <c r="J145" s="13">
        <v>2</v>
      </c>
      <c r="K145" s="13">
        <v>1</v>
      </c>
      <c r="L145" s="13">
        <v>1</v>
      </c>
      <c r="M145" s="13">
        <v>1</v>
      </c>
      <c r="N145" s="431">
        <f t="shared" si="27"/>
        <v>0.16933510251023262</v>
      </c>
      <c r="O145" s="431">
        <f t="shared" si="28"/>
        <v>0.19908580854301616</v>
      </c>
      <c r="P145" s="42" t="s">
        <v>480</v>
      </c>
    </row>
    <row r="146" spans="1:16" s="443" customFormat="1" ht="15.75" thickBot="1">
      <c r="A146" s="795" t="s">
        <v>524</v>
      </c>
      <c r="B146" s="793" t="s">
        <v>529</v>
      </c>
      <c r="C146" s="34" t="s">
        <v>147</v>
      </c>
      <c r="D146" s="123" t="s">
        <v>107</v>
      </c>
      <c r="E146" s="773" t="s">
        <v>158</v>
      </c>
      <c r="F146" s="12">
        <v>1</v>
      </c>
      <c r="G146" s="12" t="s">
        <v>451</v>
      </c>
      <c r="H146" s="14"/>
      <c r="I146" s="14"/>
      <c r="J146" s="14"/>
      <c r="K146" s="14"/>
      <c r="L146" s="14"/>
      <c r="M146" s="14"/>
      <c r="N146" s="434" t="str">
        <f t="shared" si="27"/>
        <v/>
      </c>
      <c r="O146" s="434" t="str">
        <f t="shared" si="28"/>
        <v/>
      </c>
      <c r="P146" s="44" t="s">
        <v>530</v>
      </c>
    </row>
    <row r="147" spans="1:16" s="443" customFormat="1">
      <c r="A147" s="651" t="s">
        <v>528</v>
      </c>
      <c r="B147" s="794" t="s">
        <v>244</v>
      </c>
      <c r="C147" s="34" t="s">
        <v>147</v>
      </c>
      <c r="D147" s="631" t="s">
        <v>107</v>
      </c>
      <c r="E147" s="775">
        <v>0.05</v>
      </c>
      <c r="F147" s="774">
        <v>2</v>
      </c>
      <c r="G147" s="11" t="s">
        <v>165</v>
      </c>
      <c r="H147" s="66">
        <v>1</v>
      </c>
      <c r="I147" s="66">
        <v>2</v>
      </c>
      <c r="J147" s="66">
        <v>2</v>
      </c>
      <c r="K147" s="66">
        <v>1</v>
      </c>
      <c r="L147" s="71">
        <v>3</v>
      </c>
      <c r="M147" s="66">
        <v>3</v>
      </c>
      <c r="N147" s="445">
        <f t="shared" si="27"/>
        <v>1.0725046436742278</v>
      </c>
      <c r="O147" s="445">
        <f t="shared" si="28"/>
        <v>1.0776024280428556</v>
      </c>
      <c r="P147" s="796" t="s">
        <v>482</v>
      </c>
    </row>
    <row r="148" spans="1:16" s="443" customFormat="1">
      <c r="A148" s="653" t="s">
        <v>528</v>
      </c>
      <c r="B148" s="800" t="s">
        <v>245</v>
      </c>
      <c r="C148" s="34" t="s">
        <v>147</v>
      </c>
      <c r="D148" s="122" t="s">
        <v>107</v>
      </c>
      <c r="E148" s="245">
        <v>0.39400000000000002</v>
      </c>
      <c r="F148" s="9">
        <v>2</v>
      </c>
      <c r="G148" s="9" t="s">
        <v>451</v>
      </c>
      <c r="H148" s="10">
        <v>1</v>
      </c>
      <c r="I148" s="10">
        <v>2</v>
      </c>
      <c r="J148" s="10">
        <v>2</v>
      </c>
      <c r="K148" s="10">
        <v>1</v>
      </c>
      <c r="L148" s="10">
        <v>1</v>
      </c>
      <c r="M148" s="10">
        <v>1</v>
      </c>
      <c r="N148" s="411">
        <f t="shared" si="27"/>
        <v>0.16933510251023262</v>
      </c>
      <c r="O148" s="411">
        <f t="shared" si="28"/>
        <v>0.19908580854301616</v>
      </c>
      <c r="P148" s="43" t="s">
        <v>483</v>
      </c>
    </row>
    <row r="149" spans="1:16" s="443" customFormat="1">
      <c r="A149" s="653" t="s">
        <v>528</v>
      </c>
      <c r="B149" s="800" t="s">
        <v>264</v>
      </c>
      <c r="C149" s="34" t="s">
        <v>147</v>
      </c>
      <c r="D149" s="122" t="s">
        <v>107</v>
      </c>
      <c r="E149" s="245">
        <v>0.52200000000000002</v>
      </c>
      <c r="F149" s="7">
        <v>1</v>
      </c>
      <c r="G149" s="9" t="s">
        <v>451</v>
      </c>
      <c r="H149" s="10">
        <v>1</v>
      </c>
      <c r="I149" s="10">
        <v>2</v>
      </c>
      <c r="J149" s="10">
        <v>2</v>
      </c>
      <c r="K149" s="10">
        <v>1</v>
      </c>
      <c r="L149" s="10">
        <v>1</v>
      </c>
      <c r="M149" s="10">
        <v>1</v>
      </c>
      <c r="N149" s="411">
        <f t="shared" si="27"/>
        <v>0.16933510251023262</v>
      </c>
      <c r="O149" s="411">
        <f t="shared" si="28"/>
        <v>0.19908580854301616</v>
      </c>
      <c r="P149" s="43" t="s">
        <v>484</v>
      </c>
    </row>
    <row r="150" spans="1:16" s="443" customFormat="1" ht="15.75" thickBot="1">
      <c r="A150" s="652" t="s">
        <v>528</v>
      </c>
      <c r="B150" s="795" t="s">
        <v>271</v>
      </c>
      <c r="C150" s="34" t="s">
        <v>147</v>
      </c>
      <c r="D150" s="124" t="s">
        <v>107</v>
      </c>
      <c r="E150" s="769">
        <v>3.4000000000000002E-2</v>
      </c>
      <c r="F150" s="119">
        <v>2</v>
      </c>
      <c r="G150" s="119" t="s">
        <v>451</v>
      </c>
      <c r="H150" s="15"/>
      <c r="I150" s="15"/>
      <c r="J150" s="15"/>
      <c r="K150" s="15"/>
      <c r="L150" s="15"/>
      <c r="M150" s="15"/>
      <c r="N150" s="430"/>
      <c r="O150" s="430"/>
      <c r="P150" s="156" t="s">
        <v>485</v>
      </c>
    </row>
    <row r="151" spans="1:16" s="443" customFormat="1">
      <c r="A151" s="794" t="s">
        <v>526</v>
      </c>
      <c r="B151" s="444" t="s">
        <v>531</v>
      </c>
      <c r="C151" s="34" t="s">
        <v>147</v>
      </c>
      <c r="D151" s="121" t="s">
        <v>107</v>
      </c>
      <c r="E151" s="649">
        <f>0.1*E145</f>
        <v>3.0000000000000001E-3</v>
      </c>
      <c r="F151" s="11">
        <v>2</v>
      </c>
      <c r="G151" s="11" t="s">
        <v>451</v>
      </c>
      <c r="H151" s="13">
        <v>1</v>
      </c>
      <c r="I151" s="13">
        <v>2</v>
      </c>
      <c r="J151" s="13">
        <v>2</v>
      </c>
      <c r="K151" s="13">
        <v>1</v>
      </c>
      <c r="L151" s="13">
        <v>1</v>
      </c>
      <c r="M151" s="13">
        <v>1</v>
      </c>
      <c r="N151" s="431">
        <f t="shared" si="27"/>
        <v>0.16933510251023262</v>
      </c>
      <c r="O151" s="431">
        <f t="shared" si="28"/>
        <v>0.19908580854301616</v>
      </c>
      <c r="P151" s="42" t="s">
        <v>487</v>
      </c>
    </row>
    <row r="152" spans="1:16" s="443" customFormat="1" ht="15.75" thickBot="1">
      <c r="A152" s="795" t="s">
        <v>526</v>
      </c>
      <c r="B152" s="793" t="s">
        <v>532</v>
      </c>
      <c r="C152" s="34" t="s">
        <v>147</v>
      </c>
      <c r="D152" s="123" t="s">
        <v>107</v>
      </c>
      <c r="E152" s="773" t="s">
        <v>158</v>
      </c>
      <c r="F152" s="12">
        <v>1</v>
      </c>
      <c r="G152" s="12" t="s">
        <v>451</v>
      </c>
      <c r="H152" s="14"/>
      <c r="I152" s="14"/>
      <c r="J152" s="14"/>
      <c r="K152" s="14"/>
      <c r="L152" s="14"/>
      <c r="M152" s="14"/>
      <c r="N152" s="434" t="str">
        <f t="shared" si="27"/>
        <v/>
      </c>
      <c r="O152" s="434" t="str">
        <f t="shared" si="28"/>
        <v/>
      </c>
      <c r="P152" s="44" t="s">
        <v>530</v>
      </c>
    </row>
    <row r="153" spans="1:16" s="443" customFormat="1" ht="15.75" thickBot="1">
      <c r="A153" s="650" t="s">
        <v>531</v>
      </c>
      <c r="B153" s="805" t="s">
        <v>241</v>
      </c>
      <c r="C153" s="34" t="s">
        <v>147</v>
      </c>
      <c r="D153" s="801" t="s">
        <v>107</v>
      </c>
      <c r="E153" s="771">
        <v>1</v>
      </c>
      <c r="F153" s="770">
        <v>2</v>
      </c>
      <c r="G153" s="770" t="s">
        <v>451</v>
      </c>
      <c r="H153" s="70">
        <v>1</v>
      </c>
      <c r="I153" s="70">
        <v>2</v>
      </c>
      <c r="J153" s="70">
        <v>2</v>
      </c>
      <c r="K153" s="70">
        <v>1</v>
      </c>
      <c r="L153" s="70">
        <v>1</v>
      </c>
      <c r="M153" s="70">
        <v>1</v>
      </c>
      <c r="N153" s="446">
        <f t="shared" si="27"/>
        <v>0.16933510251023262</v>
      </c>
      <c r="O153" s="446">
        <f t="shared" si="28"/>
        <v>0.19908580854301616</v>
      </c>
      <c r="P153" s="772" t="s">
        <v>490</v>
      </c>
    </row>
    <row r="154" spans="1:16" s="443" customFormat="1">
      <c r="A154" s="654" t="s">
        <v>529</v>
      </c>
      <c r="B154" s="803" t="s">
        <v>244</v>
      </c>
      <c r="C154" s="34" t="s">
        <v>147</v>
      </c>
      <c r="D154" s="631" t="s">
        <v>107</v>
      </c>
      <c r="E154" s="764">
        <v>0</v>
      </c>
      <c r="F154" s="118">
        <v>2</v>
      </c>
      <c r="G154" s="118" t="s">
        <v>451</v>
      </c>
      <c r="H154" s="66">
        <v>1</v>
      </c>
      <c r="I154" s="66">
        <v>2</v>
      </c>
      <c r="J154" s="66">
        <v>2</v>
      </c>
      <c r="K154" s="66">
        <v>1</v>
      </c>
      <c r="L154" s="15">
        <v>1</v>
      </c>
      <c r="M154" s="13">
        <v>1</v>
      </c>
      <c r="N154" s="445">
        <f t="shared" si="27"/>
        <v>0.16933510251023262</v>
      </c>
      <c r="O154" s="445">
        <f t="shared" si="28"/>
        <v>0.19908580854301616</v>
      </c>
      <c r="P154" s="42" t="s">
        <v>533</v>
      </c>
    </row>
    <row r="155" spans="1:16" s="443" customFormat="1">
      <c r="A155" s="318" t="s">
        <v>529</v>
      </c>
      <c r="B155" s="800" t="s">
        <v>245</v>
      </c>
      <c r="C155" s="34" t="s">
        <v>147</v>
      </c>
      <c r="D155" s="122" t="s">
        <v>107</v>
      </c>
      <c r="E155" s="245">
        <v>0</v>
      </c>
      <c r="F155" s="9">
        <v>2</v>
      </c>
      <c r="G155" s="9" t="s">
        <v>451</v>
      </c>
      <c r="H155" s="10">
        <v>1</v>
      </c>
      <c r="I155" s="10">
        <v>2</v>
      </c>
      <c r="J155" s="10">
        <v>2</v>
      </c>
      <c r="K155" s="10">
        <v>1</v>
      </c>
      <c r="L155" s="10">
        <v>1</v>
      </c>
      <c r="M155" s="10">
        <v>1</v>
      </c>
      <c r="N155" s="411">
        <f t="shared" si="27"/>
        <v>0.16933510251023262</v>
      </c>
      <c r="O155" s="411">
        <f t="shared" si="28"/>
        <v>0.19908580854301616</v>
      </c>
      <c r="P155" s="43" t="s">
        <v>533</v>
      </c>
    </row>
    <row r="156" spans="1:16" s="443" customFormat="1">
      <c r="A156" s="318" t="s">
        <v>529</v>
      </c>
      <c r="B156" s="800" t="s">
        <v>264</v>
      </c>
      <c r="C156" s="34" t="s">
        <v>147</v>
      </c>
      <c r="D156" s="122" t="s">
        <v>107</v>
      </c>
      <c r="E156" s="245">
        <v>0</v>
      </c>
      <c r="F156" s="9">
        <v>2</v>
      </c>
      <c r="G156" s="9" t="s">
        <v>451</v>
      </c>
      <c r="H156" s="10">
        <v>1</v>
      </c>
      <c r="I156" s="10">
        <v>2</v>
      </c>
      <c r="J156" s="10">
        <v>2</v>
      </c>
      <c r="K156" s="10">
        <v>1</v>
      </c>
      <c r="L156" s="10">
        <v>1</v>
      </c>
      <c r="M156" s="10">
        <v>1</v>
      </c>
      <c r="N156" s="411">
        <f t="shared" si="27"/>
        <v>0.16933510251023262</v>
      </c>
      <c r="O156" s="411">
        <f t="shared" si="28"/>
        <v>0.19908580854301616</v>
      </c>
      <c r="P156" s="43" t="s">
        <v>533</v>
      </c>
    </row>
    <row r="157" spans="1:16" s="443" customFormat="1">
      <c r="A157" s="318" t="s">
        <v>529</v>
      </c>
      <c r="B157" s="795" t="s">
        <v>271</v>
      </c>
      <c r="C157" s="34" t="s">
        <v>147</v>
      </c>
      <c r="D157" s="124" t="s">
        <v>107</v>
      </c>
      <c r="E157" s="769">
        <v>0</v>
      </c>
      <c r="F157" s="119">
        <v>2</v>
      </c>
      <c r="G157" s="119" t="s">
        <v>451</v>
      </c>
      <c r="H157" s="10">
        <v>1</v>
      </c>
      <c r="I157" s="10">
        <v>2</v>
      </c>
      <c r="J157" s="10">
        <v>2</v>
      </c>
      <c r="K157" s="10">
        <v>1</v>
      </c>
      <c r="L157" s="10">
        <v>1</v>
      </c>
      <c r="M157" s="10">
        <v>1</v>
      </c>
      <c r="N157" s="411">
        <f>IF( OR( ISBLANK(H157),ISBLANK(J157), ISBLANK(K157), ISBLANK(L157), ISBLANK(M157) ), "", 1.5*SQRT(   EXP(2.21*(H157-1)) + EXP(2.21*(J157-1)) + EXP(2.21*(K157-1)) + EXP(2.21*(L157-1)) + EXP(2.21*M157)   )/100*2.45 )</f>
        <v>0.16933510251023262</v>
      </c>
      <c r="O157" s="411">
        <f>IF( OR( ISBLANK(I157),ISBLANK(J157), ISBLANK(K157), ISBLANK(L157), ISBLANK(M157) ), "", 1.5*SQRT( EXP(2.21*(I157-1)) + EXP(2.21*(J157-1)) + EXP(2.21*(K157-1)) + EXP(2.21*(L157-1)) + EXP(2.21*M157)   )/100*2.45 )</f>
        <v>0.19908580854301616</v>
      </c>
      <c r="P157" s="156" t="s">
        <v>533</v>
      </c>
    </row>
    <row r="158" spans="1:16" s="443" customFormat="1" ht="15.75" thickBot="1">
      <c r="A158" s="655" t="s">
        <v>529</v>
      </c>
      <c r="B158" s="804" t="s">
        <v>344</v>
      </c>
      <c r="C158" s="34" t="s">
        <v>147</v>
      </c>
      <c r="D158" s="124" t="s">
        <v>107</v>
      </c>
      <c r="E158" s="769" t="s">
        <v>158</v>
      </c>
      <c r="F158" s="119">
        <v>1</v>
      </c>
      <c r="G158" s="119" t="s">
        <v>451</v>
      </c>
      <c r="H158" s="15"/>
      <c r="I158" s="15"/>
      <c r="J158" s="15"/>
      <c r="K158" s="15"/>
      <c r="L158" s="15"/>
      <c r="M158" s="15"/>
      <c r="N158" s="430" t="str">
        <f t="shared" si="27"/>
        <v/>
      </c>
      <c r="O158" s="430" t="str">
        <f t="shared" si="28"/>
        <v/>
      </c>
      <c r="P158" s="44"/>
    </row>
    <row r="159" spans="1:16" s="443" customFormat="1">
      <c r="A159" s="651" t="s">
        <v>532</v>
      </c>
      <c r="B159" s="803" t="s">
        <v>241</v>
      </c>
      <c r="C159" s="34" t="s">
        <v>147</v>
      </c>
      <c r="D159" s="121" t="s">
        <v>107</v>
      </c>
      <c r="E159" s="649">
        <v>0</v>
      </c>
      <c r="F159" s="11">
        <v>2</v>
      </c>
      <c r="G159" s="11" t="s">
        <v>451</v>
      </c>
      <c r="H159" s="13">
        <v>1</v>
      </c>
      <c r="I159" s="13">
        <v>2</v>
      </c>
      <c r="J159" s="13">
        <v>2</v>
      </c>
      <c r="K159" s="13">
        <v>1</v>
      </c>
      <c r="L159" s="13">
        <v>1</v>
      </c>
      <c r="M159" s="13">
        <v>1</v>
      </c>
      <c r="N159" s="431">
        <f t="shared" si="27"/>
        <v>0.16933510251023262</v>
      </c>
      <c r="O159" s="431">
        <f t="shared" si="28"/>
        <v>0.19908580854301616</v>
      </c>
      <c r="P159" s="42" t="s">
        <v>492</v>
      </c>
    </row>
    <row r="160" spans="1:16" s="443" customFormat="1" ht="15.75" thickBot="1">
      <c r="A160" s="652" t="s">
        <v>532</v>
      </c>
      <c r="B160" s="804" t="s">
        <v>344</v>
      </c>
      <c r="C160" s="34" t="s">
        <v>147</v>
      </c>
      <c r="D160" s="123" t="s">
        <v>107</v>
      </c>
      <c r="E160" s="773" t="s">
        <v>158</v>
      </c>
      <c r="F160" s="12">
        <v>1</v>
      </c>
      <c r="G160" s="12" t="s">
        <v>451</v>
      </c>
      <c r="H160" s="14"/>
      <c r="I160" s="14"/>
      <c r="J160" s="14"/>
      <c r="K160" s="14"/>
      <c r="L160" s="14"/>
      <c r="M160" s="14"/>
      <c r="N160" s="434" t="str">
        <f t="shared" si="27"/>
        <v/>
      </c>
      <c r="O160" s="434" t="str">
        <f t="shared" si="28"/>
        <v/>
      </c>
      <c r="P160" s="44" t="s">
        <v>534</v>
      </c>
    </row>
    <row r="161" spans="1:16" s="443" customFormat="1">
      <c r="A161" s="654" t="s">
        <v>455</v>
      </c>
      <c r="B161" s="794" t="s">
        <v>535</v>
      </c>
      <c r="C161" s="34" t="s">
        <v>147</v>
      </c>
      <c r="D161" s="631" t="s">
        <v>107</v>
      </c>
      <c r="E161" s="764">
        <f>0.97*0.03</f>
        <v>2.9099999999999997E-2</v>
      </c>
      <c r="F161" s="118">
        <v>2</v>
      </c>
      <c r="G161" s="118" t="s">
        <v>451</v>
      </c>
      <c r="H161" s="66">
        <v>1</v>
      </c>
      <c r="I161" s="66">
        <v>2</v>
      </c>
      <c r="J161" s="66">
        <v>2</v>
      </c>
      <c r="K161" s="66">
        <v>1</v>
      </c>
      <c r="L161" s="66">
        <v>1</v>
      </c>
      <c r="M161" s="66">
        <v>1</v>
      </c>
      <c r="N161" s="445">
        <f t="shared" si="27"/>
        <v>0.16933510251023262</v>
      </c>
      <c r="O161" s="445">
        <f t="shared" si="28"/>
        <v>0.19908580854301616</v>
      </c>
      <c r="P161" s="118" t="s">
        <v>536</v>
      </c>
    </row>
    <row r="162" spans="1:16" s="443" customFormat="1">
      <c r="A162" s="318" t="s">
        <v>455</v>
      </c>
      <c r="B162" s="800" t="s">
        <v>537</v>
      </c>
      <c r="C162" s="34" t="s">
        <v>147</v>
      </c>
      <c r="D162" s="122" t="s">
        <v>107</v>
      </c>
      <c r="E162" s="245">
        <f>0.97*0.97</f>
        <v>0.94089999999999996</v>
      </c>
      <c r="F162" s="9">
        <v>2</v>
      </c>
      <c r="G162" s="9" t="s">
        <v>451</v>
      </c>
      <c r="H162" s="10">
        <v>1</v>
      </c>
      <c r="I162" s="10">
        <v>2</v>
      </c>
      <c r="J162" s="10">
        <v>2</v>
      </c>
      <c r="K162" s="10">
        <v>1</v>
      </c>
      <c r="L162" s="10">
        <v>1</v>
      </c>
      <c r="M162" s="10">
        <v>1</v>
      </c>
      <c r="N162" s="411">
        <f t="shared" si="27"/>
        <v>0.16933510251023262</v>
      </c>
      <c r="O162" s="411">
        <f t="shared" si="28"/>
        <v>0.19908580854301616</v>
      </c>
      <c r="P162" s="9" t="s">
        <v>538</v>
      </c>
    </row>
    <row r="163" spans="1:16" s="443" customFormat="1" ht="15.75" thickBot="1">
      <c r="A163" s="655" t="s">
        <v>455</v>
      </c>
      <c r="B163" s="795" t="s">
        <v>236</v>
      </c>
      <c r="C163" s="34" t="s">
        <v>147</v>
      </c>
      <c r="D163" s="124" t="s">
        <v>107</v>
      </c>
      <c r="E163" s="769">
        <v>0.03</v>
      </c>
      <c r="F163" s="119">
        <v>1</v>
      </c>
      <c r="G163" s="119" t="s">
        <v>451</v>
      </c>
      <c r="H163" s="15">
        <v>1</v>
      </c>
      <c r="I163" s="15">
        <v>2</v>
      </c>
      <c r="J163" s="15">
        <v>2</v>
      </c>
      <c r="K163" s="15">
        <v>1</v>
      </c>
      <c r="L163" s="15">
        <v>1</v>
      </c>
      <c r="M163" s="15">
        <v>1</v>
      </c>
      <c r="N163" s="430">
        <f t="shared" si="27"/>
        <v>0.16933510251023262</v>
      </c>
      <c r="O163" s="430">
        <f t="shared" si="28"/>
        <v>0.19908580854301616</v>
      </c>
      <c r="P163" s="119" t="s">
        <v>478</v>
      </c>
    </row>
    <row r="164" spans="1:16" s="443" customFormat="1">
      <c r="A164" s="651" t="s">
        <v>535</v>
      </c>
      <c r="B164" s="803" t="s">
        <v>539</v>
      </c>
      <c r="C164" s="34" t="s">
        <v>147</v>
      </c>
      <c r="D164" s="121" t="s">
        <v>107</v>
      </c>
      <c r="E164" s="649">
        <v>0.03</v>
      </c>
      <c r="F164" s="11">
        <v>2</v>
      </c>
      <c r="G164" s="11" t="s">
        <v>451</v>
      </c>
      <c r="H164" s="13">
        <v>1</v>
      </c>
      <c r="I164" s="13">
        <v>2</v>
      </c>
      <c r="J164" s="13">
        <v>2</v>
      </c>
      <c r="K164" s="13">
        <v>1</v>
      </c>
      <c r="L164" s="13">
        <v>1</v>
      </c>
      <c r="M164" s="13">
        <v>1</v>
      </c>
      <c r="N164" s="431">
        <f t="shared" si="27"/>
        <v>0.16933510251023262</v>
      </c>
      <c r="O164" s="431">
        <f t="shared" si="28"/>
        <v>0.19908580854301616</v>
      </c>
      <c r="P164" s="42" t="s">
        <v>480</v>
      </c>
    </row>
    <row r="165" spans="1:16" s="443" customFormat="1" ht="15.75" thickBot="1">
      <c r="A165" s="652" t="s">
        <v>535</v>
      </c>
      <c r="B165" s="804" t="s">
        <v>540</v>
      </c>
      <c r="C165" s="34" t="s">
        <v>147</v>
      </c>
      <c r="D165" s="123" t="s">
        <v>107</v>
      </c>
      <c r="E165" s="773" t="s">
        <v>158</v>
      </c>
      <c r="F165" s="12">
        <v>1</v>
      </c>
      <c r="G165" s="12" t="s">
        <v>451</v>
      </c>
      <c r="H165" s="14"/>
      <c r="I165" s="14"/>
      <c r="J165" s="14"/>
      <c r="K165" s="14"/>
      <c r="L165" s="14"/>
      <c r="M165" s="14"/>
      <c r="N165" s="434" t="str">
        <f t="shared" si="27"/>
        <v/>
      </c>
      <c r="O165" s="434" t="str">
        <f t="shared" si="28"/>
        <v/>
      </c>
      <c r="P165" s="44" t="s">
        <v>541</v>
      </c>
    </row>
    <row r="166" spans="1:16" s="443" customFormat="1">
      <c r="A166" s="654" t="s">
        <v>539</v>
      </c>
      <c r="B166" s="794" t="s">
        <v>244</v>
      </c>
      <c r="C166" s="34" t="s">
        <v>147</v>
      </c>
      <c r="D166" s="631" t="s">
        <v>107</v>
      </c>
      <c r="E166" s="769">
        <v>0.05</v>
      </c>
      <c r="F166" s="119">
        <v>2</v>
      </c>
      <c r="G166" s="11" t="s">
        <v>165</v>
      </c>
      <c r="H166" s="66">
        <v>1</v>
      </c>
      <c r="I166" s="66">
        <v>2</v>
      </c>
      <c r="J166" s="66">
        <v>2</v>
      </c>
      <c r="K166" s="66">
        <v>1</v>
      </c>
      <c r="L166" s="15">
        <v>3</v>
      </c>
      <c r="M166" s="13">
        <v>3</v>
      </c>
      <c r="N166" s="445">
        <f t="shared" si="27"/>
        <v>1.0725046436742278</v>
      </c>
      <c r="O166" s="445">
        <f t="shared" si="28"/>
        <v>1.0776024280428556</v>
      </c>
      <c r="P166" s="119" t="s">
        <v>482</v>
      </c>
    </row>
    <row r="167" spans="1:16" s="443" customFormat="1">
      <c r="A167" s="318" t="s">
        <v>539</v>
      </c>
      <c r="B167" s="800" t="s">
        <v>245</v>
      </c>
      <c r="C167" s="34" t="s">
        <v>147</v>
      </c>
      <c r="D167" s="122" t="s">
        <v>107</v>
      </c>
      <c r="E167" s="245">
        <v>0.39400000000000002</v>
      </c>
      <c r="F167" s="9">
        <v>2</v>
      </c>
      <c r="G167" s="9" t="s">
        <v>451</v>
      </c>
      <c r="H167" s="10">
        <v>1</v>
      </c>
      <c r="I167" s="10">
        <v>2</v>
      </c>
      <c r="J167" s="10">
        <v>2</v>
      </c>
      <c r="K167" s="10">
        <v>1</v>
      </c>
      <c r="L167" s="10">
        <v>1</v>
      </c>
      <c r="M167" s="10">
        <v>1</v>
      </c>
      <c r="N167" s="411">
        <f t="shared" si="27"/>
        <v>0.16933510251023262</v>
      </c>
      <c r="O167" s="411">
        <f t="shared" si="28"/>
        <v>0.19908580854301616</v>
      </c>
      <c r="P167" s="9" t="s">
        <v>483</v>
      </c>
    </row>
    <row r="168" spans="1:16" s="443" customFormat="1">
      <c r="A168" s="655" t="s">
        <v>539</v>
      </c>
      <c r="B168" s="795" t="s">
        <v>264</v>
      </c>
      <c r="C168" s="34" t="s">
        <v>147</v>
      </c>
      <c r="D168" s="124" t="s">
        <v>107</v>
      </c>
      <c r="E168" s="245">
        <v>0.52200000000000002</v>
      </c>
      <c r="F168" s="7">
        <v>1</v>
      </c>
      <c r="G168" s="9" t="s">
        <v>451</v>
      </c>
      <c r="H168" s="15">
        <v>1</v>
      </c>
      <c r="I168" s="15">
        <v>2</v>
      </c>
      <c r="J168" s="15">
        <v>2</v>
      </c>
      <c r="K168" s="15">
        <v>1</v>
      </c>
      <c r="L168" s="15">
        <v>1</v>
      </c>
      <c r="M168" s="15">
        <v>1</v>
      </c>
      <c r="N168" s="430">
        <f t="shared" si="27"/>
        <v>0.16933510251023262</v>
      </c>
      <c r="O168" s="430">
        <f t="shared" si="28"/>
        <v>0.19908580854301616</v>
      </c>
      <c r="P168" s="9" t="s">
        <v>484</v>
      </c>
    </row>
    <row r="169" spans="1:16" s="443" customFormat="1" ht="15.75" thickBot="1">
      <c r="A169" s="655" t="s">
        <v>539</v>
      </c>
      <c r="B169" s="795" t="s">
        <v>271</v>
      </c>
      <c r="C169" s="34" t="s">
        <v>147</v>
      </c>
      <c r="D169" s="124" t="s">
        <v>107</v>
      </c>
      <c r="E169" s="769">
        <v>3.4000000000000002E-2</v>
      </c>
      <c r="F169" s="119">
        <v>2</v>
      </c>
      <c r="G169" s="9" t="s">
        <v>451</v>
      </c>
      <c r="H169" s="15"/>
      <c r="I169" s="15"/>
      <c r="J169" s="15"/>
      <c r="K169" s="15"/>
      <c r="L169" s="15"/>
      <c r="M169" s="15"/>
      <c r="N169" s="430"/>
      <c r="O169" s="430"/>
      <c r="P169" s="119" t="s">
        <v>485</v>
      </c>
    </row>
    <row r="170" spans="1:16" s="443" customFormat="1">
      <c r="A170" s="651" t="s">
        <v>537</v>
      </c>
      <c r="B170" s="803" t="s">
        <v>542</v>
      </c>
      <c r="C170" s="34" t="s">
        <v>147</v>
      </c>
      <c r="D170" s="121" t="s">
        <v>107</v>
      </c>
      <c r="E170" s="649">
        <f>0.1*E164</f>
        <v>3.0000000000000001E-3</v>
      </c>
      <c r="F170" s="11">
        <v>2</v>
      </c>
      <c r="G170" s="11" t="s">
        <v>451</v>
      </c>
      <c r="H170" s="13">
        <v>1</v>
      </c>
      <c r="I170" s="13">
        <v>2</v>
      </c>
      <c r="J170" s="13">
        <v>2</v>
      </c>
      <c r="K170" s="13">
        <v>1</v>
      </c>
      <c r="L170" s="13">
        <v>1</v>
      </c>
      <c r="M170" s="13">
        <v>1</v>
      </c>
      <c r="N170" s="431">
        <f t="shared" si="27"/>
        <v>0.16933510251023262</v>
      </c>
      <c r="O170" s="431">
        <f t="shared" si="28"/>
        <v>0.19908580854301616</v>
      </c>
      <c r="P170" s="42" t="s">
        <v>487</v>
      </c>
    </row>
    <row r="171" spans="1:16" s="443" customFormat="1" ht="15.75" thickBot="1">
      <c r="A171" s="652" t="s">
        <v>537</v>
      </c>
      <c r="B171" s="804" t="s">
        <v>543</v>
      </c>
      <c r="C171" s="34" t="s">
        <v>147</v>
      </c>
      <c r="D171" s="123" t="s">
        <v>107</v>
      </c>
      <c r="E171" s="773" t="s">
        <v>158</v>
      </c>
      <c r="F171" s="12">
        <v>1</v>
      </c>
      <c r="G171" s="12" t="s">
        <v>451</v>
      </c>
      <c r="H171" s="14"/>
      <c r="I171" s="14"/>
      <c r="J171" s="14"/>
      <c r="K171" s="14"/>
      <c r="L171" s="14"/>
      <c r="M171" s="14"/>
      <c r="N171" s="434" t="str">
        <f t="shared" si="27"/>
        <v/>
      </c>
      <c r="O171" s="434" t="str">
        <f t="shared" si="28"/>
        <v/>
      </c>
      <c r="P171" s="44" t="s">
        <v>541</v>
      </c>
    </row>
    <row r="172" spans="1:16" s="443" customFormat="1" ht="15.75" thickBot="1">
      <c r="A172" s="797" t="s">
        <v>542</v>
      </c>
      <c r="B172" s="806" t="s">
        <v>241</v>
      </c>
      <c r="C172" s="34" t="s">
        <v>147</v>
      </c>
      <c r="D172" s="801" t="s">
        <v>107</v>
      </c>
      <c r="E172" s="771">
        <v>1</v>
      </c>
      <c r="F172" s="770">
        <v>2</v>
      </c>
      <c r="G172" s="770" t="s">
        <v>451</v>
      </c>
      <c r="H172" s="70">
        <v>1</v>
      </c>
      <c r="I172" s="70">
        <v>2</v>
      </c>
      <c r="J172" s="70">
        <v>2</v>
      </c>
      <c r="K172" s="70">
        <v>1</v>
      </c>
      <c r="L172" s="70">
        <v>1</v>
      </c>
      <c r="M172" s="70">
        <v>1</v>
      </c>
      <c r="N172" s="446">
        <f t="shared" si="27"/>
        <v>0.16933510251023262</v>
      </c>
      <c r="O172" s="446">
        <f t="shared" si="28"/>
        <v>0.19908580854301616</v>
      </c>
      <c r="P172" s="772" t="s">
        <v>490</v>
      </c>
    </row>
    <row r="173" spans="1:16" s="443" customFormat="1">
      <c r="A173" s="651" t="s">
        <v>540</v>
      </c>
      <c r="B173" s="794" t="s">
        <v>244</v>
      </c>
      <c r="C173" s="34" t="s">
        <v>147</v>
      </c>
      <c r="D173" s="631" t="s">
        <v>107</v>
      </c>
      <c r="E173" s="764">
        <v>0</v>
      </c>
      <c r="F173" s="118">
        <v>2</v>
      </c>
      <c r="G173" s="118" t="s">
        <v>451</v>
      </c>
      <c r="H173" s="66">
        <v>1</v>
      </c>
      <c r="I173" s="66">
        <v>2</v>
      </c>
      <c r="J173" s="66">
        <v>2</v>
      </c>
      <c r="K173" s="66">
        <v>1</v>
      </c>
      <c r="L173" s="71">
        <v>1</v>
      </c>
      <c r="M173" s="66">
        <v>1</v>
      </c>
      <c r="N173" s="445">
        <f t="shared" si="27"/>
        <v>0.16933510251023262</v>
      </c>
      <c r="O173" s="445">
        <f t="shared" si="28"/>
        <v>0.19908580854301616</v>
      </c>
      <c r="P173" s="678" t="s">
        <v>544</v>
      </c>
    </row>
    <row r="174" spans="1:16" s="443" customFormat="1">
      <c r="A174" s="653" t="s">
        <v>540</v>
      </c>
      <c r="B174" s="800" t="s">
        <v>245</v>
      </c>
      <c r="C174" s="34" t="s">
        <v>147</v>
      </c>
      <c r="D174" s="122" t="s">
        <v>107</v>
      </c>
      <c r="E174" s="245">
        <v>0</v>
      </c>
      <c r="F174" s="9">
        <v>2</v>
      </c>
      <c r="G174" s="9" t="s">
        <v>451</v>
      </c>
      <c r="H174" s="10">
        <v>1</v>
      </c>
      <c r="I174" s="10">
        <v>2</v>
      </c>
      <c r="J174" s="10">
        <v>2</v>
      </c>
      <c r="K174" s="10">
        <v>1</v>
      </c>
      <c r="L174" s="10">
        <v>1</v>
      </c>
      <c r="M174" s="10">
        <v>1</v>
      </c>
      <c r="N174" s="411">
        <f t="shared" si="27"/>
        <v>0.16933510251023262</v>
      </c>
      <c r="O174" s="411">
        <f t="shared" si="28"/>
        <v>0.19908580854301616</v>
      </c>
      <c r="P174" s="43" t="s">
        <v>544</v>
      </c>
    </row>
    <row r="175" spans="1:16" s="443" customFormat="1">
      <c r="A175" s="653" t="s">
        <v>540</v>
      </c>
      <c r="B175" s="800" t="s">
        <v>264</v>
      </c>
      <c r="C175" s="34" t="s">
        <v>147</v>
      </c>
      <c r="D175" s="122" t="s">
        <v>107</v>
      </c>
      <c r="E175" s="245">
        <v>0</v>
      </c>
      <c r="F175" s="9">
        <v>2</v>
      </c>
      <c r="G175" s="9" t="s">
        <v>451</v>
      </c>
      <c r="H175" s="10">
        <v>1</v>
      </c>
      <c r="I175" s="10">
        <v>2</v>
      </c>
      <c r="J175" s="10">
        <v>2</v>
      </c>
      <c r="K175" s="10">
        <v>1</v>
      </c>
      <c r="L175" s="10">
        <v>1</v>
      </c>
      <c r="M175" s="10">
        <v>1</v>
      </c>
      <c r="N175" s="411">
        <f t="shared" si="27"/>
        <v>0.16933510251023262</v>
      </c>
      <c r="O175" s="411">
        <f t="shared" si="28"/>
        <v>0.19908580854301616</v>
      </c>
      <c r="P175" s="43" t="s">
        <v>544</v>
      </c>
    </row>
    <row r="176" spans="1:16" s="443" customFormat="1">
      <c r="A176" s="653" t="s">
        <v>540</v>
      </c>
      <c r="B176" s="795" t="s">
        <v>271</v>
      </c>
      <c r="C176" s="34" t="s">
        <v>147</v>
      </c>
      <c r="D176" s="124" t="s">
        <v>107</v>
      </c>
      <c r="E176" s="769">
        <v>0</v>
      </c>
      <c r="F176" s="119">
        <v>2</v>
      </c>
      <c r="G176" s="119" t="s">
        <v>451</v>
      </c>
      <c r="H176" s="10">
        <v>1</v>
      </c>
      <c r="I176" s="10">
        <v>2</v>
      </c>
      <c r="J176" s="10">
        <v>2</v>
      </c>
      <c r="K176" s="10">
        <v>1</v>
      </c>
      <c r="L176" s="10">
        <v>1</v>
      </c>
      <c r="M176" s="10">
        <v>1</v>
      </c>
      <c r="N176" s="411">
        <f>IF( OR( ISBLANK(H176),ISBLANK(J176), ISBLANK(K176), ISBLANK(L176), ISBLANK(M176) ), "", 1.5*SQRT(   EXP(2.21*(H176-1)) + EXP(2.21*(J176-1)) + EXP(2.21*(K176-1)) + EXP(2.21*(L176-1)) + EXP(2.21*M176)   )/100*2.45 )</f>
        <v>0.16933510251023262</v>
      </c>
      <c r="O176" s="411">
        <f>IF( OR( ISBLANK(I176),ISBLANK(J176), ISBLANK(K176), ISBLANK(L176), ISBLANK(M176) ), "", 1.5*SQRT( EXP(2.21*(I176-1)) + EXP(2.21*(J176-1)) + EXP(2.21*(K176-1)) + EXP(2.21*(L176-1)) + EXP(2.21*M176)   )/100*2.45 )</f>
        <v>0.19908580854301616</v>
      </c>
      <c r="P176" s="156" t="s">
        <v>544</v>
      </c>
    </row>
    <row r="177" spans="1:16" s="443" customFormat="1" ht="15.75" thickBot="1">
      <c r="A177" s="652" t="s">
        <v>540</v>
      </c>
      <c r="B177" s="804" t="s">
        <v>344</v>
      </c>
      <c r="C177" s="34" t="s">
        <v>147</v>
      </c>
      <c r="D177" s="123" t="s">
        <v>107</v>
      </c>
      <c r="E177" s="773" t="s">
        <v>158</v>
      </c>
      <c r="F177" s="12">
        <v>1</v>
      </c>
      <c r="G177" s="12" t="s">
        <v>451</v>
      </c>
      <c r="H177" s="14"/>
      <c r="I177" s="14"/>
      <c r="J177" s="14"/>
      <c r="K177" s="14"/>
      <c r="L177" s="14"/>
      <c r="M177" s="14"/>
      <c r="N177" s="434" t="str">
        <f t="shared" si="27"/>
        <v/>
      </c>
      <c r="O177" s="434" t="str">
        <f t="shared" si="28"/>
        <v/>
      </c>
      <c r="P177" s="44"/>
    </row>
    <row r="178" spans="1:16" s="443" customFormat="1">
      <c r="A178" s="654" t="s">
        <v>543</v>
      </c>
      <c r="B178" s="794" t="s">
        <v>241</v>
      </c>
      <c r="C178" s="34" t="s">
        <v>147</v>
      </c>
      <c r="D178" s="631" t="s">
        <v>107</v>
      </c>
      <c r="E178" s="764">
        <v>0</v>
      </c>
      <c r="F178" s="118">
        <v>2</v>
      </c>
      <c r="G178" s="118" t="s">
        <v>451</v>
      </c>
      <c r="H178" s="66">
        <v>1</v>
      </c>
      <c r="I178" s="66">
        <v>2</v>
      </c>
      <c r="J178" s="66">
        <v>2</v>
      </c>
      <c r="K178" s="66">
        <v>1</v>
      </c>
      <c r="L178" s="66">
        <v>1</v>
      </c>
      <c r="M178" s="66">
        <v>1</v>
      </c>
      <c r="N178" s="445">
        <f t="shared" si="27"/>
        <v>0.16933510251023262</v>
      </c>
      <c r="O178" s="445">
        <f t="shared" si="28"/>
        <v>0.19908580854301616</v>
      </c>
      <c r="P178" s="118" t="s">
        <v>492</v>
      </c>
    </row>
    <row r="179" spans="1:16" s="443" customFormat="1" ht="15.75" thickBot="1">
      <c r="A179" s="655" t="s">
        <v>543</v>
      </c>
      <c r="B179" s="795" t="s">
        <v>344</v>
      </c>
      <c r="C179" s="34" t="s">
        <v>147</v>
      </c>
      <c r="D179" s="124" t="s">
        <v>107</v>
      </c>
      <c r="E179" s="769" t="s">
        <v>158</v>
      </c>
      <c r="F179" s="119">
        <v>1</v>
      </c>
      <c r="G179" s="119" t="s">
        <v>451</v>
      </c>
      <c r="H179" s="15"/>
      <c r="I179" s="15"/>
      <c r="J179" s="15"/>
      <c r="K179" s="15"/>
      <c r="L179" s="15"/>
      <c r="M179" s="15"/>
      <c r="N179" s="430" t="str">
        <f t="shared" si="27"/>
        <v/>
      </c>
      <c r="O179" s="430" t="str">
        <f t="shared" si="28"/>
        <v/>
      </c>
      <c r="P179" s="119" t="s">
        <v>545</v>
      </c>
    </row>
    <row r="180" spans="1:16" s="443" customFormat="1">
      <c r="A180" s="651" t="s">
        <v>456</v>
      </c>
      <c r="B180" s="803" t="s">
        <v>546</v>
      </c>
      <c r="C180" s="34" t="s">
        <v>147</v>
      </c>
      <c r="D180" s="121" t="s">
        <v>107</v>
      </c>
      <c r="E180" s="649">
        <f>0.97*0.1</f>
        <v>9.7000000000000003E-2</v>
      </c>
      <c r="F180" s="11">
        <v>2</v>
      </c>
      <c r="G180" s="11" t="s">
        <v>451</v>
      </c>
      <c r="H180" s="13">
        <v>1</v>
      </c>
      <c r="I180" s="13">
        <v>2</v>
      </c>
      <c r="J180" s="13">
        <v>2</v>
      </c>
      <c r="K180" s="13">
        <v>1</v>
      </c>
      <c r="L180" s="13">
        <v>1</v>
      </c>
      <c r="M180" s="13">
        <v>1</v>
      </c>
      <c r="N180" s="431">
        <f t="shared" si="27"/>
        <v>0.16933510251023262</v>
      </c>
      <c r="O180" s="431">
        <f t="shared" si="28"/>
        <v>0.19908580854301616</v>
      </c>
      <c r="P180" s="42" t="s">
        <v>547</v>
      </c>
    </row>
    <row r="181" spans="1:16" s="443" customFormat="1">
      <c r="A181" s="653" t="s">
        <v>456</v>
      </c>
      <c r="B181" s="800" t="s">
        <v>548</v>
      </c>
      <c r="C181" s="34" t="s">
        <v>147</v>
      </c>
      <c r="D181" s="122" t="s">
        <v>107</v>
      </c>
      <c r="E181" s="245">
        <f>0.97*0.9</f>
        <v>0.873</v>
      </c>
      <c r="F181" s="9">
        <v>2</v>
      </c>
      <c r="G181" s="9" t="s">
        <v>451</v>
      </c>
      <c r="H181" s="10">
        <v>1</v>
      </c>
      <c r="I181" s="10">
        <v>2</v>
      </c>
      <c r="J181" s="10">
        <v>2</v>
      </c>
      <c r="K181" s="10">
        <v>1</v>
      </c>
      <c r="L181" s="10">
        <v>1</v>
      </c>
      <c r="M181" s="10">
        <v>1</v>
      </c>
      <c r="N181" s="411">
        <f t="shared" si="27"/>
        <v>0.16933510251023262</v>
      </c>
      <c r="O181" s="411">
        <f t="shared" si="28"/>
        <v>0.19908580854301616</v>
      </c>
      <c r="P181" s="43" t="s">
        <v>549</v>
      </c>
    </row>
    <row r="182" spans="1:16" s="443" customFormat="1" ht="15.75" thickBot="1">
      <c r="A182" s="652" t="s">
        <v>456</v>
      </c>
      <c r="B182" s="804" t="s">
        <v>236</v>
      </c>
      <c r="C182" s="34" t="s">
        <v>147</v>
      </c>
      <c r="D182" s="123" t="s">
        <v>107</v>
      </c>
      <c r="E182" s="773">
        <v>0.03</v>
      </c>
      <c r="F182" s="12">
        <v>1</v>
      </c>
      <c r="G182" s="12" t="s">
        <v>451</v>
      </c>
      <c r="H182" s="14">
        <v>1</v>
      </c>
      <c r="I182" s="14">
        <v>2</v>
      </c>
      <c r="J182" s="14">
        <v>2</v>
      </c>
      <c r="K182" s="14">
        <v>1</v>
      </c>
      <c r="L182" s="14">
        <v>1</v>
      </c>
      <c r="M182" s="14">
        <v>1</v>
      </c>
      <c r="N182" s="434">
        <f t="shared" si="27"/>
        <v>0.16933510251023262</v>
      </c>
      <c r="O182" s="434">
        <f t="shared" si="28"/>
        <v>0.19908580854301616</v>
      </c>
      <c r="P182" s="44" t="s">
        <v>478</v>
      </c>
    </row>
    <row r="183" spans="1:16" s="443" customFormat="1">
      <c r="A183" s="654" t="s">
        <v>546</v>
      </c>
      <c r="B183" s="794" t="s">
        <v>550</v>
      </c>
      <c r="C183" s="34" t="s">
        <v>147</v>
      </c>
      <c r="D183" s="631" t="s">
        <v>107</v>
      </c>
      <c r="E183" s="764">
        <v>0.03</v>
      </c>
      <c r="F183" s="118">
        <v>2</v>
      </c>
      <c r="G183" s="118" t="s">
        <v>451</v>
      </c>
      <c r="H183" s="66">
        <v>1</v>
      </c>
      <c r="I183" s="66">
        <v>2</v>
      </c>
      <c r="J183" s="66">
        <v>2</v>
      </c>
      <c r="K183" s="66">
        <v>1</v>
      </c>
      <c r="L183" s="66">
        <v>1</v>
      </c>
      <c r="M183" s="66">
        <v>1</v>
      </c>
      <c r="N183" s="445">
        <f t="shared" si="27"/>
        <v>0.16933510251023262</v>
      </c>
      <c r="O183" s="445">
        <f t="shared" si="28"/>
        <v>0.19908580854301616</v>
      </c>
      <c r="P183" s="118" t="s">
        <v>480</v>
      </c>
    </row>
    <row r="184" spans="1:16" s="443" customFormat="1" ht="15.75" thickBot="1">
      <c r="A184" s="655" t="s">
        <v>546</v>
      </c>
      <c r="B184" s="795" t="s">
        <v>551</v>
      </c>
      <c r="C184" s="34" t="s">
        <v>147</v>
      </c>
      <c r="D184" s="124" t="s">
        <v>107</v>
      </c>
      <c r="E184" s="769" t="s">
        <v>158</v>
      </c>
      <c r="F184" s="119">
        <v>1</v>
      </c>
      <c r="G184" s="119" t="s">
        <v>451</v>
      </c>
      <c r="H184" s="15"/>
      <c r="I184" s="15"/>
      <c r="J184" s="15"/>
      <c r="K184" s="15"/>
      <c r="L184" s="15"/>
      <c r="M184" s="15"/>
      <c r="N184" s="430" t="str">
        <f t="shared" si="27"/>
        <v/>
      </c>
      <c r="O184" s="430" t="str">
        <f t="shared" si="28"/>
        <v/>
      </c>
      <c r="P184" s="119" t="s">
        <v>552</v>
      </c>
    </row>
    <row r="185" spans="1:16" s="443" customFormat="1">
      <c r="A185" s="444" t="s">
        <v>550</v>
      </c>
      <c r="B185" s="444" t="s">
        <v>244</v>
      </c>
      <c r="C185" s="34" t="s">
        <v>147</v>
      </c>
      <c r="D185" s="121" t="s">
        <v>107</v>
      </c>
      <c r="E185" s="790">
        <v>0.05</v>
      </c>
      <c r="F185" s="791">
        <v>2</v>
      </c>
      <c r="G185" s="11" t="s">
        <v>165</v>
      </c>
      <c r="H185" s="13">
        <v>1</v>
      </c>
      <c r="I185" s="13">
        <v>2</v>
      </c>
      <c r="J185" s="13">
        <v>2</v>
      </c>
      <c r="K185" s="13">
        <v>1</v>
      </c>
      <c r="L185" s="792">
        <v>3</v>
      </c>
      <c r="M185" s="13">
        <v>3</v>
      </c>
      <c r="N185" s="431">
        <f t="shared" si="27"/>
        <v>1.0725046436742278</v>
      </c>
      <c r="O185" s="431">
        <f t="shared" si="28"/>
        <v>1.0776024280428556</v>
      </c>
      <c r="P185" s="780" t="s">
        <v>482</v>
      </c>
    </row>
    <row r="186" spans="1:16" s="443" customFormat="1">
      <c r="A186" s="504" t="s">
        <v>550</v>
      </c>
      <c r="B186" s="504" t="s">
        <v>245</v>
      </c>
      <c r="C186" s="34" t="s">
        <v>147</v>
      </c>
      <c r="D186" s="122" t="s">
        <v>107</v>
      </c>
      <c r="E186" s="245">
        <v>0.39400000000000002</v>
      </c>
      <c r="F186" s="9">
        <v>2</v>
      </c>
      <c r="G186" s="9" t="s">
        <v>451</v>
      </c>
      <c r="H186" s="10">
        <v>1</v>
      </c>
      <c r="I186" s="10">
        <v>2</v>
      </c>
      <c r="J186" s="10">
        <v>2</v>
      </c>
      <c r="K186" s="10">
        <v>1</v>
      </c>
      <c r="L186" s="10">
        <v>1</v>
      </c>
      <c r="M186" s="10">
        <v>1</v>
      </c>
      <c r="N186" s="411">
        <f t="shared" si="27"/>
        <v>0.16933510251023262</v>
      </c>
      <c r="O186" s="411">
        <f t="shared" si="28"/>
        <v>0.19908580854301616</v>
      </c>
      <c r="P186" s="43" t="s">
        <v>483</v>
      </c>
    </row>
    <row r="187" spans="1:16" s="443" customFormat="1">
      <c r="A187" s="504" t="s">
        <v>550</v>
      </c>
      <c r="B187" s="504" t="s">
        <v>264</v>
      </c>
      <c r="C187" s="34" t="s">
        <v>147</v>
      </c>
      <c r="D187" s="122" t="s">
        <v>107</v>
      </c>
      <c r="E187" s="245">
        <v>0.52200000000000002</v>
      </c>
      <c r="F187" s="7">
        <v>1</v>
      </c>
      <c r="G187" s="9" t="s">
        <v>451</v>
      </c>
      <c r="H187" s="10">
        <v>1</v>
      </c>
      <c r="I187" s="10">
        <v>2</v>
      </c>
      <c r="J187" s="10">
        <v>2</v>
      </c>
      <c r="K187" s="10">
        <v>1</v>
      </c>
      <c r="L187" s="10">
        <v>1</v>
      </c>
      <c r="M187" s="10">
        <v>1</v>
      </c>
      <c r="N187" s="411">
        <f t="shared" si="27"/>
        <v>0.16933510251023262</v>
      </c>
      <c r="O187" s="411">
        <f t="shared" si="28"/>
        <v>0.19908580854301616</v>
      </c>
      <c r="P187" s="43" t="s">
        <v>484</v>
      </c>
    </row>
    <row r="188" spans="1:16" s="443" customFormat="1" ht="15.75" thickBot="1">
      <c r="A188" s="793" t="s">
        <v>550</v>
      </c>
      <c r="B188" s="793" t="s">
        <v>271</v>
      </c>
      <c r="C188" s="34" t="s">
        <v>147</v>
      </c>
      <c r="D188" s="123" t="s">
        <v>107</v>
      </c>
      <c r="E188" s="773">
        <v>3.4000000000000002E-2</v>
      </c>
      <c r="F188" s="12">
        <v>2</v>
      </c>
      <c r="G188" s="12" t="s">
        <v>451</v>
      </c>
      <c r="H188" s="14"/>
      <c r="I188" s="14"/>
      <c r="J188" s="14"/>
      <c r="K188" s="14"/>
      <c r="L188" s="14"/>
      <c r="M188" s="14"/>
      <c r="N188" s="434"/>
      <c r="O188" s="434"/>
      <c r="P188" s="44" t="s">
        <v>485</v>
      </c>
    </row>
    <row r="189" spans="1:16" s="443" customFormat="1">
      <c r="A189" s="654" t="s">
        <v>548</v>
      </c>
      <c r="B189" s="794" t="s">
        <v>553</v>
      </c>
      <c r="C189" s="34" t="s">
        <v>147</v>
      </c>
      <c r="D189" s="631" t="s">
        <v>107</v>
      </c>
      <c r="E189" s="764">
        <f>0.1*E183</f>
        <v>3.0000000000000001E-3</v>
      </c>
      <c r="F189" s="118">
        <v>2</v>
      </c>
      <c r="G189" s="118" t="s">
        <v>451</v>
      </c>
      <c r="H189" s="66">
        <v>1</v>
      </c>
      <c r="I189" s="66">
        <v>2</v>
      </c>
      <c r="J189" s="66">
        <v>2</v>
      </c>
      <c r="K189" s="66">
        <v>1</v>
      </c>
      <c r="L189" s="66">
        <v>1</v>
      </c>
      <c r="M189" s="66">
        <v>1</v>
      </c>
      <c r="N189" s="445">
        <f t="shared" si="27"/>
        <v>0.16933510251023262</v>
      </c>
      <c r="O189" s="445">
        <f t="shared" si="28"/>
        <v>0.19908580854301616</v>
      </c>
      <c r="P189" s="118" t="s">
        <v>487</v>
      </c>
    </row>
    <row r="190" spans="1:16" s="443" customFormat="1" ht="15.75" thickBot="1">
      <c r="A190" s="655" t="s">
        <v>548</v>
      </c>
      <c r="B190" s="795" t="s">
        <v>554</v>
      </c>
      <c r="C190" s="34" t="s">
        <v>147</v>
      </c>
      <c r="D190" s="124" t="s">
        <v>107</v>
      </c>
      <c r="E190" s="769" t="s">
        <v>158</v>
      </c>
      <c r="F190" s="119">
        <v>1</v>
      </c>
      <c r="G190" s="119" t="s">
        <v>451</v>
      </c>
      <c r="H190" s="15"/>
      <c r="I190" s="15"/>
      <c r="J190" s="15"/>
      <c r="K190" s="15"/>
      <c r="L190" s="15"/>
      <c r="M190" s="15"/>
      <c r="N190" s="430" t="str">
        <f t="shared" si="27"/>
        <v/>
      </c>
      <c r="O190" s="430" t="str">
        <f t="shared" si="28"/>
        <v/>
      </c>
      <c r="P190" s="119" t="s">
        <v>552</v>
      </c>
    </row>
    <row r="191" spans="1:16" s="443" customFormat="1" ht="15.75" thickBot="1">
      <c r="A191" s="650" t="s">
        <v>553</v>
      </c>
      <c r="B191" s="805" t="s">
        <v>241</v>
      </c>
      <c r="C191" s="34" t="s">
        <v>147</v>
      </c>
      <c r="D191" s="801" t="s">
        <v>107</v>
      </c>
      <c r="E191" s="771">
        <v>1</v>
      </c>
      <c r="F191" s="770">
        <v>2</v>
      </c>
      <c r="G191" s="770" t="s">
        <v>451</v>
      </c>
      <c r="H191" s="70">
        <v>1</v>
      </c>
      <c r="I191" s="70">
        <v>2</v>
      </c>
      <c r="J191" s="70">
        <v>2</v>
      </c>
      <c r="K191" s="70">
        <v>1</v>
      </c>
      <c r="L191" s="70">
        <v>1</v>
      </c>
      <c r="M191" s="70">
        <v>1</v>
      </c>
      <c r="N191" s="446">
        <f t="shared" si="27"/>
        <v>0.16933510251023262</v>
      </c>
      <c r="O191" s="446">
        <f t="shared" si="28"/>
        <v>0.19908580854301616</v>
      </c>
      <c r="P191" s="772" t="s">
        <v>490</v>
      </c>
    </row>
    <row r="192" spans="1:16" s="443" customFormat="1">
      <c r="A192" s="654" t="s">
        <v>551</v>
      </c>
      <c r="B192" s="803" t="s">
        <v>244</v>
      </c>
      <c r="C192" s="34" t="s">
        <v>147</v>
      </c>
      <c r="D192" s="631" t="s">
        <v>107</v>
      </c>
      <c r="E192" s="764">
        <v>0</v>
      </c>
      <c r="F192" s="118">
        <v>2</v>
      </c>
      <c r="G192" s="118" t="s">
        <v>451</v>
      </c>
      <c r="H192" s="66">
        <v>1</v>
      </c>
      <c r="I192" s="66">
        <v>2</v>
      </c>
      <c r="J192" s="66">
        <v>2</v>
      </c>
      <c r="K192" s="66">
        <v>1</v>
      </c>
      <c r="L192" s="66">
        <v>1</v>
      </c>
      <c r="M192" s="66">
        <v>1</v>
      </c>
      <c r="N192" s="445">
        <f t="shared" si="27"/>
        <v>0.16933510251023262</v>
      </c>
      <c r="O192" s="445">
        <f t="shared" si="28"/>
        <v>0.19908580854301616</v>
      </c>
      <c r="P192" s="42" t="s">
        <v>555</v>
      </c>
    </row>
    <row r="193" spans="1:16" s="443" customFormat="1">
      <c r="A193" s="318" t="s">
        <v>551</v>
      </c>
      <c r="B193" s="800" t="s">
        <v>245</v>
      </c>
      <c r="C193" s="34" t="s">
        <v>147</v>
      </c>
      <c r="D193" s="122" t="s">
        <v>107</v>
      </c>
      <c r="E193" s="245">
        <v>0</v>
      </c>
      <c r="F193" s="9">
        <v>2</v>
      </c>
      <c r="G193" s="9" t="s">
        <v>451</v>
      </c>
      <c r="H193" s="10">
        <v>1</v>
      </c>
      <c r="I193" s="10">
        <v>2</v>
      </c>
      <c r="J193" s="10">
        <v>2</v>
      </c>
      <c r="K193" s="10">
        <v>1</v>
      </c>
      <c r="L193" s="10">
        <v>1</v>
      </c>
      <c r="M193" s="10">
        <v>1</v>
      </c>
      <c r="N193" s="411">
        <f t="shared" si="27"/>
        <v>0.16933510251023262</v>
      </c>
      <c r="O193" s="411">
        <f t="shared" si="28"/>
        <v>0.19908580854301616</v>
      </c>
      <c r="P193" s="43" t="s">
        <v>555</v>
      </c>
    </row>
    <row r="194" spans="1:16" s="443" customFormat="1">
      <c r="A194" s="318" t="s">
        <v>551</v>
      </c>
      <c r="B194" s="800" t="s">
        <v>264</v>
      </c>
      <c r="C194" s="34" t="s">
        <v>147</v>
      </c>
      <c r="D194" s="122" t="s">
        <v>107</v>
      </c>
      <c r="E194" s="245">
        <v>0</v>
      </c>
      <c r="F194" s="9">
        <v>2</v>
      </c>
      <c r="G194" s="9" t="s">
        <v>451</v>
      </c>
      <c r="H194" s="10">
        <v>1</v>
      </c>
      <c r="I194" s="10">
        <v>2</v>
      </c>
      <c r="J194" s="10">
        <v>2</v>
      </c>
      <c r="K194" s="10">
        <v>1</v>
      </c>
      <c r="L194" s="10">
        <v>1</v>
      </c>
      <c r="M194" s="10">
        <v>1</v>
      </c>
      <c r="N194" s="411">
        <f t="shared" si="27"/>
        <v>0.16933510251023262</v>
      </c>
      <c r="O194" s="411">
        <f t="shared" si="28"/>
        <v>0.19908580854301616</v>
      </c>
      <c r="P194" s="43" t="s">
        <v>555</v>
      </c>
    </row>
    <row r="195" spans="1:16" s="443" customFormat="1">
      <c r="A195" s="318" t="s">
        <v>551</v>
      </c>
      <c r="B195" s="795" t="s">
        <v>271</v>
      </c>
      <c r="C195" s="34" t="s">
        <v>147</v>
      </c>
      <c r="D195" s="124" t="s">
        <v>107</v>
      </c>
      <c r="E195" s="769">
        <v>0</v>
      </c>
      <c r="F195" s="119">
        <v>2</v>
      </c>
      <c r="G195" s="119" t="s">
        <v>451</v>
      </c>
      <c r="H195" s="10">
        <v>1</v>
      </c>
      <c r="I195" s="10">
        <v>2</v>
      </c>
      <c r="J195" s="10">
        <v>2</v>
      </c>
      <c r="K195" s="10">
        <v>1</v>
      </c>
      <c r="L195" s="10">
        <v>1</v>
      </c>
      <c r="M195" s="10">
        <v>1</v>
      </c>
      <c r="N195" s="411">
        <f>IF( OR( ISBLANK(H195),ISBLANK(J195), ISBLANK(K195), ISBLANK(L195), ISBLANK(M195) ), "", 1.5*SQRT(   EXP(2.21*(H195-1)) + EXP(2.21*(J195-1)) + EXP(2.21*(K195-1)) + EXP(2.21*(L195-1)) + EXP(2.21*M195)   )/100*2.45 )</f>
        <v>0.16933510251023262</v>
      </c>
      <c r="O195" s="411">
        <f>IF( OR( ISBLANK(I195),ISBLANK(J195), ISBLANK(K195), ISBLANK(L195), ISBLANK(M195) ), "", 1.5*SQRT( EXP(2.21*(I195-1)) + EXP(2.21*(J195-1)) + EXP(2.21*(K195-1)) + EXP(2.21*(L195-1)) + EXP(2.21*M195)   )/100*2.45 )</f>
        <v>0.19908580854301616</v>
      </c>
      <c r="P195" s="156" t="s">
        <v>555</v>
      </c>
    </row>
    <row r="196" spans="1:16" s="443" customFormat="1" ht="15.75" thickBot="1">
      <c r="A196" s="655" t="s">
        <v>551</v>
      </c>
      <c r="B196" s="804" t="s">
        <v>344</v>
      </c>
      <c r="C196" s="34" t="s">
        <v>147</v>
      </c>
      <c r="D196" s="124" t="s">
        <v>107</v>
      </c>
      <c r="E196" s="769" t="s">
        <v>158</v>
      </c>
      <c r="F196" s="119">
        <v>1</v>
      </c>
      <c r="G196" s="119" t="s">
        <v>451</v>
      </c>
      <c r="H196" s="15"/>
      <c r="I196" s="15"/>
      <c r="J196" s="15"/>
      <c r="K196" s="15"/>
      <c r="L196" s="15"/>
      <c r="M196" s="15"/>
      <c r="N196" s="430" t="str">
        <f t="shared" si="27"/>
        <v/>
      </c>
      <c r="O196" s="430" t="str">
        <f t="shared" si="28"/>
        <v/>
      </c>
      <c r="P196" s="44"/>
    </row>
    <row r="197" spans="1:16" s="443" customFormat="1">
      <c r="A197" s="651" t="s">
        <v>554</v>
      </c>
      <c r="B197" s="803" t="s">
        <v>241</v>
      </c>
      <c r="C197" s="34" t="s">
        <v>147</v>
      </c>
      <c r="D197" s="121" t="s">
        <v>107</v>
      </c>
      <c r="E197" s="649">
        <v>0</v>
      </c>
      <c r="F197" s="11">
        <v>2</v>
      </c>
      <c r="G197" s="11" t="s">
        <v>451</v>
      </c>
      <c r="H197" s="13">
        <v>1</v>
      </c>
      <c r="I197" s="13">
        <v>2</v>
      </c>
      <c r="J197" s="13">
        <v>2</v>
      </c>
      <c r="K197" s="13">
        <v>1</v>
      </c>
      <c r="L197" s="13">
        <v>1</v>
      </c>
      <c r="M197" s="13">
        <v>1</v>
      </c>
      <c r="N197" s="431">
        <f t="shared" si="27"/>
        <v>0.16933510251023262</v>
      </c>
      <c r="O197" s="431">
        <f t="shared" si="28"/>
        <v>0.19908580854301616</v>
      </c>
      <c r="P197" s="42" t="s">
        <v>492</v>
      </c>
    </row>
    <row r="198" spans="1:16" s="443" customFormat="1" ht="15.75" thickBot="1">
      <c r="A198" s="652" t="s">
        <v>554</v>
      </c>
      <c r="B198" s="804" t="s">
        <v>344</v>
      </c>
      <c r="C198" s="34" t="s">
        <v>147</v>
      </c>
      <c r="D198" s="123" t="s">
        <v>107</v>
      </c>
      <c r="E198" s="773" t="s">
        <v>158</v>
      </c>
      <c r="F198" s="12">
        <v>1</v>
      </c>
      <c r="G198" s="12" t="s">
        <v>451</v>
      </c>
      <c r="H198" s="14"/>
      <c r="I198" s="14"/>
      <c r="J198" s="14"/>
      <c r="K198" s="14"/>
      <c r="L198" s="14"/>
      <c r="M198" s="14"/>
      <c r="N198" s="434" t="str">
        <f t="shared" si="27"/>
        <v/>
      </c>
      <c r="O198" s="434" t="str">
        <f t="shared" si="28"/>
        <v/>
      </c>
      <c r="P198" s="44" t="s">
        <v>556</v>
      </c>
    </row>
    <row r="199" spans="1:16" s="443" customFormat="1">
      <c r="A199" s="654" t="s">
        <v>457</v>
      </c>
      <c r="B199" s="794" t="s">
        <v>557</v>
      </c>
      <c r="C199" s="34" t="s">
        <v>147</v>
      </c>
      <c r="D199" s="631" t="s">
        <v>107</v>
      </c>
      <c r="E199" s="764">
        <f>0.97*0.25</f>
        <v>0.24249999999999999</v>
      </c>
      <c r="F199" s="118">
        <v>2</v>
      </c>
      <c r="G199" s="118" t="s">
        <v>451</v>
      </c>
      <c r="H199" s="66">
        <v>1</v>
      </c>
      <c r="I199" s="66">
        <v>2</v>
      </c>
      <c r="J199" s="66">
        <v>2</v>
      </c>
      <c r="K199" s="66">
        <v>1</v>
      </c>
      <c r="L199" s="66">
        <v>1</v>
      </c>
      <c r="M199" s="66">
        <v>1</v>
      </c>
      <c r="N199" s="445">
        <f t="shared" si="27"/>
        <v>0.16933510251023262</v>
      </c>
      <c r="O199" s="445">
        <f t="shared" si="28"/>
        <v>0.19908580854301616</v>
      </c>
      <c r="P199" s="118" t="s">
        <v>511</v>
      </c>
    </row>
    <row r="200" spans="1:16" s="443" customFormat="1">
      <c r="A200" s="318" t="s">
        <v>457</v>
      </c>
      <c r="B200" s="800" t="s">
        <v>558</v>
      </c>
      <c r="C200" s="34" t="s">
        <v>147</v>
      </c>
      <c r="D200" s="122" t="s">
        <v>107</v>
      </c>
      <c r="E200" s="245">
        <f>0.97*0.75</f>
        <v>0.72750000000000004</v>
      </c>
      <c r="F200" s="9">
        <v>2</v>
      </c>
      <c r="G200" s="9" t="s">
        <v>451</v>
      </c>
      <c r="H200" s="10">
        <v>1</v>
      </c>
      <c r="I200" s="10">
        <v>2</v>
      </c>
      <c r="J200" s="10">
        <v>2</v>
      </c>
      <c r="K200" s="10">
        <v>1</v>
      </c>
      <c r="L200" s="10">
        <v>1</v>
      </c>
      <c r="M200" s="10">
        <v>1</v>
      </c>
      <c r="N200" s="411">
        <f t="shared" si="27"/>
        <v>0.16933510251023262</v>
      </c>
      <c r="O200" s="411">
        <f t="shared" si="28"/>
        <v>0.19908580854301616</v>
      </c>
      <c r="P200" s="9" t="s">
        <v>549</v>
      </c>
    </row>
    <row r="201" spans="1:16" s="443" customFormat="1" ht="15.75" thickBot="1">
      <c r="A201" s="655" t="s">
        <v>457</v>
      </c>
      <c r="B201" s="795" t="s">
        <v>236</v>
      </c>
      <c r="C201" s="34" t="s">
        <v>147</v>
      </c>
      <c r="D201" s="124" t="s">
        <v>107</v>
      </c>
      <c r="E201" s="769">
        <v>0.03</v>
      </c>
      <c r="F201" s="119">
        <v>1</v>
      </c>
      <c r="G201" s="119" t="s">
        <v>451</v>
      </c>
      <c r="H201" s="15">
        <v>1</v>
      </c>
      <c r="I201" s="15">
        <v>2</v>
      </c>
      <c r="J201" s="15">
        <v>2</v>
      </c>
      <c r="K201" s="15">
        <v>1</v>
      </c>
      <c r="L201" s="15">
        <v>1</v>
      </c>
      <c r="M201" s="15">
        <v>1</v>
      </c>
      <c r="N201" s="430">
        <f t="shared" si="27"/>
        <v>0.16933510251023262</v>
      </c>
      <c r="O201" s="430">
        <f t="shared" si="28"/>
        <v>0.19908580854301616</v>
      </c>
      <c r="P201" s="119" t="s">
        <v>478</v>
      </c>
    </row>
    <row r="202" spans="1:16" s="443" customFormat="1">
      <c r="A202" s="651" t="s">
        <v>557</v>
      </c>
      <c r="B202" s="803" t="s">
        <v>559</v>
      </c>
      <c r="C202" s="34" t="s">
        <v>147</v>
      </c>
      <c r="D202" s="121" t="s">
        <v>107</v>
      </c>
      <c r="E202" s="649">
        <v>0.03</v>
      </c>
      <c r="F202" s="11">
        <v>2</v>
      </c>
      <c r="G202" s="11" t="s">
        <v>451</v>
      </c>
      <c r="H202" s="13">
        <v>1</v>
      </c>
      <c r="I202" s="13">
        <v>2</v>
      </c>
      <c r="J202" s="13">
        <v>2</v>
      </c>
      <c r="K202" s="13">
        <v>1</v>
      </c>
      <c r="L202" s="13">
        <v>1</v>
      </c>
      <c r="M202" s="13">
        <v>1</v>
      </c>
      <c r="N202" s="431">
        <f t="shared" ref="N202:N272" si="29">IF( OR( ISBLANK(H202),ISBLANK(J202), ISBLANK(K202), ISBLANK(L202), ISBLANK(M202) ), "", 1.5*SQRT(   EXP(2.21*(H202-1)) + EXP(2.21*(J202-1)) + EXP(2.21*(K202-1)) + EXP(2.21*(L202-1)) + EXP(2.21*M202)   )/100*2.45 )</f>
        <v>0.16933510251023262</v>
      </c>
      <c r="O202" s="431">
        <f t="shared" ref="O202:O272" si="30">IF( OR( ISBLANK(I202),ISBLANK(J202), ISBLANK(K202), ISBLANK(L202), ISBLANK(M202) ), "", 1.5*SQRT( EXP(2.21*(I202-1)) + EXP(2.21*(J202-1)) + EXP(2.21*(K202-1)) + EXP(2.21*(L202-1)) + EXP(2.21*M202)   )/100*2.45 )</f>
        <v>0.19908580854301616</v>
      </c>
      <c r="P202" s="42" t="s">
        <v>480</v>
      </c>
    </row>
    <row r="203" spans="1:16" s="443" customFormat="1" ht="15.75" thickBot="1">
      <c r="A203" s="652" t="s">
        <v>557</v>
      </c>
      <c r="B203" s="804" t="s">
        <v>560</v>
      </c>
      <c r="C203" s="34" t="s">
        <v>147</v>
      </c>
      <c r="D203" s="123" t="s">
        <v>107</v>
      </c>
      <c r="E203" s="773" t="s">
        <v>158</v>
      </c>
      <c r="F203" s="12">
        <v>1</v>
      </c>
      <c r="G203" s="12" t="s">
        <v>451</v>
      </c>
      <c r="H203" s="14"/>
      <c r="I203" s="14"/>
      <c r="J203" s="14"/>
      <c r="K203" s="14"/>
      <c r="L203" s="14"/>
      <c r="M203" s="14"/>
      <c r="N203" s="434" t="str">
        <f t="shared" si="29"/>
        <v/>
      </c>
      <c r="O203" s="434" t="str">
        <f t="shared" si="30"/>
        <v/>
      </c>
      <c r="P203" s="44" t="s">
        <v>561</v>
      </c>
    </row>
    <row r="204" spans="1:16" s="443" customFormat="1">
      <c r="A204" s="654" t="s">
        <v>559</v>
      </c>
      <c r="B204" s="794" t="s">
        <v>244</v>
      </c>
      <c r="C204" s="34" t="s">
        <v>147</v>
      </c>
      <c r="D204" s="631" t="s">
        <v>107</v>
      </c>
      <c r="E204" s="769">
        <v>0.05</v>
      </c>
      <c r="F204" s="119">
        <v>2</v>
      </c>
      <c r="G204" s="11" t="s">
        <v>165</v>
      </c>
      <c r="H204" s="66">
        <v>1</v>
      </c>
      <c r="I204" s="66">
        <v>2</v>
      </c>
      <c r="J204" s="66">
        <v>2</v>
      </c>
      <c r="K204" s="66">
        <v>1</v>
      </c>
      <c r="L204" s="15">
        <v>3</v>
      </c>
      <c r="M204" s="13">
        <v>3</v>
      </c>
      <c r="N204" s="445">
        <f t="shared" si="29"/>
        <v>1.0725046436742278</v>
      </c>
      <c r="O204" s="445">
        <f t="shared" si="30"/>
        <v>1.0776024280428556</v>
      </c>
      <c r="P204" s="119" t="s">
        <v>482</v>
      </c>
    </row>
    <row r="205" spans="1:16" s="443" customFormat="1">
      <c r="A205" s="318" t="s">
        <v>559</v>
      </c>
      <c r="B205" s="800" t="s">
        <v>245</v>
      </c>
      <c r="C205" s="34" t="s">
        <v>147</v>
      </c>
      <c r="D205" s="122" t="s">
        <v>107</v>
      </c>
      <c r="E205" s="245">
        <v>0.39400000000000002</v>
      </c>
      <c r="F205" s="9">
        <v>2</v>
      </c>
      <c r="G205" s="9" t="s">
        <v>451</v>
      </c>
      <c r="H205" s="10">
        <v>1</v>
      </c>
      <c r="I205" s="10">
        <v>2</v>
      </c>
      <c r="J205" s="10">
        <v>2</v>
      </c>
      <c r="K205" s="10">
        <v>1</v>
      </c>
      <c r="L205" s="10">
        <v>1</v>
      </c>
      <c r="M205" s="10">
        <v>1</v>
      </c>
      <c r="N205" s="411">
        <f t="shared" si="29"/>
        <v>0.16933510251023262</v>
      </c>
      <c r="O205" s="411">
        <f t="shared" si="30"/>
        <v>0.19908580854301616</v>
      </c>
      <c r="P205" s="9" t="s">
        <v>483</v>
      </c>
    </row>
    <row r="206" spans="1:16" s="443" customFormat="1">
      <c r="A206" s="655" t="s">
        <v>559</v>
      </c>
      <c r="B206" s="795" t="s">
        <v>264</v>
      </c>
      <c r="C206" s="34" t="s">
        <v>147</v>
      </c>
      <c r="D206" s="124" t="s">
        <v>107</v>
      </c>
      <c r="E206" s="245">
        <v>0.52200000000000002</v>
      </c>
      <c r="F206" s="7">
        <v>1</v>
      </c>
      <c r="G206" s="9" t="s">
        <v>451</v>
      </c>
      <c r="H206" s="15">
        <v>1</v>
      </c>
      <c r="I206" s="15">
        <v>2</v>
      </c>
      <c r="J206" s="15">
        <v>2</v>
      </c>
      <c r="K206" s="15">
        <v>1</v>
      </c>
      <c r="L206" s="15">
        <v>1</v>
      </c>
      <c r="M206" s="15">
        <v>1</v>
      </c>
      <c r="N206" s="430">
        <f t="shared" si="29"/>
        <v>0.16933510251023262</v>
      </c>
      <c r="O206" s="430">
        <f t="shared" si="30"/>
        <v>0.19908580854301616</v>
      </c>
      <c r="P206" s="9" t="s">
        <v>484</v>
      </c>
    </row>
    <row r="207" spans="1:16" s="443" customFormat="1" ht="15.75" thickBot="1">
      <c r="A207" s="655" t="s">
        <v>559</v>
      </c>
      <c r="B207" s="795" t="s">
        <v>271</v>
      </c>
      <c r="C207" s="34" t="s">
        <v>147</v>
      </c>
      <c r="D207" s="124" t="s">
        <v>107</v>
      </c>
      <c r="E207" s="769">
        <v>3.4000000000000002E-2</v>
      </c>
      <c r="F207" s="119">
        <v>2</v>
      </c>
      <c r="G207" s="9" t="s">
        <v>451</v>
      </c>
      <c r="H207" s="15"/>
      <c r="I207" s="15"/>
      <c r="J207" s="15"/>
      <c r="K207" s="15"/>
      <c r="L207" s="15"/>
      <c r="M207" s="15"/>
      <c r="N207" s="430"/>
      <c r="O207" s="430"/>
      <c r="P207" s="119" t="s">
        <v>485</v>
      </c>
    </row>
    <row r="208" spans="1:16" s="443" customFormat="1">
      <c r="A208" s="651" t="s">
        <v>558</v>
      </c>
      <c r="B208" s="803" t="s">
        <v>562</v>
      </c>
      <c r="C208" s="34" t="s">
        <v>147</v>
      </c>
      <c r="D208" s="121" t="s">
        <v>107</v>
      </c>
      <c r="E208" s="649">
        <f>0.1*E202</f>
        <v>3.0000000000000001E-3</v>
      </c>
      <c r="F208" s="11">
        <v>2</v>
      </c>
      <c r="G208" s="11" t="s">
        <v>451</v>
      </c>
      <c r="H208" s="13">
        <v>1</v>
      </c>
      <c r="I208" s="13">
        <v>2</v>
      </c>
      <c r="J208" s="13">
        <v>2</v>
      </c>
      <c r="K208" s="13">
        <v>1</v>
      </c>
      <c r="L208" s="13">
        <v>1</v>
      </c>
      <c r="M208" s="13">
        <v>1</v>
      </c>
      <c r="N208" s="431">
        <f t="shared" si="29"/>
        <v>0.16933510251023262</v>
      </c>
      <c r="O208" s="431">
        <f t="shared" si="30"/>
        <v>0.19908580854301616</v>
      </c>
      <c r="P208" s="42" t="s">
        <v>487</v>
      </c>
    </row>
    <row r="209" spans="1:16" s="443" customFormat="1" ht="15.75" thickBot="1">
      <c r="A209" s="652" t="s">
        <v>558</v>
      </c>
      <c r="B209" s="804" t="s">
        <v>563</v>
      </c>
      <c r="C209" s="34" t="s">
        <v>147</v>
      </c>
      <c r="D209" s="123" t="s">
        <v>107</v>
      </c>
      <c r="E209" s="773" t="s">
        <v>158</v>
      </c>
      <c r="F209" s="12">
        <v>1</v>
      </c>
      <c r="G209" s="12" t="s">
        <v>451</v>
      </c>
      <c r="H209" s="14">
        <v>1</v>
      </c>
      <c r="I209" s="14">
        <v>2</v>
      </c>
      <c r="J209" s="14">
        <v>2</v>
      </c>
      <c r="K209" s="14">
        <v>1</v>
      </c>
      <c r="L209" s="14">
        <v>1</v>
      </c>
      <c r="M209" s="14">
        <v>1</v>
      </c>
      <c r="N209" s="434">
        <f t="shared" si="29"/>
        <v>0.16933510251023262</v>
      </c>
      <c r="O209" s="434">
        <f t="shared" si="30"/>
        <v>0.19908580854301616</v>
      </c>
      <c r="P209" s="44" t="s">
        <v>561</v>
      </c>
    </row>
    <row r="210" spans="1:16" s="443" customFormat="1" ht="15.75" thickBot="1">
      <c r="A210" s="797" t="s">
        <v>562</v>
      </c>
      <c r="B210" s="806" t="s">
        <v>241</v>
      </c>
      <c r="C210" s="34" t="s">
        <v>147</v>
      </c>
      <c r="D210" s="801" t="s">
        <v>107</v>
      </c>
      <c r="E210" s="771">
        <v>1</v>
      </c>
      <c r="F210" s="770">
        <v>2</v>
      </c>
      <c r="G210" s="770" t="s">
        <v>451</v>
      </c>
      <c r="H210" s="70"/>
      <c r="I210" s="70"/>
      <c r="J210" s="70"/>
      <c r="K210" s="70"/>
      <c r="L210" s="70"/>
      <c r="M210" s="70"/>
      <c r="N210" s="446" t="str">
        <f t="shared" si="29"/>
        <v/>
      </c>
      <c r="O210" s="446" t="str">
        <f t="shared" si="30"/>
        <v/>
      </c>
      <c r="P210" s="772" t="s">
        <v>490</v>
      </c>
    </row>
    <row r="211" spans="1:16" s="443" customFormat="1">
      <c r="A211" s="651" t="s">
        <v>560</v>
      </c>
      <c r="B211" s="794" t="s">
        <v>244</v>
      </c>
      <c r="C211" s="34" t="s">
        <v>147</v>
      </c>
      <c r="D211" s="631" t="s">
        <v>107</v>
      </c>
      <c r="E211" s="764">
        <v>1.6000000000000001E-3</v>
      </c>
      <c r="F211" s="118">
        <v>2</v>
      </c>
      <c r="G211" s="118" t="s">
        <v>503</v>
      </c>
      <c r="H211" s="66">
        <v>1</v>
      </c>
      <c r="I211" s="66">
        <v>2</v>
      </c>
      <c r="J211" s="66">
        <v>2</v>
      </c>
      <c r="K211" s="66">
        <v>1</v>
      </c>
      <c r="L211" s="71">
        <v>3</v>
      </c>
      <c r="M211" s="66">
        <v>3</v>
      </c>
      <c r="N211" s="445">
        <f t="shared" si="29"/>
        <v>1.0725046436742278</v>
      </c>
      <c r="O211" s="445">
        <f t="shared" si="30"/>
        <v>1.0776024280428556</v>
      </c>
      <c r="P211" s="678" t="s">
        <v>564</v>
      </c>
    </row>
    <row r="212" spans="1:16" s="443" customFormat="1">
      <c r="A212" s="653" t="s">
        <v>560</v>
      </c>
      <c r="B212" s="800" t="s">
        <v>245</v>
      </c>
      <c r="C212" s="34" t="s">
        <v>147</v>
      </c>
      <c r="D212" s="122" t="s">
        <v>107</v>
      </c>
      <c r="E212" s="245">
        <v>1.26E-2</v>
      </c>
      <c r="F212" s="9">
        <v>2</v>
      </c>
      <c r="G212" s="9" t="s">
        <v>451</v>
      </c>
      <c r="H212" s="10">
        <v>1</v>
      </c>
      <c r="I212" s="10">
        <v>2</v>
      </c>
      <c r="J212" s="10">
        <v>2</v>
      </c>
      <c r="K212" s="10">
        <v>1</v>
      </c>
      <c r="L212" s="10">
        <v>1</v>
      </c>
      <c r="M212" s="10">
        <v>1</v>
      </c>
      <c r="N212" s="411">
        <f t="shared" si="29"/>
        <v>0.16933510251023262</v>
      </c>
      <c r="O212" s="411">
        <f t="shared" si="30"/>
        <v>0.19908580854301616</v>
      </c>
      <c r="P212" s="43" t="s">
        <v>565</v>
      </c>
    </row>
    <row r="213" spans="1:16" s="443" customFormat="1">
      <c r="A213" s="653" t="s">
        <v>560</v>
      </c>
      <c r="B213" s="800" t="s">
        <v>264</v>
      </c>
      <c r="C213" s="34" t="s">
        <v>147</v>
      </c>
      <c r="D213" s="122" t="s">
        <v>107</v>
      </c>
      <c r="E213" s="245">
        <v>1.67E-2</v>
      </c>
      <c r="F213" s="9">
        <v>2</v>
      </c>
      <c r="G213" s="9" t="s">
        <v>451</v>
      </c>
      <c r="H213" s="10">
        <v>1</v>
      </c>
      <c r="I213" s="10">
        <v>2</v>
      </c>
      <c r="J213" s="10">
        <v>2</v>
      </c>
      <c r="K213" s="10">
        <v>1</v>
      </c>
      <c r="L213" s="10">
        <v>1</v>
      </c>
      <c r="M213" s="10">
        <v>1</v>
      </c>
      <c r="N213" s="411">
        <f t="shared" si="29"/>
        <v>0.16933510251023262</v>
      </c>
      <c r="O213" s="411">
        <f t="shared" si="30"/>
        <v>0.19908580854301616</v>
      </c>
      <c r="P213" s="43" t="s">
        <v>566</v>
      </c>
    </row>
    <row r="214" spans="1:16" s="443" customFormat="1">
      <c r="A214" s="653" t="s">
        <v>560</v>
      </c>
      <c r="B214" s="795" t="s">
        <v>271</v>
      </c>
      <c r="C214" s="34" t="s">
        <v>147</v>
      </c>
      <c r="D214" s="124" t="s">
        <v>107</v>
      </c>
      <c r="E214" s="769">
        <v>1.1000000000000001E-3</v>
      </c>
      <c r="F214" s="119">
        <v>2</v>
      </c>
      <c r="G214" s="119" t="s">
        <v>451</v>
      </c>
      <c r="H214" s="10">
        <v>1</v>
      </c>
      <c r="I214" s="10">
        <v>2</v>
      </c>
      <c r="J214" s="10">
        <v>2</v>
      </c>
      <c r="K214" s="10">
        <v>1</v>
      </c>
      <c r="L214" s="10">
        <v>1</v>
      </c>
      <c r="M214" s="10">
        <v>1</v>
      </c>
      <c r="N214" s="411">
        <f>IF( OR( ISBLANK(H214),ISBLANK(J214), ISBLANK(K214), ISBLANK(L214), ISBLANK(M214) ), "", 1.5*SQRT(   EXP(2.21*(H214-1)) + EXP(2.21*(J214-1)) + EXP(2.21*(K214-1)) + EXP(2.21*(L214-1)) + EXP(2.21*M214)   )/100*2.45 )</f>
        <v>0.16933510251023262</v>
      </c>
      <c r="O214" s="411">
        <f>IF( OR( ISBLANK(I214),ISBLANK(J214), ISBLANK(K214), ISBLANK(L214), ISBLANK(M214) ), "", 1.5*SQRT( EXP(2.21*(I214-1)) + EXP(2.21*(J214-1)) + EXP(2.21*(K214-1)) + EXP(2.21*(L214-1)) + EXP(2.21*M214)   )/100*2.45 )</f>
        <v>0.19908580854301616</v>
      </c>
      <c r="P214" s="43" t="s">
        <v>567</v>
      </c>
    </row>
    <row r="215" spans="1:16" s="443" customFormat="1" ht="15.75" thickBot="1">
      <c r="A215" s="652" t="s">
        <v>560</v>
      </c>
      <c r="B215" s="804" t="s">
        <v>344</v>
      </c>
      <c r="C215" s="34" t="s">
        <v>147</v>
      </c>
      <c r="D215" s="123" t="s">
        <v>107</v>
      </c>
      <c r="E215" s="773" t="s">
        <v>158</v>
      </c>
      <c r="F215" s="12">
        <v>1</v>
      </c>
      <c r="G215" s="12" t="s">
        <v>451</v>
      </c>
      <c r="H215" s="14"/>
      <c r="I215" s="14"/>
      <c r="J215" s="14"/>
      <c r="K215" s="14"/>
      <c r="L215" s="14"/>
      <c r="M215" s="14"/>
      <c r="N215" s="434" t="str">
        <f t="shared" si="29"/>
        <v/>
      </c>
      <c r="O215" s="434" t="str">
        <f t="shared" si="30"/>
        <v/>
      </c>
      <c r="P215" s="44"/>
    </row>
    <row r="216" spans="1:16" s="443" customFormat="1">
      <c r="A216" s="654" t="s">
        <v>563</v>
      </c>
      <c r="B216" s="794" t="s">
        <v>241</v>
      </c>
      <c r="C216" s="34" t="s">
        <v>147</v>
      </c>
      <c r="D216" s="631" t="s">
        <v>107</v>
      </c>
      <c r="E216" s="764">
        <v>3.2000000000000001E-2</v>
      </c>
      <c r="F216" s="118">
        <v>2</v>
      </c>
      <c r="G216" s="118" t="s">
        <v>451</v>
      </c>
      <c r="H216" s="66">
        <v>1</v>
      </c>
      <c r="I216" s="66">
        <v>2</v>
      </c>
      <c r="J216" s="66">
        <v>2</v>
      </c>
      <c r="K216" s="66">
        <v>1</v>
      </c>
      <c r="L216" s="66">
        <v>1</v>
      </c>
      <c r="M216" s="66">
        <v>1</v>
      </c>
      <c r="N216" s="445">
        <f t="shared" si="29"/>
        <v>0.16933510251023262</v>
      </c>
      <c r="O216" s="445">
        <f t="shared" si="30"/>
        <v>0.19908580854301616</v>
      </c>
      <c r="P216" s="118" t="s">
        <v>508</v>
      </c>
    </row>
    <row r="217" spans="1:16" s="443" customFormat="1" ht="15.75" thickBot="1">
      <c r="A217" s="655" t="s">
        <v>563</v>
      </c>
      <c r="B217" s="795" t="s">
        <v>344</v>
      </c>
      <c r="C217" s="34" t="s">
        <v>147</v>
      </c>
      <c r="D217" s="124" t="s">
        <v>107</v>
      </c>
      <c r="E217" s="769" t="s">
        <v>158</v>
      </c>
      <c r="F217" s="119">
        <v>1</v>
      </c>
      <c r="G217" s="119" t="s">
        <v>451</v>
      </c>
      <c r="H217" s="15"/>
      <c r="I217" s="15"/>
      <c r="J217" s="15"/>
      <c r="K217" s="15"/>
      <c r="L217" s="15"/>
      <c r="M217" s="15"/>
      <c r="N217" s="430" t="str">
        <f t="shared" si="29"/>
        <v/>
      </c>
      <c r="O217" s="430" t="str">
        <f t="shared" si="30"/>
        <v/>
      </c>
      <c r="P217" s="119" t="s">
        <v>568</v>
      </c>
    </row>
    <row r="218" spans="1:16" s="443" customFormat="1">
      <c r="A218" s="651" t="s">
        <v>458</v>
      </c>
      <c r="B218" s="803" t="s">
        <v>569</v>
      </c>
      <c r="C218" s="34" t="s">
        <v>147</v>
      </c>
      <c r="D218" s="121" t="s">
        <v>107</v>
      </c>
      <c r="E218" s="649">
        <f>0.85*0.4</f>
        <v>0.34</v>
      </c>
      <c r="F218" s="11">
        <v>2</v>
      </c>
      <c r="G218" s="11" t="s">
        <v>451</v>
      </c>
      <c r="H218" s="13">
        <v>1</v>
      </c>
      <c r="I218" s="13">
        <v>2</v>
      </c>
      <c r="J218" s="13">
        <v>2</v>
      </c>
      <c r="K218" s="13">
        <v>1</v>
      </c>
      <c r="L218" s="13">
        <v>1</v>
      </c>
      <c r="M218" s="13">
        <v>1</v>
      </c>
      <c r="N218" s="431">
        <f t="shared" si="29"/>
        <v>0.16933510251023262</v>
      </c>
      <c r="O218" s="431">
        <f t="shared" si="30"/>
        <v>0.19908580854301616</v>
      </c>
      <c r="P218" s="42" t="s">
        <v>570</v>
      </c>
    </row>
    <row r="219" spans="1:16" s="443" customFormat="1">
      <c r="A219" s="653" t="s">
        <v>458</v>
      </c>
      <c r="B219" s="800" t="s">
        <v>571</v>
      </c>
      <c r="C219" s="34" t="s">
        <v>147</v>
      </c>
      <c r="D219" s="122" t="s">
        <v>107</v>
      </c>
      <c r="E219" s="245">
        <f>0.85*0.6</f>
        <v>0.51</v>
      </c>
      <c r="F219" s="9">
        <v>2</v>
      </c>
      <c r="G219" s="9" t="s">
        <v>451</v>
      </c>
      <c r="H219" s="10">
        <v>1</v>
      </c>
      <c r="I219" s="10">
        <v>2</v>
      </c>
      <c r="J219" s="10">
        <v>2</v>
      </c>
      <c r="K219" s="10">
        <v>1</v>
      </c>
      <c r="L219" s="10">
        <v>1</v>
      </c>
      <c r="M219" s="10">
        <v>1</v>
      </c>
      <c r="N219" s="411">
        <f t="shared" si="29"/>
        <v>0.16933510251023262</v>
      </c>
      <c r="O219" s="411">
        <f t="shared" si="30"/>
        <v>0.19908580854301616</v>
      </c>
      <c r="P219" s="43" t="s">
        <v>572</v>
      </c>
    </row>
    <row r="220" spans="1:16" s="443" customFormat="1" ht="15.75" thickBot="1">
      <c r="A220" s="652" t="s">
        <v>458</v>
      </c>
      <c r="B220" s="804" t="s">
        <v>236</v>
      </c>
      <c r="C220" s="34" t="s">
        <v>147</v>
      </c>
      <c r="D220" s="123" t="s">
        <v>107</v>
      </c>
      <c r="E220" s="773">
        <v>0.15</v>
      </c>
      <c r="F220" s="12">
        <v>1</v>
      </c>
      <c r="G220" s="12" t="s">
        <v>451</v>
      </c>
      <c r="H220" s="14">
        <v>1</v>
      </c>
      <c r="I220" s="14">
        <v>2</v>
      </c>
      <c r="J220" s="14">
        <v>2</v>
      </c>
      <c r="K220" s="14">
        <v>1</v>
      </c>
      <c r="L220" s="14">
        <v>1</v>
      </c>
      <c r="M220" s="14">
        <v>1</v>
      </c>
      <c r="N220" s="434">
        <f t="shared" si="29"/>
        <v>0.16933510251023262</v>
      </c>
      <c r="O220" s="434">
        <f t="shared" si="30"/>
        <v>0.19908580854301616</v>
      </c>
      <c r="P220" s="44" t="s">
        <v>573</v>
      </c>
    </row>
    <row r="221" spans="1:16" s="443" customFormat="1">
      <c r="A221" s="654" t="s">
        <v>569</v>
      </c>
      <c r="B221" s="794" t="s">
        <v>574</v>
      </c>
      <c r="C221" s="34" t="s">
        <v>147</v>
      </c>
      <c r="D221" s="631" t="s">
        <v>107</v>
      </c>
      <c r="E221" s="764">
        <v>0.03</v>
      </c>
      <c r="F221" s="118">
        <v>2</v>
      </c>
      <c r="G221" s="118" t="s">
        <v>451</v>
      </c>
      <c r="H221" s="66">
        <v>1</v>
      </c>
      <c r="I221" s="66">
        <v>2</v>
      </c>
      <c r="J221" s="66">
        <v>2</v>
      </c>
      <c r="K221" s="66">
        <v>1</v>
      </c>
      <c r="L221" s="66">
        <v>1</v>
      </c>
      <c r="M221" s="66">
        <v>1</v>
      </c>
      <c r="N221" s="445">
        <f t="shared" si="29"/>
        <v>0.16933510251023262</v>
      </c>
      <c r="O221" s="445">
        <f t="shared" si="30"/>
        <v>0.19908580854301616</v>
      </c>
      <c r="P221" s="118" t="s">
        <v>480</v>
      </c>
    </row>
    <row r="222" spans="1:16" s="443" customFormat="1" ht="15.75" thickBot="1">
      <c r="A222" s="655" t="s">
        <v>569</v>
      </c>
      <c r="B222" s="795" t="s">
        <v>575</v>
      </c>
      <c r="C222" s="34" t="s">
        <v>147</v>
      </c>
      <c r="D222" s="124" t="s">
        <v>107</v>
      </c>
      <c r="E222" s="769" t="s">
        <v>158</v>
      </c>
      <c r="F222" s="119">
        <v>1</v>
      </c>
      <c r="G222" s="119" t="s">
        <v>451</v>
      </c>
      <c r="H222" s="15"/>
      <c r="I222" s="15"/>
      <c r="J222" s="15"/>
      <c r="K222" s="15"/>
      <c r="L222" s="15"/>
      <c r="M222" s="15"/>
      <c r="N222" s="430" t="str">
        <f t="shared" si="29"/>
        <v/>
      </c>
      <c r="O222" s="430" t="str">
        <f t="shared" si="30"/>
        <v/>
      </c>
      <c r="P222" s="119" t="s">
        <v>576</v>
      </c>
    </row>
    <row r="223" spans="1:16" s="443" customFormat="1">
      <c r="A223" s="444" t="s">
        <v>574</v>
      </c>
      <c r="B223" s="444" t="s">
        <v>244</v>
      </c>
      <c r="C223" s="34" t="s">
        <v>147</v>
      </c>
      <c r="D223" s="121" t="s">
        <v>107</v>
      </c>
      <c r="E223" s="790">
        <v>0.05</v>
      </c>
      <c r="F223" s="791">
        <v>2</v>
      </c>
      <c r="G223" s="11" t="s">
        <v>165</v>
      </c>
      <c r="H223" s="13">
        <v>1</v>
      </c>
      <c r="I223" s="13">
        <v>2</v>
      </c>
      <c r="J223" s="13">
        <v>2</v>
      </c>
      <c r="K223" s="13">
        <v>1</v>
      </c>
      <c r="L223" s="792">
        <v>3</v>
      </c>
      <c r="M223" s="13">
        <v>3</v>
      </c>
      <c r="N223" s="431">
        <f t="shared" si="29"/>
        <v>1.0725046436742278</v>
      </c>
      <c r="O223" s="431">
        <f t="shared" si="30"/>
        <v>1.0776024280428556</v>
      </c>
      <c r="P223" s="780" t="s">
        <v>482</v>
      </c>
    </row>
    <row r="224" spans="1:16" s="443" customFormat="1">
      <c r="A224" s="504" t="s">
        <v>574</v>
      </c>
      <c r="B224" s="504" t="s">
        <v>245</v>
      </c>
      <c r="C224" s="34" t="s">
        <v>147</v>
      </c>
      <c r="D224" s="122" t="s">
        <v>107</v>
      </c>
      <c r="E224" s="245">
        <v>0.39400000000000002</v>
      </c>
      <c r="F224" s="9">
        <v>2</v>
      </c>
      <c r="G224" s="9" t="s">
        <v>451</v>
      </c>
      <c r="H224" s="10">
        <v>1</v>
      </c>
      <c r="I224" s="10">
        <v>2</v>
      </c>
      <c r="J224" s="10">
        <v>2</v>
      </c>
      <c r="K224" s="10">
        <v>1</v>
      </c>
      <c r="L224" s="10">
        <v>1</v>
      </c>
      <c r="M224" s="10">
        <v>1</v>
      </c>
      <c r="N224" s="411">
        <f t="shared" si="29"/>
        <v>0.16933510251023262</v>
      </c>
      <c r="O224" s="411">
        <f t="shared" si="30"/>
        <v>0.19908580854301616</v>
      </c>
      <c r="P224" s="43" t="s">
        <v>483</v>
      </c>
    </row>
    <row r="225" spans="1:20" s="443" customFormat="1">
      <c r="A225" s="504" t="s">
        <v>574</v>
      </c>
      <c r="B225" s="504" t="s">
        <v>264</v>
      </c>
      <c r="C225" s="34" t="s">
        <v>147</v>
      </c>
      <c r="D225" s="122" t="s">
        <v>107</v>
      </c>
      <c r="E225" s="245">
        <v>0.52200000000000002</v>
      </c>
      <c r="F225" s="7">
        <v>1</v>
      </c>
      <c r="G225" s="9" t="s">
        <v>451</v>
      </c>
      <c r="H225" s="10">
        <v>1</v>
      </c>
      <c r="I225" s="10">
        <v>2</v>
      </c>
      <c r="J225" s="10">
        <v>2</v>
      </c>
      <c r="K225" s="10">
        <v>1</v>
      </c>
      <c r="L225" s="10">
        <v>1</v>
      </c>
      <c r="M225" s="10">
        <v>1</v>
      </c>
      <c r="N225" s="411">
        <f t="shared" si="29"/>
        <v>0.16933510251023262</v>
      </c>
      <c r="O225" s="411">
        <f t="shared" si="30"/>
        <v>0.19908580854301616</v>
      </c>
      <c r="P225" s="43" t="s">
        <v>484</v>
      </c>
    </row>
    <row r="226" spans="1:20" s="443" customFormat="1" ht="15.75" thickBot="1">
      <c r="A226" s="793" t="s">
        <v>574</v>
      </c>
      <c r="B226" s="793" t="s">
        <v>271</v>
      </c>
      <c r="C226" s="34" t="s">
        <v>147</v>
      </c>
      <c r="D226" s="123" t="s">
        <v>107</v>
      </c>
      <c r="E226" s="773">
        <v>3.4000000000000002E-2</v>
      </c>
      <c r="F226" s="12">
        <v>2</v>
      </c>
      <c r="G226" s="12" t="s">
        <v>451</v>
      </c>
      <c r="H226" s="14"/>
      <c r="I226" s="14"/>
      <c r="J226" s="14"/>
      <c r="K226" s="14"/>
      <c r="L226" s="14"/>
      <c r="M226" s="14"/>
      <c r="N226" s="434"/>
      <c r="O226" s="434"/>
      <c r="P226" s="44" t="s">
        <v>485</v>
      </c>
    </row>
    <row r="227" spans="1:20" s="443" customFormat="1">
      <c r="A227" s="654" t="s">
        <v>571</v>
      </c>
      <c r="B227" s="794" t="s">
        <v>577</v>
      </c>
      <c r="C227" s="34" t="s">
        <v>147</v>
      </c>
      <c r="D227" s="631" t="s">
        <v>107</v>
      </c>
      <c r="E227" s="764">
        <f>0.1*E221</f>
        <v>3.0000000000000001E-3</v>
      </c>
      <c r="F227" s="118">
        <v>2</v>
      </c>
      <c r="G227" s="118" t="s">
        <v>451</v>
      </c>
      <c r="H227" s="66">
        <v>1</v>
      </c>
      <c r="I227" s="66">
        <v>2</v>
      </c>
      <c r="J227" s="66">
        <v>2</v>
      </c>
      <c r="K227" s="66">
        <v>1</v>
      </c>
      <c r="L227" s="66">
        <v>1</v>
      </c>
      <c r="M227" s="66">
        <v>1</v>
      </c>
      <c r="N227" s="445">
        <f t="shared" si="29"/>
        <v>0.16933510251023262</v>
      </c>
      <c r="O227" s="445">
        <f t="shared" si="30"/>
        <v>0.19908580854301616</v>
      </c>
      <c r="P227" s="118" t="s">
        <v>487</v>
      </c>
    </row>
    <row r="228" spans="1:20" s="443" customFormat="1" ht="15.75" thickBot="1">
      <c r="A228" s="655" t="s">
        <v>571</v>
      </c>
      <c r="B228" s="795" t="s">
        <v>578</v>
      </c>
      <c r="C228" s="34" t="s">
        <v>147</v>
      </c>
      <c r="D228" s="124" t="s">
        <v>107</v>
      </c>
      <c r="E228" s="769" t="s">
        <v>158</v>
      </c>
      <c r="F228" s="119">
        <v>1</v>
      </c>
      <c r="G228" s="119" t="s">
        <v>451</v>
      </c>
      <c r="H228" s="15"/>
      <c r="I228" s="15"/>
      <c r="J228" s="15"/>
      <c r="K228" s="15"/>
      <c r="L228" s="15"/>
      <c r="M228" s="15"/>
      <c r="N228" s="430" t="str">
        <f t="shared" si="29"/>
        <v/>
      </c>
      <c r="O228" s="430" t="str">
        <f t="shared" si="30"/>
        <v/>
      </c>
      <c r="P228" s="119" t="s">
        <v>576</v>
      </c>
    </row>
    <row r="229" spans="1:20" s="443" customFormat="1" ht="15.75" thickBot="1">
      <c r="A229" s="650" t="s">
        <v>577</v>
      </c>
      <c r="B229" s="805" t="s">
        <v>241</v>
      </c>
      <c r="C229" s="34" t="s">
        <v>147</v>
      </c>
      <c r="D229" s="801" t="s">
        <v>107</v>
      </c>
      <c r="E229" s="771">
        <v>1</v>
      </c>
      <c r="F229" s="770">
        <v>2</v>
      </c>
      <c r="G229" s="770" t="s">
        <v>451</v>
      </c>
      <c r="H229" s="70">
        <v>1</v>
      </c>
      <c r="I229" s="70">
        <v>2</v>
      </c>
      <c r="J229" s="70">
        <v>2</v>
      </c>
      <c r="K229" s="70">
        <v>1</v>
      </c>
      <c r="L229" s="70">
        <v>1</v>
      </c>
      <c r="M229" s="70">
        <v>1</v>
      </c>
      <c r="N229" s="446">
        <f t="shared" si="29"/>
        <v>0.16933510251023262</v>
      </c>
      <c r="O229" s="446">
        <f t="shared" si="30"/>
        <v>0.19908580854301616</v>
      </c>
      <c r="P229" s="772" t="s">
        <v>490</v>
      </c>
    </row>
    <row r="230" spans="1:20" s="443" customFormat="1">
      <c r="A230" s="654" t="s">
        <v>575</v>
      </c>
      <c r="B230" s="803" t="s">
        <v>244</v>
      </c>
      <c r="C230" s="34" t="s">
        <v>147</v>
      </c>
      <c r="D230" s="631" t="s">
        <v>107</v>
      </c>
      <c r="E230" s="764">
        <v>3.2000000000000002E-3</v>
      </c>
      <c r="F230" s="118">
        <v>2</v>
      </c>
      <c r="G230" s="118" t="s">
        <v>503</v>
      </c>
      <c r="H230" s="66">
        <v>1</v>
      </c>
      <c r="I230" s="66">
        <v>2</v>
      </c>
      <c r="J230" s="66">
        <v>2</v>
      </c>
      <c r="K230" s="66">
        <v>1</v>
      </c>
      <c r="L230" s="15">
        <v>3</v>
      </c>
      <c r="M230" s="13">
        <v>3</v>
      </c>
      <c r="N230" s="445">
        <f t="shared" si="29"/>
        <v>1.0725046436742278</v>
      </c>
      <c r="O230" s="445">
        <f t="shared" si="30"/>
        <v>1.0776024280428556</v>
      </c>
      <c r="P230" s="118" t="s">
        <v>579</v>
      </c>
      <c r="T230" s="781"/>
    </row>
    <row r="231" spans="1:20" s="443" customFormat="1">
      <c r="A231" s="318" t="s">
        <v>575</v>
      </c>
      <c r="B231" s="800" t="s">
        <v>245</v>
      </c>
      <c r="C231" s="34" t="s">
        <v>147</v>
      </c>
      <c r="D231" s="122" t="s">
        <v>107</v>
      </c>
      <c r="E231" s="245">
        <v>2.5215999999999999E-2</v>
      </c>
      <c r="F231" s="9">
        <v>2</v>
      </c>
      <c r="G231" s="9" t="s">
        <v>451</v>
      </c>
      <c r="H231" s="10">
        <v>1</v>
      </c>
      <c r="I231" s="10">
        <v>2</v>
      </c>
      <c r="J231" s="10">
        <v>2</v>
      </c>
      <c r="K231" s="10">
        <v>1</v>
      </c>
      <c r="L231" s="10">
        <v>1</v>
      </c>
      <c r="M231" s="10">
        <v>1</v>
      </c>
      <c r="N231" s="411">
        <f t="shared" si="29"/>
        <v>0.16933510251023262</v>
      </c>
      <c r="O231" s="411">
        <f t="shared" si="30"/>
        <v>0.19908580854301616</v>
      </c>
      <c r="P231" s="9" t="s">
        <v>580</v>
      </c>
      <c r="R231" s="777"/>
      <c r="T231" s="781"/>
    </row>
    <row r="232" spans="1:20" s="443" customFormat="1">
      <c r="A232" s="318" t="s">
        <v>575</v>
      </c>
      <c r="B232" s="800" t="s">
        <v>264</v>
      </c>
      <c r="C232" s="34" t="s">
        <v>147</v>
      </c>
      <c r="D232" s="122" t="s">
        <v>107</v>
      </c>
      <c r="E232" s="245">
        <v>3.3408E-2</v>
      </c>
      <c r="F232" s="9">
        <v>2</v>
      </c>
      <c r="G232" s="9" t="s">
        <v>451</v>
      </c>
      <c r="H232" s="10">
        <v>1</v>
      </c>
      <c r="I232" s="10">
        <v>2</v>
      </c>
      <c r="J232" s="10">
        <v>2</v>
      </c>
      <c r="K232" s="10">
        <v>1</v>
      </c>
      <c r="L232" s="10">
        <v>1</v>
      </c>
      <c r="M232" s="10">
        <v>1</v>
      </c>
      <c r="N232" s="411">
        <f t="shared" si="29"/>
        <v>0.16933510251023262</v>
      </c>
      <c r="O232" s="411">
        <f t="shared" si="30"/>
        <v>0.19908580854301616</v>
      </c>
      <c r="P232" s="9" t="s">
        <v>581</v>
      </c>
      <c r="T232" s="781"/>
    </row>
    <row r="233" spans="1:20" s="443" customFormat="1">
      <c r="A233" s="318" t="s">
        <v>575</v>
      </c>
      <c r="B233" s="795" t="s">
        <v>271</v>
      </c>
      <c r="C233" s="34" t="s">
        <v>147</v>
      </c>
      <c r="D233" s="124" t="s">
        <v>107</v>
      </c>
      <c r="E233" s="769">
        <v>2.176E-3</v>
      </c>
      <c r="F233" s="119">
        <v>2</v>
      </c>
      <c r="G233" s="119" t="s">
        <v>451</v>
      </c>
      <c r="H233" s="10">
        <v>1</v>
      </c>
      <c r="I233" s="10">
        <v>2</v>
      </c>
      <c r="J233" s="10">
        <v>2</v>
      </c>
      <c r="K233" s="10">
        <v>1</v>
      </c>
      <c r="L233" s="10">
        <v>1</v>
      </c>
      <c r="M233" s="10">
        <v>1</v>
      </c>
      <c r="N233" s="411">
        <f>IF( OR( ISBLANK(H233),ISBLANK(J233), ISBLANK(K233), ISBLANK(L233), ISBLANK(M233) ), "", 1.5*SQRT(   EXP(2.21*(H233-1)) + EXP(2.21*(J233-1)) + EXP(2.21*(K233-1)) + EXP(2.21*(L233-1)) + EXP(2.21*M233)   )/100*2.45 )</f>
        <v>0.16933510251023262</v>
      </c>
      <c r="O233" s="411">
        <f>IF( OR( ISBLANK(I233),ISBLANK(J233), ISBLANK(K233), ISBLANK(L233), ISBLANK(M233) ), "", 1.5*SQRT( EXP(2.21*(I233-1)) + EXP(2.21*(J233-1)) + EXP(2.21*(K233-1)) + EXP(2.21*(L233-1)) + EXP(2.21*M233)   )/100*2.45 )</f>
        <v>0.19908580854301616</v>
      </c>
      <c r="P233" s="156" t="s">
        <v>582</v>
      </c>
      <c r="T233" s="781"/>
    </row>
    <row r="234" spans="1:20" s="443" customFormat="1" ht="15.75" thickBot="1">
      <c r="A234" s="655" t="s">
        <v>575</v>
      </c>
      <c r="B234" s="804" t="s">
        <v>344</v>
      </c>
      <c r="C234" s="34" t="s">
        <v>147</v>
      </c>
      <c r="D234" s="124" t="s">
        <v>107</v>
      </c>
      <c r="E234" s="769" t="s">
        <v>158</v>
      </c>
      <c r="F234" s="119">
        <v>1</v>
      </c>
      <c r="G234" s="119" t="s">
        <v>451</v>
      </c>
      <c r="H234" s="15"/>
      <c r="I234" s="15"/>
      <c r="J234" s="15"/>
      <c r="K234" s="15"/>
      <c r="L234" s="15"/>
      <c r="M234" s="15"/>
      <c r="N234" s="430" t="str">
        <f t="shared" si="29"/>
        <v/>
      </c>
      <c r="O234" s="430" t="str">
        <f t="shared" si="30"/>
        <v/>
      </c>
      <c r="P234" s="119"/>
      <c r="T234" s="781"/>
    </row>
    <row r="235" spans="1:20" s="443" customFormat="1">
      <c r="A235" s="651" t="s">
        <v>578</v>
      </c>
      <c r="B235" s="803" t="s">
        <v>241</v>
      </c>
      <c r="C235" s="34" t="s">
        <v>147</v>
      </c>
      <c r="D235" s="121" t="s">
        <v>107</v>
      </c>
      <c r="E235" s="649">
        <v>6.4000000000000001E-2</v>
      </c>
      <c r="F235" s="11">
        <v>2</v>
      </c>
      <c r="G235" s="11" t="s">
        <v>451</v>
      </c>
      <c r="H235" s="13">
        <v>1</v>
      </c>
      <c r="I235" s="13">
        <v>2</v>
      </c>
      <c r="J235" s="13">
        <v>2</v>
      </c>
      <c r="K235" s="13">
        <v>1</v>
      </c>
      <c r="L235" s="13">
        <v>1</v>
      </c>
      <c r="M235" s="13">
        <v>1</v>
      </c>
      <c r="N235" s="431">
        <f t="shared" si="29"/>
        <v>0.16933510251023262</v>
      </c>
      <c r="O235" s="431">
        <f t="shared" si="30"/>
        <v>0.19908580854301616</v>
      </c>
      <c r="P235" s="42" t="s">
        <v>583</v>
      </c>
    </row>
    <row r="236" spans="1:20" s="443" customFormat="1" ht="15.75" thickBot="1">
      <c r="A236" s="652" t="s">
        <v>578</v>
      </c>
      <c r="B236" s="804" t="s">
        <v>344</v>
      </c>
      <c r="C236" s="34" t="s">
        <v>147</v>
      </c>
      <c r="D236" s="123" t="s">
        <v>107</v>
      </c>
      <c r="E236" s="773" t="s">
        <v>158</v>
      </c>
      <c r="F236" s="12">
        <v>1</v>
      </c>
      <c r="G236" s="12" t="s">
        <v>451</v>
      </c>
      <c r="H236" s="14"/>
      <c r="I236" s="14"/>
      <c r="J236" s="14"/>
      <c r="K236" s="14"/>
      <c r="L236" s="14"/>
      <c r="M236" s="14"/>
      <c r="N236" s="434" t="str">
        <f t="shared" si="29"/>
        <v/>
      </c>
      <c r="O236" s="434" t="str">
        <f t="shared" si="30"/>
        <v/>
      </c>
      <c r="P236" s="44" t="s">
        <v>584</v>
      </c>
    </row>
    <row r="237" spans="1:20" s="443" customFormat="1">
      <c r="A237" s="654" t="s">
        <v>459</v>
      </c>
      <c r="B237" s="794" t="s">
        <v>585</v>
      </c>
      <c r="C237" s="34" t="s">
        <v>147</v>
      </c>
      <c r="D237" s="631" t="s">
        <v>107</v>
      </c>
      <c r="E237" s="764">
        <f>0.85*0.6</f>
        <v>0.51</v>
      </c>
      <c r="F237" s="118">
        <v>2</v>
      </c>
      <c r="G237" s="118" t="s">
        <v>451</v>
      </c>
      <c r="H237" s="66">
        <v>1</v>
      </c>
      <c r="I237" s="66">
        <v>2</v>
      </c>
      <c r="J237" s="66">
        <v>2</v>
      </c>
      <c r="K237" s="66">
        <v>1</v>
      </c>
      <c r="L237" s="66">
        <v>1</v>
      </c>
      <c r="M237" s="66">
        <v>1</v>
      </c>
      <c r="N237" s="445">
        <f t="shared" si="29"/>
        <v>0.16933510251023262</v>
      </c>
      <c r="O237" s="445">
        <f t="shared" si="30"/>
        <v>0.19908580854301616</v>
      </c>
      <c r="P237" s="118" t="s">
        <v>586</v>
      </c>
    </row>
    <row r="238" spans="1:20" s="443" customFormat="1">
      <c r="A238" s="318" t="s">
        <v>459</v>
      </c>
      <c r="B238" s="800" t="s">
        <v>587</v>
      </c>
      <c r="C238" s="34" t="s">
        <v>147</v>
      </c>
      <c r="D238" s="122" t="s">
        <v>107</v>
      </c>
      <c r="E238" s="245">
        <f>0.85*0.4</f>
        <v>0.34</v>
      </c>
      <c r="F238" s="9">
        <v>2</v>
      </c>
      <c r="G238" s="9" t="s">
        <v>451</v>
      </c>
      <c r="H238" s="10">
        <v>1</v>
      </c>
      <c r="I238" s="10">
        <v>2</v>
      </c>
      <c r="J238" s="10">
        <v>2</v>
      </c>
      <c r="K238" s="10">
        <v>1</v>
      </c>
      <c r="L238" s="10">
        <v>1</v>
      </c>
      <c r="M238" s="10">
        <v>1</v>
      </c>
      <c r="N238" s="411">
        <f t="shared" si="29"/>
        <v>0.16933510251023262</v>
      </c>
      <c r="O238" s="411">
        <f t="shared" si="30"/>
        <v>0.19908580854301616</v>
      </c>
      <c r="P238" s="9" t="s">
        <v>588</v>
      </c>
    </row>
    <row r="239" spans="1:20" s="443" customFormat="1" ht="15.75" thickBot="1">
      <c r="A239" s="655" t="s">
        <v>459</v>
      </c>
      <c r="B239" s="795" t="s">
        <v>236</v>
      </c>
      <c r="C239" s="34" t="s">
        <v>147</v>
      </c>
      <c r="D239" s="124" t="s">
        <v>107</v>
      </c>
      <c r="E239" s="769">
        <v>0.15</v>
      </c>
      <c r="F239" s="119">
        <v>1</v>
      </c>
      <c r="G239" s="119" t="s">
        <v>451</v>
      </c>
      <c r="H239" s="15">
        <v>1</v>
      </c>
      <c r="I239" s="15">
        <v>2</v>
      </c>
      <c r="J239" s="15">
        <v>2</v>
      </c>
      <c r="K239" s="15">
        <v>1</v>
      </c>
      <c r="L239" s="15">
        <v>1</v>
      </c>
      <c r="M239" s="15">
        <v>1</v>
      </c>
      <c r="N239" s="430">
        <f t="shared" si="29"/>
        <v>0.16933510251023262</v>
      </c>
      <c r="O239" s="430">
        <f t="shared" si="30"/>
        <v>0.19908580854301616</v>
      </c>
      <c r="P239" s="119" t="s">
        <v>573</v>
      </c>
    </row>
    <row r="240" spans="1:20" s="443" customFormat="1">
      <c r="A240" s="651" t="s">
        <v>585</v>
      </c>
      <c r="B240" s="803" t="s">
        <v>589</v>
      </c>
      <c r="C240" s="34" t="s">
        <v>147</v>
      </c>
      <c r="D240" s="121" t="s">
        <v>107</v>
      </c>
      <c r="E240" s="649">
        <v>0.15</v>
      </c>
      <c r="F240" s="11">
        <v>2</v>
      </c>
      <c r="G240" s="11" t="s">
        <v>451</v>
      </c>
      <c r="H240" s="13">
        <v>1</v>
      </c>
      <c r="I240" s="13">
        <v>2</v>
      </c>
      <c r="J240" s="13">
        <v>2</v>
      </c>
      <c r="K240" s="13">
        <v>1</v>
      </c>
      <c r="L240" s="13">
        <v>1</v>
      </c>
      <c r="M240" s="13">
        <v>1</v>
      </c>
      <c r="N240" s="431">
        <f t="shared" si="29"/>
        <v>0.16933510251023262</v>
      </c>
      <c r="O240" s="431">
        <f t="shared" si="30"/>
        <v>0.19908580854301616</v>
      </c>
      <c r="P240" s="42" t="s">
        <v>590</v>
      </c>
    </row>
    <row r="241" spans="1:16" s="443" customFormat="1" ht="15.75" thickBot="1">
      <c r="A241" s="652" t="s">
        <v>585</v>
      </c>
      <c r="B241" s="804" t="s">
        <v>591</v>
      </c>
      <c r="C241" s="34" t="s">
        <v>147</v>
      </c>
      <c r="D241" s="123" t="s">
        <v>107</v>
      </c>
      <c r="E241" s="773" t="s">
        <v>158</v>
      </c>
      <c r="F241" s="12">
        <v>1</v>
      </c>
      <c r="G241" s="12" t="s">
        <v>451</v>
      </c>
      <c r="H241" s="14"/>
      <c r="I241" s="14"/>
      <c r="J241" s="14"/>
      <c r="K241" s="14"/>
      <c r="L241" s="14"/>
      <c r="M241" s="14"/>
      <c r="N241" s="434" t="str">
        <f t="shared" si="29"/>
        <v/>
      </c>
      <c r="O241" s="434" t="str">
        <f t="shared" si="30"/>
        <v/>
      </c>
      <c r="P241" s="44" t="s">
        <v>592</v>
      </c>
    </row>
    <row r="242" spans="1:16" s="443" customFormat="1">
      <c r="A242" s="654" t="s">
        <v>589</v>
      </c>
      <c r="B242" s="794" t="s">
        <v>244</v>
      </c>
      <c r="C242" s="34" t="s">
        <v>147</v>
      </c>
      <c r="D242" s="631" t="s">
        <v>107</v>
      </c>
      <c r="E242" s="769">
        <v>0.05</v>
      </c>
      <c r="F242" s="119">
        <v>2</v>
      </c>
      <c r="G242" s="11" t="s">
        <v>165</v>
      </c>
      <c r="H242" s="66">
        <v>1</v>
      </c>
      <c r="I242" s="66">
        <v>2</v>
      </c>
      <c r="J242" s="66">
        <v>2</v>
      </c>
      <c r="K242" s="66">
        <v>1</v>
      </c>
      <c r="L242" s="15">
        <v>3</v>
      </c>
      <c r="M242" s="13">
        <v>3</v>
      </c>
      <c r="N242" s="445">
        <f t="shared" si="29"/>
        <v>1.0725046436742278</v>
      </c>
      <c r="O242" s="445">
        <f t="shared" si="30"/>
        <v>1.0776024280428556</v>
      </c>
      <c r="P242" s="119" t="s">
        <v>482</v>
      </c>
    </row>
    <row r="243" spans="1:16" s="443" customFormat="1">
      <c r="A243" s="318" t="s">
        <v>589</v>
      </c>
      <c r="B243" s="800" t="s">
        <v>245</v>
      </c>
      <c r="C243" s="34" t="s">
        <v>147</v>
      </c>
      <c r="D243" s="122" t="s">
        <v>107</v>
      </c>
      <c r="E243" s="245">
        <v>0.39400000000000002</v>
      </c>
      <c r="F243" s="9">
        <v>2</v>
      </c>
      <c r="G243" s="9" t="s">
        <v>451</v>
      </c>
      <c r="H243" s="10">
        <v>1</v>
      </c>
      <c r="I243" s="10">
        <v>2</v>
      </c>
      <c r="J243" s="10">
        <v>2</v>
      </c>
      <c r="K243" s="10">
        <v>1</v>
      </c>
      <c r="L243" s="10">
        <v>1</v>
      </c>
      <c r="M243" s="10">
        <v>1</v>
      </c>
      <c r="N243" s="411">
        <f t="shared" si="29"/>
        <v>0.16933510251023262</v>
      </c>
      <c r="O243" s="411">
        <f t="shared" si="30"/>
        <v>0.19908580854301616</v>
      </c>
      <c r="P243" s="9" t="s">
        <v>483</v>
      </c>
    </row>
    <row r="244" spans="1:16" s="443" customFormat="1">
      <c r="A244" s="655" t="s">
        <v>589</v>
      </c>
      <c r="B244" s="795" t="s">
        <v>264</v>
      </c>
      <c r="C244" s="34" t="s">
        <v>147</v>
      </c>
      <c r="D244" s="124" t="s">
        <v>107</v>
      </c>
      <c r="E244" s="245">
        <v>0.52200000000000002</v>
      </c>
      <c r="F244" s="7">
        <v>1</v>
      </c>
      <c r="G244" s="9" t="s">
        <v>451</v>
      </c>
      <c r="H244" s="15">
        <v>1</v>
      </c>
      <c r="I244" s="15">
        <v>2</v>
      </c>
      <c r="J244" s="15">
        <v>2</v>
      </c>
      <c r="K244" s="15">
        <v>1</v>
      </c>
      <c r="L244" s="15">
        <v>1</v>
      </c>
      <c r="M244" s="15">
        <v>1</v>
      </c>
      <c r="N244" s="430">
        <f t="shared" si="29"/>
        <v>0.16933510251023262</v>
      </c>
      <c r="O244" s="430">
        <f t="shared" si="30"/>
        <v>0.19908580854301616</v>
      </c>
      <c r="P244" s="9" t="s">
        <v>484</v>
      </c>
    </row>
    <row r="245" spans="1:16" s="443" customFormat="1" ht="15.75" thickBot="1">
      <c r="A245" s="655" t="s">
        <v>589</v>
      </c>
      <c r="B245" s="795" t="s">
        <v>271</v>
      </c>
      <c r="C245" s="34" t="s">
        <v>147</v>
      </c>
      <c r="D245" s="124" t="s">
        <v>107</v>
      </c>
      <c r="E245" s="769">
        <v>3.4000000000000002E-2</v>
      </c>
      <c r="F245" s="119">
        <v>2</v>
      </c>
      <c r="G245" s="9" t="s">
        <v>451</v>
      </c>
      <c r="H245" s="15"/>
      <c r="I245" s="15"/>
      <c r="J245" s="15"/>
      <c r="K245" s="15"/>
      <c r="L245" s="15"/>
      <c r="M245" s="15"/>
      <c r="N245" s="430"/>
      <c r="O245" s="430"/>
      <c r="P245" s="119" t="s">
        <v>485</v>
      </c>
    </row>
    <row r="246" spans="1:16" s="443" customFormat="1">
      <c r="A246" s="651" t="s">
        <v>587</v>
      </c>
      <c r="B246" s="803" t="s">
        <v>593</v>
      </c>
      <c r="C246" s="34" t="s">
        <v>147</v>
      </c>
      <c r="D246" s="121" t="s">
        <v>107</v>
      </c>
      <c r="E246" s="649">
        <f>0.1*E240</f>
        <v>1.4999999999999999E-2</v>
      </c>
      <c r="F246" s="11">
        <v>2</v>
      </c>
      <c r="G246" s="11" t="s">
        <v>451</v>
      </c>
      <c r="H246" s="13">
        <v>1</v>
      </c>
      <c r="I246" s="13">
        <v>2</v>
      </c>
      <c r="J246" s="13">
        <v>2</v>
      </c>
      <c r="K246" s="13">
        <v>1</v>
      </c>
      <c r="L246" s="13">
        <v>1</v>
      </c>
      <c r="M246" s="13">
        <v>1</v>
      </c>
      <c r="N246" s="431">
        <f t="shared" si="29"/>
        <v>0.16933510251023262</v>
      </c>
      <c r="O246" s="431">
        <f t="shared" si="30"/>
        <v>0.19908580854301616</v>
      </c>
      <c r="P246" s="42" t="s">
        <v>487</v>
      </c>
    </row>
    <row r="247" spans="1:16" s="443" customFormat="1" ht="15.75" thickBot="1">
      <c r="A247" s="652" t="s">
        <v>587</v>
      </c>
      <c r="B247" s="804" t="s">
        <v>594</v>
      </c>
      <c r="C247" s="34" t="s">
        <v>147</v>
      </c>
      <c r="D247" s="123" t="s">
        <v>107</v>
      </c>
      <c r="E247" s="773" t="s">
        <v>158</v>
      </c>
      <c r="F247" s="12">
        <v>1</v>
      </c>
      <c r="G247" s="12" t="s">
        <v>451</v>
      </c>
      <c r="H247" s="14"/>
      <c r="I247" s="14"/>
      <c r="J247" s="14"/>
      <c r="K247" s="14"/>
      <c r="L247" s="14"/>
      <c r="M247" s="14"/>
      <c r="N247" s="434" t="str">
        <f t="shared" si="29"/>
        <v/>
      </c>
      <c r="O247" s="434" t="str">
        <f t="shared" si="30"/>
        <v/>
      </c>
      <c r="P247" s="44" t="s">
        <v>592</v>
      </c>
    </row>
    <row r="248" spans="1:16" s="443" customFormat="1" ht="15.75" thickBot="1">
      <c r="A248" s="778" t="s">
        <v>593</v>
      </c>
      <c r="B248" s="797" t="s">
        <v>241</v>
      </c>
      <c r="C248" s="34" t="s">
        <v>147</v>
      </c>
      <c r="D248" s="807" t="s">
        <v>107</v>
      </c>
      <c r="E248" s="775">
        <v>1</v>
      </c>
      <c r="F248" s="774">
        <v>2</v>
      </c>
      <c r="G248" s="774" t="s">
        <v>451</v>
      </c>
      <c r="H248" s="71">
        <v>1</v>
      </c>
      <c r="I248" s="71">
        <v>2</v>
      </c>
      <c r="J248" s="71">
        <v>2</v>
      </c>
      <c r="K248" s="71">
        <v>1</v>
      </c>
      <c r="L248" s="71">
        <v>1</v>
      </c>
      <c r="M248" s="71">
        <v>1</v>
      </c>
      <c r="N248" s="779">
        <f t="shared" si="29"/>
        <v>0.16933510251023262</v>
      </c>
      <c r="O248" s="779">
        <f t="shared" si="30"/>
        <v>0.19908580854301616</v>
      </c>
      <c r="P248" s="774" t="s">
        <v>490</v>
      </c>
    </row>
    <row r="249" spans="1:16" s="443" customFormat="1">
      <c r="A249" s="444" t="s">
        <v>591</v>
      </c>
      <c r="B249" s="444" t="s">
        <v>244</v>
      </c>
      <c r="C249" s="34" t="s">
        <v>147</v>
      </c>
      <c r="D249" s="121" t="s">
        <v>107</v>
      </c>
      <c r="E249" s="649">
        <v>0</v>
      </c>
      <c r="F249" s="11">
        <v>2</v>
      </c>
      <c r="G249" s="11" t="s">
        <v>451</v>
      </c>
      <c r="H249" s="13">
        <v>1</v>
      </c>
      <c r="I249" s="13">
        <v>2</v>
      </c>
      <c r="J249" s="13">
        <v>2</v>
      </c>
      <c r="K249" s="13">
        <v>1</v>
      </c>
      <c r="L249" s="792">
        <v>1</v>
      </c>
      <c r="M249" s="13">
        <v>1</v>
      </c>
      <c r="N249" s="431">
        <f t="shared" si="29"/>
        <v>0.16933510251023262</v>
      </c>
      <c r="O249" s="431">
        <f t="shared" si="30"/>
        <v>0.19908580854301616</v>
      </c>
      <c r="P249" s="42" t="s">
        <v>595</v>
      </c>
    </row>
    <row r="250" spans="1:16" s="443" customFormat="1">
      <c r="A250" s="504" t="s">
        <v>591</v>
      </c>
      <c r="B250" s="504" t="s">
        <v>245</v>
      </c>
      <c r="C250" s="34" t="s">
        <v>147</v>
      </c>
      <c r="D250" s="122" t="s">
        <v>107</v>
      </c>
      <c r="E250" s="245">
        <v>0</v>
      </c>
      <c r="F250" s="9">
        <v>2</v>
      </c>
      <c r="G250" s="9" t="s">
        <v>451</v>
      </c>
      <c r="H250" s="10">
        <v>1</v>
      </c>
      <c r="I250" s="10">
        <v>2</v>
      </c>
      <c r="J250" s="10">
        <v>2</v>
      </c>
      <c r="K250" s="10">
        <v>1</v>
      </c>
      <c r="L250" s="10">
        <v>1</v>
      </c>
      <c r="M250" s="10">
        <v>1</v>
      </c>
      <c r="N250" s="411">
        <f t="shared" si="29"/>
        <v>0.16933510251023262</v>
      </c>
      <c r="O250" s="411">
        <f t="shared" si="30"/>
        <v>0.19908580854301616</v>
      </c>
      <c r="P250" s="43" t="s">
        <v>595</v>
      </c>
    </row>
    <row r="251" spans="1:16" s="443" customFormat="1">
      <c r="A251" s="504" t="s">
        <v>591</v>
      </c>
      <c r="B251" s="504" t="s">
        <v>264</v>
      </c>
      <c r="C251" s="34" t="s">
        <v>147</v>
      </c>
      <c r="D251" s="122" t="s">
        <v>107</v>
      </c>
      <c r="E251" s="245">
        <v>0</v>
      </c>
      <c r="F251" s="9">
        <v>2</v>
      </c>
      <c r="G251" s="9" t="s">
        <v>451</v>
      </c>
      <c r="H251" s="10">
        <v>1</v>
      </c>
      <c r="I251" s="10">
        <v>2</v>
      </c>
      <c r="J251" s="10">
        <v>2</v>
      </c>
      <c r="K251" s="10">
        <v>1</v>
      </c>
      <c r="L251" s="10">
        <v>1</v>
      </c>
      <c r="M251" s="10">
        <v>1</v>
      </c>
      <c r="N251" s="411">
        <f t="shared" si="29"/>
        <v>0.16933510251023262</v>
      </c>
      <c r="O251" s="411">
        <f t="shared" si="30"/>
        <v>0.19908580854301616</v>
      </c>
      <c r="P251" s="43" t="s">
        <v>595</v>
      </c>
    </row>
    <row r="252" spans="1:16" s="443" customFormat="1">
      <c r="A252" s="504" t="s">
        <v>591</v>
      </c>
      <c r="B252" s="802" t="s">
        <v>271</v>
      </c>
      <c r="C252" s="34" t="s">
        <v>147</v>
      </c>
      <c r="D252" s="124" t="s">
        <v>107</v>
      </c>
      <c r="E252" s="769">
        <v>0</v>
      </c>
      <c r="F252" s="119">
        <v>2</v>
      </c>
      <c r="G252" s="119" t="s">
        <v>451</v>
      </c>
      <c r="H252" s="10">
        <v>1</v>
      </c>
      <c r="I252" s="10">
        <v>2</v>
      </c>
      <c r="J252" s="10">
        <v>2</v>
      </c>
      <c r="K252" s="10">
        <v>1</v>
      </c>
      <c r="L252" s="10">
        <v>1</v>
      </c>
      <c r="M252" s="10">
        <v>1</v>
      </c>
      <c r="N252" s="411">
        <f>IF( OR( ISBLANK(H252),ISBLANK(J252), ISBLANK(K252), ISBLANK(L252), ISBLANK(M252) ), "", 1.5*SQRT(   EXP(2.21*(H252-1)) + EXP(2.21*(J252-1)) + EXP(2.21*(K252-1)) + EXP(2.21*(L252-1)) + EXP(2.21*M252)   )/100*2.45 )</f>
        <v>0.16933510251023262</v>
      </c>
      <c r="O252" s="411">
        <f>IF( OR( ISBLANK(I252),ISBLANK(J252), ISBLANK(K252), ISBLANK(L252), ISBLANK(M252) ), "", 1.5*SQRT( EXP(2.21*(I252-1)) + EXP(2.21*(J252-1)) + EXP(2.21*(K252-1)) + EXP(2.21*(L252-1)) + EXP(2.21*M252)   )/100*2.45 )</f>
        <v>0.19908580854301616</v>
      </c>
      <c r="P252" s="156" t="s">
        <v>595</v>
      </c>
    </row>
    <row r="253" spans="1:16" s="443" customFormat="1" ht="15.75" thickBot="1">
      <c r="A253" s="793" t="s">
        <v>591</v>
      </c>
      <c r="B253" s="793" t="s">
        <v>344</v>
      </c>
      <c r="C253" s="34" t="s">
        <v>147</v>
      </c>
      <c r="D253" s="123" t="s">
        <v>107</v>
      </c>
      <c r="E253" s="773" t="s">
        <v>158</v>
      </c>
      <c r="F253" s="12">
        <v>1</v>
      </c>
      <c r="G253" s="12" t="s">
        <v>451</v>
      </c>
      <c r="H253" s="14"/>
      <c r="I253" s="14"/>
      <c r="J253" s="14"/>
      <c r="K253" s="14"/>
      <c r="L253" s="14"/>
      <c r="M253" s="14"/>
      <c r="N253" s="434" t="str">
        <f t="shared" si="29"/>
        <v/>
      </c>
      <c r="O253" s="434" t="str">
        <f t="shared" si="30"/>
        <v/>
      </c>
      <c r="P253" s="44"/>
    </row>
    <row r="254" spans="1:16" s="443" customFormat="1">
      <c r="A254" s="654" t="s">
        <v>594</v>
      </c>
      <c r="B254" s="794" t="s">
        <v>241</v>
      </c>
      <c r="C254" s="34" t="s">
        <v>147</v>
      </c>
      <c r="D254" s="631" t="s">
        <v>107</v>
      </c>
      <c r="E254" s="764">
        <v>0</v>
      </c>
      <c r="F254" s="118">
        <v>2</v>
      </c>
      <c r="G254" s="118" t="s">
        <v>451</v>
      </c>
      <c r="H254" s="66">
        <v>1</v>
      </c>
      <c r="I254" s="66">
        <v>2</v>
      </c>
      <c r="J254" s="66">
        <v>2</v>
      </c>
      <c r="K254" s="66">
        <v>1</v>
      </c>
      <c r="L254" s="66">
        <v>1</v>
      </c>
      <c r="M254" s="66">
        <v>1</v>
      </c>
      <c r="N254" s="445">
        <f t="shared" si="29"/>
        <v>0.16933510251023262</v>
      </c>
      <c r="O254" s="445">
        <f t="shared" si="30"/>
        <v>0.19908580854301616</v>
      </c>
      <c r="P254" s="118" t="s">
        <v>492</v>
      </c>
    </row>
    <row r="255" spans="1:16" s="443" customFormat="1" ht="15.75" thickBot="1">
      <c r="A255" s="655" t="s">
        <v>594</v>
      </c>
      <c r="B255" s="795" t="s">
        <v>344</v>
      </c>
      <c r="C255" s="34" t="s">
        <v>147</v>
      </c>
      <c r="D255" s="124" t="s">
        <v>107</v>
      </c>
      <c r="E255" s="769" t="s">
        <v>158</v>
      </c>
      <c r="F255" s="119">
        <v>1</v>
      </c>
      <c r="G255" s="119" t="s">
        <v>451</v>
      </c>
      <c r="H255" s="15">
        <v>1</v>
      </c>
      <c r="I255" s="15">
        <v>2</v>
      </c>
      <c r="J255" s="15">
        <v>2</v>
      </c>
      <c r="K255" s="15">
        <v>1</v>
      </c>
      <c r="L255" s="15">
        <v>1</v>
      </c>
      <c r="M255" s="15">
        <v>1</v>
      </c>
      <c r="N255" s="430">
        <f t="shared" si="29"/>
        <v>0.16933510251023262</v>
      </c>
      <c r="O255" s="430">
        <f t="shared" si="30"/>
        <v>0.19908580854301616</v>
      </c>
      <c r="P255" s="119" t="s">
        <v>596</v>
      </c>
    </row>
    <row r="256" spans="1:16" s="443" customFormat="1">
      <c r="A256" s="651" t="s">
        <v>460</v>
      </c>
      <c r="B256" s="803" t="s">
        <v>597</v>
      </c>
      <c r="C256" s="34" t="s">
        <v>147</v>
      </c>
      <c r="D256" s="121" t="s">
        <v>107</v>
      </c>
      <c r="E256" s="649">
        <v>0</v>
      </c>
      <c r="F256" s="11">
        <v>2</v>
      </c>
      <c r="G256" s="11" t="s">
        <v>451</v>
      </c>
      <c r="H256" s="13">
        <v>1</v>
      </c>
      <c r="I256" s="13">
        <v>2</v>
      </c>
      <c r="J256" s="13">
        <v>2</v>
      </c>
      <c r="K256" s="13">
        <v>1</v>
      </c>
      <c r="L256" s="13">
        <v>1</v>
      </c>
      <c r="M256" s="13">
        <v>1</v>
      </c>
      <c r="N256" s="431">
        <f t="shared" si="29"/>
        <v>0.16933510251023262</v>
      </c>
      <c r="O256" s="431">
        <f t="shared" si="30"/>
        <v>0.19908580854301616</v>
      </c>
      <c r="P256" s="42" t="s">
        <v>598</v>
      </c>
    </row>
    <row r="257" spans="1:16" s="443" customFormat="1">
      <c r="A257" s="653" t="s">
        <v>460</v>
      </c>
      <c r="B257" s="800" t="s">
        <v>599</v>
      </c>
      <c r="C257" s="34" t="s">
        <v>147</v>
      </c>
      <c r="D257" s="122" t="s">
        <v>107</v>
      </c>
      <c r="E257" s="245">
        <v>0.85</v>
      </c>
      <c r="F257" s="9">
        <v>2</v>
      </c>
      <c r="G257" s="9" t="s">
        <v>451</v>
      </c>
      <c r="H257" s="10">
        <v>1</v>
      </c>
      <c r="I257" s="10">
        <v>2</v>
      </c>
      <c r="J257" s="10">
        <v>2</v>
      </c>
      <c r="K257" s="10">
        <v>1</v>
      </c>
      <c r="L257" s="10">
        <v>1</v>
      </c>
      <c r="M257" s="10">
        <v>1</v>
      </c>
      <c r="N257" s="411">
        <f t="shared" si="29"/>
        <v>0.16933510251023262</v>
      </c>
      <c r="O257" s="411">
        <f t="shared" si="30"/>
        <v>0.19908580854301616</v>
      </c>
      <c r="P257" s="43" t="s">
        <v>600</v>
      </c>
    </row>
    <row r="258" spans="1:16" s="443" customFormat="1" ht="15.75" thickBot="1">
      <c r="A258" s="652" t="s">
        <v>460</v>
      </c>
      <c r="B258" s="804" t="s">
        <v>236</v>
      </c>
      <c r="C258" s="34" t="s">
        <v>147</v>
      </c>
      <c r="D258" s="123" t="s">
        <v>107</v>
      </c>
      <c r="E258" s="773">
        <v>0.15</v>
      </c>
      <c r="F258" s="12">
        <v>1</v>
      </c>
      <c r="G258" s="12" t="s">
        <v>451</v>
      </c>
      <c r="H258" s="14">
        <v>1</v>
      </c>
      <c r="I258" s="14">
        <v>2</v>
      </c>
      <c r="J258" s="14">
        <v>2</v>
      </c>
      <c r="K258" s="14">
        <v>1</v>
      </c>
      <c r="L258" s="14">
        <v>1</v>
      </c>
      <c r="M258" s="14">
        <v>1</v>
      </c>
      <c r="N258" s="434">
        <f t="shared" si="29"/>
        <v>0.16933510251023262</v>
      </c>
      <c r="O258" s="434">
        <f t="shared" si="30"/>
        <v>0.19908580854301616</v>
      </c>
      <c r="P258" s="44" t="s">
        <v>573</v>
      </c>
    </row>
    <row r="259" spans="1:16" s="443" customFormat="1">
      <c r="A259" s="794" t="s">
        <v>597</v>
      </c>
      <c r="B259" s="444" t="s">
        <v>601</v>
      </c>
      <c r="C259" s="34" t="s">
        <v>147</v>
      </c>
      <c r="D259" s="121" t="s">
        <v>107</v>
      </c>
      <c r="E259" s="649">
        <v>0.03</v>
      </c>
      <c r="F259" s="11">
        <v>2</v>
      </c>
      <c r="G259" s="11" t="s">
        <v>451</v>
      </c>
      <c r="H259" s="13">
        <v>1</v>
      </c>
      <c r="I259" s="13">
        <v>2</v>
      </c>
      <c r="J259" s="13">
        <v>2</v>
      </c>
      <c r="K259" s="13">
        <v>1</v>
      </c>
      <c r="L259" s="13">
        <v>1</v>
      </c>
      <c r="M259" s="13">
        <v>1</v>
      </c>
      <c r="N259" s="431">
        <f t="shared" si="29"/>
        <v>0.16933510251023262</v>
      </c>
      <c r="O259" s="431">
        <f t="shared" si="30"/>
        <v>0.19908580854301616</v>
      </c>
      <c r="P259" s="42" t="s">
        <v>480</v>
      </c>
    </row>
    <row r="260" spans="1:16" s="443" customFormat="1" ht="15.75" thickBot="1">
      <c r="A260" s="795" t="s">
        <v>597</v>
      </c>
      <c r="B260" s="793" t="s">
        <v>602</v>
      </c>
      <c r="C260" s="34" t="s">
        <v>147</v>
      </c>
      <c r="D260" s="123" t="s">
        <v>107</v>
      </c>
      <c r="E260" s="773" t="s">
        <v>158</v>
      </c>
      <c r="F260" s="12">
        <v>1</v>
      </c>
      <c r="G260" s="12" t="s">
        <v>451</v>
      </c>
      <c r="H260" s="14"/>
      <c r="I260" s="14"/>
      <c r="J260" s="14"/>
      <c r="K260" s="14"/>
      <c r="L260" s="14"/>
      <c r="M260" s="14"/>
      <c r="N260" s="434" t="str">
        <f t="shared" si="29"/>
        <v/>
      </c>
      <c r="O260" s="434" t="str">
        <f t="shared" si="30"/>
        <v/>
      </c>
      <c r="P260" s="44" t="s">
        <v>603</v>
      </c>
    </row>
    <row r="261" spans="1:16" s="443" customFormat="1">
      <c r="A261" s="651" t="s">
        <v>601</v>
      </c>
      <c r="B261" s="794" t="s">
        <v>244</v>
      </c>
      <c r="C261" s="34" t="s">
        <v>147</v>
      </c>
      <c r="D261" s="631" t="s">
        <v>107</v>
      </c>
      <c r="E261" s="775">
        <v>0.05</v>
      </c>
      <c r="F261" s="774">
        <v>2</v>
      </c>
      <c r="G261" s="774"/>
      <c r="H261" s="66">
        <v>1</v>
      </c>
      <c r="I261" s="66">
        <v>2</v>
      </c>
      <c r="J261" s="66">
        <v>2</v>
      </c>
      <c r="K261" s="66">
        <v>1</v>
      </c>
      <c r="L261" s="71">
        <v>3</v>
      </c>
      <c r="M261" s="66">
        <v>3</v>
      </c>
      <c r="N261" s="445">
        <f t="shared" si="29"/>
        <v>1.0725046436742278</v>
      </c>
      <c r="O261" s="445">
        <f t="shared" si="30"/>
        <v>1.0776024280428556</v>
      </c>
      <c r="P261" s="796" t="s">
        <v>482</v>
      </c>
    </row>
    <row r="262" spans="1:16" s="443" customFormat="1">
      <c r="A262" s="653" t="s">
        <v>601</v>
      </c>
      <c r="B262" s="800" t="s">
        <v>245</v>
      </c>
      <c r="C262" s="34" t="s">
        <v>147</v>
      </c>
      <c r="D262" s="122" t="s">
        <v>107</v>
      </c>
      <c r="E262" s="245">
        <v>0.39400000000000002</v>
      </c>
      <c r="F262" s="9">
        <v>2</v>
      </c>
      <c r="G262" s="9" t="s">
        <v>451</v>
      </c>
      <c r="H262" s="10">
        <v>1</v>
      </c>
      <c r="I262" s="10">
        <v>2</v>
      </c>
      <c r="J262" s="10">
        <v>2</v>
      </c>
      <c r="K262" s="10">
        <v>1</v>
      </c>
      <c r="L262" s="10">
        <v>1</v>
      </c>
      <c r="M262" s="10">
        <v>1</v>
      </c>
      <c r="N262" s="411">
        <f t="shared" si="29"/>
        <v>0.16933510251023262</v>
      </c>
      <c r="O262" s="411">
        <f t="shared" si="30"/>
        <v>0.19908580854301616</v>
      </c>
      <c r="P262" s="43" t="s">
        <v>483</v>
      </c>
    </row>
    <row r="263" spans="1:16" s="443" customFormat="1">
      <c r="A263" s="653" t="s">
        <v>601</v>
      </c>
      <c r="B263" s="800" t="s">
        <v>264</v>
      </c>
      <c r="C263" s="34" t="s">
        <v>147</v>
      </c>
      <c r="D263" s="122" t="s">
        <v>107</v>
      </c>
      <c r="E263" s="245">
        <v>0.52200000000000002</v>
      </c>
      <c r="F263" s="7">
        <v>1</v>
      </c>
      <c r="G263" s="9" t="s">
        <v>451</v>
      </c>
      <c r="H263" s="10">
        <v>1</v>
      </c>
      <c r="I263" s="10">
        <v>2</v>
      </c>
      <c r="J263" s="10">
        <v>2</v>
      </c>
      <c r="K263" s="10">
        <v>1</v>
      </c>
      <c r="L263" s="10">
        <v>1</v>
      </c>
      <c r="M263" s="10">
        <v>1</v>
      </c>
      <c r="N263" s="411">
        <f t="shared" si="29"/>
        <v>0.16933510251023262</v>
      </c>
      <c r="O263" s="411">
        <f t="shared" si="30"/>
        <v>0.19908580854301616</v>
      </c>
      <c r="P263" s="43" t="s">
        <v>484</v>
      </c>
    </row>
    <row r="264" spans="1:16" s="443" customFormat="1" ht="15.75" thickBot="1">
      <c r="A264" s="652" t="s">
        <v>601</v>
      </c>
      <c r="B264" s="795" t="s">
        <v>271</v>
      </c>
      <c r="C264" s="34" t="s">
        <v>147</v>
      </c>
      <c r="D264" s="124" t="s">
        <v>107</v>
      </c>
      <c r="E264" s="769">
        <v>3.4000000000000002E-2</v>
      </c>
      <c r="F264" s="119">
        <v>2</v>
      </c>
      <c r="G264" s="119" t="s">
        <v>451</v>
      </c>
      <c r="H264" s="15"/>
      <c r="I264" s="15"/>
      <c r="J264" s="15"/>
      <c r="K264" s="15"/>
      <c r="L264" s="15"/>
      <c r="M264" s="15"/>
      <c r="N264" s="430"/>
      <c r="O264" s="430"/>
      <c r="P264" s="156" t="s">
        <v>485</v>
      </c>
    </row>
    <row r="265" spans="1:16" s="443" customFormat="1">
      <c r="A265" s="794" t="s">
        <v>599</v>
      </c>
      <c r="B265" s="444" t="s">
        <v>604</v>
      </c>
      <c r="C265" s="34" t="s">
        <v>147</v>
      </c>
      <c r="D265" s="121" t="s">
        <v>107</v>
      </c>
      <c r="E265" s="649" t="s">
        <v>158</v>
      </c>
      <c r="F265" s="11">
        <v>1</v>
      </c>
      <c r="G265" s="11" t="s">
        <v>451</v>
      </c>
      <c r="H265" s="13">
        <v>1</v>
      </c>
      <c r="I265" s="13">
        <v>2</v>
      </c>
      <c r="J265" s="13">
        <v>2</v>
      </c>
      <c r="K265" s="13">
        <v>1</v>
      </c>
      <c r="L265" s="13">
        <v>1</v>
      </c>
      <c r="M265" s="13">
        <v>1</v>
      </c>
      <c r="N265" s="431">
        <f t="shared" si="29"/>
        <v>0.16933510251023262</v>
      </c>
      <c r="O265" s="431">
        <f t="shared" si="30"/>
        <v>0.19908580854301616</v>
      </c>
      <c r="P265" s="42" t="s">
        <v>605</v>
      </c>
    </row>
    <row r="266" spans="1:16" s="443" customFormat="1" ht="15.75" thickBot="1">
      <c r="A266" s="795" t="s">
        <v>599</v>
      </c>
      <c r="B266" s="793" t="s">
        <v>606</v>
      </c>
      <c r="C266" s="34" t="s">
        <v>147</v>
      </c>
      <c r="D266" s="123" t="s">
        <v>107</v>
      </c>
      <c r="E266" s="773">
        <f>0.016*0.091</f>
        <v>1.456E-3</v>
      </c>
      <c r="F266" s="12">
        <v>2</v>
      </c>
      <c r="G266" s="12" t="s">
        <v>451</v>
      </c>
      <c r="H266" s="14">
        <v>1</v>
      </c>
      <c r="I266" s="14">
        <v>2</v>
      </c>
      <c r="J266" s="14">
        <v>2</v>
      </c>
      <c r="K266" s="14">
        <v>1</v>
      </c>
      <c r="L266" s="14">
        <v>1</v>
      </c>
      <c r="M266" s="14">
        <v>1</v>
      </c>
      <c r="N266" s="434">
        <f t="shared" si="29"/>
        <v>0.16933510251023262</v>
      </c>
      <c r="O266" s="434">
        <f t="shared" si="30"/>
        <v>0.19908580854301616</v>
      </c>
      <c r="P266" s="44" t="s">
        <v>607</v>
      </c>
    </row>
    <row r="267" spans="1:16" s="443" customFormat="1">
      <c r="A267" s="651" t="s">
        <v>604</v>
      </c>
      <c r="B267" s="803" t="s">
        <v>608</v>
      </c>
      <c r="C267" s="34" t="s">
        <v>147</v>
      </c>
      <c r="D267" s="121" t="s">
        <v>107</v>
      </c>
      <c r="E267" s="649">
        <f>0.1*E259</f>
        <v>3.0000000000000001E-3</v>
      </c>
      <c r="F267" s="11">
        <v>2</v>
      </c>
      <c r="G267" s="11" t="s">
        <v>451</v>
      </c>
      <c r="H267" s="13">
        <v>1</v>
      </c>
      <c r="I267" s="13">
        <v>2</v>
      </c>
      <c r="J267" s="13">
        <v>2</v>
      </c>
      <c r="K267" s="13">
        <v>1</v>
      </c>
      <c r="L267" s="13">
        <v>1</v>
      </c>
      <c r="M267" s="13">
        <v>1</v>
      </c>
      <c r="N267" s="431">
        <f t="shared" si="29"/>
        <v>0.16933510251023262</v>
      </c>
      <c r="O267" s="431">
        <f t="shared" si="30"/>
        <v>0.19908580854301616</v>
      </c>
      <c r="P267" s="42" t="s">
        <v>487</v>
      </c>
    </row>
    <row r="268" spans="1:16" s="443" customFormat="1" ht="15.75" thickBot="1">
      <c r="A268" s="652" t="s">
        <v>604</v>
      </c>
      <c r="B268" s="804" t="s">
        <v>609</v>
      </c>
      <c r="C268" s="34" t="s">
        <v>147</v>
      </c>
      <c r="D268" s="123" t="s">
        <v>107</v>
      </c>
      <c r="E268" s="773" t="s">
        <v>158</v>
      </c>
      <c r="F268" s="12">
        <v>1</v>
      </c>
      <c r="G268" s="12" t="s">
        <v>451</v>
      </c>
      <c r="H268" s="14"/>
      <c r="I268" s="14"/>
      <c r="J268" s="14"/>
      <c r="K268" s="14"/>
      <c r="L268" s="14"/>
      <c r="M268" s="14"/>
      <c r="N268" s="434" t="str">
        <f t="shared" si="29"/>
        <v/>
      </c>
      <c r="O268" s="434" t="str">
        <f t="shared" si="30"/>
        <v/>
      </c>
      <c r="P268" s="44" t="s">
        <v>610</v>
      </c>
    </row>
    <row r="269" spans="1:16" s="443" customFormat="1" ht="15.75" thickBot="1">
      <c r="A269" s="778" t="s">
        <v>608</v>
      </c>
      <c r="B269" s="797" t="s">
        <v>241</v>
      </c>
      <c r="C269" s="34" t="s">
        <v>147</v>
      </c>
      <c r="D269" s="807" t="s">
        <v>107</v>
      </c>
      <c r="E269" s="775">
        <v>1</v>
      </c>
      <c r="F269" s="774">
        <v>2</v>
      </c>
      <c r="G269" s="774" t="s">
        <v>451</v>
      </c>
      <c r="H269" s="71">
        <v>1</v>
      </c>
      <c r="I269" s="71">
        <v>2</v>
      </c>
      <c r="J269" s="71">
        <v>2</v>
      </c>
      <c r="K269" s="71">
        <v>1</v>
      </c>
      <c r="L269" s="71">
        <v>1</v>
      </c>
      <c r="M269" s="71">
        <v>1</v>
      </c>
      <c r="N269" s="779">
        <f t="shared" si="29"/>
        <v>0.16933510251023262</v>
      </c>
      <c r="O269" s="779">
        <f t="shared" si="30"/>
        <v>0.19908580854301616</v>
      </c>
      <c r="P269" s="774" t="s">
        <v>490</v>
      </c>
    </row>
    <row r="270" spans="1:16" s="443" customFormat="1" ht="15.75" thickBot="1">
      <c r="A270" s="650" t="s">
        <v>606</v>
      </c>
      <c r="B270" s="805" t="s">
        <v>245</v>
      </c>
      <c r="C270" s="34" t="s">
        <v>147</v>
      </c>
      <c r="D270" s="801" t="s">
        <v>107</v>
      </c>
      <c r="E270" s="771">
        <v>1</v>
      </c>
      <c r="F270" s="770">
        <v>1</v>
      </c>
      <c r="G270" s="770" t="s">
        <v>451</v>
      </c>
      <c r="H270" s="70">
        <v>1</v>
      </c>
      <c r="I270" s="70">
        <v>2</v>
      </c>
      <c r="J270" s="70">
        <v>2</v>
      </c>
      <c r="K270" s="70">
        <v>1</v>
      </c>
      <c r="L270" s="70">
        <v>1</v>
      </c>
      <c r="M270" s="70">
        <v>1</v>
      </c>
      <c r="N270" s="446">
        <f t="shared" si="29"/>
        <v>0.16933510251023262</v>
      </c>
      <c r="O270" s="446">
        <f t="shared" si="30"/>
        <v>0.19908580854301616</v>
      </c>
      <c r="P270" s="772" t="s">
        <v>490</v>
      </c>
    </row>
    <row r="271" spans="1:16" s="443" customFormat="1">
      <c r="A271" s="654" t="s">
        <v>602</v>
      </c>
      <c r="B271" s="803" t="s">
        <v>244</v>
      </c>
      <c r="C271" s="34" t="s">
        <v>147</v>
      </c>
      <c r="D271" s="631" t="s">
        <v>107</v>
      </c>
      <c r="E271" s="764">
        <v>0</v>
      </c>
      <c r="F271" s="118">
        <v>2</v>
      </c>
      <c r="G271" s="118" t="s">
        <v>451</v>
      </c>
      <c r="H271" s="66">
        <v>1</v>
      </c>
      <c r="I271" s="66">
        <v>2</v>
      </c>
      <c r="J271" s="66">
        <v>2</v>
      </c>
      <c r="K271" s="66">
        <v>1</v>
      </c>
      <c r="L271" s="15">
        <v>1</v>
      </c>
      <c r="M271" s="13">
        <v>1</v>
      </c>
      <c r="N271" s="445">
        <f t="shared" si="29"/>
        <v>0.16933510251023262</v>
      </c>
      <c r="O271" s="445">
        <f t="shared" si="30"/>
        <v>0.19908580854301616</v>
      </c>
      <c r="P271" s="42" t="s">
        <v>611</v>
      </c>
    </row>
    <row r="272" spans="1:16" s="443" customFormat="1">
      <c r="A272" s="318" t="s">
        <v>602</v>
      </c>
      <c r="B272" s="800" t="s">
        <v>245</v>
      </c>
      <c r="C272" s="34" t="s">
        <v>147</v>
      </c>
      <c r="D272" s="122" t="s">
        <v>107</v>
      </c>
      <c r="E272" s="245">
        <v>0</v>
      </c>
      <c r="F272" s="9">
        <v>2</v>
      </c>
      <c r="G272" s="9" t="s">
        <v>451</v>
      </c>
      <c r="H272" s="10">
        <v>1</v>
      </c>
      <c r="I272" s="10">
        <v>2</v>
      </c>
      <c r="J272" s="10">
        <v>2</v>
      </c>
      <c r="K272" s="10">
        <v>1</v>
      </c>
      <c r="L272" s="10">
        <v>1</v>
      </c>
      <c r="M272" s="10">
        <v>1</v>
      </c>
      <c r="N272" s="411">
        <f t="shared" si="29"/>
        <v>0.16933510251023262</v>
      </c>
      <c r="O272" s="411">
        <f t="shared" si="30"/>
        <v>0.19908580854301616</v>
      </c>
      <c r="P272" s="43" t="s">
        <v>611</v>
      </c>
    </row>
    <row r="273" spans="1:16" s="443" customFormat="1">
      <c r="A273" s="318" t="s">
        <v>602</v>
      </c>
      <c r="B273" s="800" t="s">
        <v>264</v>
      </c>
      <c r="C273" s="34" t="s">
        <v>147</v>
      </c>
      <c r="D273" s="122" t="s">
        <v>107</v>
      </c>
      <c r="E273" s="245">
        <v>0</v>
      </c>
      <c r="F273" s="9">
        <v>2</v>
      </c>
      <c r="G273" s="9" t="s">
        <v>451</v>
      </c>
      <c r="H273" s="10">
        <v>1</v>
      </c>
      <c r="I273" s="10">
        <v>2</v>
      </c>
      <c r="J273" s="10">
        <v>2</v>
      </c>
      <c r="K273" s="10">
        <v>1</v>
      </c>
      <c r="L273" s="10">
        <v>1</v>
      </c>
      <c r="M273" s="10">
        <v>1</v>
      </c>
      <c r="N273" s="411">
        <f t="shared" ref="N273:N315" si="31">IF( OR( ISBLANK(H273),ISBLANK(J273), ISBLANK(K273), ISBLANK(L273), ISBLANK(M273) ), "", 1.5*SQRT(   EXP(2.21*(H273-1)) + EXP(2.21*(J273-1)) + EXP(2.21*(K273-1)) + EXP(2.21*(L273-1)) + EXP(2.21*M273)   )/100*2.45 )</f>
        <v>0.16933510251023262</v>
      </c>
      <c r="O273" s="411">
        <f t="shared" ref="O273:O315" si="32">IF( OR( ISBLANK(I273),ISBLANK(J273), ISBLANK(K273), ISBLANK(L273), ISBLANK(M273) ), "", 1.5*SQRT( EXP(2.21*(I273-1)) + EXP(2.21*(J273-1)) + EXP(2.21*(K273-1)) + EXP(2.21*(L273-1)) + EXP(2.21*M273)   )/100*2.45 )</f>
        <v>0.19908580854301616</v>
      </c>
      <c r="P273" s="43" t="s">
        <v>611</v>
      </c>
    </row>
    <row r="274" spans="1:16" s="443" customFormat="1">
      <c r="A274" s="318" t="s">
        <v>602</v>
      </c>
      <c r="B274" s="795" t="s">
        <v>271</v>
      </c>
      <c r="C274" s="34" t="s">
        <v>147</v>
      </c>
      <c r="D274" s="124" t="s">
        <v>107</v>
      </c>
      <c r="E274" s="769">
        <v>0</v>
      </c>
      <c r="F274" s="119">
        <v>2</v>
      </c>
      <c r="G274" s="119" t="s">
        <v>451</v>
      </c>
      <c r="H274" s="10">
        <v>1</v>
      </c>
      <c r="I274" s="10">
        <v>2</v>
      </c>
      <c r="J274" s="10">
        <v>2</v>
      </c>
      <c r="K274" s="10">
        <v>1</v>
      </c>
      <c r="L274" s="10">
        <v>1</v>
      </c>
      <c r="M274" s="10">
        <v>1</v>
      </c>
      <c r="N274" s="411">
        <f>IF( OR( ISBLANK(H274),ISBLANK(J274), ISBLANK(K274), ISBLANK(L274), ISBLANK(M274) ), "", 1.5*SQRT(   EXP(2.21*(H274-1)) + EXP(2.21*(J274-1)) + EXP(2.21*(K274-1)) + EXP(2.21*(L274-1)) + EXP(2.21*M274)   )/100*2.45 )</f>
        <v>0.16933510251023262</v>
      </c>
      <c r="O274" s="411">
        <f>IF( OR( ISBLANK(I274),ISBLANK(J274), ISBLANK(K274), ISBLANK(L274), ISBLANK(M274) ), "", 1.5*SQRT( EXP(2.21*(I274-1)) + EXP(2.21*(J274-1)) + EXP(2.21*(K274-1)) + EXP(2.21*(L274-1)) + EXP(2.21*M274)   )/100*2.45 )</f>
        <v>0.19908580854301616</v>
      </c>
      <c r="P274" s="156" t="s">
        <v>611</v>
      </c>
    </row>
    <row r="275" spans="1:16" s="443" customFormat="1" ht="15.75" thickBot="1">
      <c r="A275" s="655" t="s">
        <v>602</v>
      </c>
      <c r="B275" s="804" t="s">
        <v>344</v>
      </c>
      <c r="C275" s="34" t="s">
        <v>147</v>
      </c>
      <c r="D275" s="124" t="s">
        <v>107</v>
      </c>
      <c r="E275" s="769" t="s">
        <v>158</v>
      </c>
      <c r="F275" s="119">
        <v>1</v>
      </c>
      <c r="G275" s="119" t="s">
        <v>451</v>
      </c>
      <c r="H275" s="15"/>
      <c r="I275" s="15"/>
      <c r="J275" s="15"/>
      <c r="K275" s="15"/>
      <c r="L275" s="15"/>
      <c r="M275" s="15"/>
      <c r="N275" s="430" t="str">
        <f t="shared" si="31"/>
        <v/>
      </c>
      <c r="O275" s="430" t="str">
        <f t="shared" si="32"/>
        <v/>
      </c>
      <c r="P275" s="44"/>
    </row>
    <row r="276" spans="1:16" s="443" customFormat="1">
      <c r="A276" s="651" t="s">
        <v>609</v>
      </c>
      <c r="B276" s="803" t="s">
        <v>241</v>
      </c>
      <c r="C276" s="34" t="s">
        <v>147</v>
      </c>
      <c r="D276" s="121" t="s">
        <v>107</v>
      </c>
      <c r="E276" s="649">
        <v>0</v>
      </c>
      <c r="F276" s="11">
        <v>2</v>
      </c>
      <c r="G276" s="11" t="s">
        <v>451</v>
      </c>
      <c r="H276" s="13">
        <v>1</v>
      </c>
      <c r="I276" s="13">
        <v>2</v>
      </c>
      <c r="J276" s="13">
        <v>2</v>
      </c>
      <c r="K276" s="13">
        <v>1</v>
      </c>
      <c r="L276" s="13">
        <v>1</v>
      </c>
      <c r="M276" s="13">
        <v>1</v>
      </c>
      <c r="N276" s="431">
        <f t="shared" si="31"/>
        <v>0.16933510251023262</v>
      </c>
      <c r="O276" s="431">
        <f t="shared" si="32"/>
        <v>0.19908580854301616</v>
      </c>
      <c r="P276" s="42" t="s">
        <v>492</v>
      </c>
    </row>
    <row r="277" spans="1:16" s="443" customFormat="1" ht="15.75" thickBot="1">
      <c r="A277" s="652" t="s">
        <v>609</v>
      </c>
      <c r="B277" s="804" t="s">
        <v>344</v>
      </c>
      <c r="C277" s="34" t="s">
        <v>147</v>
      </c>
      <c r="D277" s="123" t="s">
        <v>107</v>
      </c>
      <c r="E277" s="773" t="s">
        <v>158</v>
      </c>
      <c r="F277" s="12">
        <v>1</v>
      </c>
      <c r="G277" s="12" t="s">
        <v>451</v>
      </c>
      <c r="H277" s="14"/>
      <c r="I277" s="14"/>
      <c r="J277" s="14"/>
      <c r="K277" s="14"/>
      <c r="L277" s="14"/>
      <c r="M277" s="14"/>
      <c r="N277" s="434" t="str">
        <f t="shared" si="31"/>
        <v/>
      </c>
      <c r="O277" s="434" t="str">
        <f t="shared" si="32"/>
        <v/>
      </c>
      <c r="P277" s="44" t="s">
        <v>612</v>
      </c>
    </row>
    <row r="278" spans="1:16" s="443" customFormat="1">
      <c r="A278" s="654" t="s">
        <v>461</v>
      </c>
      <c r="B278" s="794" t="s">
        <v>613</v>
      </c>
      <c r="C278" s="34" t="s">
        <v>147</v>
      </c>
      <c r="D278" s="631" t="s">
        <v>107</v>
      </c>
      <c r="E278" s="764">
        <v>0</v>
      </c>
      <c r="F278" s="118">
        <v>2</v>
      </c>
      <c r="G278" s="118" t="s">
        <v>451</v>
      </c>
      <c r="H278" s="66">
        <v>1</v>
      </c>
      <c r="I278" s="66">
        <v>2</v>
      </c>
      <c r="J278" s="66">
        <v>2</v>
      </c>
      <c r="K278" s="66">
        <v>1</v>
      </c>
      <c r="L278" s="66">
        <v>1</v>
      </c>
      <c r="M278" s="66">
        <v>1</v>
      </c>
      <c r="N278" s="445">
        <f t="shared" si="31"/>
        <v>0.16933510251023262</v>
      </c>
      <c r="O278" s="445">
        <f t="shared" si="32"/>
        <v>0.19908580854301616</v>
      </c>
      <c r="P278" s="118" t="s">
        <v>598</v>
      </c>
    </row>
    <row r="279" spans="1:16" s="443" customFormat="1">
      <c r="A279" s="318" t="s">
        <v>461</v>
      </c>
      <c r="B279" s="800" t="s">
        <v>614</v>
      </c>
      <c r="C279" s="34" t="s">
        <v>147</v>
      </c>
      <c r="D279" s="122" t="s">
        <v>107</v>
      </c>
      <c r="E279" s="245">
        <v>0.85</v>
      </c>
      <c r="F279" s="9">
        <v>2</v>
      </c>
      <c r="G279" s="9" t="s">
        <v>451</v>
      </c>
      <c r="H279" s="10">
        <v>1</v>
      </c>
      <c r="I279" s="10">
        <v>2</v>
      </c>
      <c r="J279" s="10">
        <v>2</v>
      </c>
      <c r="K279" s="10">
        <v>1</v>
      </c>
      <c r="L279" s="10">
        <v>1</v>
      </c>
      <c r="M279" s="10">
        <v>1</v>
      </c>
      <c r="N279" s="411">
        <f t="shared" si="31"/>
        <v>0.16933510251023262</v>
      </c>
      <c r="O279" s="411">
        <f t="shared" si="32"/>
        <v>0.19908580854301616</v>
      </c>
      <c r="P279" s="9" t="s">
        <v>600</v>
      </c>
    </row>
    <row r="280" spans="1:16" s="443" customFormat="1" ht="15.75" thickBot="1">
      <c r="A280" s="655" t="s">
        <v>461</v>
      </c>
      <c r="B280" s="795" t="s">
        <v>236</v>
      </c>
      <c r="C280" s="34" t="s">
        <v>147</v>
      </c>
      <c r="D280" s="124" t="s">
        <v>107</v>
      </c>
      <c r="E280" s="769">
        <v>0.15</v>
      </c>
      <c r="F280" s="119">
        <v>1</v>
      </c>
      <c r="G280" s="119" t="s">
        <v>451</v>
      </c>
      <c r="H280" s="15">
        <v>1</v>
      </c>
      <c r="I280" s="15">
        <v>2</v>
      </c>
      <c r="J280" s="15">
        <v>2</v>
      </c>
      <c r="K280" s="15">
        <v>1</v>
      </c>
      <c r="L280" s="15">
        <v>1</v>
      </c>
      <c r="M280" s="15">
        <v>1</v>
      </c>
      <c r="N280" s="430">
        <f t="shared" si="31"/>
        <v>0.16933510251023262</v>
      </c>
      <c r="O280" s="430">
        <f t="shared" si="32"/>
        <v>0.19908580854301616</v>
      </c>
      <c r="P280" s="119" t="s">
        <v>573</v>
      </c>
    </row>
    <row r="281" spans="1:16" s="443" customFormat="1">
      <c r="A281" s="651" t="s">
        <v>613</v>
      </c>
      <c r="B281" s="803" t="s">
        <v>615</v>
      </c>
      <c r="C281" s="34" t="s">
        <v>147</v>
      </c>
      <c r="D281" s="121" t="s">
        <v>107</v>
      </c>
      <c r="E281" s="649">
        <v>0.03</v>
      </c>
      <c r="F281" s="11">
        <v>2</v>
      </c>
      <c r="G281" s="11" t="s">
        <v>451</v>
      </c>
      <c r="H281" s="13">
        <v>1</v>
      </c>
      <c r="I281" s="13">
        <v>2</v>
      </c>
      <c r="J281" s="13">
        <v>2</v>
      </c>
      <c r="K281" s="13">
        <v>1</v>
      </c>
      <c r="L281" s="13">
        <v>1</v>
      </c>
      <c r="M281" s="13">
        <v>1</v>
      </c>
      <c r="N281" s="431">
        <f t="shared" si="31"/>
        <v>0.16933510251023262</v>
      </c>
      <c r="O281" s="431">
        <f t="shared" si="32"/>
        <v>0.19908580854301616</v>
      </c>
      <c r="P281" s="42" t="s">
        <v>480</v>
      </c>
    </row>
    <row r="282" spans="1:16" s="443" customFormat="1" ht="15.75" thickBot="1">
      <c r="A282" s="652" t="s">
        <v>613</v>
      </c>
      <c r="B282" s="804" t="s">
        <v>616</v>
      </c>
      <c r="C282" s="34" t="s">
        <v>147</v>
      </c>
      <c r="D282" s="123" t="s">
        <v>107</v>
      </c>
      <c r="E282" s="773" t="s">
        <v>158</v>
      </c>
      <c r="F282" s="12">
        <v>1</v>
      </c>
      <c r="G282" s="12" t="s">
        <v>451</v>
      </c>
      <c r="H282" s="14"/>
      <c r="I282" s="14"/>
      <c r="J282" s="14"/>
      <c r="K282" s="14"/>
      <c r="L282" s="14"/>
      <c r="M282" s="14"/>
      <c r="N282" s="434" t="str">
        <f t="shared" si="31"/>
        <v/>
      </c>
      <c r="O282" s="434" t="str">
        <f t="shared" si="32"/>
        <v/>
      </c>
      <c r="P282" s="44" t="s">
        <v>576</v>
      </c>
    </row>
    <row r="283" spans="1:16" s="443" customFormat="1">
      <c r="A283" s="654" t="s">
        <v>615</v>
      </c>
      <c r="B283" s="794" t="s">
        <v>244</v>
      </c>
      <c r="C283" s="34" t="s">
        <v>147</v>
      </c>
      <c r="D283" s="631" t="s">
        <v>107</v>
      </c>
      <c r="E283" s="769">
        <v>0.05</v>
      </c>
      <c r="F283" s="119">
        <v>2</v>
      </c>
      <c r="G283" s="11" t="s">
        <v>165</v>
      </c>
      <c r="H283" s="66">
        <v>1</v>
      </c>
      <c r="I283" s="66">
        <v>2</v>
      </c>
      <c r="J283" s="66">
        <v>2</v>
      </c>
      <c r="K283" s="66">
        <v>1</v>
      </c>
      <c r="L283" s="15">
        <v>3</v>
      </c>
      <c r="M283" s="13">
        <v>3</v>
      </c>
      <c r="N283" s="445">
        <f t="shared" si="31"/>
        <v>1.0725046436742278</v>
      </c>
      <c r="O283" s="445">
        <f t="shared" si="32"/>
        <v>1.0776024280428556</v>
      </c>
      <c r="P283" s="119" t="s">
        <v>482</v>
      </c>
    </row>
    <row r="284" spans="1:16" s="443" customFormat="1">
      <c r="A284" s="318" t="s">
        <v>615</v>
      </c>
      <c r="B284" s="800" t="s">
        <v>245</v>
      </c>
      <c r="C284" s="34" t="s">
        <v>147</v>
      </c>
      <c r="D284" s="122" t="s">
        <v>107</v>
      </c>
      <c r="E284" s="245">
        <v>0.39400000000000002</v>
      </c>
      <c r="F284" s="9">
        <v>2</v>
      </c>
      <c r="G284" s="9" t="s">
        <v>451</v>
      </c>
      <c r="H284" s="10">
        <v>1</v>
      </c>
      <c r="I284" s="10">
        <v>2</v>
      </c>
      <c r="J284" s="10">
        <v>2</v>
      </c>
      <c r="K284" s="10">
        <v>1</v>
      </c>
      <c r="L284" s="10">
        <v>1</v>
      </c>
      <c r="M284" s="10">
        <v>1</v>
      </c>
      <c r="N284" s="411">
        <f t="shared" si="31"/>
        <v>0.16933510251023262</v>
      </c>
      <c r="O284" s="411">
        <f t="shared" si="32"/>
        <v>0.19908580854301616</v>
      </c>
      <c r="P284" s="9" t="s">
        <v>483</v>
      </c>
    </row>
    <row r="285" spans="1:16" s="443" customFormat="1">
      <c r="A285" s="655" t="s">
        <v>615</v>
      </c>
      <c r="B285" s="795" t="s">
        <v>264</v>
      </c>
      <c r="C285" s="34" t="s">
        <v>147</v>
      </c>
      <c r="D285" s="124" t="s">
        <v>107</v>
      </c>
      <c r="E285" s="245">
        <v>0.52200000000000002</v>
      </c>
      <c r="F285" s="7">
        <v>1</v>
      </c>
      <c r="G285" s="9" t="s">
        <v>451</v>
      </c>
      <c r="H285" s="15">
        <v>1</v>
      </c>
      <c r="I285" s="15">
        <v>2</v>
      </c>
      <c r="J285" s="15">
        <v>2</v>
      </c>
      <c r="K285" s="15">
        <v>1</v>
      </c>
      <c r="L285" s="15">
        <v>1</v>
      </c>
      <c r="M285" s="15">
        <v>1</v>
      </c>
      <c r="N285" s="430">
        <f t="shared" si="31"/>
        <v>0.16933510251023262</v>
      </c>
      <c r="O285" s="430">
        <f t="shared" si="32"/>
        <v>0.19908580854301616</v>
      </c>
      <c r="P285" s="9" t="s">
        <v>484</v>
      </c>
    </row>
    <row r="286" spans="1:16" s="443" customFormat="1" ht="15.75" thickBot="1">
      <c r="A286" s="655" t="s">
        <v>615</v>
      </c>
      <c r="B286" s="795" t="s">
        <v>271</v>
      </c>
      <c r="C286" s="34" t="s">
        <v>147</v>
      </c>
      <c r="D286" s="124" t="s">
        <v>107</v>
      </c>
      <c r="E286" s="769">
        <v>3.4000000000000002E-2</v>
      </c>
      <c r="F286" s="119">
        <v>2</v>
      </c>
      <c r="G286" s="9" t="s">
        <v>451</v>
      </c>
      <c r="H286" s="15"/>
      <c r="I286" s="15"/>
      <c r="J286" s="15"/>
      <c r="K286" s="15"/>
      <c r="L286" s="15"/>
      <c r="M286" s="15"/>
      <c r="N286" s="430"/>
      <c r="O286" s="430"/>
      <c r="P286" s="119" t="s">
        <v>485</v>
      </c>
    </row>
    <row r="287" spans="1:16" s="443" customFormat="1">
      <c r="A287" s="651" t="s">
        <v>614</v>
      </c>
      <c r="B287" s="803" t="s">
        <v>617</v>
      </c>
      <c r="C287" s="34" t="s">
        <v>147</v>
      </c>
      <c r="D287" s="121" t="s">
        <v>107</v>
      </c>
      <c r="E287" s="649">
        <f>0.1*E281</f>
        <v>3.0000000000000001E-3</v>
      </c>
      <c r="F287" s="11">
        <v>2</v>
      </c>
      <c r="G287" s="11" t="s">
        <v>451</v>
      </c>
      <c r="H287" s="13">
        <v>1</v>
      </c>
      <c r="I287" s="13">
        <v>2</v>
      </c>
      <c r="J287" s="13">
        <v>2</v>
      </c>
      <c r="K287" s="13">
        <v>1</v>
      </c>
      <c r="L287" s="13">
        <v>1</v>
      </c>
      <c r="M287" s="13">
        <v>1</v>
      </c>
      <c r="N287" s="431">
        <f t="shared" si="31"/>
        <v>0.16933510251023262</v>
      </c>
      <c r="O287" s="431">
        <f t="shared" si="32"/>
        <v>0.19908580854301616</v>
      </c>
      <c r="P287" s="42" t="s">
        <v>487</v>
      </c>
    </row>
    <row r="288" spans="1:16" s="443" customFormat="1" ht="15.75" thickBot="1">
      <c r="A288" s="652" t="s">
        <v>614</v>
      </c>
      <c r="B288" s="804" t="s">
        <v>618</v>
      </c>
      <c r="C288" s="34" t="s">
        <v>147</v>
      </c>
      <c r="D288" s="123" t="s">
        <v>107</v>
      </c>
      <c r="E288" s="773" t="s">
        <v>158</v>
      </c>
      <c r="F288" s="12">
        <v>1</v>
      </c>
      <c r="G288" s="12" t="s">
        <v>451</v>
      </c>
      <c r="H288" s="14"/>
      <c r="I288" s="14"/>
      <c r="J288" s="14"/>
      <c r="K288" s="14"/>
      <c r="L288" s="14"/>
      <c r="M288" s="14"/>
      <c r="N288" s="434" t="str">
        <f t="shared" si="31"/>
        <v/>
      </c>
      <c r="O288" s="434" t="str">
        <f t="shared" si="32"/>
        <v/>
      </c>
      <c r="P288" s="44" t="s">
        <v>576</v>
      </c>
    </row>
    <row r="289" spans="1:16" s="443" customFormat="1" ht="15.75" thickBot="1">
      <c r="A289" s="778" t="s">
        <v>617</v>
      </c>
      <c r="B289" s="797" t="s">
        <v>241</v>
      </c>
      <c r="C289" s="34" t="s">
        <v>147</v>
      </c>
      <c r="D289" s="807" t="s">
        <v>107</v>
      </c>
      <c r="E289" s="775">
        <v>1</v>
      </c>
      <c r="F289" s="774">
        <v>2</v>
      </c>
      <c r="G289" s="774" t="s">
        <v>451</v>
      </c>
      <c r="H289" s="71">
        <v>1</v>
      </c>
      <c r="I289" s="71">
        <v>2</v>
      </c>
      <c r="J289" s="71">
        <v>2</v>
      </c>
      <c r="K289" s="71">
        <v>1</v>
      </c>
      <c r="L289" s="71">
        <v>1</v>
      </c>
      <c r="M289" s="71">
        <v>1</v>
      </c>
      <c r="N289" s="779">
        <f t="shared" si="31"/>
        <v>0.16933510251023262</v>
      </c>
      <c r="O289" s="779">
        <f t="shared" si="32"/>
        <v>0.19908580854301616</v>
      </c>
      <c r="P289" s="774" t="s">
        <v>490</v>
      </c>
    </row>
    <row r="290" spans="1:16" s="443" customFormat="1">
      <c r="A290" s="651" t="s">
        <v>616</v>
      </c>
      <c r="B290" s="803" t="s">
        <v>244</v>
      </c>
      <c r="C290" s="34" t="s">
        <v>147</v>
      </c>
      <c r="D290" s="121" t="s">
        <v>107</v>
      </c>
      <c r="E290" s="649">
        <v>0</v>
      </c>
      <c r="F290" s="11">
        <v>2</v>
      </c>
      <c r="G290" s="11" t="s">
        <v>451</v>
      </c>
      <c r="H290" s="13">
        <v>1</v>
      </c>
      <c r="I290" s="13">
        <v>2</v>
      </c>
      <c r="J290" s="13">
        <v>2</v>
      </c>
      <c r="K290" s="13">
        <v>1</v>
      </c>
      <c r="L290" s="792">
        <v>1</v>
      </c>
      <c r="M290" s="13">
        <v>1</v>
      </c>
      <c r="N290" s="431">
        <f t="shared" si="31"/>
        <v>0.16933510251023262</v>
      </c>
      <c r="O290" s="431">
        <f t="shared" si="32"/>
        <v>0.19908580854301616</v>
      </c>
      <c r="P290" s="42" t="s">
        <v>619</v>
      </c>
    </row>
    <row r="291" spans="1:16" s="443" customFormat="1">
      <c r="A291" s="653" t="s">
        <v>616</v>
      </c>
      <c r="B291" s="800" t="s">
        <v>245</v>
      </c>
      <c r="C291" s="34" t="s">
        <v>147</v>
      </c>
      <c r="D291" s="122" t="s">
        <v>107</v>
      </c>
      <c r="E291" s="245">
        <v>0</v>
      </c>
      <c r="F291" s="9">
        <v>2</v>
      </c>
      <c r="G291" s="9" t="s">
        <v>451</v>
      </c>
      <c r="H291" s="10">
        <v>1</v>
      </c>
      <c r="I291" s="10">
        <v>2</v>
      </c>
      <c r="J291" s="10">
        <v>2</v>
      </c>
      <c r="K291" s="10">
        <v>1</v>
      </c>
      <c r="L291" s="10">
        <v>1</v>
      </c>
      <c r="M291" s="10">
        <v>1</v>
      </c>
      <c r="N291" s="411">
        <f t="shared" si="31"/>
        <v>0.16933510251023262</v>
      </c>
      <c r="O291" s="411">
        <f t="shared" si="32"/>
        <v>0.19908580854301616</v>
      </c>
      <c r="P291" s="43" t="s">
        <v>619</v>
      </c>
    </row>
    <row r="292" spans="1:16" s="443" customFormat="1">
      <c r="A292" s="653" t="s">
        <v>616</v>
      </c>
      <c r="B292" s="800" t="s">
        <v>264</v>
      </c>
      <c r="C292" s="34" t="s">
        <v>147</v>
      </c>
      <c r="D292" s="122" t="s">
        <v>107</v>
      </c>
      <c r="E292" s="245">
        <v>0</v>
      </c>
      <c r="F292" s="9">
        <v>2</v>
      </c>
      <c r="G292" s="9" t="s">
        <v>451</v>
      </c>
      <c r="H292" s="10">
        <v>1</v>
      </c>
      <c r="I292" s="10">
        <v>2</v>
      </c>
      <c r="J292" s="10">
        <v>2</v>
      </c>
      <c r="K292" s="10">
        <v>1</v>
      </c>
      <c r="L292" s="10">
        <v>1</v>
      </c>
      <c r="M292" s="10">
        <v>1</v>
      </c>
      <c r="N292" s="411">
        <f t="shared" si="31"/>
        <v>0.16933510251023262</v>
      </c>
      <c r="O292" s="411">
        <f t="shared" si="32"/>
        <v>0.19908580854301616</v>
      </c>
      <c r="P292" s="43" t="s">
        <v>619</v>
      </c>
    </row>
    <row r="293" spans="1:16" s="443" customFormat="1">
      <c r="A293" s="653" t="s">
        <v>616</v>
      </c>
      <c r="B293" s="795" t="s">
        <v>271</v>
      </c>
      <c r="C293" s="34" t="s">
        <v>147</v>
      </c>
      <c r="D293" s="124" t="s">
        <v>107</v>
      </c>
      <c r="E293" s="769">
        <v>0</v>
      </c>
      <c r="F293" s="119">
        <v>2</v>
      </c>
      <c r="G293" s="119" t="s">
        <v>451</v>
      </c>
      <c r="H293" s="10">
        <v>1</v>
      </c>
      <c r="I293" s="10">
        <v>2</v>
      </c>
      <c r="J293" s="10">
        <v>2</v>
      </c>
      <c r="K293" s="10">
        <v>1</v>
      </c>
      <c r="L293" s="10">
        <v>1</v>
      </c>
      <c r="M293" s="10">
        <v>1</v>
      </c>
      <c r="N293" s="411">
        <f>IF( OR( ISBLANK(H293),ISBLANK(J293), ISBLANK(K293), ISBLANK(L293), ISBLANK(M293) ), "", 1.5*SQRT(   EXP(2.21*(H293-1)) + EXP(2.21*(J293-1)) + EXP(2.21*(K293-1)) + EXP(2.21*(L293-1)) + EXP(2.21*M293)   )/100*2.45 )</f>
        <v>0.16933510251023262</v>
      </c>
      <c r="O293" s="411">
        <f>IF( OR( ISBLANK(I293),ISBLANK(J293), ISBLANK(K293), ISBLANK(L293), ISBLANK(M293) ), "", 1.5*SQRT( EXP(2.21*(I293-1)) + EXP(2.21*(J293-1)) + EXP(2.21*(K293-1)) + EXP(2.21*(L293-1)) + EXP(2.21*M293)   )/100*2.45 )</f>
        <v>0.19908580854301616</v>
      </c>
      <c r="P293" s="156" t="s">
        <v>619</v>
      </c>
    </row>
    <row r="294" spans="1:16" s="443" customFormat="1" ht="15.75" thickBot="1">
      <c r="A294" s="652" t="s">
        <v>616</v>
      </c>
      <c r="B294" s="804" t="s">
        <v>344</v>
      </c>
      <c r="C294" s="34" t="s">
        <v>147</v>
      </c>
      <c r="D294" s="123" t="s">
        <v>107</v>
      </c>
      <c r="E294" s="773" t="s">
        <v>158</v>
      </c>
      <c r="F294" s="12">
        <v>1</v>
      </c>
      <c r="G294" s="12" t="s">
        <v>451</v>
      </c>
      <c r="H294" s="14"/>
      <c r="I294" s="14"/>
      <c r="J294" s="14"/>
      <c r="K294" s="14"/>
      <c r="L294" s="14"/>
      <c r="M294" s="14"/>
      <c r="N294" s="434" t="str">
        <f t="shared" si="31"/>
        <v/>
      </c>
      <c r="O294" s="434" t="str">
        <f t="shared" si="32"/>
        <v/>
      </c>
      <c r="P294" s="44"/>
    </row>
    <row r="295" spans="1:16" s="443" customFormat="1">
      <c r="A295" s="654" t="s">
        <v>618</v>
      </c>
      <c r="B295" s="794" t="s">
        <v>241</v>
      </c>
      <c r="C295" s="34" t="s">
        <v>147</v>
      </c>
      <c r="D295" s="631" t="s">
        <v>107</v>
      </c>
      <c r="E295" s="764">
        <v>0</v>
      </c>
      <c r="F295" s="118">
        <v>2</v>
      </c>
      <c r="G295" s="118" t="s">
        <v>451</v>
      </c>
      <c r="H295" s="66">
        <v>1</v>
      </c>
      <c r="I295" s="66">
        <v>2</v>
      </c>
      <c r="J295" s="66">
        <v>2</v>
      </c>
      <c r="K295" s="66">
        <v>1</v>
      </c>
      <c r="L295" s="66">
        <v>1</v>
      </c>
      <c r="M295" s="66">
        <v>1</v>
      </c>
      <c r="N295" s="445">
        <f t="shared" si="31"/>
        <v>0.16933510251023262</v>
      </c>
      <c r="O295" s="445">
        <f t="shared" si="32"/>
        <v>0.19908580854301616</v>
      </c>
      <c r="P295" s="118" t="s">
        <v>492</v>
      </c>
    </row>
    <row r="296" spans="1:16" s="443" customFormat="1" ht="15.75" thickBot="1">
      <c r="A296" s="655" t="s">
        <v>618</v>
      </c>
      <c r="B296" s="795" t="s">
        <v>344</v>
      </c>
      <c r="C296" s="34" t="s">
        <v>147</v>
      </c>
      <c r="D296" s="124" t="s">
        <v>107</v>
      </c>
      <c r="E296" s="769" t="s">
        <v>158</v>
      </c>
      <c r="F296" s="119">
        <v>1</v>
      </c>
      <c r="G296" s="119" t="s">
        <v>451</v>
      </c>
      <c r="H296" s="15"/>
      <c r="I296" s="15"/>
      <c r="J296" s="15"/>
      <c r="K296" s="15"/>
      <c r="L296" s="15"/>
      <c r="M296" s="15"/>
      <c r="N296" s="430" t="str">
        <f t="shared" si="31"/>
        <v/>
      </c>
      <c r="O296" s="430" t="str">
        <f t="shared" si="32"/>
        <v/>
      </c>
      <c r="P296" s="119" t="s">
        <v>620</v>
      </c>
    </row>
    <row r="297" spans="1:16" s="443" customFormat="1">
      <c r="A297" s="651" t="s">
        <v>462</v>
      </c>
      <c r="B297" s="803" t="s">
        <v>621</v>
      </c>
      <c r="C297" s="34" t="s">
        <v>147</v>
      </c>
      <c r="D297" s="121" t="s">
        <v>107</v>
      </c>
      <c r="E297" s="649">
        <v>0</v>
      </c>
      <c r="F297" s="11">
        <v>2</v>
      </c>
      <c r="G297" s="11" t="s">
        <v>451</v>
      </c>
      <c r="H297" s="13">
        <v>1</v>
      </c>
      <c r="I297" s="13">
        <v>2</v>
      </c>
      <c r="J297" s="13">
        <v>2</v>
      </c>
      <c r="K297" s="13">
        <v>1</v>
      </c>
      <c r="L297" s="13">
        <v>1</v>
      </c>
      <c r="M297" s="13">
        <v>1</v>
      </c>
      <c r="N297" s="431">
        <f t="shared" si="31"/>
        <v>0.16933510251023262</v>
      </c>
      <c r="O297" s="431">
        <f t="shared" si="32"/>
        <v>0.19908580854301616</v>
      </c>
      <c r="P297" s="42" t="s">
        <v>598</v>
      </c>
    </row>
    <row r="298" spans="1:16" s="443" customFormat="1">
      <c r="A298" s="653" t="s">
        <v>462</v>
      </c>
      <c r="B298" s="800" t="s">
        <v>622</v>
      </c>
      <c r="C298" s="34" t="s">
        <v>147</v>
      </c>
      <c r="D298" s="122" t="s">
        <v>107</v>
      </c>
      <c r="E298" s="245">
        <v>0.85</v>
      </c>
      <c r="F298" s="9">
        <v>2</v>
      </c>
      <c r="G298" s="9" t="s">
        <v>451</v>
      </c>
      <c r="H298" s="10">
        <v>1</v>
      </c>
      <c r="I298" s="10">
        <v>2</v>
      </c>
      <c r="J298" s="10">
        <v>2</v>
      </c>
      <c r="K298" s="10">
        <v>1</v>
      </c>
      <c r="L298" s="10">
        <v>1</v>
      </c>
      <c r="M298" s="10">
        <v>1</v>
      </c>
      <c r="N298" s="411">
        <f t="shared" si="31"/>
        <v>0.16933510251023262</v>
      </c>
      <c r="O298" s="411">
        <f t="shared" si="32"/>
        <v>0.19908580854301616</v>
      </c>
      <c r="P298" s="43" t="s">
        <v>600</v>
      </c>
    </row>
    <row r="299" spans="1:16" s="443" customFormat="1" ht="15.75" thickBot="1">
      <c r="A299" s="652" t="s">
        <v>462</v>
      </c>
      <c r="B299" s="804" t="s">
        <v>236</v>
      </c>
      <c r="C299" s="34" t="s">
        <v>147</v>
      </c>
      <c r="D299" s="123" t="s">
        <v>107</v>
      </c>
      <c r="E299" s="773">
        <v>0.15</v>
      </c>
      <c r="F299" s="12">
        <v>1</v>
      </c>
      <c r="G299" s="12" t="s">
        <v>451</v>
      </c>
      <c r="H299" s="14">
        <v>1</v>
      </c>
      <c r="I299" s="14">
        <v>2</v>
      </c>
      <c r="J299" s="14">
        <v>2</v>
      </c>
      <c r="K299" s="14">
        <v>1</v>
      </c>
      <c r="L299" s="14">
        <v>1</v>
      </c>
      <c r="M299" s="14">
        <v>1</v>
      </c>
      <c r="N299" s="434">
        <f t="shared" si="31"/>
        <v>0.16933510251023262</v>
      </c>
      <c r="O299" s="434">
        <f t="shared" si="32"/>
        <v>0.19908580854301616</v>
      </c>
      <c r="P299" s="44" t="s">
        <v>573</v>
      </c>
    </row>
    <row r="300" spans="1:16" s="443" customFormat="1">
      <c r="A300" s="654" t="s">
        <v>621</v>
      </c>
      <c r="B300" s="794" t="s">
        <v>623</v>
      </c>
      <c r="C300" s="34" t="s">
        <v>147</v>
      </c>
      <c r="D300" s="631" t="s">
        <v>107</v>
      </c>
      <c r="E300" s="764">
        <v>0.03</v>
      </c>
      <c r="F300" s="118">
        <v>2</v>
      </c>
      <c r="G300" s="118" t="s">
        <v>451</v>
      </c>
      <c r="H300" s="66">
        <v>1</v>
      </c>
      <c r="I300" s="66">
        <v>2</v>
      </c>
      <c r="J300" s="66">
        <v>2</v>
      </c>
      <c r="K300" s="66">
        <v>1</v>
      </c>
      <c r="L300" s="66">
        <v>1</v>
      </c>
      <c r="M300" s="66">
        <v>1</v>
      </c>
      <c r="N300" s="445">
        <f t="shared" si="31"/>
        <v>0.16933510251023262</v>
      </c>
      <c r="O300" s="445">
        <f t="shared" si="32"/>
        <v>0.19908580854301616</v>
      </c>
      <c r="P300" s="118" t="s">
        <v>480</v>
      </c>
    </row>
    <row r="301" spans="1:16" s="443" customFormat="1" ht="15.75" thickBot="1">
      <c r="A301" s="655" t="s">
        <v>621</v>
      </c>
      <c r="B301" s="795" t="s">
        <v>624</v>
      </c>
      <c r="C301" s="34" t="s">
        <v>147</v>
      </c>
      <c r="D301" s="124" t="s">
        <v>107</v>
      </c>
      <c r="E301" s="769" t="s">
        <v>158</v>
      </c>
      <c r="F301" s="119">
        <v>1</v>
      </c>
      <c r="G301" s="119" t="s">
        <v>451</v>
      </c>
      <c r="H301" s="15"/>
      <c r="I301" s="15"/>
      <c r="J301" s="15"/>
      <c r="K301" s="15"/>
      <c r="L301" s="15"/>
      <c r="M301" s="15"/>
      <c r="N301" s="430" t="str">
        <f t="shared" si="31"/>
        <v/>
      </c>
      <c r="O301" s="430" t="str">
        <f t="shared" si="32"/>
        <v/>
      </c>
      <c r="P301" s="119" t="s">
        <v>625</v>
      </c>
    </row>
    <row r="302" spans="1:16" s="443" customFormat="1">
      <c r="A302" s="651" t="s">
        <v>623</v>
      </c>
      <c r="B302" s="803" t="s">
        <v>244</v>
      </c>
      <c r="C302" s="34" t="s">
        <v>147</v>
      </c>
      <c r="D302" s="121" t="s">
        <v>107</v>
      </c>
      <c r="E302" s="649">
        <v>0.05</v>
      </c>
      <c r="F302" s="11">
        <v>2</v>
      </c>
      <c r="G302" s="11" t="s">
        <v>165</v>
      </c>
      <c r="H302" s="13">
        <v>1</v>
      </c>
      <c r="I302" s="13">
        <v>2</v>
      </c>
      <c r="J302" s="13">
        <v>2</v>
      </c>
      <c r="K302" s="13">
        <v>1</v>
      </c>
      <c r="L302" s="13">
        <v>3</v>
      </c>
      <c r="M302" s="13">
        <v>3</v>
      </c>
      <c r="N302" s="431">
        <f t="shared" si="31"/>
        <v>1.0725046436742278</v>
      </c>
      <c r="O302" s="431">
        <f t="shared" si="32"/>
        <v>1.0776024280428556</v>
      </c>
      <c r="P302" s="42" t="s">
        <v>482</v>
      </c>
    </row>
    <row r="303" spans="1:16" s="443" customFormat="1">
      <c r="A303" s="653" t="s">
        <v>623</v>
      </c>
      <c r="B303" s="800" t="s">
        <v>245</v>
      </c>
      <c r="C303" s="34" t="s">
        <v>147</v>
      </c>
      <c r="D303" s="122" t="s">
        <v>107</v>
      </c>
      <c r="E303" s="245">
        <v>0.39400000000000002</v>
      </c>
      <c r="F303" s="9">
        <v>2</v>
      </c>
      <c r="G303" s="9" t="s">
        <v>451</v>
      </c>
      <c r="H303" s="10">
        <v>1</v>
      </c>
      <c r="I303" s="10">
        <v>2</v>
      </c>
      <c r="J303" s="10">
        <v>2</v>
      </c>
      <c r="K303" s="10">
        <v>1</v>
      </c>
      <c r="L303" s="10">
        <v>1</v>
      </c>
      <c r="M303" s="10">
        <v>1</v>
      </c>
      <c r="N303" s="411">
        <f t="shared" si="31"/>
        <v>0.16933510251023262</v>
      </c>
      <c r="O303" s="411">
        <f t="shared" si="32"/>
        <v>0.19908580854301616</v>
      </c>
      <c r="P303" s="43" t="s">
        <v>483</v>
      </c>
    </row>
    <row r="304" spans="1:16" s="443" customFormat="1">
      <c r="A304" s="653" t="s">
        <v>623</v>
      </c>
      <c r="B304" s="800" t="s">
        <v>264</v>
      </c>
      <c r="C304" s="34" t="s">
        <v>147</v>
      </c>
      <c r="D304" s="122" t="s">
        <v>107</v>
      </c>
      <c r="E304" s="245">
        <v>0.52200000000000002</v>
      </c>
      <c r="F304" s="9">
        <v>1</v>
      </c>
      <c r="G304" s="9" t="s">
        <v>451</v>
      </c>
      <c r="H304" s="10">
        <v>1</v>
      </c>
      <c r="I304" s="10">
        <v>2</v>
      </c>
      <c r="J304" s="10">
        <v>2</v>
      </c>
      <c r="K304" s="10">
        <v>1</v>
      </c>
      <c r="L304" s="10">
        <v>1</v>
      </c>
      <c r="M304" s="10">
        <v>1</v>
      </c>
      <c r="N304" s="411">
        <f t="shared" si="31"/>
        <v>0.16933510251023262</v>
      </c>
      <c r="O304" s="411">
        <f t="shared" si="32"/>
        <v>0.19908580854301616</v>
      </c>
      <c r="P304" s="43" t="s">
        <v>484</v>
      </c>
    </row>
    <row r="305" spans="1:19" s="443" customFormat="1" ht="15.75" thickBot="1">
      <c r="A305" s="652" t="s">
        <v>623</v>
      </c>
      <c r="B305" s="804" t="s">
        <v>271</v>
      </c>
      <c r="C305" s="34" t="s">
        <v>147</v>
      </c>
      <c r="D305" s="123" t="s">
        <v>107</v>
      </c>
      <c r="E305" s="773">
        <v>3.4000000000000002E-2</v>
      </c>
      <c r="F305" s="12">
        <v>2</v>
      </c>
      <c r="G305" s="12" t="s">
        <v>451</v>
      </c>
      <c r="H305" s="14"/>
      <c r="I305" s="14"/>
      <c r="J305" s="14"/>
      <c r="K305" s="14"/>
      <c r="L305" s="14"/>
      <c r="M305" s="14"/>
      <c r="N305" s="434"/>
      <c r="O305" s="434"/>
      <c r="P305" s="44" t="s">
        <v>485</v>
      </c>
    </row>
    <row r="306" spans="1:19" s="443" customFormat="1">
      <c r="A306" s="654" t="s">
        <v>622</v>
      </c>
      <c r="B306" s="794" t="s">
        <v>626</v>
      </c>
      <c r="C306" s="34" t="s">
        <v>147</v>
      </c>
      <c r="D306" s="631" t="s">
        <v>107</v>
      </c>
      <c r="E306" s="764">
        <f>0.1*E300</f>
        <v>3.0000000000000001E-3</v>
      </c>
      <c r="F306" s="118">
        <v>2</v>
      </c>
      <c r="G306" s="118" t="s">
        <v>451</v>
      </c>
      <c r="H306" s="66">
        <v>1</v>
      </c>
      <c r="I306" s="66">
        <v>2</v>
      </c>
      <c r="J306" s="66">
        <v>2</v>
      </c>
      <c r="K306" s="66">
        <v>1</v>
      </c>
      <c r="L306" s="66">
        <v>1</v>
      </c>
      <c r="M306" s="66">
        <v>1</v>
      </c>
      <c r="N306" s="445">
        <f t="shared" si="31"/>
        <v>0.16933510251023262</v>
      </c>
      <c r="O306" s="445">
        <f t="shared" si="32"/>
        <v>0.19908580854301616</v>
      </c>
      <c r="P306" s="118" t="s">
        <v>487</v>
      </c>
    </row>
    <row r="307" spans="1:19" s="443" customFormat="1" ht="15.75" thickBot="1">
      <c r="A307" s="655" t="s">
        <v>622</v>
      </c>
      <c r="B307" s="795" t="s">
        <v>627</v>
      </c>
      <c r="C307" s="34" t="s">
        <v>147</v>
      </c>
      <c r="D307" s="124" t="s">
        <v>107</v>
      </c>
      <c r="E307" s="769" t="s">
        <v>158</v>
      </c>
      <c r="F307" s="119">
        <v>1</v>
      </c>
      <c r="G307" s="119" t="s">
        <v>451</v>
      </c>
      <c r="H307" s="15"/>
      <c r="I307" s="15"/>
      <c r="J307" s="15"/>
      <c r="K307" s="15"/>
      <c r="L307" s="15"/>
      <c r="M307" s="15"/>
      <c r="N307" s="430" t="str">
        <f t="shared" si="31"/>
        <v/>
      </c>
      <c r="O307" s="430" t="str">
        <f t="shared" si="32"/>
        <v/>
      </c>
      <c r="P307" s="119" t="s">
        <v>625</v>
      </c>
    </row>
    <row r="308" spans="1:19" s="443" customFormat="1" ht="15.75" thickBot="1">
      <c r="A308" s="650" t="s">
        <v>626</v>
      </c>
      <c r="B308" s="805" t="s">
        <v>241</v>
      </c>
      <c r="C308" s="34" t="s">
        <v>147</v>
      </c>
      <c r="D308" s="801" t="s">
        <v>107</v>
      </c>
      <c r="E308" s="771">
        <v>1</v>
      </c>
      <c r="F308" s="770">
        <v>2</v>
      </c>
      <c r="G308" s="770" t="s">
        <v>451</v>
      </c>
      <c r="H308" s="70">
        <v>1</v>
      </c>
      <c r="I308" s="70">
        <v>2</v>
      </c>
      <c r="J308" s="70">
        <v>2</v>
      </c>
      <c r="K308" s="70">
        <v>1</v>
      </c>
      <c r="L308" s="70">
        <v>1</v>
      </c>
      <c r="M308" s="70">
        <v>1</v>
      </c>
      <c r="N308" s="446">
        <f t="shared" si="31"/>
        <v>0.16933510251023262</v>
      </c>
      <c r="O308" s="446">
        <f t="shared" si="32"/>
        <v>0.19908580854301616</v>
      </c>
      <c r="P308" s="772" t="s">
        <v>490</v>
      </c>
    </row>
    <row r="309" spans="1:19" s="443" customFormat="1">
      <c r="A309" s="654" t="s">
        <v>624</v>
      </c>
      <c r="B309" s="803" t="s">
        <v>244</v>
      </c>
      <c r="C309" s="34" t="s">
        <v>147</v>
      </c>
      <c r="D309" s="631" t="s">
        <v>107</v>
      </c>
      <c r="E309" s="764">
        <v>3.2000000000000002E-3</v>
      </c>
      <c r="F309" s="118">
        <v>2</v>
      </c>
      <c r="G309" s="118" t="s">
        <v>503</v>
      </c>
      <c r="H309" s="66">
        <v>1</v>
      </c>
      <c r="I309" s="66">
        <v>2</v>
      </c>
      <c r="J309" s="66">
        <v>2</v>
      </c>
      <c r="K309" s="66">
        <v>1</v>
      </c>
      <c r="L309" s="15">
        <v>3</v>
      </c>
      <c r="M309" s="13">
        <v>3</v>
      </c>
      <c r="N309" s="445">
        <f t="shared" si="31"/>
        <v>1.0725046436742278</v>
      </c>
      <c r="O309" s="445">
        <f t="shared" si="32"/>
        <v>1.0776024280428556</v>
      </c>
      <c r="P309" s="118" t="s">
        <v>628</v>
      </c>
    </row>
    <row r="310" spans="1:19" s="443" customFormat="1">
      <c r="A310" s="318" t="s">
        <v>624</v>
      </c>
      <c r="B310" s="800" t="s">
        <v>245</v>
      </c>
      <c r="C310" s="34" t="s">
        <v>147</v>
      </c>
      <c r="D310" s="122" t="s">
        <v>107</v>
      </c>
      <c r="E310" s="245">
        <v>2.5215999999999999E-2</v>
      </c>
      <c r="F310" s="9">
        <v>2</v>
      </c>
      <c r="G310" s="9" t="s">
        <v>451</v>
      </c>
      <c r="H310" s="10">
        <v>1</v>
      </c>
      <c r="I310" s="10">
        <v>2</v>
      </c>
      <c r="J310" s="10">
        <v>2</v>
      </c>
      <c r="K310" s="10">
        <v>1</v>
      </c>
      <c r="L310" s="10">
        <v>1</v>
      </c>
      <c r="M310" s="10">
        <v>1</v>
      </c>
      <c r="N310" s="411">
        <f t="shared" si="31"/>
        <v>0.16933510251023262</v>
      </c>
      <c r="O310" s="411">
        <f t="shared" si="32"/>
        <v>0.19908580854301616</v>
      </c>
      <c r="P310" s="9" t="s">
        <v>629</v>
      </c>
    </row>
    <row r="311" spans="1:19" s="443" customFormat="1">
      <c r="A311" s="318" t="s">
        <v>624</v>
      </c>
      <c r="B311" s="800" t="s">
        <v>264</v>
      </c>
      <c r="C311" s="34" t="s">
        <v>147</v>
      </c>
      <c r="D311" s="122" t="s">
        <v>107</v>
      </c>
      <c r="E311" s="245">
        <v>3.3408E-2</v>
      </c>
      <c r="F311" s="9">
        <v>2</v>
      </c>
      <c r="G311" s="9" t="s">
        <v>451</v>
      </c>
      <c r="H311" s="10">
        <v>1</v>
      </c>
      <c r="I311" s="10">
        <v>2</v>
      </c>
      <c r="J311" s="10">
        <v>2</v>
      </c>
      <c r="K311" s="10">
        <v>1</v>
      </c>
      <c r="L311" s="10">
        <v>1</v>
      </c>
      <c r="M311" s="10">
        <v>1</v>
      </c>
      <c r="N311" s="411">
        <f t="shared" si="31"/>
        <v>0.16933510251023262</v>
      </c>
      <c r="O311" s="411">
        <f t="shared" si="32"/>
        <v>0.19908580854301616</v>
      </c>
      <c r="P311" s="9" t="s">
        <v>630</v>
      </c>
    </row>
    <row r="312" spans="1:19" s="443" customFormat="1">
      <c r="A312" s="318" t="s">
        <v>624</v>
      </c>
      <c r="B312" s="795" t="s">
        <v>271</v>
      </c>
      <c r="C312" s="34" t="s">
        <v>147</v>
      </c>
      <c r="D312" s="124" t="s">
        <v>107</v>
      </c>
      <c r="E312" s="769">
        <v>2.176E-3</v>
      </c>
      <c r="F312" s="119">
        <v>2</v>
      </c>
      <c r="G312" s="119" t="s">
        <v>451</v>
      </c>
      <c r="H312" s="10">
        <v>1</v>
      </c>
      <c r="I312" s="10">
        <v>2</v>
      </c>
      <c r="J312" s="10">
        <v>2</v>
      </c>
      <c r="K312" s="10">
        <v>1</v>
      </c>
      <c r="L312" s="10">
        <v>1</v>
      </c>
      <c r="M312" s="10">
        <v>1</v>
      </c>
      <c r="N312" s="411">
        <f>IF( OR( ISBLANK(H312),ISBLANK(J312), ISBLANK(K312), ISBLANK(L312), ISBLANK(M312) ), "", 1.5*SQRT(   EXP(2.21*(H312-1)) + EXP(2.21*(J312-1)) + EXP(2.21*(K312-1)) + EXP(2.21*(L312-1)) + EXP(2.21*M312)   )/100*2.45 )</f>
        <v>0.16933510251023262</v>
      </c>
      <c r="O312" s="411">
        <f>IF( OR( ISBLANK(I312),ISBLANK(J312), ISBLANK(K312), ISBLANK(L312), ISBLANK(M312) ), "", 1.5*SQRT( EXP(2.21*(I312-1)) + EXP(2.21*(J312-1)) + EXP(2.21*(K312-1)) + EXP(2.21*(L312-1)) + EXP(2.21*M312)   )/100*2.45 )</f>
        <v>0.19908580854301616</v>
      </c>
      <c r="P312" s="156" t="s">
        <v>631</v>
      </c>
    </row>
    <row r="313" spans="1:19" s="443" customFormat="1" ht="15.75" thickBot="1">
      <c r="A313" s="655" t="s">
        <v>624</v>
      </c>
      <c r="B313" s="804" t="s">
        <v>344</v>
      </c>
      <c r="C313" s="34" t="s">
        <v>147</v>
      </c>
      <c r="D313" s="124" t="s">
        <v>107</v>
      </c>
      <c r="E313" s="769" t="s">
        <v>158</v>
      </c>
      <c r="F313" s="119">
        <v>1</v>
      </c>
      <c r="G313" s="119" t="s">
        <v>451</v>
      </c>
      <c r="H313" s="15"/>
      <c r="I313" s="15"/>
      <c r="J313" s="15"/>
      <c r="K313" s="15"/>
      <c r="L313" s="15"/>
      <c r="M313" s="15"/>
      <c r="N313" s="430" t="str">
        <f t="shared" si="31"/>
        <v/>
      </c>
      <c r="O313" s="430" t="str">
        <f t="shared" si="32"/>
        <v/>
      </c>
      <c r="P313" s="119"/>
    </row>
    <row r="314" spans="1:19" s="443" customFormat="1">
      <c r="A314" s="651" t="s">
        <v>627</v>
      </c>
      <c r="B314" s="803" t="s">
        <v>241</v>
      </c>
      <c r="C314" s="34" t="s">
        <v>147</v>
      </c>
      <c r="D314" s="121" t="s">
        <v>107</v>
      </c>
      <c r="E314" s="649">
        <v>6.4000000000000001E-2</v>
      </c>
      <c r="F314" s="11">
        <v>2</v>
      </c>
      <c r="G314" s="11" t="s">
        <v>451</v>
      </c>
      <c r="H314" s="13">
        <v>1</v>
      </c>
      <c r="I314" s="13">
        <v>2</v>
      </c>
      <c r="J314" s="13">
        <v>2</v>
      </c>
      <c r="K314" s="13">
        <v>1</v>
      </c>
      <c r="L314" s="13">
        <v>1</v>
      </c>
      <c r="M314" s="13">
        <v>1</v>
      </c>
      <c r="N314" s="431">
        <f t="shared" si="31"/>
        <v>0.16933510251023262</v>
      </c>
      <c r="O314" s="431">
        <f t="shared" si="32"/>
        <v>0.19908580854301616</v>
      </c>
      <c r="P314" s="42" t="s">
        <v>583</v>
      </c>
    </row>
    <row r="315" spans="1:19" s="443" customFormat="1" ht="15.75" thickBot="1">
      <c r="A315" s="652" t="s">
        <v>627</v>
      </c>
      <c r="B315" s="804" t="s">
        <v>344</v>
      </c>
      <c r="C315" s="35" t="s">
        <v>147</v>
      </c>
      <c r="D315" s="123" t="s">
        <v>107</v>
      </c>
      <c r="E315" s="773" t="s">
        <v>158</v>
      </c>
      <c r="F315" s="12">
        <v>1</v>
      </c>
      <c r="G315" s="12" t="s">
        <v>451</v>
      </c>
      <c r="H315" s="14"/>
      <c r="I315" s="14"/>
      <c r="J315" s="14"/>
      <c r="K315" s="14"/>
      <c r="L315" s="14"/>
      <c r="M315" s="14"/>
      <c r="N315" s="434" t="str">
        <f t="shared" si="31"/>
        <v/>
      </c>
      <c r="O315" s="434" t="str">
        <f t="shared" si="32"/>
        <v/>
      </c>
      <c r="P315" s="44" t="s">
        <v>632</v>
      </c>
    </row>
    <row r="317" spans="1:19" s="6" customFormat="1" ht="18.75">
      <c r="A317" s="966" t="s">
        <v>958</v>
      </c>
      <c r="B317" s="966"/>
      <c r="C317" s="966"/>
      <c r="D317" s="966"/>
      <c r="E317" s="966"/>
      <c r="F317" s="966"/>
      <c r="G317" s="966"/>
      <c r="H317" s="966"/>
      <c r="I317" s="966"/>
      <c r="J317" s="966"/>
      <c r="K317" s="966"/>
      <c r="L317" s="966"/>
      <c r="M317" s="966"/>
      <c r="N317" s="966"/>
      <c r="O317" s="966"/>
      <c r="P317" s="966"/>
      <c r="Q317" s="966"/>
      <c r="R317" s="966"/>
      <c r="S317" s="966"/>
    </row>
    <row r="319" spans="1:19">
      <c r="A319" t="s">
        <v>959</v>
      </c>
    </row>
    <row r="323" spans="1:1">
      <c r="A323" s="658"/>
    </row>
  </sheetData>
  <autoFilter ref="A60:P315" xr:uid="{E8338EDF-3B93-4267-BDF4-561D15195B80}"/>
  <mergeCells count="54">
    <mergeCell ref="A1:S1"/>
    <mergeCell ref="D13:E13"/>
    <mergeCell ref="E4:G4"/>
    <mergeCell ref="E5:G5"/>
    <mergeCell ref="E6:G6"/>
    <mergeCell ref="E7:G7"/>
    <mergeCell ref="E8:G8"/>
    <mergeCell ref="E9:G9"/>
    <mergeCell ref="E10:G10"/>
    <mergeCell ref="E11:G11"/>
    <mergeCell ref="E2:O2"/>
    <mergeCell ref="H11:O11"/>
    <mergeCell ref="H4:O4"/>
    <mergeCell ref="H5:O5"/>
    <mergeCell ref="H6:O6"/>
    <mergeCell ref="H7:O7"/>
    <mergeCell ref="D14:E14"/>
    <mergeCell ref="D35:E35"/>
    <mergeCell ref="D20:E20"/>
    <mergeCell ref="D21:E27"/>
    <mergeCell ref="D28:E32"/>
    <mergeCell ref="D33:E34"/>
    <mergeCell ref="D15:E15"/>
    <mergeCell ref="D17:E17"/>
    <mergeCell ref="D16:E16"/>
    <mergeCell ref="D18:E18"/>
    <mergeCell ref="D19:E19"/>
    <mergeCell ref="D36:E36"/>
    <mergeCell ref="D37:E37"/>
    <mergeCell ref="D38:E38"/>
    <mergeCell ref="D39:E39"/>
    <mergeCell ref="D40:E40"/>
    <mergeCell ref="D43:E43"/>
    <mergeCell ref="D44:E44"/>
    <mergeCell ref="A59:S59"/>
    <mergeCell ref="D45:E45"/>
    <mergeCell ref="D41:E41"/>
    <mergeCell ref="D42:E42"/>
    <mergeCell ref="L52:N52"/>
    <mergeCell ref="L53:N53"/>
    <mergeCell ref="A317:S317"/>
    <mergeCell ref="D46:E46"/>
    <mergeCell ref="D47:E47"/>
    <mergeCell ref="D48:E48"/>
    <mergeCell ref="D49:E49"/>
    <mergeCell ref="L56:N56"/>
    <mergeCell ref="L57:N57"/>
    <mergeCell ref="A55:G55"/>
    <mergeCell ref="A51:G51"/>
    <mergeCell ref="E3:G3"/>
    <mergeCell ref="H3:O3"/>
    <mergeCell ref="H8:O8"/>
    <mergeCell ref="H9:O9"/>
    <mergeCell ref="H10:O10"/>
  </mergeCells>
  <phoneticPr fontId="22" type="noConversion"/>
  <conditionalFormatting sqref="D52">
    <cfRule type="cellIs" dxfId="91" priority="62" operator="greaterThan">
      <formula>0</formula>
    </cfRule>
    <cfRule type="cellIs" dxfId="90" priority="63" operator="equal">
      <formula>0</formula>
    </cfRule>
  </conditionalFormatting>
  <conditionalFormatting sqref="D56">
    <cfRule type="cellIs" dxfId="89" priority="57" operator="greaterThan">
      <formula>0</formula>
    </cfRule>
    <cfRule type="cellIs" dxfId="88" priority="58" operator="equal">
      <formula>0</formula>
    </cfRule>
  </conditionalFormatting>
  <conditionalFormatting sqref="F57:J57 F53:J53">
    <cfRule type="dataBar" priority="60">
      <dataBar>
        <cfvo type="min"/>
        <cfvo type="num" val="4"/>
        <color rgb="FFFFC000"/>
      </dataBar>
      <extLst>
        <ext xmlns:x14="http://schemas.microsoft.com/office/spreadsheetml/2009/9/main" uri="{B025F937-C7B1-47D3-B67F-A62EFF666E3E}">
          <x14:id>{3A722EE9-4AD8-468F-912A-D15B9889449A}</x14:id>
        </ext>
      </extLst>
    </cfRule>
  </conditionalFormatting>
  <conditionalFormatting sqref="F53:K53 F57:K57">
    <cfRule type="containsBlanks" dxfId="87" priority="59">
      <formula>LEN(TRIM(F53))=0</formula>
    </cfRule>
  </conditionalFormatting>
  <conditionalFormatting sqref="H61:M74">
    <cfRule type="dataBar" priority="74">
      <dataBar>
        <cfvo type="min"/>
        <cfvo type="num" val="4"/>
        <color rgb="FFFFC000"/>
      </dataBar>
      <extLst>
        <ext xmlns:x14="http://schemas.microsoft.com/office/spreadsheetml/2009/9/main" uri="{B025F937-C7B1-47D3-B67F-A62EFF666E3E}">
          <x14:id>{8BED2EB0-F282-4F38-BA10-752BAED5F9D3}</x14:id>
        </ext>
      </extLst>
    </cfRule>
  </conditionalFormatting>
  <conditionalFormatting sqref="H61:M315">
    <cfRule type="cellIs" dxfId="86" priority="3" stopIfTrue="1" operator="notBetween">
      <formula>1</formula>
      <formula>4</formula>
    </cfRule>
  </conditionalFormatting>
  <conditionalFormatting sqref="H75:M315">
    <cfRule type="containsBlanks" dxfId="85" priority="2" stopIfTrue="1">
      <formula>LEN(TRIM(H75))=0</formula>
    </cfRule>
  </conditionalFormatting>
  <conditionalFormatting sqref="H92:M92">
    <cfRule type="dataBar" priority="56">
      <dataBar>
        <cfvo type="min"/>
        <cfvo type="num" val="4"/>
        <color rgb="FFFFC000"/>
      </dataBar>
      <extLst>
        <ext xmlns:x14="http://schemas.microsoft.com/office/spreadsheetml/2009/9/main" uri="{B025F937-C7B1-47D3-B67F-A62EFF666E3E}">
          <x14:id>{13BFA7C7-29FC-471F-982B-8F9EDBA4F32D}</x14:id>
        </ext>
      </extLst>
    </cfRule>
  </conditionalFormatting>
  <conditionalFormatting sqref="H93:M98 H313:M315 H75:M91 H101:M118 H120:M137 H139:M156 H158:M175 H177:M194 H196:M213 H215:M232 H234:M251 H253:M273 H275:M292 H294:M311">
    <cfRule type="dataBar" priority="7099">
      <dataBar>
        <cfvo type="min"/>
        <cfvo type="num" val="4"/>
        <color rgb="FFFFC000"/>
      </dataBar>
      <extLst>
        <ext xmlns:x14="http://schemas.microsoft.com/office/spreadsheetml/2009/9/main" uri="{B025F937-C7B1-47D3-B67F-A62EFF666E3E}">
          <x14:id>{2C3CE673-9A40-40F4-AB61-33FB72B5B39F}</x14:id>
        </ext>
      </extLst>
    </cfRule>
  </conditionalFormatting>
  <conditionalFormatting sqref="H99:M100">
    <cfRule type="dataBar" priority="52">
      <dataBar>
        <cfvo type="min"/>
        <cfvo type="num" val="4"/>
        <color rgb="FFFFC000"/>
      </dataBar>
      <extLst>
        <ext xmlns:x14="http://schemas.microsoft.com/office/spreadsheetml/2009/9/main" uri="{B025F937-C7B1-47D3-B67F-A62EFF666E3E}">
          <x14:id>{7FADE4B1-0CC7-438F-B82E-2F91F34C5B15}</x14:id>
        </ext>
      </extLst>
    </cfRule>
  </conditionalFormatting>
  <conditionalFormatting sqref="H119:M119">
    <cfRule type="dataBar" priority="48">
      <dataBar>
        <cfvo type="min"/>
        <cfvo type="num" val="4"/>
        <color rgb="FFFFC000"/>
      </dataBar>
      <extLst>
        <ext xmlns:x14="http://schemas.microsoft.com/office/spreadsheetml/2009/9/main" uri="{B025F937-C7B1-47D3-B67F-A62EFF666E3E}">
          <x14:id>{D42B2016-A305-4BFB-B49A-F31ED28893A6}</x14:id>
        </ext>
      </extLst>
    </cfRule>
  </conditionalFormatting>
  <conditionalFormatting sqref="H138:M138">
    <cfRule type="dataBar" priority="40">
      <dataBar>
        <cfvo type="min"/>
        <cfvo type="num" val="4"/>
        <color rgb="FFFFC000"/>
      </dataBar>
      <extLst>
        <ext xmlns:x14="http://schemas.microsoft.com/office/spreadsheetml/2009/9/main" uri="{B025F937-C7B1-47D3-B67F-A62EFF666E3E}">
          <x14:id>{999CA19B-1545-4F65-800F-470D70C61C1B}</x14:id>
        </ext>
      </extLst>
    </cfRule>
  </conditionalFormatting>
  <conditionalFormatting sqref="H157:M157">
    <cfRule type="dataBar" priority="36">
      <dataBar>
        <cfvo type="min"/>
        <cfvo type="num" val="4"/>
        <color rgb="FFFFC000"/>
      </dataBar>
      <extLst>
        <ext xmlns:x14="http://schemas.microsoft.com/office/spreadsheetml/2009/9/main" uri="{B025F937-C7B1-47D3-B67F-A62EFF666E3E}">
          <x14:id>{21E0EBD7-68F7-40DD-A96F-E96019312248}</x14:id>
        </ext>
      </extLst>
    </cfRule>
  </conditionalFormatting>
  <conditionalFormatting sqref="H176:M176">
    <cfRule type="dataBar" priority="32">
      <dataBar>
        <cfvo type="min"/>
        <cfvo type="num" val="4"/>
        <color rgb="FFFFC000"/>
      </dataBar>
      <extLst>
        <ext xmlns:x14="http://schemas.microsoft.com/office/spreadsheetml/2009/9/main" uri="{B025F937-C7B1-47D3-B67F-A62EFF666E3E}">
          <x14:id>{CCE07B65-D941-439C-993B-7236BF62814A}</x14:id>
        </ext>
      </extLst>
    </cfRule>
  </conditionalFormatting>
  <conditionalFormatting sqref="H195:M195">
    <cfRule type="dataBar" priority="28">
      <dataBar>
        <cfvo type="min"/>
        <cfvo type="num" val="4"/>
        <color rgb="FFFFC000"/>
      </dataBar>
      <extLst>
        <ext xmlns:x14="http://schemas.microsoft.com/office/spreadsheetml/2009/9/main" uri="{B025F937-C7B1-47D3-B67F-A62EFF666E3E}">
          <x14:id>{8ECF9FF9-D23E-4379-B97D-AFBF8CBBC197}</x14:id>
        </ext>
      </extLst>
    </cfRule>
  </conditionalFormatting>
  <conditionalFormatting sqref="H214:M214">
    <cfRule type="dataBar" priority="24">
      <dataBar>
        <cfvo type="min"/>
        <cfvo type="num" val="4"/>
        <color rgb="FFFFC000"/>
      </dataBar>
      <extLst>
        <ext xmlns:x14="http://schemas.microsoft.com/office/spreadsheetml/2009/9/main" uri="{B025F937-C7B1-47D3-B67F-A62EFF666E3E}">
          <x14:id>{33B090F6-CEE9-41AE-8443-E53952BCA93B}</x14:id>
        </ext>
      </extLst>
    </cfRule>
  </conditionalFormatting>
  <conditionalFormatting sqref="H233:M233">
    <cfRule type="dataBar" priority="20">
      <dataBar>
        <cfvo type="min"/>
        <cfvo type="num" val="4"/>
        <color rgb="FFFFC000"/>
      </dataBar>
      <extLst>
        <ext xmlns:x14="http://schemas.microsoft.com/office/spreadsheetml/2009/9/main" uri="{B025F937-C7B1-47D3-B67F-A62EFF666E3E}">
          <x14:id>{1209E3A6-3055-4E8F-8B96-8758FD76BA64}</x14:id>
        </ext>
      </extLst>
    </cfRule>
  </conditionalFormatting>
  <conditionalFormatting sqref="H252:M252">
    <cfRule type="dataBar" priority="16">
      <dataBar>
        <cfvo type="min"/>
        <cfvo type="num" val="4"/>
        <color rgb="FFFFC000"/>
      </dataBar>
      <extLst>
        <ext xmlns:x14="http://schemas.microsoft.com/office/spreadsheetml/2009/9/main" uri="{B025F937-C7B1-47D3-B67F-A62EFF666E3E}">
          <x14:id>{125F6B38-82FD-4AAA-A200-BEFDA1E19609}</x14:id>
        </ext>
      </extLst>
    </cfRule>
  </conditionalFormatting>
  <conditionalFormatting sqref="H274:M274">
    <cfRule type="dataBar" priority="12">
      <dataBar>
        <cfvo type="min"/>
        <cfvo type="num" val="4"/>
        <color rgb="FFFFC000"/>
      </dataBar>
      <extLst>
        <ext xmlns:x14="http://schemas.microsoft.com/office/spreadsheetml/2009/9/main" uri="{B025F937-C7B1-47D3-B67F-A62EFF666E3E}">
          <x14:id>{86489237-8ED2-4F6C-BA92-14053B5076F5}</x14:id>
        </ext>
      </extLst>
    </cfRule>
  </conditionalFormatting>
  <conditionalFormatting sqref="H293:M293">
    <cfRule type="dataBar" priority="8">
      <dataBar>
        <cfvo type="min"/>
        <cfvo type="num" val="4"/>
        <color rgb="FFFFC000"/>
      </dataBar>
      <extLst>
        <ext xmlns:x14="http://schemas.microsoft.com/office/spreadsheetml/2009/9/main" uri="{B025F937-C7B1-47D3-B67F-A62EFF666E3E}">
          <x14:id>{CBB9E265-0A48-40A8-BFE6-BA26A6B0B8D9}</x14:id>
        </ext>
      </extLst>
    </cfRule>
  </conditionalFormatting>
  <conditionalFormatting sqref="H312:M312">
    <cfRule type="dataBar" priority="4">
      <dataBar>
        <cfvo type="min"/>
        <cfvo type="num" val="4"/>
        <color rgb="FFFFC000"/>
      </dataBar>
      <extLst>
        <ext xmlns:x14="http://schemas.microsoft.com/office/spreadsheetml/2009/9/main" uri="{B025F937-C7B1-47D3-B67F-A62EFF666E3E}">
          <x14:id>{E5B27D8B-02E0-4DC9-9799-3F74D0D31E25}</x14:id>
        </ext>
      </extLst>
    </cfRule>
  </conditionalFormatting>
  <conditionalFormatting sqref="H61:O61 H62:M74">
    <cfRule type="containsBlanks" dxfId="84" priority="75">
      <formula>LEN(TRIM(H61))=0</formula>
    </cfRule>
  </conditionalFormatting>
  <conditionalFormatting sqref="K53 K57">
    <cfRule type="dataBar" priority="61">
      <dataBar>
        <cfvo type="min"/>
        <cfvo type="max"/>
        <color rgb="FF3FCDFF"/>
      </dataBar>
      <extLst>
        <ext xmlns:x14="http://schemas.microsoft.com/office/spreadsheetml/2009/9/main" uri="{B025F937-C7B1-47D3-B67F-A62EFF666E3E}">
          <x14:id>{33465670-860A-497C-8F9E-62B2FB11C992}</x14:id>
        </ext>
      </extLst>
    </cfRule>
  </conditionalFormatting>
  <conditionalFormatting sqref="N61:N315">
    <cfRule type="dataBar" priority="76">
      <dataBar>
        <cfvo type="min"/>
        <cfvo type="max"/>
        <color rgb="FF3FCDFF"/>
      </dataBar>
      <extLst>
        <ext xmlns:x14="http://schemas.microsoft.com/office/spreadsheetml/2009/9/main" uri="{B025F937-C7B1-47D3-B67F-A62EFF666E3E}">
          <x14:id>{BF2F1159-2A6A-4893-92D2-5A2683E7BC2A}</x14:id>
        </ext>
      </extLst>
    </cfRule>
  </conditionalFormatting>
  <conditionalFormatting sqref="N62:O315">
    <cfRule type="containsBlanks" dxfId="83" priority="1">
      <formula>LEN(TRIM(N62))=0</formula>
    </cfRule>
  </conditionalFormatting>
  <conditionalFormatting sqref="O61:O315">
    <cfRule type="dataBar" priority="77">
      <dataBar>
        <cfvo type="min"/>
        <cfvo type="max"/>
        <color rgb="FF3FCDFF"/>
      </dataBar>
      <extLst>
        <ext xmlns:x14="http://schemas.microsoft.com/office/spreadsheetml/2009/9/main" uri="{B025F937-C7B1-47D3-B67F-A62EFF666E3E}">
          <x14:id>{9DCB1330-52A5-4F24-A2B2-10F12C5227DB}</x14:id>
        </ext>
      </extLst>
    </cfRule>
  </conditionalFormatting>
  <hyperlinks>
    <hyperlink ref="H4" r:id="rId1" xr:uid="{35A91B79-19C1-4C63-BF8D-A86B20D37553}"/>
    <hyperlink ref="H5" r:id="rId2" xr:uid="{1BD113FD-B881-4FAB-AF0B-A2A6356BF2A3}"/>
    <hyperlink ref="H7" r:id="rId3" display="https://docplayer.nl/138278287-Vvvf-jaaroverzicht-2018.html" xr:uid="{494CE9A3-BE07-43EF-9498-CBE144B24711}"/>
    <hyperlink ref="H6" r:id="rId4" display="https://docplayer.nl/138278287-Vvvf-jaaroverzicht-2018.html" xr:uid="{12111823-B9B8-4AA7-8E4A-14057C7D47DB}"/>
    <hyperlink ref="H8" r:id="rId5" xr:uid="{BB984821-D46D-4CF4-B969-236893BE6212}"/>
    <hyperlink ref="H9" r:id="rId6" xr:uid="{C82287F3-0522-4C9B-99F7-EA9986FEFD93}"/>
    <hyperlink ref="H10" r:id="rId7" xr:uid="{0A708D5D-F25E-4CDF-AFC4-97585C531CEC}"/>
    <hyperlink ref="H11" r:id="rId8" xr:uid="{8DA6866D-9E7C-4F2A-A880-35FCFA9253F1}"/>
  </hyperlinks>
  <pageMargins left="0.7" right="0.7" top="0.75" bottom="0.75" header="0.3" footer="0.3"/>
  <pageSetup paperSize="9" orientation="portrait" r:id="rId9"/>
  <extLst>
    <ext xmlns:x14="http://schemas.microsoft.com/office/spreadsheetml/2009/9/main" uri="{78C0D931-6437-407d-A8EE-F0AAD7539E65}">
      <x14:conditionalFormattings>
        <x14:conditionalFormatting xmlns:xm="http://schemas.microsoft.com/office/excel/2006/main">
          <x14:cfRule type="dataBar" id="{3A722EE9-4AD8-468F-912A-D15B9889449A}">
            <x14:dataBar minLength="0" maxLength="100" gradient="0">
              <x14:cfvo type="autoMin"/>
              <x14:cfvo type="num">
                <xm:f>4</xm:f>
              </x14:cfvo>
              <x14:negativeFillColor rgb="FFFF0000"/>
              <x14:axisColor rgb="FF000000"/>
            </x14:dataBar>
          </x14:cfRule>
          <xm:sqref>F57:J57 F53:J53</xm:sqref>
        </x14:conditionalFormatting>
        <x14:conditionalFormatting xmlns:xm="http://schemas.microsoft.com/office/excel/2006/main">
          <x14:cfRule type="dataBar" id="{8BED2EB0-F282-4F38-BA10-752BAED5F9D3}">
            <x14:dataBar minLength="0" maxLength="100" gradient="0">
              <x14:cfvo type="autoMin"/>
              <x14:cfvo type="num">
                <xm:f>4</xm:f>
              </x14:cfvo>
              <x14:negativeFillColor rgb="FFFF0000"/>
              <x14:axisColor rgb="FF000000"/>
            </x14:dataBar>
          </x14:cfRule>
          <xm:sqref>H61:M74</xm:sqref>
        </x14:conditionalFormatting>
        <x14:conditionalFormatting xmlns:xm="http://schemas.microsoft.com/office/excel/2006/main">
          <x14:cfRule type="dataBar" id="{13BFA7C7-29FC-471F-982B-8F9EDBA4F32D}">
            <x14:dataBar minLength="0" maxLength="100" gradient="0">
              <x14:cfvo type="autoMin"/>
              <x14:cfvo type="num">
                <xm:f>4</xm:f>
              </x14:cfvo>
              <x14:negativeFillColor rgb="FFFF0000"/>
              <x14:axisColor rgb="FF000000"/>
            </x14:dataBar>
          </x14:cfRule>
          <xm:sqref>H92:M92</xm:sqref>
        </x14:conditionalFormatting>
        <x14:conditionalFormatting xmlns:xm="http://schemas.microsoft.com/office/excel/2006/main">
          <x14:cfRule type="dataBar" id="{2C3CE673-9A40-40F4-AB61-33FB72B5B39F}">
            <x14:dataBar minLength="0" maxLength="100" gradient="0">
              <x14:cfvo type="autoMin"/>
              <x14:cfvo type="num">
                <xm:f>4</xm:f>
              </x14:cfvo>
              <x14:negativeFillColor rgb="FFFF0000"/>
              <x14:axisColor rgb="FF000000"/>
            </x14:dataBar>
          </x14:cfRule>
          <xm:sqref>H93:M98 H313:M315 H75:M91 H101:M118 H120:M137 H139:M156 H158:M175 H177:M194 H196:M213 H215:M232 H234:M251 H253:M273 H275:M292 H294:M311</xm:sqref>
        </x14:conditionalFormatting>
        <x14:conditionalFormatting xmlns:xm="http://schemas.microsoft.com/office/excel/2006/main">
          <x14:cfRule type="dataBar" id="{7FADE4B1-0CC7-438F-B82E-2F91F34C5B15}">
            <x14:dataBar minLength="0" maxLength="100" gradient="0">
              <x14:cfvo type="autoMin"/>
              <x14:cfvo type="num">
                <xm:f>4</xm:f>
              </x14:cfvo>
              <x14:negativeFillColor rgb="FFFF0000"/>
              <x14:axisColor rgb="FF000000"/>
            </x14:dataBar>
          </x14:cfRule>
          <xm:sqref>H99:M100</xm:sqref>
        </x14:conditionalFormatting>
        <x14:conditionalFormatting xmlns:xm="http://schemas.microsoft.com/office/excel/2006/main">
          <x14:cfRule type="dataBar" id="{D42B2016-A305-4BFB-B49A-F31ED28893A6}">
            <x14:dataBar minLength="0" maxLength="100" gradient="0">
              <x14:cfvo type="autoMin"/>
              <x14:cfvo type="num">
                <xm:f>4</xm:f>
              </x14:cfvo>
              <x14:negativeFillColor rgb="FFFF0000"/>
              <x14:axisColor rgb="FF000000"/>
            </x14:dataBar>
          </x14:cfRule>
          <xm:sqref>H119:M119</xm:sqref>
        </x14:conditionalFormatting>
        <x14:conditionalFormatting xmlns:xm="http://schemas.microsoft.com/office/excel/2006/main">
          <x14:cfRule type="dataBar" id="{999CA19B-1545-4F65-800F-470D70C61C1B}">
            <x14:dataBar minLength="0" maxLength="100" gradient="0">
              <x14:cfvo type="autoMin"/>
              <x14:cfvo type="num">
                <xm:f>4</xm:f>
              </x14:cfvo>
              <x14:negativeFillColor rgb="FFFF0000"/>
              <x14:axisColor rgb="FF000000"/>
            </x14:dataBar>
          </x14:cfRule>
          <xm:sqref>H138:M138</xm:sqref>
        </x14:conditionalFormatting>
        <x14:conditionalFormatting xmlns:xm="http://schemas.microsoft.com/office/excel/2006/main">
          <x14:cfRule type="dataBar" id="{21E0EBD7-68F7-40DD-A96F-E96019312248}">
            <x14:dataBar minLength="0" maxLength="100" gradient="0">
              <x14:cfvo type="autoMin"/>
              <x14:cfvo type="num">
                <xm:f>4</xm:f>
              </x14:cfvo>
              <x14:negativeFillColor rgb="FFFF0000"/>
              <x14:axisColor rgb="FF000000"/>
            </x14:dataBar>
          </x14:cfRule>
          <xm:sqref>H157:M157</xm:sqref>
        </x14:conditionalFormatting>
        <x14:conditionalFormatting xmlns:xm="http://schemas.microsoft.com/office/excel/2006/main">
          <x14:cfRule type="dataBar" id="{CCE07B65-D941-439C-993B-7236BF62814A}">
            <x14:dataBar minLength="0" maxLength="100" gradient="0">
              <x14:cfvo type="autoMin"/>
              <x14:cfvo type="num">
                <xm:f>4</xm:f>
              </x14:cfvo>
              <x14:negativeFillColor rgb="FFFF0000"/>
              <x14:axisColor rgb="FF000000"/>
            </x14:dataBar>
          </x14:cfRule>
          <xm:sqref>H176:M176</xm:sqref>
        </x14:conditionalFormatting>
        <x14:conditionalFormatting xmlns:xm="http://schemas.microsoft.com/office/excel/2006/main">
          <x14:cfRule type="dataBar" id="{8ECF9FF9-D23E-4379-B97D-AFBF8CBBC197}">
            <x14:dataBar minLength="0" maxLength="100" gradient="0">
              <x14:cfvo type="autoMin"/>
              <x14:cfvo type="num">
                <xm:f>4</xm:f>
              </x14:cfvo>
              <x14:negativeFillColor rgb="FFFF0000"/>
              <x14:axisColor rgb="FF000000"/>
            </x14:dataBar>
          </x14:cfRule>
          <xm:sqref>H195:M195</xm:sqref>
        </x14:conditionalFormatting>
        <x14:conditionalFormatting xmlns:xm="http://schemas.microsoft.com/office/excel/2006/main">
          <x14:cfRule type="dataBar" id="{33B090F6-CEE9-41AE-8443-E53952BCA93B}">
            <x14:dataBar minLength="0" maxLength="100" gradient="0">
              <x14:cfvo type="autoMin"/>
              <x14:cfvo type="num">
                <xm:f>4</xm:f>
              </x14:cfvo>
              <x14:negativeFillColor rgb="FFFF0000"/>
              <x14:axisColor rgb="FF000000"/>
            </x14:dataBar>
          </x14:cfRule>
          <xm:sqref>H214:M214</xm:sqref>
        </x14:conditionalFormatting>
        <x14:conditionalFormatting xmlns:xm="http://schemas.microsoft.com/office/excel/2006/main">
          <x14:cfRule type="dataBar" id="{1209E3A6-3055-4E8F-8B96-8758FD76BA64}">
            <x14:dataBar minLength="0" maxLength="100" gradient="0">
              <x14:cfvo type="autoMin"/>
              <x14:cfvo type="num">
                <xm:f>4</xm:f>
              </x14:cfvo>
              <x14:negativeFillColor rgb="FFFF0000"/>
              <x14:axisColor rgb="FF000000"/>
            </x14:dataBar>
          </x14:cfRule>
          <xm:sqref>H233:M233</xm:sqref>
        </x14:conditionalFormatting>
        <x14:conditionalFormatting xmlns:xm="http://schemas.microsoft.com/office/excel/2006/main">
          <x14:cfRule type="dataBar" id="{125F6B38-82FD-4AAA-A200-BEFDA1E19609}">
            <x14:dataBar minLength="0" maxLength="100" gradient="0">
              <x14:cfvo type="autoMin"/>
              <x14:cfvo type="num">
                <xm:f>4</xm:f>
              </x14:cfvo>
              <x14:negativeFillColor rgb="FFFF0000"/>
              <x14:axisColor rgb="FF000000"/>
            </x14:dataBar>
          </x14:cfRule>
          <xm:sqref>H252:M252</xm:sqref>
        </x14:conditionalFormatting>
        <x14:conditionalFormatting xmlns:xm="http://schemas.microsoft.com/office/excel/2006/main">
          <x14:cfRule type="dataBar" id="{86489237-8ED2-4F6C-BA92-14053B5076F5}">
            <x14:dataBar minLength="0" maxLength="100" gradient="0">
              <x14:cfvo type="autoMin"/>
              <x14:cfvo type="num">
                <xm:f>4</xm:f>
              </x14:cfvo>
              <x14:negativeFillColor rgb="FFFF0000"/>
              <x14:axisColor rgb="FF000000"/>
            </x14:dataBar>
          </x14:cfRule>
          <xm:sqref>H274:M274</xm:sqref>
        </x14:conditionalFormatting>
        <x14:conditionalFormatting xmlns:xm="http://schemas.microsoft.com/office/excel/2006/main">
          <x14:cfRule type="dataBar" id="{CBB9E265-0A48-40A8-BFE6-BA26A6B0B8D9}">
            <x14:dataBar minLength="0" maxLength="100" gradient="0">
              <x14:cfvo type="autoMin"/>
              <x14:cfvo type="num">
                <xm:f>4</xm:f>
              </x14:cfvo>
              <x14:negativeFillColor rgb="FFFF0000"/>
              <x14:axisColor rgb="FF000000"/>
            </x14:dataBar>
          </x14:cfRule>
          <xm:sqref>H293:M293</xm:sqref>
        </x14:conditionalFormatting>
        <x14:conditionalFormatting xmlns:xm="http://schemas.microsoft.com/office/excel/2006/main">
          <x14:cfRule type="dataBar" id="{E5B27D8B-02E0-4DC9-9799-3F74D0D31E25}">
            <x14:dataBar minLength="0" maxLength="100" gradient="0">
              <x14:cfvo type="autoMin"/>
              <x14:cfvo type="num">
                <xm:f>4</xm:f>
              </x14:cfvo>
              <x14:negativeFillColor rgb="FFFF0000"/>
              <x14:axisColor rgb="FF000000"/>
            </x14:dataBar>
          </x14:cfRule>
          <xm:sqref>H312:M312</xm:sqref>
        </x14:conditionalFormatting>
        <x14:conditionalFormatting xmlns:xm="http://schemas.microsoft.com/office/excel/2006/main">
          <x14:cfRule type="dataBar" id="{33465670-860A-497C-8F9E-62B2FB11C992}">
            <x14:dataBar minLength="0" maxLength="100" gradient="0">
              <x14:cfvo type="autoMin"/>
              <x14:cfvo type="autoMax"/>
              <x14:negativeFillColor rgb="FFFF0000"/>
              <x14:axisColor rgb="FF000000"/>
            </x14:dataBar>
          </x14:cfRule>
          <xm:sqref>K53 K57</xm:sqref>
        </x14:conditionalFormatting>
        <x14:conditionalFormatting xmlns:xm="http://schemas.microsoft.com/office/excel/2006/main">
          <x14:cfRule type="dataBar" id="{BF2F1159-2A6A-4893-92D2-5A2683E7BC2A}">
            <x14:dataBar minLength="0" maxLength="100" gradient="0">
              <x14:cfvo type="autoMin"/>
              <x14:cfvo type="autoMax"/>
              <x14:negativeFillColor rgb="FFFF0000"/>
              <x14:axisColor rgb="FF000000"/>
            </x14:dataBar>
          </x14:cfRule>
          <xm:sqref>N61:N315</xm:sqref>
        </x14:conditionalFormatting>
        <x14:conditionalFormatting xmlns:xm="http://schemas.microsoft.com/office/excel/2006/main">
          <x14:cfRule type="dataBar" id="{9DCB1330-52A5-4F24-A2B2-10F12C5227DB}">
            <x14:dataBar minLength="0" maxLength="100" gradient="0">
              <x14:cfvo type="autoMin"/>
              <x14:cfvo type="autoMax"/>
              <x14:negativeFillColor rgb="FFFF0000"/>
              <x14:axisColor rgb="FF000000"/>
            </x14:dataBar>
          </x14:cfRule>
          <xm:sqref>O61:O315</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9F066-5860-4542-8A5E-C7F31B6269B4}">
  <sheetPr>
    <tabColor theme="8"/>
  </sheetPr>
  <dimension ref="A1:AF243"/>
  <sheetViews>
    <sheetView zoomScaleNormal="100" workbookViewId="0">
      <selection activeCell="A16" sqref="A16"/>
    </sheetView>
  </sheetViews>
  <sheetFormatPr defaultRowHeight="15"/>
  <cols>
    <col min="1" max="1" width="50.7109375" style="6" customWidth="1"/>
    <col min="2" max="29" width="20.7109375" style="6" customWidth="1"/>
    <col min="30" max="32" width="20.7109375" customWidth="1"/>
  </cols>
  <sheetData>
    <row r="1" spans="1:19" ht="30" customHeight="1">
      <c r="A1" s="1029" t="s">
        <v>960</v>
      </c>
      <c r="B1" s="961"/>
      <c r="C1" s="961"/>
      <c r="D1" s="961"/>
      <c r="E1" s="961"/>
      <c r="F1" s="961"/>
      <c r="G1" s="961"/>
      <c r="H1" s="961"/>
      <c r="I1" s="961"/>
      <c r="J1" s="961"/>
      <c r="K1" s="961"/>
      <c r="L1" s="961"/>
      <c r="M1" s="961"/>
      <c r="N1" s="961"/>
      <c r="O1" s="961"/>
      <c r="P1" s="961"/>
      <c r="Q1" s="961"/>
      <c r="R1" s="961"/>
      <c r="S1" s="961"/>
    </row>
    <row r="2" spans="1:19" ht="30" customHeight="1">
      <c r="A2" s="140" t="s">
        <v>108</v>
      </c>
      <c r="B2" s="140" t="s">
        <v>109</v>
      </c>
      <c r="C2" s="140" t="s">
        <v>139</v>
      </c>
      <c r="D2" s="190" t="s">
        <v>93</v>
      </c>
      <c r="E2" s="190" t="s">
        <v>94</v>
      </c>
      <c r="F2" s="190" t="s">
        <v>95</v>
      </c>
      <c r="G2" s="190" t="s">
        <v>96</v>
      </c>
      <c r="H2" s="190" t="s">
        <v>97</v>
      </c>
      <c r="I2" s="190" t="s">
        <v>98</v>
      </c>
      <c r="J2" s="190" t="s">
        <v>99</v>
      </c>
      <c r="K2" s="190" t="s">
        <v>103</v>
      </c>
      <c r="L2" s="190" t="s">
        <v>961</v>
      </c>
      <c r="M2" s="996" t="s">
        <v>112</v>
      </c>
      <c r="N2" s="996"/>
      <c r="O2" s="996"/>
      <c r="P2" s="996"/>
      <c r="Q2" s="996"/>
      <c r="R2" s="996"/>
      <c r="S2" s="996"/>
    </row>
    <row r="3" spans="1:19">
      <c r="A3" s="213" t="s">
        <v>962</v>
      </c>
      <c r="B3" s="117" t="s">
        <v>963</v>
      </c>
      <c r="C3" s="117" t="s">
        <v>963</v>
      </c>
      <c r="D3" s="214">
        <v>0</v>
      </c>
      <c r="E3" s="214">
        <v>0.01</v>
      </c>
      <c r="F3" s="214">
        <v>0.01</v>
      </c>
      <c r="G3" s="214">
        <v>0</v>
      </c>
      <c r="H3" s="214">
        <v>0</v>
      </c>
      <c r="I3" s="214">
        <v>0</v>
      </c>
      <c r="J3" s="214">
        <v>0.77</v>
      </c>
      <c r="K3" s="214">
        <v>0.12</v>
      </c>
      <c r="L3" s="214">
        <v>0.09</v>
      </c>
      <c r="M3" s="1030" t="s">
        <v>964</v>
      </c>
      <c r="N3" s="1030"/>
      <c r="O3" s="1030"/>
      <c r="P3" s="1030"/>
      <c r="Q3" s="1030"/>
      <c r="R3" s="1030"/>
      <c r="S3" s="1030"/>
    </row>
    <row r="4" spans="1:19">
      <c r="A4" s="213" t="s">
        <v>965</v>
      </c>
      <c r="B4" s="117" t="s">
        <v>963</v>
      </c>
      <c r="C4" s="117" t="s">
        <v>963</v>
      </c>
      <c r="D4" s="214">
        <v>0</v>
      </c>
      <c r="E4" s="214">
        <v>0</v>
      </c>
      <c r="F4" s="214">
        <v>0</v>
      </c>
      <c r="G4" s="214">
        <v>0</v>
      </c>
      <c r="H4" s="214">
        <v>0</v>
      </c>
      <c r="I4" s="214">
        <v>0</v>
      </c>
      <c r="J4" s="214">
        <v>0.5</v>
      </c>
      <c r="K4" s="214">
        <v>0.5</v>
      </c>
      <c r="L4" s="214">
        <v>0</v>
      </c>
      <c r="M4" s="1028" t="s">
        <v>43</v>
      </c>
      <c r="N4" s="1028"/>
      <c r="O4" s="1028"/>
      <c r="P4" s="1028"/>
      <c r="Q4" s="1028"/>
      <c r="R4" s="1028"/>
      <c r="S4" s="1028"/>
    </row>
    <row r="5" spans="1:19">
      <c r="A5" s="213" t="s">
        <v>347</v>
      </c>
      <c r="B5" s="117" t="s">
        <v>963</v>
      </c>
      <c r="C5" s="117" t="s">
        <v>963</v>
      </c>
      <c r="D5" s="214">
        <v>0</v>
      </c>
      <c r="E5" s="214">
        <v>0.5</v>
      </c>
      <c r="F5" s="214">
        <v>0</v>
      </c>
      <c r="G5" s="214">
        <v>0</v>
      </c>
      <c r="H5" s="214">
        <v>0</v>
      </c>
      <c r="I5" s="214">
        <v>0</v>
      </c>
      <c r="J5" s="214">
        <v>0.5</v>
      </c>
      <c r="K5" s="214">
        <v>0</v>
      </c>
      <c r="L5" s="214">
        <v>0</v>
      </c>
      <c r="M5" s="1028" t="s">
        <v>43</v>
      </c>
      <c r="N5" s="1028"/>
      <c r="O5" s="1028"/>
      <c r="P5" s="1028"/>
      <c r="Q5" s="1028"/>
      <c r="R5" s="1028"/>
      <c r="S5" s="1028"/>
    </row>
    <row r="6" spans="1:19">
      <c r="A6" s="213" t="s">
        <v>254</v>
      </c>
      <c r="B6" s="117" t="s">
        <v>963</v>
      </c>
      <c r="C6" s="117" t="s">
        <v>963</v>
      </c>
      <c r="D6" s="214">
        <v>0</v>
      </c>
      <c r="E6" s="214">
        <v>0.5</v>
      </c>
      <c r="F6" s="214">
        <v>0</v>
      </c>
      <c r="G6" s="214">
        <v>0</v>
      </c>
      <c r="H6" s="214">
        <v>0</v>
      </c>
      <c r="I6" s="214">
        <v>0</v>
      </c>
      <c r="J6" s="214">
        <v>0.5</v>
      </c>
      <c r="K6" s="214">
        <v>0</v>
      </c>
      <c r="L6" s="214">
        <v>0</v>
      </c>
      <c r="M6" s="1028" t="s">
        <v>43</v>
      </c>
      <c r="N6" s="1028"/>
      <c r="O6" s="1028"/>
      <c r="P6" s="1028"/>
      <c r="Q6" s="1028"/>
      <c r="R6" s="1028"/>
      <c r="S6" s="1028"/>
    </row>
    <row r="7" spans="1:19">
      <c r="A7" s="213" t="s">
        <v>252</v>
      </c>
      <c r="B7" s="117" t="s">
        <v>963</v>
      </c>
      <c r="C7" s="117" t="s">
        <v>963</v>
      </c>
      <c r="D7" s="214">
        <v>0</v>
      </c>
      <c r="E7" s="214">
        <v>0</v>
      </c>
      <c r="F7" s="214">
        <v>1</v>
      </c>
      <c r="G7" s="214">
        <v>0</v>
      </c>
      <c r="H7" s="214">
        <v>0</v>
      </c>
      <c r="I7" s="214">
        <v>0</v>
      </c>
      <c r="J7" s="214">
        <v>0</v>
      </c>
      <c r="K7" s="214">
        <v>0</v>
      </c>
      <c r="L7" s="214">
        <v>0</v>
      </c>
      <c r="M7" s="1028" t="s">
        <v>43</v>
      </c>
      <c r="N7" s="1028"/>
      <c r="O7" s="1028"/>
      <c r="P7" s="1028"/>
      <c r="Q7" s="1028"/>
      <c r="R7" s="1028"/>
      <c r="S7" s="1028"/>
    </row>
    <row r="8" spans="1:19">
      <c r="A8" s="213" t="s">
        <v>253</v>
      </c>
      <c r="B8" s="117" t="s">
        <v>963</v>
      </c>
      <c r="C8" s="117" t="s">
        <v>963</v>
      </c>
      <c r="D8" s="214">
        <v>0</v>
      </c>
      <c r="E8" s="214">
        <f>1/3</f>
        <v>0.33333333333333331</v>
      </c>
      <c r="F8" s="214">
        <f>1/3</f>
        <v>0.33333333333333331</v>
      </c>
      <c r="G8" s="214">
        <v>0</v>
      </c>
      <c r="H8" s="214">
        <v>0</v>
      </c>
      <c r="I8" s="214">
        <v>0</v>
      </c>
      <c r="J8" s="214">
        <f>1/3</f>
        <v>0.33333333333333331</v>
      </c>
      <c r="K8" s="214">
        <v>0</v>
      </c>
      <c r="L8" s="214">
        <v>0</v>
      </c>
      <c r="M8" s="1028" t="s">
        <v>43</v>
      </c>
      <c r="N8" s="1028"/>
      <c r="O8" s="1028"/>
      <c r="P8" s="1028"/>
      <c r="Q8" s="1028"/>
      <c r="R8" s="1028"/>
      <c r="S8" s="1028"/>
    </row>
    <row r="9" spans="1:19">
      <c r="A9" s="213" t="s">
        <v>199</v>
      </c>
      <c r="B9" s="117" t="s">
        <v>963</v>
      </c>
      <c r="C9" s="117" t="s">
        <v>963</v>
      </c>
      <c r="D9" s="214">
        <v>0</v>
      </c>
      <c r="E9" s="214">
        <v>0.01</v>
      </c>
      <c r="F9" s="214">
        <v>0.01</v>
      </c>
      <c r="G9" s="214">
        <v>0</v>
      </c>
      <c r="H9" s="214">
        <v>0</v>
      </c>
      <c r="I9" s="214">
        <v>0</v>
      </c>
      <c r="J9" s="214">
        <v>0.77</v>
      </c>
      <c r="K9" s="214">
        <v>0.12</v>
      </c>
      <c r="L9" s="214">
        <v>0.09</v>
      </c>
      <c r="M9" s="1030" t="s">
        <v>964</v>
      </c>
      <c r="N9" s="1030"/>
      <c r="O9" s="1030"/>
      <c r="P9" s="1030"/>
      <c r="Q9" s="1030"/>
      <c r="R9" s="1030"/>
      <c r="S9" s="1030"/>
    </row>
    <row r="10" spans="1:19">
      <c r="A10" s="213" t="s">
        <v>366</v>
      </c>
      <c r="B10" s="117" t="s">
        <v>963</v>
      </c>
      <c r="C10" s="117" t="s">
        <v>963</v>
      </c>
      <c r="D10" s="214">
        <v>0</v>
      </c>
      <c r="E10" s="214">
        <v>0</v>
      </c>
      <c r="F10" s="214">
        <v>0.2</v>
      </c>
      <c r="G10" s="214">
        <v>0</v>
      </c>
      <c r="H10" s="214">
        <v>0</v>
      </c>
      <c r="I10" s="214">
        <v>0</v>
      </c>
      <c r="J10" s="214">
        <v>0.25</v>
      </c>
      <c r="K10" s="214">
        <v>0.5</v>
      </c>
      <c r="L10" s="214">
        <v>0.05</v>
      </c>
      <c r="M10" s="1030" t="s">
        <v>966</v>
      </c>
      <c r="N10" s="1030"/>
      <c r="O10" s="1030"/>
      <c r="P10" s="1030"/>
      <c r="Q10" s="1030"/>
      <c r="R10" s="1030"/>
      <c r="S10" s="1030"/>
    </row>
    <row r="11" spans="1:19">
      <c r="A11" s="213" t="s">
        <v>356</v>
      </c>
      <c r="B11" s="117" t="s">
        <v>963</v>
      </c>
      <c r="C11" s="117" t="s">
        <v>963</v>
      </c>
      <c r="D11" s="214">
        <v>0</v>
      </c>
      <c r="E11" s="214">
        <v>0</v>
      </c>
      <c r="F11" s="214">
        <v>0.25</v>
      </c>
      <c r="G11" s="214">
        <v>0</v>
      </c>
      <c r="H11" s="214">
        <v>0</v>
      </c>
      <c r="I11" s="214">
        <v>0</v>
      </c>
      <c r="J11" s="214">
        <v>0.25</v>
      </c>
      <c r="K11" s="214">
        <v>0.25</v>
      </c>
      <c r="L11" s="214">
        <v>0.25</v>
      </c>
      <c r="M11" s="1028" t="s">
        <v>967</v>
      </c>
      <c r="N11" s="1028"/>
      <c r="O11" s="1028"/>
      <c r="P11" s="1028"/>
      <c r="Q11" s="1028"/>
      <c r="R11" s="1028"/>
      <c r="S11" s="1028"/>
    </row>
    <row r="12" spans="1:19">
      <c r="A12" s="213" t="s">
        <v>968</v>
      </c>
      <c r="B12" s="117" t="s">
        <v>963</v>
      </c>
      <c r="C12" s="117" t="s">
        <v>963</v>
      </c>
      <c r="D12" s="214">
        <v>0</v>
      </c>
      <c r="E12" s="214">
        <v>0</v>
      </c>
      <c r="F12" s="214">
        <f>1/3</f>
        <v>0.33333333333333331</v>
      </c>
      <c r="G12" s="214">
        <v>0</v>
      </c>
      <c r="H12" s="214">
        <v>0</v>
      </c>
      <c r="I12" s="214">
        <v>0</v>
      </c>
      <c r="J12" s="214">
        <f>1/3</f>
        <v>0.33333333333333331</v>
      </c>
      <c r="K12" s="214">
        <f>1/3</f>
        <v>0.33333333333333331</v>
      </c>
      <c r="L12" s="214">
        <v>0</v>
      </c>
      <c r="M12" s="1028" t="s">
        <v>43</v>
      </c>
      <c r="N12" s="1028"/>
      <c r="O12" s="1028"/>
      <c r="P12" s="1028"/>
      <c r="Q12" s="1028"/>
      <c r="R12" s="1028"/>
      <c r="S12" s="1028"/>
    </row>
    <row r="13" spans="1:19">
      <c r="A13" s="213" t="s">
        <v>358</v>
      </c>
      <c r="B13" s="117" t="s">
        <v>963</v>
      </c>
      <c r="C13" s="117" t="s">
        <v>963</v>
      </c>
      <c r="D13" s="214">
        <v>0</v>
      </c>
      <c r="E13" s="214">
        <v>0</v>
      </c>
      <c r="F13" s="214">
        <f>1/3</f>
        <v>0.33333333333333331</v>
      </c>
      <c r="G13" s="214">
        <v>0</v>
      </c>
      <c r="H13" s="214">
        <v>0</v>
      </c>
      <c r="I13" s="214">
        <v>0</v>
      </c>
      <c r="J13" s="214">
        <f>1/3</f>
        <v>0.33333333333333331</v>
      </c>
      <c r="K13" s="214">
        <f>1/3</f>
        <v>0.33333333333333331</v>
      </c>
      <c r="L13" s="214">
        <v>0</v>
      </c>
      <c r="M13" s="1028" t="s">
        <v>43</v>
      </c>
      <c r="N13" s="1028"/>
      <c r="O13" s="1028"/>
      <c r="P13" s="1028"/>
      <c r="Q13" s="1028"/>
      <c r="R13" s="1028"/>
      <c r="S13" s="1028"/>
    </row>
    <row r="14" spans="1:19">
      <c r="A14" s="213" t="s">
        <v>969</v>
      </c>
      <c r="B14" s="117" t="s">
        <v>963</v>
      </c>
      <c r="C14" s="117" t="s">
        <v>963</v>
      </c>
      <c r="D14" s="214">
        <v>0</v>
      </c>
      <c r="E14" s="214">
        <v>0.02</v>
      </c>
      <c r="F14" s="214">
        <v>0.92</v>
      </c>
      <c r="G14" s="214">
        <v>0</v>
      </c>
      <c r="H14" s="214">
        <v>0</v>
      </c>
      <c r="I14" s="214">
        <v>0</v>
      </c>
      <c r="J14" s="214">
        <v>0.05</v>
      </c>
      <c r="K14" s="214">
        <v>0.01</v>
      </c>
      <c r="L14" s="214">
        <v>0</v>
      </c>
      <c r="M14" s="1028" t="s">
        <v>970</v>
      </c>
      <c r="N14" s="1028"/>
      <c r="O14" s="1028"/>
      <c r="P14" s="1028"/>
      <c r="Q14" s="1028"/>
      <c r="R14" s="1028"/>
      <c r="S14" s="1028"/>
    </row>
    <row r="15" spans="1:19">
      <c r="A15" s="213" t="s">
        <v>971</v>
      </c>
      <c r="B15" s="117" t="s">
        <v>963</v>
      </c>
      <c r="C15" s="117" t="s">
        <v>963</v>
      </c>
      <c r="D15" s="214">
        <v>0</v>
      </c>
      <c r="E15" s="214">
        <v>0</v>
      </c>
      <c r="F15" s="214">
        <f>1/3</f>
        <v>0.33333333333333331</v>
      </c>
      <c r="G15" s="214">
        <v>0</v>
      </c>
      <c r="H15" s="214">
        <v>0</v>
      </c>
      <c r="I15" s="214">
        <v>0</v>
      </c>
      <c r="J15" s="214">
        <f>1/3</f>
        <v>0.33333333333333331</v>
      </c>
      <c r="K15" s="214">
        <f>1/3</f>
        <v>0.33333333333333331</v>
      </c>
      <c r="L15" s="214">
        <v>0</v>
      </c>
      <c r="M15" s="1028" t="s">
        <v>43</v>
      </c>
      <c r="N15" s="1028"/>
      <c r="O15" s="1028"/>
      <c r="P15" s="1028"/>
      <c r="Q15" s="1028"/>
      <c r="R15" s="1028"/>
      <c r="S15" s="1028"/>
    </row>
    <row r="16" spans="1:19">
      <c r="A16" s="213" t="s">
        <v>251</v>
      </c>
      <c r="B16" s="117" t="s">
        <v>963</v>
      </c>
      <c r="C16" s="117" t="s">
        <v>963</v>
      </c>
      <c r="D16" s="214">
        <v>0</v>
      </c>
      <c r="E16" s="214">
        <v>0</v>
      </c>
      <c r="F16" s="214">
        <f>1/3</f>
        <v>0.33333333333333331</v>
      </c>
      <c r="G16" s="214">
        <v>0</v>
      </c>
      <c r="H16" s="214">
        <v>0</v>
      </c>
      <c r="I16" s="214">
        <v>0</v>
      </c>
      <c r="J16" s="214">
        <f>1/3</f>
        <v>0.33333333333333331</v>
      </c>
      <c r="K16" s="214">
        <f>1/3</f>
        <v>0.33333333333333331</v>
      </c>
      <c r="L16" s="214">
        <v>0</v>
      </c>
      <c r="M16" s="1028" t="s">
        <v>43</v>
      </c>
      <c r="N16" s="1028"/>
      <c r="O16" s="1028"/>
      <c r="P16" s="1028"/>
      <c r="Q16" s="1028"/>
      <c r="R16" s="1028"/>
      <c r="S16" s="1028"/>
    </row>
    <row r="17" spans="1:19">
      <c r="A17" s="213" t="s">
        <v>972</v>
      </c>
      <c r="B17" s="117" t="s">
        <v>963</v>
      </c>
      <c r="C17" s="117" t="s">
        <v>963</v>
      </c>
      <c r="D17" s="214">
        <v>0</v>
      </c>
      <c r="E17" s="214">
        <v>0</v>
      </c>
      <c r="F17" s="214">
        <v>0</v>
      </c>
      <c r="G17" s="214">
        <v>0</v>
      </c>
      <c r="H17" s="214">
        <v>0</v>
      </c>
      <c r="I17" s="214">
        <v>1</v>
      </c>
      <c r="J17" s="214">
        <v>0</v>
      </c>
      <c r="K17" s="214">
        <v>0</v>
      </c>
      <c r="L17" s="214">
        <v>0</v>
      </c>
      <c r="M17" s="1028" t="s">
        <v>43</v>
      </c>
      <c r="N17" s="1028"/>
      <c r="O17" s="1028"/>
      <c r="P17" s="1028"/>
      <c r="Q17" s="1028"/>
      <c r="R17" s="1028"/>
      <c r="S17" s="1028"/>
    </row>
    <row r="19" spans="1:19" s="6" customFormat="1" ht="30" customHeight="1">
      <c r="A19" s="1029" t="s">
        <v>879</v>
      </c>
      <c r="B19" s="961"/>
      <c r="C19" s="961"/>
      <c r="D19" s="961"/>
      <c r="E19" s="961"/>
      <c r="F19" s="961"/>
      <c r="G19" s="961"/>
      <c r="H19" s="961"/>
      <c r="I19" s="961"/>
      <c r="J19" s="961"/>
      <c r="K19" s="961"/>
      <c r="L19" s="961"/>
      <c r="M19" s="961"/>
      <c r="N19" s="961"/>
      <c r="O19" s="961"/>
      <c r="P19" s="961"/>
      <c r="Q19" s="961"/>
      <c r="R19" s="961"/>
      <c r="S19" s="961"/>
    </row>
    <row r="20" spans="1:19" ht="30" customHeight="1">
      <c r="A20" s="140" t="s">
        <v>108</v>
      </c>
      <c r="B20" s="140" t="s">
        <v>109</v>
      </c>
      <c r="C20" s="140" t="s">
        <v>139</v>
      </c>
      <c r="D20" s="140" t="s">
        <v>973</v>
      </c>
      <c r="E20" s="996" t="s">
        <v>974</v>
      </c>
      <c r="F20" s="996"/>
      <c r="G20" s="1005" t="s">
        <v>112</v>
      </c>
      <c r="H20" s="1011"/>
      <c r="I20" s="996" t="s">
        <v>975</v>
      </c>
      <c r="J20" s="996"/>
      <c r="K20" s="996" t="s">
        <v>132</v>
      </c>
      <c r="L20" s="996"/>
      <c r="M20" s="996"/>
      <c r="N20" s="996"/>
      <c r="O20" s="996"/>
      <c r="P20" s="996"/>
      <c r="Q20" s="996"/>
      <c r="R20" s="996"/>
      <c r="S20" s="996"/>
    </row>
    <row r="21" spans="1:19">
      <c r="A21" s="213" t="s">
        <v>962</v>
      </c>
      <c r="B21" s="315">
        <v>2019</v>
      </c>
      <c r="C21" s="117" t="s">
        <v>188</v>
      </c>
      <c r="D21" s="184">
        <v>29.57</v>
      </c>
      <c r="E21" s="1026">
        <f>D21/$D$36</f>
        <v>7.2653562653562653E-2</v>
      </c>
      <c r="F21" s="1026"/>
      <c r="G21" s="1025" t="s">
        <v>976</v>
      </c>
      <c r="H21" s="1025"/>
      <c r="I21" s="998"/>
      <c r="J21" s="998"/>
      <c r="K21" s="998"/>
      <c r="L21" s="998"/>
      <c r="M21" s="998"/>
      <c r="N21" s="998"/>
      <c r="O21" s="998"/>
      <c r="P21" s="998"/>
      <c r="Q21" s="998"/>
      <c r="R21" s="998"/>
      <c r="S21" s="998"/>
    </row>
    <row r="22" spans="1:19">
      <c r="A22" s="213" t="s">
        <v>965</v>
      </c>
      <c r="B22" s="315">
        <v>2017</v>
      </c>
      <c r="C22" s="117" t="s">
        <v>188</v>
      </c>
      <c r="D22" s="184">
        <v>1.63</v>
      </c>
      <c r="E22" s="1026">
        <f t="shared" ref="E22:E35" si="0">D22/$D$36</f>
        <v>4.004914004914005E-3</v>
      </c>
      <c r="F22" s="1026"/>
      <c r="G22" s="1025" t="s">
        <v>43</v>
      </c>
      <c r="H22" s="1025"/>
      <c r="I22" s="998"/>
      <c r="J22" s="998"/>
      <c r="K22" s="998"/>
      <c r="L22" s="998"/>
      <c r="M22" s="998"/>
      <c r="N22" s="998"/>
      <c r="O22" s="998"/>
      <c r="P22" s="998"/>
      <c r="Q22" s="998"/>
      <c r="R22" s="998"/>
      <c r="S22" s="998"/>
    </row>
    <row r="23" spans="1:19">
      <c r="A23" s="213" t="s">
        <v>347</v>
      </c>
      <c r="B23" s="315">
        <v>2017</v>
      </c>
      <c r="C23" s="117" t="s">
        <v>188</v>
      </c>
      <c r="D23" s="184">
        <v>5.7</v>
      </c>
      <c r="E23" s="1026">
        <f t="shared" si="0"/>
        <v>1.4004914004914005E-2</v>
      </c>
      <c r="F23" s="1026"/>
      <c r="G23" s="1025" t="s">
        <v>43</v>
      </c>
      <c r="H23" s="1025"/>
      <c r="I23" s="998"/>
      <c r="J23" s="998"/>
      <c r="K23" s="998"/>
      <c r="L23" s="998"/>
      <c r="M23" s="998"/>
      <c r="N23" s="998"/>
      <c r="O23" s="998"/>
      <c r="P23" s="998"/>
      <c r="Q23" s="998"/>
      <c r="R23" s="998"/>
      <c r="S23" s="998"/>
    </row>
    <row r="24" spans="1:19">
      <c r="A24" s="213" t="s">
        <v>254</v>
      </c>
      <c r="B24" s="315">
        <v>2017</v>
      </c>
      <c r="C24" s="117" t="s">
        <v>188</v>
      </c>
      <c r="D24" s="184">
        <v>1.22</v>
      </c>
      <c r="E24" s="1026">
        <f t="shared" si="0"/>
        <v>2.9975429975429976E-3</v>
      </c>
      <c r="F24" s="1026"/>
      <c r="G24" s="1025" t="s">
        <v>43</v>
      </c>
      <c r="H24" s="1025"/>
      <c r="I24" s="998"/>
      <c r="J24" s="998"/>
      <c r="K24" s="998"/>
      <c r="L24" s="998"/>
      <c r="M24" s="998"/>
      <c r="N24" s="998"/>
      <c r="O24" s="998"/>
      <c r="P24" s="998"/>
      <c r="Q24" s="998"/>
      <c r="R24" s="998"/>
      <c r="S24" s="998"/>
    </row>
    <row r="25" spans="1:19">
      <c r="A25" s="213" t="s">
        <v>252</v>
      </c>
      <c r="B25" s="315">
        <v>2017</v>
      </c>
      <c r="C25" s="117" t="s">
        <v>188</v>
      </c>
      <c r="D25" s="184">
        <v>0.41</v>
      </c>
      <c r="E25" s="1026">
        <f t="shared" si="0"/>
        <v>1.0073710073710074E-3</v>
      </c>
      <c r="F25" s="1026"/>
      <c r="G25" s="1025" t="s">
        <v>43</v>
      </c>
      <c r="H25" s="1025"/>
      <c r="I25" s="998"/>
      <c r="J25" s="998"/>
      <c r="K25" s="998"/>
      <c r="L25" s="998"/>
      <c r="M25" s="998"/>
      <c r="N25" s="998"/>
      <c r="O25" s="998"/>
      <c r="P25" s="998"/>
      <c r="Q25" s="998"/>
      <c r="R25" s="998"/>
      <c r="S25" s="998"/>
    </row>
    <row r="26" spans="1:19">
      <c r="A26" s="213" t="s">
        <v>253</v>
      </c>
      <c r="B26" s="315">
        <v>2017</v>
      </c>
      <c r="C26" s="117" t="s">
        <v>188</v>
      </c>
      <c r="D26" s="184">
        <v>10.58</v>
      </c>
      <c r="E26" s="1026">
        <f t="shared" si="0"/>
        <v>2.5995085995085994E-2</v>
      </c>
      <c r="F26" s="1026"/>
      <c r="G26" s="1025" t="s">
        <v>43</v>
      </c>
      <c r="H26" s="1025"/>
      <c r="I26" s="998"/>
      <c r="J26" s="998"/>
      <c r="K26" s="998"/>
      <c r="L26" s="998"/>
      <c r="M26" s="998"/>
      <c r="N26" s="998"/>
      <c r="O26" s="998"/>
      <c r="P26" s="998"/>
      <c r="Q26" s="998"/>
      <c r="R26" s="998"/>
      <c r="S26" s="998"/>
    </row>
    <row r="27" spans="1:19">
      <c r="A27" s="213" t="s">
        <v>199</v>
      </c>
      <c r="B27" s="315">
        <v>2019</v>
      </c>
      <c r="C27" s="117" t="s">
        <v>188</v>
      </c>
      <c r="D27" s="184">
        <v>28.97</v>
      </c>
      <c r="E27" s="1026">
        <f t="shared" si="0"/>
        <v>7.1179361179361175E-2</v>
      </c>
      <c r="F27" s="1026"/>
      <c r="G27" s="1025" t="s">
        <v>976</v>
      </c>
      <c r="H27" s="1025"/>
      <c r="I27" s="998"/>
      <c r="J27" s="998"/>
      <c r="K27" s="998"/>
      <c r="L27" s="998"/>
      <c r="M27" s="998"/>
      <c r="N27" s="998"/>
      <c r="O27" s="998"/>
      <c r="P27" s="998"/>
      <c r="Q27" s="998"/>
      <c r="R27" s="998"/>
      <c r="S27" s="998"/>
    </row>
    <row r="28" spans="1:19">
      <c r="A28" s="213" t="s">
        <v>366</v>
      </c>
      <c r="B28" s="315">
        <v>2019</v>
      </c>
      <c r="C28" s="117" t="s">
        <v>188</v>
      </c>
      <c r="D28" s="184">
        <v>108.41</v>
      </c>
      <c r="E28" s="1026">
        <f t="shared" si="0"/>
        <v>0.26636363636363636</v>
      </c>
      <c r="F28" s="1026"/>
      <c r="G28" s="1025" t="s">
        <v>976</v>
      </c>
      <c r="H28" s="1025"/>
      <c r="I28" s="998"/>
      <c r="J28" s="998"/>
      <c r="K28" s="998"/>
      <c r="L28" s="998"/>
      <c r="M28" s="998"/>
      <c r="N28" s="998"/>
      <c r="O28" s="998"/>
      <c r="P28" s="998"/>
      <c r="Q28" s="998"/>
      <c r="R28" s="998"/>
      <c r="S28" s="998"/>
    </row>
    <row r="29" spans="1:19">
      <c r="A29" s="213" t="s">
        <v>356</v>
      </c>
      <c r="B29" s="117">
        <v>2017</v>
      </c>
      <c r="C29" s="117" t="s">
        <v>188</v>
      </c>
      <c r="D29" s="184">
        <v>56.98</v>
      </c>
      <c r="E29" s="1026">
        <f>D29/$D$36</f>
        <v>0.13999999999999999</v>
      </c>
      <c r="F29" s="1026"/>
      <c r="G29" s="1025" t="s">
        <v>43</v>
      </c>
      <c r="H29" s="1025"/>
      <c r="I29" s="998"/>
      <c r="J29" s="998"/>
      <c r="K29" s="998"/>
      <c r="L29" s="998"/>
      <c r="M29" s="998"/>
      <c r="N29" s="998"/>
      <c r="O29" s="998"/>
      <c r="P29" s="998"/>
      <c r="Q29" s="998"/>
      <c r="R29" s="998"/>
      <c r="S29" s="998"/>
    </row>
    <row r="30" spans="1:19">
      <c r="A30" s="213" t="s">
        <v>968</v>
      </c>
      <c r="B30" s="117">
        <v>2017</v>
      </c>
      <c r="C30" s="117" t="s">
        <v>188</v>
      </c>
      <c r="D30" s="184">
        <v>40.29</v>
      </c>
      <c r="E30" s="1026">
        <f t="shared" si="0"/>
        <v>9.8992628992628992E-2</v>
      </c>
      <c r="F30" s="1026"/>
      <c r="G30" s="1025" t="s">
        <v>43</v>
      </c>
      <c r="H30" s="1025"/>
      <c r="I30" s="998"/>
      <c r="J30" s="998"/>
      <c r="K30" s="998"/>
      <c r="L30" s="998"/>
      <c r="M30" s="998"/>
      <c r="N30" s="998"/>
      <c r="O30" s="998"/>
      <c r="P30" s="998"/>
      <c r="Q30" s="998"/>
      <c r="R30" s="998"/>
      <c r="S30" s="998"/>
    </row>
    <row r="31" spans="1:19">
      <c r="A31" s="213" t="s">
        <v>358</v>
      </c>
      <c r="B31" s="117">
        <v>2017</v>
      </c>
      <c r="C31" s="117" t="s">
        <v>188</v>
      </c>
      <c r="D31" s="184">
        <v>47.62</v>
      </c>
      <c r="E31" s="1026">
        <f t="shared" si="0"/>
        <v>0.117002457002457</v>
      </c>
      <c r="F31" s="1026"/>
      <c r="G31" s="1025" t="s">
        <v>43</v>
      </c>
      <c r="H31" s="1025"/>
      <c r="I31" s="998"/>
      <c r="J31" s="998"/>
      <c r="K31" s="998"/>
      <c r="L31" s="998"/>
      <c r="M31" s="998"/>
      <c r="N31" s="998"/>
      <c r="O31" s="998"/>
      <c r="P31" s="998"/>
      <c r="Q31" s="998"/>
      <c r="R31" s="998"/>
      <c r="S31" s="998"/>
    </row>
    <row r="32" spans="1:19">
      <c r="A32" s="213" t="s">
        <v>969</v>
      </c>
      <c r="B32" s="117">
        <v>2022</v>
      </c>
      <c r="C32" s="117" t="s">
        <v>188</v>
      </c>
      <c r="D32" s="184">
        <v>11.4</v>
      </c>
      <c r="E32" s="1026">
        <f t="shared" si="0"/>
        <v>2.800982800982801E-2</v>
      </c>
      <c r="F32" s="1026"/>
      <c r="G32" s="1025" t="s">
        <v>977</v>
      </c>
      <c r="H32" s="1025"/>
      <c r="I32" s="998"/>
      <c r="J32" s="998"/>
      <c r="K32" s="998"/>
      <c r="L32" s="998"/>
      <c r="M32" s="998"/>
      <c r="N32" s="998"/>
      <c r="O32" s="998"/>
      <c r="P32" s="998"/>
      <c r="Q32" s="998"/>
      <c r="R32" s="998"/>
      <c r="S32" s="998"/>
    </row>
    <row r="33" spans="1:32">
      <c r="A33" s="213" t="s">
        <v>971</v>
      </c>
      <c r="B33" s="117">
        <v>2017</v>
      </c>
      <c r="C33" s="117" t="s">
        <v>188</v>
      </c>
      <c r="D33" s="184">
        <v>15.06</v>
      </c>
      <c r="E33" s="1026">
        <f t="shared" si="0"/>
        <v>3.7002457002457002E-2</v>
      </c>
      <c r="F33" s="1026"/>
      <c r="G33" s="1025" t="s">
        <v>43</v>
      </c>
      <c r="H33" s="1025"/>
      <c r="I33" s="998"/>
      <c r="J33" s="998"/>
      <c r="K33" s="998"/>
      <c r="L33" s="998"/>
      <c r="M33" s="998"/>
      <c r="N33" s="998"/>
      <c r="O33" s="998"/>
      <c r="P33" s="998"/>
      <c r="Q33" s="998"/>
      <c r="R33" s="998"/>
      <c r="S33" s="998"/>
    </row>
    <row r="34" spans="1:32">
      <c r="A34" s="213" t="s">
        <v>251</v>
      </c>
      <c r="B34" s="117">
        <v>2017</v>
      </c>
      <c r="C34" s="117" t="s">
        <v>188</v>
      </c>
      <c r="D34" s="184">
        <f>D36-(SUM(D21:D33,D35))</f>
        <v>38.980000000000018</v>
      </c>
      <c r="E34" s="1026">
        <f t="shared" si="0"/>
        <v>9.5773955773955824E-2</v>
      </c>
      <c r="F34" s="1026"/>
      <c r="G34" s="1025"/>
      <c r="H34" s="1025"/>
      <c r="I34" s="998"/>
      <c r="J34" s="998"/>
      <c r="K34" s="998" t="s">
        <v>978</v>
      </c>
      <c r="L34" s="998"/>
      <c r="M34" s="998"/>
      <c r="N34" s="998"/>
      <c r="O34" s="998"/>
      <c r="P34" s="998"/>
      <c r="Q34" s="998"/>
      <c r="R34" s="998"/>
      <c r="S34" s="998"/>
    </row>
    <row r="35" spans="1:32">
      <c r="A35" s="213" t="s">
        <v>972</v>
      </c>
      <c r="B35" s="117">
        <v>2017</v>
      </c>
      <c r="C35" s="117" t="s">
        <v>188</v>
      </c>
      <c r="D35" s="184">
        <v>10.18</v>
      </c>
      <c r="E35" s="1026">
        <f t="shared" si="0"/>
        <v>2.5012285012285012E-2</v>
      </c>
      <c r="F35" s="1026"/>
      <c r="G35" s="1025" t="s">
        <v>43</v>
      </c>
      <c r="H35" s="1025"/>
      <c r="I35" s="998"/>
      <c r="J35" s="998"/>
      <c r="K35" s="998"/>
      <c r="L35" s="998"/>
      <c r="M35" s="998"/>
      <c r="N35" s="998"/>
      <c r="O35" s="998"/>
      <c r="P35" s="998"/>
      <c r="Q35" s="998"/>
      <c r="R35" s="998"/>
      <c r="S35" s="998"/>
    </row>
    <row r="36" spans="1:32">
      <c r="A36" s="138" t="s">
        <v>979</v>
      </c>
      <c r="B36" s="127">
        <v>2017</v>
      </c>
      <c r="C36" s="127" t="s">
        <v>188</v>
      </c>
      <c r="D36" s="137">
        <v>407</v>
      </c>
      <c r="E36" s="1027">
        <f>SUM(E21:E35)</f>
        <v>1</v>
      </c>
      <c r="F36" s="1027"/>
      <c r="G36" s="1025"/>
      <c r="H36" s="1025"/>
      <c r="I36" s="998"/>
      <c r="J36" s="998"/>
      <c r="K36" s="998"/>
      <c r="L36" s="998"/>
      <c r="M36" s="998"/>
      <c r="N36" s="998"/>
      <c r="O36" s="998"/>
      <c r="P36" s="998"/>
      <c r="Q36" s="998"/>
      <c r="R36" s="998"/>
      <c r="S36" s="998"/>
    </row>
    <row r="38" spans="1:32" ht="30" customHeight="1">
      <c r="A38" s="140" t="s">
        <v>980</v>
      </c>
      <c r="B38" s="140" t="s">
        <v>109</v>
      </c>
      <c r="C38" s="140" t="s">
        <v>139</v>
      </c>
      <c r="D38" s="190" t="s">
        <v>981</v>
      </c>
      <c r="E38" s="190" t="s">
        <v>982</v>
      </c>
      <c r="F38" s="190" t="s">
        <v>983</v>
      </c>
      <c r="G38" s="190" t="s">
        <v>984</v>
      </c>
      <c r="H38" s="190" t="s">
        <v>985</v>
      </c>
      <c r="I38" s="190" t="s">
        <v>986</v>
      </c>
      <c r="J38" s="190" t="s">
        <v>987</v>
      </c>
      <c r="K38" s="190" t="s">
        <v>988</v>
      </c>
      <c r="L38" s="190" t="s">
        <v>989</v>
      </c>
      <c r="M38" s="996" t="s">
        <v>132</v>
      </c>
      <c r="N38" s="996"/>
      <c r="O38" s="996"/>
      <c r="P38" s="996"/>
      <c r="Q38" s="996"/>
      <c r="R38" s="996"/>
      <c r="S38" s="996"/>
    </row>
    <row r="39" spans="1:32">
      <c r="A39" s="213" t="s">
        <v>116</v>
      </c>
      <c r="B39" s="117">
        <v>2019</v>
      </c>
      <c r="C39" s="117" t="s">
        <v>188</v>
      </c>
      <c r="D39" s="184">
        <f>$D21*D3</f>
        <v>0</v>
      </c>
      <c r="E39" s="184">
        <f>$D21*E3</f>
        <v>0.29570000000000002</v>
      </c>
      <c r="F39" s="184">
        <f>$D21*F3</f>
        <v>0.29570000000000002</v>
      </c>
      <c r="G39" s="184">
        <f>D21*G3</f>
        <v>0</v>
      </c>
      <c r="H39" s="184">
        <f>D21*H3</f>
        <v>0</v>
      </c>
      <c r="I39" s="184">
        <f>D21*I3</f>
        <v>0</v>
      </c>
      <c r="J39" s="184">
        <f>D21*J3</f>
        <v>22.768900000000002</v>
      </c>
      <c r="K39" s="184">
        <f>D21*K3</f>
        <v>3.5484</v>
      </c>
      <c r="L39" s="184">
        <f>D21*L3</f>
        <v>2.6612999999999998</v>
      </c>
      <c r="M39" s="1007" t="s">
        <v>990</v>
      </c>
      <c r="N39" s="1007"/>
      <c r="O39" s="1007"/>
      <c r="P39" s="1007"/>
      <c r="Q39" s="1007"/>
      <c r="R39" s="1007"/>
      <c r="S39" s="1007"/>
    </row>
    <row r="40" spans="1:32">
      <c r="A40" s="213" t="s">
        <v>121</v>
      </c>
      <c r="B40" s="117">
        <v>2017</v>
      </c>
      <c r="C40" s="117" t="s">
        <v>188</v>
      </c>
      <c r="D40" s="184">
        <f t="shared" ref="D40:L40" si="1">$D22*D4+$D23*D5+$D24*D6+$D25*D7+$D26*D8+$D27*D9</f>
        <v>0</v>
      </c>
      <c r="E40" s="184">
        <f t="shared" si="1"/>
        <v>7.2763666666666662</v>
      </c>
      <c r="F40" s="184">
        <f t="shared" si="1"/>
        <v>4.2263666666666664</v>
      </c>
      <c r="G40" s="184">
        <f t="shared" si="1"/>
        <v>0</v>
      </c>
      <c r="H40" s="184">
        <f t="shared" si="1"/>
        <v>0</v>
      </c>
      <c r="I40" s="184">
        <f t="shared" si="1"/>
        <v>0</v>
      </c>
      <c r="J40" s="184">
        <f t="shared" si="1"/>
        <v>30.108566666666665</v>
      </c>
      <c r="K40" s="184">
        <f t="shared" si="1"/>
        <v>4.2913999999999994</v>
      </c>
      <c r="L40" s="184">
        <f t="shared" si="1"/>
        <v>2.6073</v>
      </c>
      <c r="M40" s="1012" t="s">
        <v>991</v>
      </c>
      <c r="N40" s="1013"/>
      <c r="O40" s="1013"/>
      <c r="P40" s="1013"/>
      <c r="Q40" s="1013"/>
      <c r="R40" s="1013"/>
      <c r="S40" s="1014"/>
    </row>
    <row r="41" spans="1:32">
      <c r="A41" s="213" t="s">
        <v>130</v>
      </c>
      <c r="B41" s="117">
        <v>2017</v>
      </c>
      <c r="C41" s="117" t="s">
        <v>188</v>
      </c>
      <c r="D41" s="184">
        <f t="shared" ref="D41:L41" si="2">$D28*D10+$D29*D11+$D30*D12+$D31*D13+$D32*D14+$D33*D15+$D34*D16+$D35*D17</f>
        <v>0</v>
      </c>
      <c r="E41" s="184">
        <f t="shared" si="2"/>
        <v>0.22800000000000001</v>
      </c>
      <c r="F41" s="184">
        <f>$D28*F10+$D29*F11+$D30*F12+$D31*F13+$D32*F14+$D33*F15+$D34*F16+$D35*F17</f>
        <v>93.731666666666669</v>
      </c>
      <c r="G41" s="184">
        <f t="shared" si="2"/>
        <v>0</v>
      </c>
      <c r="H41" s="184">
        <f t="shared" si="2"/>
        <v>0</v>
      </c>
      <c r="I41" s="184">
        <f t="shared" si="2"/>
        <v>10.18</v>
      </c>
      <c r="J41" s="184">
        <f t="shared" si="2"/>
        <v>89.234166666666653</v>
      </c>
      <c r="K41" s="184">
        <f t="shared" si="2"/>
        <v>115.88066666666667</v>
      </c>
      <c r="L41" s="184">
        <f t="shared" si="2"/>
        <v>19.665500000000002</v>
      </c>
      <c r="M41" s="1012" t="s">
        <v>992</v>
      </c>
      <c r="N41" s="1013"/>
      <c r="O41" s="1013"/>
      <c r="P41" s="1013"/>
      <c r="Q41" s="1013"/>
      <c r="R41" s="1013"/>
      <c r="S41" s="1014"/>
    </row>
    <row r="42" spans="1:32">
      <c r="A42" s="1004" t="s">
        <v>993</v>
      </c>
      <c r="B42" s="1004"/>
      <c r="C42" s="1004"/>
      <c r="D42" s="1004"/>
      <c r="E42" s="1004"/>
      <c r="F42" s="1004"/>
      <c r="G42" s="1004"/>
      <c r="H42" s="1004"/>
      <c r="I42" s="1004"/>
      <c r="J42" s="1004"/>
      <c r="K42" s="1004"/>
      <c r="L42" s="1004"/>
      <c r="M42" s="1004"/>
      <c r="N42" s="1004"/>
      <c r="O42" s="1004"/>
      <c r="P42" s="1004"/>
      <c r="Q42" s="1004"/>
      <c r="R42" s="1004"/>
      <c r="S42" s="1004"/>
      <c r="AD42" s="6"/>
      <c r="AE42" s="6"/>
      <c r="AF42" s="6"/>
    </row>
    <row r="43" spans="1:32" ht="30" customHeight="1">
      <c r="A43" s="215"/>
      <c r="B43" s="140" t="s">
        <v>109</v>
      </c>
      <c r="C43" s="140" t="s">
        <v>139</v>
      </c>
      <c r="D43" s="1005" t="s">
        <v>994</v>
      </c>
      <c r="E43" s="1011"/>
      <c r="F43" s="1006"/>
      <c r="G43" s="1005" t="s">
        <v>995</v>
      </c>
      <c r="H43" s="1011"/>
      <c r="I43" s="1006"/>
      <c r="J43" s="1005" t="s">
        <v>996</v>
      </c>
      <c r="K43" s="1011"/>
      <c r="L43" s="1006"/>
      <c r="M43" s="996" t="s">
        <v>132</v>
      </c>
      <c r="N43" s="996"/>
      <c r="O43" s="996"/>
      <c r="P43" s="996"/>
      <c r="Q43" s="996"/>
      <c r="R43" s="996"/>
      <c r="S43" s="996"/>
      <c r="AD43" s="6"/>
      <c r="AE43" s="6"/>
      <c r="AF43" s="6"/>
    </row>
    <row r="44" spans="1:32">
      <c r="A44" s="142" t="s">
        <v>93</v>
      </c>
      <c r="B44" s="117"/>
      <c r="C44" s="117" t="s">
        <v>188</v>
      </c>
      <c r="D44" s="1015">
        <f>D39</f>
        <v>0</v>
      </c>
      <c r="E44" s="1016"/>
      <c r="F44" s="1017"/>
      <c r="G44" s="1008">
        <f>D40</f>
        <v>0</v>
      </c>
      <c r="H44" s="1009"/>
      <c r="I44" s="1010"/>
      <c r="J44" s="1008">
        <f>D41</f>
        <v>0</v>
      </c>
      <c r="K44" s="1009"/>
      <c r="L44" s="1010"/>
      <c r="M44" s="1007"/>
      <c r="N44" s="1007"/>
      <c r="O44" s="1007"/>
      <c r="P44" s="1007"/>
      <c r="Q44" s="1007"/>
      <c r="R44" s="1007"/>
      <c r="S44" s="1007"/>
    </row>
    <row r="45" spans="1:32">
      <c r="A45" s="142" t="s">
        <v>94</v>
      </c>
      <c r="B45" s="117"/>
      <c r="C45" s="117" t="s">
        <v>188</v>
      </c>
      <c r="D45" s="1015">
        <f>E39</f>
        <v>0.29570000000000002</v>
      </c>
      <c r="E45" s="1016"/>
      <c r="F45" s="1017"/>
      <c r="G45" s="1008">
        <f>E40</f>
        <v>7.2763666666666662</v>
      </c>
      <c r="H45" s="1009"/>
      <c r="I45" s="1010"/>
      <c r="J45" s="1008">
        <f>E41</f>
        <v>0.22800000000000001</v>
      </c>
      <c r="K45" s="1009"/>
      <c r="L45" s="1010"/>
      <c r="M45" s="1007"/>
      <c r="N45" s="1007"/>
      <c r="O45" s="1007"/>
      <c r="P45" s="1007"/>
      <c r="Q45" s="1007"/>
      <c r="R45" s="1007"/>
      <c r="S45" s="1007"/>
    </row>
    <row r="46" spans="1:32">
      <c r="A46" s="142" t="s">
        <v>95</v>
      </c>
      <c r="B46" s="117"/>
      <c r="C46" s="117" t="s">
        <v>188</v>
      </c>
      <c r="D46" s="1015">
        <f>F39</f>
        <v>0.29570000000000002</v>
      </c>
      <c r="E46" s="1016"/>
      <c r="F46" s="1017"/>
      <c r="G46" s="1008">
        <f>F40</f>
        <v>4.2263666666666664</v>
      </c>
      <c r="H46" s="1009"/>
      <c r="I46" s="1010"/>
      <c r="J46" s="1008">
        <f>F41</f>
        <v>93.731666666666669</v>
      </c>
      <c r="K46" s="1009"/>
      <c r="L46" s="1010"/>
      <c r="M46" s="1007"/>
      <c r="N46" s="1007"/>
      <c r="O46" s="1007"/>
      <c r="P46" s="1007"/>
      <c r="Q46" s="1007"/>
      <c r="R46" s="1007"/>
      <c r="S46" s="1007"/>
    </row>
    <row r="47" spans="1:32">
      <c r="A47" s="142" t="s">
        <v>96</v>
      </c>
      <c r="B47" s="117"/>
      <c r="C47" s="117" t="s">
        <v>188</v>
      </c>
      <c r="D47" s="1015">
        <f>G39</f>
        <v>0</v>
      </c>
      <c r="E47" s="1016"/>
      <c r="F47" s="1017"/>
      <c r="G47" s="1008">
        <f>G40</f>
        <v>0</v>
      </c>
      <c r="H47" s="1009"/>
      <c r="I47" s="1010"/>
      <c r="J47" s="1008">
        <f>G41</f>
        <v>0</v>
      </c>
      <c r="K47" s="1009"/>
      <c r="L47" s="1010"/>
      <c r="M47" s="1007"/>
      <c r="N47" s="1007"/>
      <c r="O47" s="1007"/>
      <c r="P47" s="1007"/>
      <c r="Q47" s="1007"/>
      <c r="R47" s="1007"/>
      <c r="S47" s="1007"/>
    </row>
    <row r="48" spans="1:32">
      <c r="A48" s="142" t="s">
        <v>97</v>
      </c>
      <c r="B48" s="117"/>
      <c r="C48" s="117" t="s">
        <v>188</v>
      </c>
      <c r="D48" s="1015">
        <f>H39</f>
        <v>0</v>
      </c>
      <c r="E48" s="1016"/>
      <c r="F48" s="1017"/>
      <c r="G48" s="1008">
        <f>H40</f>
        <v>0</v>
      </c>
      <c r="H48" s="1009"/>
      <c r="I48" s="1010"/>
      <c r="J48" s="1008">
        <f>H41</f>
        <v>0</v>
      </c>
      <c r="K48" s="1009"/>
      <c r="L48" s="1010"/>
      <c r="M48" s="1007"/>
      <c r="N48" s="1007"/>
      <c r="O48" s="1007"/>
      <c r="P48" s="1007"/>
      <c r="Q48" s="1007"/>
      <c r="R48" s="1007"/>
      <c r="S48" s="1007"/>
    </row>
    <row r="49" spans="1:19">
      <c r="A49" s="142" t="s">
        <v>98</v>
      </c>
      <c r="B49" s="117"/>
      <c r="C49" s="117" t="s">
        <v>188</v>
      </c>
      <c r="D49" s="1015">
        <f>I39</f>
        <v>0</v>
      </c>
      <c r="E49" s="1016"/>
      <c r="F49" s="1017"/>
      <c r="G49" s="1008">
        <f>I40</f>
        <v>0</v>
      </c>
      <c r="H49" s="1009"/>
      <c r="I49" s="1010"/>
      <c r="J49" s="1008">
        <f>I41</f>
        <v>10.18</v>
      </c>
      <c r="K49" s="1009"/>
      <c r="L49" s="1010"/>
      <c r="M49" s="1007"/>
      <c r="N49" s="1007"/>
      <c r="O49" s="1007"/>
      <c r="P49" s="1007"/>
      <c r="Q49" s="1007"/>
      <c r="R49" s="1007"/>
      <c r="S49" s="1007"/>
    </row>
    <row r="50" spans="1:19">
      <c r="A50" s="142" t="s">
        <v>99</v>
      </c>
      <c r="B50" s="117"/>
      <c r="C50" s="117" t="s">
        <v>188</v>
      </c>
      <c r="D50" s="1015">
        <f>J39</f>
        <v>22.768900000000002</v>
      </c>
      <c r="E50" s="1016"/>
      <c r="F50" s="1017"/>
      <c r="G50" s="1008">
        <f>J40</f>
        <v>30.108566666666665</v>
      </c>
      <c r="H50" s="1009"/>
      <c r="I50" s="1010"/>
      <c r="J50" s="1008">
        <f>J41</f>
        <v>89.234166666666653</v>
      </c>
      <c r="K50" s="1009"/>
      <c r="L50" s="1010"/>
      <c r="M50" s="1007"/>
      <c r="N50" s="1007"/>
      <c r="O50" s="1007"/>
      <c r="P50" s="1007"/>
      <c r="Q50" s="1007"/>
      <c r="R50" s="1007"/>
      <c r="S50" s="1007"/>
    </row>
    <row r="51" spans="1:19">
      <c r="A51" s="216" t="s">
        <v>103</v>
      </c>
      <c r="B51" s="117"/>
      <c r="C51" s="117" t="s">
        <v>188</v>
      </c>
      <c r="D51" s="1015">
        <f>K39</f>
        <v>3.5484</v>
      </c>
      <c r="E51" s="1016"/>
      <c r="F51" s="1017"/>
      <c r="G51" s="1008">
        <f>K40</f>
        <v>4.2913999999999994</v>
      </c>
      <c r="H51" s="1009"/>
      <c r="I51" s="1010"/>
      <c r="J51" s="1008">
        <f>K41</f>
        <v>115.88066666666667</v>
      </c>
      <c r="K51" s="1009"/>
      <c r="L51" s="1010"/>
      <c r="M51" s="1007"/>
      <c r="N51" s="1007"/>
      <c r="O51" s="1007"/>
      <c r="P51" s="1007"/>
      <c r="Q51" s="1007"/>
      <c r="R51" s="1007"/>
      <c r="S51" s="1007"/>
    </row>
    <row r="52" spans="1:19">
      <c r="A52" s="142" t="s">
        <v>961</v>
      </c>
      <c r="B52" s="117"/>
      <c r="C52" s="117" t="s">
        <v>188</v>
      </c>
      <c r="D52" s="1015">
        <f>L39</f>
        <v>2.6612999999999998</v>
      </c>
      <c r="E52" s="1016"/>
      <c r="F52" s="1017"/>
      <c r="G52" s="1008">
        <f>L40</f>
        <v>2.6073</v>
      </c>
      <c r="H52" s="1009"/>
      <c r="I52" s="1010"/>
      <c r="J52" s="1008">
        <f>L41</f>
        <v>19.665500000000002</v>
      </c>
      <c r="K52" s="1009"/>
      <c r="L52" s="1010"/>
      <c r="M52" s="1007"/>
      <c r="N52" s="1007"/>
      <c r="O52" s="1007"/>
      <c r="P52" s="1007"/>
      <c r="Q52" s="1007"/>
      <c r="R52" s="1007"/>
      <c r="S52" s="1007"/>
    </row>
    <row r="54" spans="1:19" ht="30" customHeight="1">
      <c r="A54" s="140" t="s">
        <v>108</v>
      </c>
      <c r="B54" s="140" t="s">
        <v>109</v>
      </c>
      <c r="C54" s="140" t="s">
        <v>139</v>
      </c>
      <c r="D54" s="190" t="s">
        <v>981</v>
      </c>
      <c r="E54" s="190" t="s">
        <v>982</v>
      </c>
      <c r="F54" s="190" t="s">
        <v>983</v>
      </c>
      <c r="G54" s="190" t="s">
        <v>984</v>
      </c>
      <c r="H54" s="190" t="s">
        <v>985</v>
      </c>
      <c r="I54" s="190" t="s">
        <v>986</v>
      </c>
      <c r="J54" s="190" t="s">
        <v>987</v>
      </c>
      <c r="K54" s="190" t="s">
        <v>988</v>
      </c>
      <c r="L54" s="190" t="s">
        <v>989</v>
      </c>
      <c r="M54" s="996" t="s">
        <v>132</v>
      </c>
      <c r="N54" s="996"/>
      <c r="O54" s="996"/>
      <c r="P54" s="996"/>
      <c r="Q54" s="996"/>
      <c r="R54" s="996"/>
      <c r="S54" s="996"/>
    </row>
    <row r="55" spans="1:19">
      <c r="A55" s="213" t="s">
        <v>962</v>
      </c>
      <c r="B55" s="117">
        <v>2017</v>
      </c>
      <c r="C55" s="117" t="s">
        <v>188</v>
      </c>
      <c r="D55" s="184">
        <f t="shared" ref="D55:L55" si="3">$D21*D3</f>
        <v>0</v>
      </c>
      <c r="E55" s="184">
        <f t="shared" si="3"/>
        <v>0.29570000000000002</v>
      </c>
      <c r="F55" s="184">
        <f t="shared" si="3"/>
        <v>0.29570000000000002</v>
      </c>
      <c r="G55" s="184">
        <f t="shared" si="3"/>
        <v>0</v>
      </c>
      <c r="H55" s="184">
        <f t="shared" si="3"/>
        <v>0</v>
      </c>
      <c r="I55" s="184">
        <f t="shared" si="3"/>
        <v>0</v>
      </c>
      <c r="J55" s="184">
        <f t="shared" si="3"/>
        <v>22.768900000000002</v>
      </c>
      <c r="K55" s="184">
        <f t="shared" si="3"/>
        <v>3.5484</v>
      </c>
      <c r="L55" s="184">
        <f t="shared" si="3"/>
        <v>2.6612999999999998</v>
      </c>
      <c r="M55" s="1007"/>
      <c r="N55" s="1007"/>
      <c r="O55" s="1007"/>
      <c r="P55" s="1007"/>
      <c r="Q55" s="1007"/>
      <c r="R55" s="1007"/>
      <c r="S55" s="1007"/>
    </row>
    <row r="56" spans="1:19">
      <c r="A56" s="213" t="s">
        <v>965</v>
      </c>
      <c r="B56" s="117">
        <v>2017</v>
      </c>
      <c r="C56" s="117" t="s">
        <v>188</v>
      </c>
      <c r="D56" s="184">
        <f t="shared" ref="D56:L56" si="4">$D22*D4</f>
        <v>0</v>
      </c>
      <c r="E56" s="184">
        <f t="shared" si="4"/>
        <v>0</v>
      </c>
      <c r="F56" s="184">
        <f t="shared" si="4"/>
        <v>0</v>
      </c>
      <c r="G56" s="184">
        <f t="shared" si="4"/>
        <v>0</v>
      </c>
      <c r="H56" s="184">
        <f t="shared" si="4"/>
        <v>0</v>
      </c>
      <c r="I56" s="184">
        <f t="shared" si="4"/>
        <v>0</v>
      </c>
      <c r="J56" s="184">
        <f t="shared" si="4"/>
        <v>0.81499999999999995</v>
      </c>
      <c r="K56" s="184">
        <f t="shared" si="4"/>
        <v>0.81499999999999995</v>
      </c>
      <c r="L56" s="184">
        <f t="shared" si="4"/>
        <v>0</v>
      </c>
      <c r="M56" s="1007"/>
      <c r="N56" s="1007"/>
      <c r="O56" s="1007"/>
      <c r="P56" s="1007"/>
      <c r="Q56" s="1007"/>
      <c r="R56" s="1007"/>
      <c r="S56" s="1007"/>
    </row>
    <row r="57" spans="1:19">
      <c r="A57" s="213" t="s">
        <v>347</v>
      </c>
      <c r="B57" s="117">
        <v>2017</v>
      </c>
      <c r="C57" s="117" t="s">
        <v>188</v>
      </c>
      <c r="D57" s="184">
        <f t="shared" ref="D57:L57" si="5">$D23*D5</f>
        <v>0</v>
      </c>
      <c r="E57" s="184">
        <f t="shared" si="5"/>
        <v>2.85</v>
      </c>
      <c r="F57" s="184">
        <f t="shared" si="5"/>
        <v>0</v>
      </c>
      <c r="G57" s="184">
        <f t="shared" si="5"/>
        <v>0</v>
      </c>
      <c r="H57" s="184">
        <f t="shared" si="5"/>
        <v>0</v>
      </c>
      <c r="I57" s="184">
        <f t="shared" si="5"/>
        <v>0</v>
      </c>
      <c r="J57" s="184">
        <f t="shared" si="5"/>
        <v>2.85</v>
      </c>
      <c r="K57" s="184">
        <f t="shared" si="5"/>
        <v>0</v>
      </c>
      <c r="L57" s="184">
        <f t="shared" si="5"/>
        <v>0</v>
      </c>
      <c r="M57" s="1007"/>
      <c r="N57" s="1007"/>
      <c r="O57" s="1007"/>
      <c r="P57" s="1007"/>
      <c r="Q57" s="1007"/>
      <c r="R57" s="1007"/>
      <c r="S57" s="1007"/>
    </row>
    <row r="58" spans="1:19">
      <c r="A58" s="213" t="s">
        <v>254</v>
      </c>
      <c r="B58" s="117">
        <v>2017</v>
      </c>
      <c r="C58" s="117" t="s">
        <v>188</v>
      </c>
      <c r="D58" s="184">
        <f t="shared" ref="D58:L58" si="6">$D24*D6</f>
        <v>0</v>
      </c>
      <c r="E58" s="184">
        <f t="shared" si="6"/>
        <v>0.61</v>
      </c>
      <c r="F58" s="184">
        <f t="shared" si="6"/>
        <v>0</v>
      </c>
      <c r="G58" s="184">
        <f t="shared" si="6"/>
        <v>0</v>
      </c>
      <c r="H58" s="184">
        <f t="shared" si="6"/>
        <v>0</v>
      </c>
      <c r="I58" s="184">
        <f t="shared" si="6"/>
        <v>0</v>
      </c>
      <c r="J58" s="184">
        <f t="shared" si="6"/>
        <v>0.61</v>
      </c>
      <c r="K58" s="184">
        <f t="shared" si="6"/>
        <v>0</v>
      </c>
      <c r="L58" s="184">
        <f t="shared" si="6"/>
        <v>0</v>
      </c>
      <c r="M58" s="1007"/>
      <c r="N58" s="1007"/>
      <c r="O58" s="1007"/>
      <c r="P58" s="1007"/>
      <c r="Q58" s="1007"/>
      <c r="R58" s="1007"/>
      <c r="S58" s="1007"/>
    </row>
    <row r="59" spans="1:19">
      <c r="A59" s="213" t="s">
        <v>252</v>
      </c>
      <c r="B59" s="117">
        <v>2017</v>
      </c>
      <c r="C59" s="117" t="s">
        <v>188</v>
      </c>
      <c r="D59" s="184">
        <f t="shared" ref="D59:L59" si="7">$D25*D7</f>
        <v>0</v>
      </c>
      <c r="E59" s="184">
        <f t="shared" si="7"/>
        <v>0</v>
      </c>
      <c r="F59" s="184">
        <f t="shared" si="7"/>
        <v>0.41</v>
      </c>
      <c r="G59" s="184">
        <f t="shared" si="7"/>
        <v>0</v>
      </c>
      <c r="H59" s="184">
        <f t="shared" si="7"/>
        <v>0</v>
      </c>
      <c r="I59" s="184">
        <f t="shared" si="7"/>
        <v>0</v>
      </c>
      <c r="J59" s="184">
        <f t="shared" si="7"/>
        <v>0</v>
      </c>
      <c r="K59" s="184">
        <f t="shared" si="7"/>
        <v>0</v>
      </c>
      <c r="L59" s="184">
        <f t="shared" si="7"/>
        <v>0</v>
      </c>
      <c r="M59" s="1007"/>
      <c r="N59" s="1007"/>
      <c r="O59" s="1007"/>
      <c r="P59" s="1007"/>
      <c r="Q59" s="1007"/>
      <c r="R59" s="1007"/>
      <c r="S59" s="1007"/>
    </row>
    <row r="60" spans="1:19">
      <c r="A60" s="213" t="s">
        <v>253</v>
      </c>
      <c r="B60" s="117">
        <v>2017</v>
      </c>
      <c r="C60" s="117" t="s">
        <v>188</v>
      </c>
      <c r="D60" s="184">
        <f t="shared" ref="D60:L60" si="8">$D26*D8</f>
        <v>0</v>
      </c>
      <c r="E60" s="184">
        <f t="shared" si="8"/>
        <v>3.5266666666666664</v>
      </c>
      <c r="F60" s="184">
        <f t="shared" si="8"/>
        <v>3.5266666666666664</v>
      </c>
      <c r="G60" s="184">
        <f t="shared" si="8"/>
        <v>0</v>
      </c>
      <c r="H60" s="184">
        <f t="shared" si="8"/>
        <v>0</v>
      </c>
      <c r="I60" s="184">
        <f t="shared" si="8"/>
        <v>0</v>
      </c>
      <c r="J60" s="184">
        <f t="shared" si="8"/>
        <v>3.5266666666666664</v>
      </c>
      <c r="K60" s="184">
        <f t="shared" si="8"/>
        <v>0</v>
      </c>
      <c r="L60" s="184">
        <f t="shared" si="8"/>
        <v>0</v>
      </c>
      <c r="M60" s="1007"/>
      <c r="N60" s="1007"/>
      <c r="O60" s="1007"/>
      <c r="P60" s="1007"/>
      <c r="Q60" s="1007"/>
      <c r="R60" s="1007"/>
      <c r="S60" s="1007"/>
    </row>
    <row r="61" spans="1:19">
      <c r="A61" s="213" t="s">
        <v>199</v>
      </c>
      <c r="B61" s="117">
        <v>2017</v>
      </c>
      <c r="C61" s="117" t="s">
        <v>188</v>
      </c>
      <c r="D61" s="184">
        <f t="shared" ref="D61:L61" si="9">$D27*D9</f>
        <v>0</v>
      </c>
      <c r="E61" s="184">
        <f t="shared" si="9"/>
        <v>0.28970000000000001</v>
      </c>
      <c r="F61" s="184">
        <f t="shared" si="9"/>
        <v>0.28970000000000001</v>
      </c>
      <c r="G61" s="184">
        <f t="shared" si="9"/>
        <v>0</v>
      </c>
      <c r="H61" s="184">
        <f t="shared" si="9"/>
        <v>0</v>
      </c>
      <c r="I61" s="184">
        <f t="shared" si="9"/>
        <v>0</v>
      </c>
      <c r="J61" s="184">
        <f t="shared" si="9"/>
        <v>22.306899999999999</v>
      </c>
      <c r="K61" s="184">
        <f t="shared" si="9"/>
        <v>3.4763999999999999</v>
      </c>
      <c r="L61" s="184">
        <f t="shared" si="9"/>
        <v>2.6073</v>
      </c>
      <c r="M61" s="1007"/>
      <c r="N61" s="1007"/>
      <c r="O61" s="1007"/>
      <c r="P61" s="1007"/>
      <c r="Q61" s="1007"/>
      <c r="R61" s="1007"/>
      <c r="S61" s="1007"/>
    </row>
    <row r="62" spans="1:19">
      <c r="A62" s="213" t="s">
        <v>366</v>
      </c>
      <c r="B62" s="117">
        <v>2017</v>
      </c>
      <c r="C62" s="117" t="s">
        <v>188</v>
      </c>
      <c r="D62" s="184">
        <f t="shared" ref="D62:L62" si="10">$D28*D10</f>
        <v>0</v>
      </c>
      <c r="E62" s="184">
        <f t="shared" si="10"/>
        <v>0</v>
      </c>
      <c r="F62" s="184">
        <f>$D28*F10</f>
        <v>21.682000000000002</v>
      </c>
      <c r="G62" s="184">
        <f t="shared" si="10"/>
        <v>0</v>
      </c>
      <c r="H62" s="184">
        <f t="shared" si="10"/>
        <v>0</v>
      </c>
      <c r="I62" s="184">
        <f t="shared" si="10"/>
        <v>0</v>
      </c>
      <c r="J62" s="184">
        <f t="shared" si="10"/>
        <v>27.102499999999999</v>
      </c>
      <c r="K62" s="184">
        <f t="shared" si="10"/>
        <v>54.204999999999998</v>
      </c>
      <c r="L62" s="184">
        <f t="shared" si="10"/>
        <v>5.4205000000000005</v>
      </c>
      <c r="M62" s="1007"/>
      <c r="N62" s="1007"/>
      <c r="O62" s="1007"/>
      <c r="P62" s="1007"/>
      <c r="Q62" s="1007"/>
      <c r="R62" s="1007"/>
      <c r="S62" s="1007"/>
    </row>
    <row r="63" spans="1:19">
      <c r="A63" s="213" t="s">
        <v>356</v>
      </c>
      <c r="B63" s="117">
        <v>2017</v>
      </c>
      <c r="C63" s="117" t="s">
        <v>188</v>
      </c>
      <c r="D63" s="184">
        <f t="shared" ref="D63:L63" si="11">$D29*D11</f>
        <v>0</v>
      </c>
      <c r="E63" s="184">
        <f t="shared" si="11"/>
        <v>0</v>
      </c>
      <c r="F63" s="184">
        <f t="shared" si="11"/>
        <v>14.244999999999999</v>
      </c>
      <c r="G63" s="184">
        <f t="shared" si="11"/>
        <v>0</v>
      </c>
      <c r="H63" s="184">
        <f t="shared" si="11"/>
        <v>0</v>
      </c>
      <c r="I63" s="184">
        <f t="shared" si="11"/>
        <v>0</v>
      </c>
      <c r="J63" s="184">
        <f t="shared" si="11"/>
        <v>14.244999999999999</v>
      </c>
      <c r="K63" s="184">
        <f t="shared" si="11"/>
        <v>14.244999999999999</v>
      </c>
      <c r="L63" s="184">
        <f t="shared" si="11"/>
        <v>14.244999999999999</v>
      </c>
      <c r="M63" s="1007"/>
      <c r="N63" s="1007"/>
      <c r="O63" s="1007"/>
      <c r="P63" s="1007"/>
      <c r="Q63" s="1007"/>
      <c r="R63" s="1007"/>
      <c r="S63" s="1007"/>
    </row>
    <row r="64" spans="1:19">
      <c r="A64" s="213" t="s">
        <v>968</v>
      </c>
      <c r="B64" s="117">
        <v>2017</v>
      </c>
      <c r="C64" s="117" t="s">
        <v>188</v>
      </c>
      <c r="D64" s="184">
        <f t="shared" ref="D64:L64" si="12">$D30*D12</f>
        <v>0</v>
      </c>
      <c r="E64" s="184">
        <f t="shared" si="12"/>
        <v>0</v>
      </c>
      <c r="F64" s="184">
        <f t="shared" si="12"/>
        <v>13.43</v>
      </c>
      <c r="G64" s="184">
        <f t="shared" si="12"/>
        <v>0</v>
      </c>
      <c r="H64" s="184">
        <f t="shared" si="12"/>
        <v>0</v>
      </c>
      <c r="I64" s="184">
        <f t="shared" si="12"/>
        <v>0</v>
      </c>
      <c r="J64" s="184">
        <f t="shared" si="12"/>
        <v>13.43</v>
      </c>
      <c r="K64" s="184">
        <f t="shared" si="12"/>
        <v>13.43</v>
      </c>
      <c r="L64" s="184">
        <f t="shared" si="12"/>
        <v>0</v>
      </c>
      <c r="M64" s="1007"/>
      <c r="N64" s="1007"/>
      <c r="O64" s="1007"/>
      <c r="P64" s="1007"/>
      <c r="Q64" s="1007"/>
      <c r="R64" s="1007"/>
      <c r="S64" s="1007"/>
    </row>
    <row r="65" spans="1:19">
      <c r="A65" s="213" t="s">
        <v>358</v>
      </c>
      <c r="B65" s="117">
        <v>2017</v>
      </c>
      <c r="C65" s="117" t="s">
        <v>188</v>
      </c>
      <c r="D65" s="184">
        <f t="shared" ref="D65:L65" si="13">$D31*D13</f>
        <v>0</v>
      </c>
      <c r="E65" s="184">
        <f t="shared" si="13"/>
        <v>0</v>
      </c>
      <c r="F65" s="184">
        <f t="shared" si="13"/>
        <v>15.873333333333331</v>
      </c>
      <c r="G65" s="184">
        <f t="shared" si="13"/>
        <v>0</v>
      </c>
      <c r="H65" s="184">
        <f t="shared" si="13"/>
        <v>0</v>
      </c>
      <c r="I65" s="184">
        <f t="shared" si="13"/>
        <v>0</v>
      </c>
      <c r="J65" s="184">
        <f t="shared" si="13"/>
        <v>15.873333333333331</v>
      </c>
      <c r="K65" s="184">
        <f t="shared" si="13"/>
        <v>15.873333333333331</v>
      </c>
      <c r="L65" s="184">
        <f t="shared" si="13"/>
        <v>0</v>
      </c>
      <c r="M65" s="1007"/>
      <c r="N65" s="1007"/>
      <c r="O65" s="1007"/>
      <c r="P65" s="1007"/>
      <c r="Q65" s="1007"/>
      <c r="R65" s="1007"/>
      <c r="S65" s="1007"/>
    </row>
    <row r="66" spans="1:19">
      <c r="A66" s="213" t="s">
        <v>969</v>
      </c>
      <c r="B66" s="117">
        <v>2017</v>
      </c>
      <c r="C66" s="117" t="s">
        <v>188</v>
      </c>
      <c r="D66" s="184">
        <f t="shared" ref="D66:L66" si="14">$D32*D14</f>
        <v>0</v>
      </c>
      <c r="E66" s="184">
        <f t="shared" si="14"/>
        <v>0.22800000000000001</v>
      </c>
      <c r="F66" s="184">
        <f t="shared" si="14"/>
        <v>10.488000000000001</v>
      </c>
      <c r="G66" s="184">
        <f t="shared" si="14"/>
        <v>0</v>
      </c>
      <c r="H66" s="184">
        <f t="shared" si="14"/>
        <v>0</v>
      </c>
      <c r="I66" s="184">
        <f t="shared" si="14"/>
        <v>0</v>
      </c>
      <c r="J66" s="184">
        <f t="shared" si="14"/>
        <v>0.57000000000000006</v>
      </c>
      <c r="K66" s="184">
        <f t="shared" si="14"/>
        <v>0.114</v>
      </c>
      <c r="L66" s="184">
        <f t="shared" si="14"/>
        <v>0</v>
      </c>
      <c r="M66" s="1007"/>
      <c r="N66" s="1007"/>
      <c r="O66" s="1007"/>
      <c r="P66" s="1007"/>
      <c r="Q66" s="1007"/>
      <c r="R66" s="1007"/>
      <c r="S66" s="1007"/>
    </row>
    <row r="67" spans="1:19">
      <c r="A67" s="213" t="s">
        <v>971</v>
      </c>
      <c r="B67" s="117">
        <v>2017</v>
      </c>
      <c r="C67" s="117" t="s">
        <v>188</v>
      </c>
      <c r="D67" s="184">
        <f t="shared" ref="D67:L67" si="15">$D33*D15</f>
        <v>0</v>
      </c>
      <c r="E67" s="184">
        <f t="shared" si="15"/>
        <v>0</v>
      </c>
      <c r="F67" s="184">
        <f t="shared" si="15"/>
        <v>5.0199999999999996</v>
      </c>
      <c r="G67" s="184">
        <f t="shared" si="15"/>
        <v>0</v>
      </c>
      <c r="H67" s="184">
        <f t="shared" si="15"/>
        <v>0</v>
      </c>
      <c r="I67" s="184">
        <f t="shared" si="15"/>
        <v>0</v>
      </c>
      <c r="J67" s="184">
        <f t="shared" si="15"/>
        <v>5.0199999999999996</v>
      </c>
      <c r="K67" s="184">
        <f t="shared" si="15"/>
        <v>5.0199999999999996</v>
      </c>
      <c r="L67" s="184">
        <f t="shared" si="15"/>
        <v>0</v>
      </c>
      <c r="M67" s="1007"/>
      <c r="N67" s="1007"/>
      <c r="O67" s="1007"/>
      <c r="P67" s="1007"/>
      <c r="Q67" s="1007"/>
      <c r="R67" s="1007"/>
      <c r="S67" s="1007"/>
    </row>
    <row r="68" spans="1:19">
      <c r="A68" s="213" t="s">
        <v>251</v>
      </c>
      <c r="B68" s="117">
        <v>2017</v>
      </c>
      <c r="C68" s="117" t="s">
        <v>188</v>
      </c>
      <c r="D68" s="184">
        <f t="shared" ref="D68:L68" si="16">$D34*D16</f>
        <v>0</v>
      </c>
      <c r="E68" s="184">
        <f t="shared" si="16"/>
        <v>0</v>
      </c>
      <c r="F68" s="184">
        <f t="shared" si="16"/>
        <v>12.993333333333339</v>
      </c>
      <c r="G68" s="184">
        <f t="shared" si="16"/>
        <v>0</v>
      </c>
      <c r="H68" s="184">
        <f t="shared" si="16"/>
        <v>0</v>
      </c>
      <c r="I68" s="184">
        <f t="shared" si="16"/>
        <v>0</v>
      </c>
      <c r="J68" s="184">
        <f t="shared" si="16"/>
        <v>12.993333333333339</v>
      </c>
      <c r="K68" s="184">
        <f t="shared" si="16"/>
        <v>12.993333333333339</v>
      </c>
      <c r="L68" s="184">
        <f t="shared" si="16"/>
        <v>0</v>
      </c>
      <c r="M68" s="1007"/>
      <c r="N68" s="1007"/>
      <c r="O68" s="1007"/>
      <c r="P68" s="1007"/>
      <c r="Q68" s="1007"/>
      <c r="R68" s="1007"/>
      <c r="S68" s="1007"/>
    </row>
    <row r="69" spans="1:19">
      <c r="A69" s="213" t="s">
        <v>972</v>
      </c>
      <c r="B69" s="117">
        <v>2017</v>
      </c>
      <c r="C69" s="117" t="s">
        <v>188</v>
      </c>
      <c r="D69" s="184">
        <f t="shared" ref="D69:L69" si="17">$D35*D17</f>
        <v>0</v>
      </c>
      <c r="E69" s="184">
        <f t="shared" si="17"/>
        <v>0</v>
      </c>
      <c r="F69" s="184">
        <f t="shared" si="17"/>
        <v>0</v>
      </c>
      <c r="G69" s="184">
        <f t="shared" si="17"/>
        <v>0</v>
      </c>
      <c r="H69" s="184">
        <f t="shared" si="17"/>
        <v>0</v>
      </c>
      <c r="I69" s="184">
        <f t="shared" si="17"/>
        <v>10.18</v>
      </c>
      <c r="J69" s="184">
        <f t="shared" si="17"/>
        <v>0</v>
      </c>
      <c r="K69" s="184">
        <f t="shared" si="17"/>
        <v>0</v>
      </c>
      <c r="L69" s="184">
        <f t="shared" si="17"/>
        <v>0</v>
      </c>
      <c r="M69" s="1007"/>
      <c r="N69" s="1007"/>
      <c r="O69" s="1007"/>
      <c r="P69" s="1007"/>
      <c r="Q69" s="1007"/>
      <c r="R69" s="1007"/>
      <c r="S69" s="1007"/>
    </row>
    <row r="71" spans="1:19" s="6" customFormat="1" ht="30" customHeight="1">
      <c r="A71" s="966" t="s">
        <v>884</v>
      </c>
      <c r="B71" s="966"/>
      <c r="C71" s="966"/>
      <c r="D71" s="966"/>
      <c r="E71" s="966"/>
      <c r="F71" s="966"/>
      <c r="G71" s="966"/>
      <c r="H71" s="966"/>
      <c r="I71" s="966"/>
      <c r="J71" s="966"/>
      <c r="K71" s="966"/>
      <c r="L71" s="966"/>
      <c r="M71" s="966"/>
      <c r="N71" s="966"/>
      <c r="O71" s="966"/>
      <c r="P71" s="966"/>
      <c r="Q71" s="966"/>
      <c r="R71" s="966"/>
      <c r="S71" s="966"/>
    </row>
    <row r="72" spans="1:19" ht="30" customHeight="1">
      <c r="A72" s="139" t="s">
        <v>108</v>
      </c>
      <c r="B72" s="139" t="s">
        <v>109</v>
      </c>
      <c r="C72" s="139" t="s">
        <v>139</v>
      </c>
      <c r="D72" s="139" t="s">
        <v>973</v>
      </c>
      <c r="E72" s="1021" t="s">
        <v>112</v>
      </c>
      <c r="F72" s="1022"/>
      <c r="G72" s="1022"/>
      <c r="H72" s="1023"/>
      <c r="I72" s="1024" t="s">
        <v>975</v>
      </c>
      <c r="J72" s="1024"/>
      <c r="K72" s="1024" t="s">
        <v>132</v>
      </c>
      <c r="L72" s="1024"/>
      <c r="M72" s="1024"/>
      <c r="N72" s="1024"/>
      <c r="O72" s="1024"/>
      <c r="P72" s="1024"/>
      <c r="Q72" s="1024"/>
      <c r="R72" s="1024"/>
      <c r="S72" s="1024"/>
    </row>
    <row r="73" spans="1:19">
      <c r="A73" s="213" t="s">
        <v>962</v>
      </c>
      <c r="B73" s="117">
        <v>2017</v>
      </c>
      <c r="C73" s="117" t="s">
        <v>190</v>
      </c>
      <c r="D73" s="184">
        <f t="shared" ref="D73:D87" si="18">E21*$D$88</f>
        <v>606.73285145454543</v>
      </c>
      <c r="E73" s="1018"/>
      <c r="F73" s="1019"/>
      <c r="G73" s="1019"/>
      <c r="H73" s="1020"/>
      <c r="I73" s="998"/>
      <c r="J73" s="998"/>
      <c r="K73" s="998" t="s">
        <v>134</v>
      </c>
      <c r="L73" s="998"/>
      <c r="M73" s="998"/>
      <c r="N73" s="998"/>
      <c r="O73" s="998"/>
      <c r="P73" s="998"/>
      <c r="Q73" s="998"/>
      <c r="R73" s="998"/>
      <c r="S73" s="998"/>
    </row>
    <row r="74" spans="1:19">
      <c r="A74" s="213" t="s">
        <v>965</v>
      </c>
      <c r="B74" s="117">
        <v>2017</v>
      </c>
      <c r="C74" s="117" t="s">
        <v>190</v>
      </c>
      <c r="D74" s="184">
        <f t="shared" si="18"/>
        <v>33.44519945454546</v>
      </c>
      <c r="E74" s="1018"/>
      <c r="F74" s="1019"/>
      <c r="G74" s="1019"/>
      <c r="H74" s="1020"/>
      <c r="I74" s="998"/>
      <c r="J74" s="998"/>
      <c r="K74" s="998" t="s">
        <v>134</v>
      </c>
      <c r="L74" s="998"/>
      <c r="M74" s="998"/>
      <c r="N74" s="998"/>
      <c r="O74" s="998"/>
      <c r="P74" s="998"/>
      <c r="Q74" s="998"/>
      <c r="R74" s="998"/>
      <c r="S74" s="998"/>
    </row>
    <row r="75" spans="1:19">
      <c r="A75" s="213" t="s">
        <v>347</v>
      </c>
      <c r="B75" s="117">
        <v>2017</v>
      </c>
      <c r="C75" s="117" t="s">
        <v>190</v>
      </c>
      <c r="D75" s="184">
        <f t="shared" si="18"/>
        <v>116.95560545454546</v>
      </c>
      <c r="E75" s="1018"/>
      <c r="F75" s="1019"/>
      <c r="G75" s="1019"/>
      <c r="H75" s="1020"/>
      <c r="I75" s="998"/>
      <c r="J75" s="998"/>
      <c r="K75" s="998" t="s">
        <v>134</v>
      </c>
      <c r="L75" s="998"/>
      <c r="M75" s="998"/>
      <c r="N75" s="998"/>
      <c r="O75" s="998"/>
      <c r="P75" s="998"/>
      <c r="Q75" s="998"/>
      <c r="R75" s="998"/>
      <c r="S75" s="998"/>
    </row>
    <row r="76" spans="1:19">
      <c r="A76" s="213" t="s">
        <v>254</v>
      </c>
      <c r="B76" s="117">
        <v>2017</v>
      </c>
      <c r="C76" s="117" t="s">
        <v>190</v>
      </c>
      <c r="D76" s="184">
        <f t="shared" si="18"/>
        <v>25.032603272727275</v>
      </c>
      <c r="E76" s="1018"/>
      <c r="F76" s="1019"/>
      <c r="G76" s="1019"/>
      <c r="H76" s="1020"/>
      <c r="I76" s="998"/>
      <c r="J76" s="998"/>
      <c r="K76" s="998" t="s">
        <v>134</v>
      </c>
      <c r="L76" s="998"/>
      <c r="M76" s="998"/>
      <c r="N76" s="998"/>
      <c r="O76" s="998"/>
      <c r="P76" s="998"/>
      <c r="Q76" s="998"/>
      <c r="R76" s="998"/>
      <c r="S76" s="998"/>
    </row>
    <row r="77" spans="1:19">
      <c r="A77" s="213" t="s">
        <v>252</v>
      </c>
      <c r="B77" s="117">
        <v>2017</v>
      </c>
      <c r="C77" s="117" t="s">
        <v>190</v>
      </c>
      <c r="D77" s="184">
        <f t="shared" si="18"/>
        <v>8.4125961818181825</v>
      </c>
      <c r="E77" s="1018"/>
      <c r="F77" s="1019"/>
      <c r="G77" s="1019"/>
      <c r="H77" s="1020"/>
      <c r="I77" s="998"/>
      <c r="J77" s="998"/>
      <c r="K77" s="998" t="s">
        <v>134</v>
      </c>
      <c r="L77" s="998"/>
      <c r="M77" s="998"/>
      <c r="N77" s="998"/>
      <c r="O77" s="998"/>
      <c r="P77" s="998"/>
      <c r="Q77" s="998"/>
      <c r="R77" s="998"/>
      <c r="S77" s="998"/>
    </row>
    <row r="78" spans="1:19">
      <c r="A78" s="213" t="s">
        <v>253</v>
      </c>
      <c r="B78" s="117">
        <v>2017</v>
      </c>
      <c r="C78" s="117" t="s">
        <v>190</v>
      </c>
      <c r="D78" s="184">
        <f t="shared" si="18"/>
        <v>217.08601854545455</v>
      </c>
      <c r="E78" s="1018"/>
      <c r="F78" s="1019"/>
      <c r="G78" s="1019"/>
      <c r="H78" s="1020"/>
      <c r="I78" s="998"/>
      <c r="J78" s="998"/>
      <c r="K78" s="998" t="s">
        <v>134</v>
      </c>
      <c r="L78" s="998"/>
      <c r="M78" s="998"/>
      <c r="N78" s="998"/>
      <c r="O78" s="998"/>
      <c r="P78" s="998"/>
      <c r="Q78" s="998"/>
      <c r="R78" s="998"/>
      <c r="S78" s="998"/>
    </row>
    <row r="79" spans="1:19">
      <c r="A79" s="213" t="s">
        <v>199</v>
      </c>
      <c r="B79" s="117">
        <v>2017</v>
      </c>
      <c r="C79" s="117" t="s">
        <v>190</v>
      </c>
      <c r="D79" s="184">
        <f t="shared" si="18"/>
        <v>594.42173509090912</v>
      </c>
      <c r="E79" s="1018"/>
      <c r="F79" s="1019"/>
      <c r="G79" s="1019"/>
      <c r="H79" s="1020"/>
      <c r="I79" s="998"/>
      <c r="J79" s="998"/>
      <c r="K79" s="998" t="s">
        <v>134</v>
      </c>
      <c r="L79" s="998"/>
      <c r="M79" s="998"/>
      <c r="N79" s="998"/>
      <c r="O79" s="998"/>
      <c r="P79" s="998"/>
      <c r="Q79" s="998"/>
      <c r="R79" s="998"/>
      <c r="S79" s="998"/>
    </row>
    <row r="80" spans="1:19">
      <c r="A80" s="213" t="s">
        <v>366</v>
      </c>
      <c r="B80" s="117">
        <v>2017</v>
      </c>
      <c r="C80" s="117" t="s">
        <v>190</v>
      </c>
      <c r="D80" s="184">
        <f t="shared" si="18"/>
        <v>2224.4135416363638</v>
      </c>
      <c r="E80" s="1018"/>
      <c r="F80" s="1019"/>
      <c r="G80" s="1019"/>
      <c r="H80" s="1020"/>
      <c r="I80" s="998"/>
      <c r="J80" s="998"/>
      <c r="K80" s="998" t="s">
        <v>134</v>
      </c>
      <c r="L80" s="998"/>
      <c r="M80" s="998"/>
      <c r="N80" s="998"/>
      <c r="O80" s="998"/>
      <c r="P80" s="998"/>
      <c r="Q80" s="998"/>
      <c r="R80" s="998"/>
      <c r="S80" s="998"/>
    </row>
    <row r="81" spans="1:19">
      <c r="A81" s="213" t="s">
        <v>356</v>
      </c>
      <c r="B81" s="117">
        <v>2017</v>
      </c>
      <c r="C81" s="117" t="s">
        <v>190</v>
      </c>
      <c r="D81" s="184">
        <f t="shared" si="18"/>
        <v>1169.1456839999998</v>
      </c>
      <c r="E81" s="1018"/>
      <c r="F81" s="1019"/>
      <c r="G81" s="1019"/>
      <c r="H81" s="1020"/>
      <c r="I81" s="998"/>
      <c r="J81" s="998"/>
      <c r="K81" s="998" t="s">
        <v>134</v>
      </c>
      <c r="L81" s="998"/>
      <c r="M81" s="998"/>
      <c r="N81" s="998"/>
      <c r="O81" s="998"/>
      <c r="P81" s="998"/>
      <c r="Q81" s="998"/>
      <c r="R81" s="998"/>
      <c r="S81" s="998"/>
    </row>
    <row r="82" spans="1:19">
      <c r="A82" s="213" t="s">
        <v>968</v>
      </c>
      <c r="B82" s="117">
        <v>2017</v>
      </c>
      <c r="C82" s="117" t="s">
        <v>190</v>
      </c>
      <c r="D82" s="184">
        <f t="shared" si="18"/>
        <v>826.69146381818189</v>
      </c>
      <c r="E82" s="1018"/>
      <c r="F82" s="1019"/>
      <c r="G82" s="1019"/>
      <c r="H82" s="1020"/>
      <c r="I82" s="998"/>
      <c r="J82" s="998"/>
      <c r="K82" s="998" t="s">
        <v>134</v>
      </c>
      <c r="L82" s="998"/>
      <c r="M82" s="998"/>
      <c r="N82" s="998"/>
      <c r="O82" s="998"/>
      <c r="P82" s="998"/>
      <c r="Q82" s="998"/>
      <c r="R82" s="998"/>
      <c r="S82" s="998"/>
    </row>
    <row r="83" spans="1:19">
      <c r="A83" s="213" t="s">
        <v>358</v>
      </c>
      <c r="B83" s="117">
        <v>2017</v>
      </c>
      <c r="C83" s="117" t="s">
        <v>190</v>
      </c>
      <c r="D83" s="184">
        <f t="shared" si="18"/>
        <v>977.09226872727277</v>
      </c>
      <c r="E83" s="1018"/>
      <c r="F83" s="1019"/>
      <c r="G83" s="1019"/>
      <c r="H83" s="1020"/>
      <c r="I83" s="998"/>
      <c r="J83" s="998"/>
      <c r="K83" s="998" t="s">
        <v>134</v>
      </c>
      <c r="L83" s="998"/>
      <c r="M83" s="998"/>
      <c r="N83" s="998"/>
      <c r="O83" s="998"/>
      <c r="P83" s="998"/>
      <c r="Q83" s="998"/>
      <c r="R83" s="998"/>
      <c r="S83" s="998"/>
    </row>
    <row r="84" spans="1:19">
      <c r="A84" s="213" t="s">
        <v>969</v>
      </c>
      <c r="B84" s="117">
        <v>2017</v>
      </c>
      <c r="C84" s="117" t="s">
        <v>190</v>
      </c>
      <c r="D84" s="184">
        <v>200</v>
      </c>
      <c r="E84" s="1018"/>
      <c r="F84" s="1019"/>
      <c r="G84" s="1019"/>
      <c r="H84" s="1020"/>
      <c r="I84" s="998"/>
      <c r="J84" s="998"/>
      <c r="K84" s="998" t="s">
        <v>134</v>
      </c>
      <c r="L84" s="998"/>
      <c r="M84" s="998"/>
      <c r="N84" s="998"/>
      <c r="O84" s="998"/>
      <c r="P84" s="998"/>
      <c r="Q84" s="998"/>
      <c r="R84" s="998"/>
      <c r="S84" s="998"/>
    </row>
    <row r="85" spans="1:19">
      <c r="A85" s="213" t="s">
        <v>971</v>
      </c>
      <c r="B85" s="117">
        <v>2017</v>
      </c>
      <c r="C85" s="117" t="s">
        <v>190</v>
      </c>
      <c r="D85" s="184">
        <f t="shared" si="18"/>
        <v>309.00902072727274</v>
      </c>
      <c r="E85" s="1018"/>
      <c r="F85" s="1019"/>
      <c r="G85" s="1019"/>
      <c r="H85" s="1020"/>
      <c r="I85" s="998"/>
      <c r="J85" s="998"/>
      <c r="K85" s="998" t="s">
        <v>134</v>
      </c>
      <c r="L85" s="998"/>
      <c r="M85" s="998"/>
      <c r="N85" s="998"/>
      <c r="O85" s="998"/>
      <c r="P85" s="998"/>
      <c r="Q85" s="998"/>
      <c r="R85" s="998"/>
      <c r="S85" s="998"/>
    </row>
    <row r="86" spans="1:19">
      <c r="A86" s="213" t="s">
        <v>251</v>
      </c>
      <c r="B86" s="117">
        <v>2017</v>
      </c>
      <c r="C86" s="117" t="s">
        <v>190</v>
      </c>
      <c r="D86" s="184">
        <f>D88-(SUM(D73:D85,D87))</f>
        <v>833.7234040000003</v>
      </c>
      <c r="E86" s="1018"/>
      <c r="F86" s="1019"/>
      <c r="G86" s="1019"/>
      <c r="H86" s="1020"/>
      <c r="I86" s="998"/>
      <c r="J86" s="998"/>
      <c r="K86" s="998" t="s">
        <v>134</v>
      </c>
      <c r="L86" s="998"/>
      <c r="M86" s="998"/>
      <c r="N86" s="998"/>
      <c r="O86" s="998"/>
      <c r="P86" s="998"/>
      <c r="Q86" s="998"/>
      <c r="R86" s="998"/>
      <c r="S86" s="998"/>
    </row>
    <row r="87" spans="1:19">
      <c r="A87" s="213" t="s">
        <v>972</v>
      </c>
      <c r="B87" s="117">
        <v>2017</v>
      </c>
      <c r="C87" s="117" t="s">
        <v>190</v>
      </c>
      <c r="D87" s="184">
        <f t="shared" si="18"/>
        <v>208.87860763636365</v>
      </c>
      <c r="E87" s="1018"/>
      <c r="F87" s="1019"/>
      <c r="G87" s="1019"/>
      <c r="H87" s="1020"/>
      <c r="I87" s="998"/>
      <c r="J87" s="998"/>
      <c r="K87" s="998" t="s">
        <v>134</v>
      </c>
      <c r="L87" s="998"/>
      <c r="M87" s="998"/>
      <c r="N87" s="998"/>
      <c r="O87" s="998"/>
      <c r="P87" s="998"/>
      <c r="Q87" s="998"/>
      <c r="R87" s="998"/>
      <c r="S87" s="998"/>
    </row>
    <row r="88" spans="1:19">
      <c r="A88" s="138" t="s">
        <v>979</v>
      </c>
      <c r="B88" s="127">
        <v>2017</v>
      </c>
      <c r="C88" s="117" t="s">
        <v>190</v>
      </c>
      <c r="D88" s="185">
        <f>(25.9*511800000/1000000)*0.63</f>
        <v>8351.0406000000003</v>
      </c>
      <c r="E88" s="1018" t="s">
        <v>133</v>
      </c>
      <c r="F88" s="1019"/>
      <c r="G88" s="1019" t="s">
        <v>133</v>
      </c>
      <c r="H88" s="1020"/>
      <c r="I88" s="998"/>
      <c r="J88" s="998"/>
      <c r="K88" s="998"/>
      <c r="L88" s="998"/>
      <c r="M88" s="998"/>
      <c r="N88" s="998"/>
      <c r="O88" s="998"/>
      <c r="P88" s="998"/>
      <c r="Q88" s="998"/>
      <c r="R88" s="998"/>
      <c r="S88" s="998"/>
    </row>
    <row r="90" spans="1:19" ht="30" customHeight="1">
      <c r="A90" s="140" t="s">
        <v>980</v>
      </c>
      <c r="B90" s="140" t="s">
        <v>109</v>
      </c>
      <c r="C90" s="140" t="s">
        <v>139</v>
      </c>
      <c r="D90" s="190" t="s">
        <v>981</v>
      </c>
      <c r="E90" s="190" t="s">
        <v>982</v>
      </c>
      <c r="F90" s="190" t="s">
        <v>983</v>
      </c>
      <c r="G90" s="190" t="s">
        <v>984</v>
      </c>
      <c r="H90" s="190" t="s">
        <v>985</v>
      </c>
      <c r="I90" s="190" t="s">
        <v>986</v>
      </c>
      <c r="J90" s="190" t="s">
        <v>987</v>
      </c>
      <c r="K90" s="190" t="s">
        <v>988</v>
      </c>
      <c r="L90" s="190" t="s">
        <v>989</v>
      </c>
      <c r="M90" s="996" t="s">
        <v>132</v>
      </c>
      <c r="N90" s="996"/>
      <c r="O90" s="996"/>
      <c r="P90" s="996"/>
      <c r="Q90" s="996"/>
      <c r="R90" s="996"/>
      <c r="S90" s="996"/>
    </row>
    <row r="91" spans="1:19">
      <c r="A91" s="213" t="s">
        <v>116</v>
      </c>
      <c r="B91" s="117">
        <v>2017</v>
      </c>
      <c r="C91" s="117" t="s">
        <v>190</v>
      </c>
      <c r="D91" s="184">
        <f t="shared" ref="D91:L91" si="19">$D73*D3</f>
        <v>0</v>
      </c>
      <c r="E91" s="184">
        <f>$D73*E3</f>
        <v>6.0673285145454541</v>
      </c>
      <c r="F91" s="184">
        <f t="shared" si="19"/>
        <v>6.0673285145454541</v>
      </c>
      <c r="G91" s="184">
        <f t="shared" si="19"/>
        <v>0</v>
      </c>
      <c r="H91" s="184">
        <f t="shared" si="19"/>
        <v>0</v>
      </c>
      <c r="I91" s="184">
        <f t="shared" si="19"/>
        <v>0</v>
      </c>
      <c r="J91" s="184">
        <f t="shared" si="19"/>
        <v>467.18429562</v>
      </c>
      <c r="K91" s="184">
        <f t="shared" si="19"/>
        <v>72.807942174545445</v>
      </c>
      <c r="L91" s="184">
        <f t="shared" si="19"/>
        <v>54.605956630909084</v>
      </c>
      <c r="M91" s="1007" t="s">
        <v>990</v>
      </c>
      <c r="N91" s="1007"/>
      <c r="O91" s="1007"/>
      <c r="P91" s="1007"/>
      <c r="Q91" s="1007"/>
      <c r="R91" s="1007"/>
      <c r="S91" s="1007"/>
    </row>
    <row r="92" spans="1:19">
      <c r="A92" s="213" t="s">
        <v>121</v>
      </c>
      <c r="B92" s="117">
        <v>2017</v>
      </c>
      <c r="C92" s="117" t="s">
        <v>190</v>
      </c>
      <c r="D92" s="184">
        <f t="shared" ref="D92:L92" si="20">$D74*D4+$D75*D5+$D76*D6+$D77*D7+$D78*D8+$D79*D9</f>
        <v>0</v>
      </c>
      <c r="E92" s="184">
        <f t="shared" si="20"/>
        <v>149.30032789636365</v>
      </c>
      <c r="F92" s="184">
        <f t="shared" si="20"/>
        <v>86.718819714545447</v>
      </c>
      <c r="G92" s="184">
        <f t="shared" si="20"/>
        <v>0</v>
      </c>
      <c r="H92" s="184">
        <f t="shared" si="20"/>
        <v>0</v>
      </c>
      <c r="I92" s="184">
        <f t="shared" si="20"/>
        <v>0</v>
      </c>
      <c r="J92" s="184">
        <f t="shared" si="20"/>
        <v>617.78344629272738</v>
      </c>
      <c r="K92" s="184">
        <f t="shared" si="20"/>
        <v>88.053207938181828</v>
      </c>
      <c r="L92" s="184">
        <f t="shared" si="20"/>
        <v>53.497956158181822</v>
      </c>
      <c r="M92" s="1012" t="s">
        <v>991</v>
      </c>
      <c r="N92" s="1013"/>
      <c r="O92" s="1013"/>
      <c r="P92" s="1013"/>
      <c r="Q92" s="1013"/>
      <c r="R92" s="1013"/>
      <c r="S92" s="1014"/>
    </row>
    <row r="93" spans="1:19">
      <c r="A93" s="213" t="s">
        <v>130</v>
      </c>
      <c r="B93" s="117">
        <v>2017</v>
      </c>
      <c r="C93" s="117" t="s">
        <v>190</v>
      </c>
      <c r="D93" s="184">
        <f t="shared" ref="D93:L93" si="21">$D80*D10+$D81*D11+$D82*D12+$D83*D13+$D84*D14+$D85*D15+$D86*D16+$D87*D17</f>
        <v>0</v>
      </c>
      <c r="E93" s="184">
        <f t="shared" si="21"/>
        <v>4</v>
      </c>
      <c r="F93" s="184">
        <f t="shared" si="21"/>
        <v>1903.3411817515153</v>
      </c>
      <c r="G93" s="184">
        <f t="shared" si="21"/>
        <v>0</v>
      </c>
      <c r="H93" s="184">
        <f t="shared" si="21"/>
        <v>0</v>
      </c>
      <c r="I93" s="184">
        <f t="shared" si="21"/>
        <v>208.87860763636365</v>
      </c>
      <c r="J93" s="184">
        <f t="shared" si="21"/>
        <v>1840.5618588333332</v>
      </c>
      <c r="K93" s="184">
        <f t="shared" si="21"/>
        <v>2388.6652442424243</v>
      </c>
      <c r="L93" s="184">
        <f t="shared" si="21"/>
        <v>403.50709808181819</v>
      </c>
      <c r="M93" s="1012" t="s">
        <v>997</v>
      </c>
      <c r="N93" s="1013"/>
      <c r="O93" s="1013"/>
      <c r="P93" s="1013"/>
      <c r="Q93" s="1013"/>
      <c r="R93" s="1013"/>
      <c r="S93" s="1014"/>
    </row>
    <row r="94" spans="1:19">
      <c r="A94" s="1004" t="s">
        <v>993</v>
      </c>
      <c r="B94" s="1004"/>
      <c r="C94" s="1004"/>
      <c r="D94" s="1004"/>
      <c r="E94" s="1004"/>
      <c r="F94" s="1004"/>
      <c r="G94" s="1004"/>
      <c r="H94" s="1004"/>
      <c r="I94" s="1004"/>
      <c r="J94" s="1004"/>
      <c r="K94" s="1004"/>
      <c r="L94" s="1004"/>
      <c r="M94" s="1004"/>
      <c r="N94" s="1004"/>
      <c r="O94" s="1004"/>
      <c r="P94" s="1004"/>
      <c r="Q94" s="1004"/>
      <c r="R94" s="1004"/>
      <c r="S94" s="1004"/>
    </row>
    <row r="95" spans="1:19" ht="30" customHeight="1">
      <c r="A95" s="215"/>
      <c r="B95" s="140" t="s">
        <v>109</v>
      </c>
      <c r="C95" s="140" t="s">
        <v>139</v>
      </c>
      <c r="D95" s="1005" t="s">
        <v>994</v>
      </c>
      <c r="E95" s="1011"/>
      <c r="F95" s="1006"/>
      <c r="G95" s="1005" t="s">
        <v>995</v>
      </c>
      <c r="H95" s="1011"/>
      <c r="I95" s="1006"/>
      <c r="J95" s="1005" t="s">
        <v>996</v>
      </c>
      <c r="K95" s="1011"/>
      <c r="L95" s="1006"/>
      <c r="M95" s="996" t="s">
        <v>132</v>
      </c>
      <c r="N95" s="996"/>
      <c r="O95" s="996"/>
      <c r="P95" s="996"/>
      <c r="Q95" s="996"/>
      <c r="R95" s="996"/>
      <c r="S95" s="996"/>
    </row>
    <row r="96" spans="1:19">
      <c r="A96" s="142" t="s">
        <v>93</v>
      </c>
      <c r="B96" s="117">
        <v>2017</v>
      </c>
      <c r="C96" s="117" t="s">
        <v>190</v>
      </c>
      <c r="D96" s="1008">
        <f>D91</f>
        <v>0</v>
      </c>
      <c r="E96" s="1009"/>
      <c r="F96" s="1010"/>
      <c r="G96" s="1008">
        <f>D92</f>
        <v>0</v>
      </c>
      <c r="H96" s="1009"/>
      <c r="I96" s="1010"/>
      <c r="J96" s="1008">
        <f>D93</f>
        <v>0</v>
      </c>
      <c r="K96" s="1009"/>
      <c r="L96" s="1010"/>
      <c r="M96" s="1007"/>
      <c r="N96" s="1007"/>
      <c r="O96" s="1007"/>
      <c r="P96" s="1007"/>
      <c r="Q96" s="1007"/>
      <c r="R96" s="1007"/>
      <c r="S96" s="1007"/>
    </row>
    <row r="97" spans="1:19">
      <c r="A97" s="142" t="s">
        <v>94</v>
      </c>
      <c r="B97" s="117">
        <v>2017</v>
      </c>
      <c r="C97" s="117" t="s">
        <v>190</v>
      </c>
      <c r="D97" s="1008">
        <f>E91</f>
        <v>6.0673285145454541</v>
      </c>
      <c r="E97" s="1009"/>
      <c r="F97" s="1010"/>
      <c r="G97" s="1008">
        <f>E92</f>
        <v>149.30032789636365</v>
      </c>
      <c r="H97" s="1009"/>
      <c r="I97" s="1010"/>
      <c r="J97" s="1008">
        <f>E93</f>
        <v>4</v>
      </c>
      <c r="K97" s="1009"/>
      <c r="L97" s="1010"/>
      <c r="M97" s="1007"/>
      <c r="N97" s="1007"/>
      <c r="O97" s="1007"/>
      <c r="P97" s="1007"/>
      <c r="Q97" s="1007"/>
      <c r="R97" s="1007"/>
      <c r="S97" s="1007"/>
    </row>
    <row r="98" spans="1:19">
      <c r="A98" s="142" t="s">
        <v>95</v>
      </c>
      <c r="B98" s="117">
        <v>2017</v>
      </c>
      <c r="C98" s="117" t="s">
        <v>190</v>
      </c>
      <c r="D98" s="1008">
        <f>F91</f>
        <v>6.0673285145454541</v>
      </c>
      <c r="E98" s="1009"/>
      <c r="F98" s="1010"/>
      <c r="G98" s="1008">
        <f>F92</f>
        <v>86.718819714545447</v>
      </c>
      <c r="H98" s="1009"/>
      <c r="I98" s="1010"/>
      <c r="J98" s="1008">
        <f>F93</f>
        <v>1903.3411817515153</v>
      </c>
      <c r="K98" s="1009"/>
      <c r="L98" s="1010"/>
      <c r="M98" s="1007"/>
      <c r="N98" s="1007"/>
      <c r="O98" s="1007"/>
      <c r="P98" s="1007"/>
      <c r="Q98" s="1007"/>
      <c r="R98" s="1007"/>
      <c r="S98" s="1007"/>
    </row>
    <row r="99" spans="1:19">
      <c r="A99" s="142" t="s">
        <v>96</v>
      </c>
      <c r="B99" s="117">
        <v>2017</v>
      </c>
      <c r="C99" s="117" t="s">
        <v>190</v>
      </c>
      <c r="D99" s="1008">
        <f>G91</f>
        <v>0</v>
      </c>
      <c r="E99" s="1009"/>
      <c r="F99" s="1010"/>
      <c r="G99" s="1008">
        <f>G92</f>
        <v>0</v>
      </c>
      <c r="H99" s="1009"/>
      <c r="I99" s="1010"/>
      <c r="J99" s="1008">
        <f>G93</f>
        <v>0</v>
      </c>
      <c r="K99" s="1009"/>
      <c r="L99" s="1010"/>
      <c r="M99" s="1007"/>
      <c r="N99" s="1007"/>
      <c r="O99" s="1007"/>
      <c r="P99" s="1007"/>
      <c r="Q99" s="1007"/>
      <c r="R99" s="1007"/>
      <c r="S99" s="1007"/>
    </row>
    <row r="100" spans="1:19">
      <c r="A100" s="142" t="s">
        <v>97</v>
      </c>
      <c r="B100" s="117">
        <v>2017</v>
      </c>
      <c r="C100" s="117" t="s">
        <v>190</v>
      </c>
      <c r="D100" s="1008">
        <f>H91</f>
        <v>0</v>
      </c>
      <c r="E100" s="1009"/>
      <c r="F100" s="1010"/>
      <c r="G100" s="1008">
        <f>H92</f>
        <v>0</v>
      </c>
      <c r="H100" s="1009"/>
      <c r="I100" s="1010"/>
      <c r="J100" s="1008">
        <f>H93</f>
        <v>0</v>
      </c>
      <c r="K100" s="1009"/>
      <c r="L100" s="1010"/>
      <c r="M100" s="1007"/>
      <c r="N100" s="1007"/>
      <c r="O100" s="1007"/>
      <c r="P100" s="1007"/>
      <c r="Q100" s="1007"/>
      <c r="R100" s="1007"/>
      <c r="S100" s="1007"/>
    </row>
    <row r="101" spans="1:19">
      <c r="A101" s="142" t="s">
        <v>98</v>
      </c>
      <c r="B101" s="117">
        <v>2017</v>
      </c>
      <c r="C101" s="117" t="s">
        <v>190</v>
      </c>
      <c r="D101" s="1008">
        <f>I91</f>
        <v>0</v>
      </c>
      <c r="E101" s="1009"/>
      <c r="F101" s="1010"/>
      <c r="G101" s="1008">
        <f>I92</f>
        <v>0</v>
      </c>
      <c r="H101" s="1009"/>
      <c r="I101" s="1010"/>
      <c r="J101" s="1008">
        <f>I93</f>
        <v>208.87860763636365</v>
      </c>
      <c r="K101" s="1009"/>
      <c r="L101" s="1010"/>
      <c r="M101" s="1007"/>
      <c r="N101" s="1007"/>
      <c r="O101" s="1007"/>
      <c r="P101" s="1007"/>
      <c r="Q101" s="1007"/>
      <c r="R101" s="1007"/>
      <c r="S101" s="1007"/>
    </row>
    <row r="102" spans="1:19">
      <c r="A102" s="142" t="s">
        <v>99</v>
      </c>
      <c r="B102" s="117">
        <v>2017</v>
      </c>
      <c r="C102" s="117" t="s">
        <v>190</v>
      </c>
      <c r="D102" s="1008">
        <f>J91</f>
        <v>467.18429562</v>
      </c>
      <c r="E102" s="1009"/>
      <c r="F102" s="1010"/>
      <c r="G102" s="1008">
        <f>J92</f>
        <v>617.78344629272738</v>
      </c>
      <c r="H102" s="1009"/>
      <c r="I102" s="1010"/>
      <c r="J102" s="1008">
        <f>J93</f>
        <v>1840.5618588333332</v>
      </c>
      <c r="K102" s="1009"/>
      <c r="L102" s="1010"/>
      <c r="M102" s="1007"/>
      <c r="N102" s="1007"/>
      <c r="O102" s="1007"/>
      <c r="P102" s="1007"/>
      <c r="Q102" s="1007"/>
      <c r="R102" s="1007"/>
      <c r="S102" s="1007"/>
    </row>
    <row r="103" spans="1:19">
      <c r="A103" s="216" t="s">
        <v>103</v>
      </c>
      <c r="B103" s="117">
        <v>2017</v>
      </c>
      <c r="C103" s="117" t="s">
        <v>190</v>
      </c>
      <c r="D103" s="1008">
        <f>K91</f>
        <v>72.807942174545445</v>
      </c>
      <c r="E103" s="1009"/>
      <c r="F103" s="1010"/>
      <c r="G103" s="1008">
        <f>K92</f>
        <v>88.053207938181828</v>
      </c>
      <c r="H103" s="1009"/>
      <c r="I103" s="1010"/>
      <c r="J103" s="1008">
        <f>K93</f>
        <v>2388.6652442424243</v>
      </c>
      <c r="K103" s="1009"/>
      <c r="L103" s="1010"/>
      <c r="M103" s="1007"/>
      <c r="N103" s="1007"/>
      <c r="O103" s="1007"/>
      <c r="P103" s="1007"/>
      <c r="Q103" s="1007"/>
      <c r="R103" s="1007"/>
      <c r="S103" s="1007"/>
    </row>
    <row r="104" spans="1:19">
      <c r="A104" s="142" t="s">
        <v>961</v>
      </c>
      <c r="B104" s="117">
        <v>2017</v>
      </c>
      <c r="C104" s="117" t="s">
        <v>190</v>
      </c>
      <c r="D104" s="1008">
        <f>L91</f>
        <v>54.605956630909084</v>
      </c>
      <c r="E104" s="1009"/>
      <c r="F104" s="1010"/>
      <c r="G104" s="1008">
        <f>L92</f>
        <v>53.497956158181822</v>
      </c>
      <c r="H104" s="1009"/>
      <c r="I104" s="1010"/>
      <c r="J104" s="1008">
        <f>L93</f>
        <v>403.50709808181819</v>
      </c>
      <c r="K104" s="1009"/>
      <c r="L104" s="1010"/>
      <c r="M104" s="1007"/>
      <c r="N104" s="1007"/>
      <c r="O104" s="1007"/>
      <c r="P104" s="1007"/>
      <c r="Q104" s="1007"/>
      <c r="R104" s="1007"/>
      <c r="S104" s="1007"/>
    </row>
    <row r="106" spans="1:19" s="6" customFormat="1" ht="30" customHeight="1">
      <c r="A106" s="966" t="s">
        <v>15</v>
      </c>
      <c r="B106" s="966"/>
      <c r="C106" s="966"/>
      <c r="D106" s="966"/>
      <c r="E106" s="966"/>
      <c r="F106" s="966"/>
      <c r="G106" s="966"/>
      <c r="H106" s="966"/>
      <c r="I106" s="966"/>
      <c r="J106" s="966"/>
      <c r="K106" s="966"/>
      <c r="L106" s="966"/>
      <c r="M106" s="966"/>
      <c r="N106" s="966"/>
      <c r="O106" s="966"/>
      <c r="P106" s="966"/>
      <c r="Q106" s="966"/>
      <c r="R106" s="966"/>
      <c r="S106" s="966"/>
    </row>
    <row r="107" spans="1:19">
      <c r="A107" s="1004" t="s">
        <v>998</v>
      </c>
      <c r="B107" s="1004"/>
      <c r="C107" s="1004"/>
      <c r="D107" s="1004"/>
      <c r="E107" s="1004"/>
      <c r="F107" s="1004"/>
      <c r="G107" s="1004"/>
      <c r="H107" s="1004"/>
      <c r="I107" s="1004"/>
      <c r="J107" s="1004"/>
      <c r="K107" s="1004"/>
      <c r="L107" s="1004"/>
      <c r="M107" s="1004"/>
      <c r="N107" s="1004"/>
      <c r="O107" s="1004"/>
      <c r="P107" s="1004"/>
      <c r="Q107" s="1004"/>
      <c r="R107" s="1004"/>
      <c r="S107" s="1004"/>
    </row>
    <row r="108" spans="1:19" ht="30" customHeight="1">
      <c r="A108" s="140" t="s">
        <v>137</v>
      </c>
      <c r="B108" s="1005" t="s">
        <v>138</v>
      </c>
      <c r="C108" s="1006"/>
      <c r="D108" s="140" t="s">
        <v>139</v>
      </c>
      <c r="E108" s="190" t="s">
        <v>93</v>
      </c>
      <c r="F108" s="190" t="s">
        <v>94</v>
      </c>
      <c r="G108" s="190" t="s">
        <v>95</v>
      </c>
      <c r="H108" s="190" t="s">
        <v>96</v>
      </c>
      <c r="I108" s="190" t="s">
        <v>97</v>
      </c>
      <c r="J108" s="190" t="s">
        <v>98</v>
      </c>
      <c r="K108" s="190" t="s">
        <v>99</v>
      </c>
      <c r="L108" s="190" t="s">
        <v>103</v>
      </c>
      <c r="M108" s="190" t="s">
        <v>961</v>
      </c>
      <c r="N108" s="996" t="s">
        <v>132</v>
      </c>
      <c r="O108" s="996"/>
      <c r="P108" s="996"/>
      <c r="Q108" s="996"/>
      <c r="R108" s="996"/>
      <c r="S108" s="996"/>
    </row>
    <row r="109" spans="1:19">
      <c r="A109" s="213" t="s">
        <v>116</v>
      </c>
      <c r="B109" s="1003" t="s">
        <v>205</v>
      </c>
      <c r="C109" s="1003"/>
      <c r="D109" s="117" t="s">
        <v>999</v>
      </c>
      <c r="E109" s="186">
        <f>IF(D$39=0, 0, D55/D$39)</f>
        <v>0</v>
      </c>
      <c r="F109" s="186">
        <f>IF(E$39=0, 0, E55/E$39)</f>
        <v>1</v>
      </c>
      <c r="G109" s="186">
        <f t="shared" ref="G109:M109" si="22">IF(F$39=0, 0, F55/F$39)</f>
        <v>1</v>
      </c>
      <c r="H109" s="186">
        <f t="shared" si="22"/>
        <v>0</v>
      </c>
      <c r="I109" s="186">
        <f t="shared" si="22"/>
        <v>0</v>
      </c>
      <c r="J109" s="186">
        <f t="shared" si="22"/>
        <v>0</v>
      </c>
      <c r="K109" s="186">
        <f t="shared" si="22"/>
        <v>1</v>
      </c>
      <c r="L109" s="186">
        <f t="shared" si="22"/>
        <v>1</v>
      </c>
      <c r="M109" s="186">
        <f t="shared" si="22"/>
        <v>1</v>
      </c>
      <c r="N109" s="998"/>
      <c r="O109" s="998"/>
      <c r="P109" s="998"/>
      <c r="Q109" s="998"/>
      <c r="R109" s="998"/>
      <c r="S109" s="998"/>
    </row>
    <row r="110" spans="1:19">
      <c r="A110" s="213" t="s">
        <v>121</v>
      </c>
      <c r="B110" s="1003" t="s">
        <v>965</v>
      </c>
      <c r="C110" s="1003"/>
      <c r="D110" s="117" t="s">
        <v>999</v>
      </c>
      <c r="E110" s="186">
        <f t="shared" ref="E110:F112" si="23">IF(D$40=0,0, D56/D$40)</f>
        <v>0</v>
      </c>
      <c r="F110" s="186">
        <f t="shared" si="23"/>
        <v>0</v>
      </c>
      <c r="G110" s="186">
        <f t="shared" ref="G110:M110" si="24">IF(F$40=0,0, F56/F$40)</f>
        <v>0</v>
      </c>
      <c r="H110" s="186">
        <f t="shared" si="24"/>
        <v>0</v>
      </c>
      <c r="I110" s="186">
        <f t="shared" si="24"/>
        <v>0</v>
      </c>
      <c r="J110" s="186">
        <f t="shared" si="24"/>
        <v>0</v>
      </c>
      <c r="K110" s="186">
        <f t="shared" si="24"/>
        <v>2.7068708019976597E-2</v>
      </c>
      <c r="L110" s="186">
        <f t="shared" si="24"/>
        <v>0.18991471314722469</v>
      </c>
      <c r="M110" s="186">
        <f t="shared" si="24"/>
        <v>0</v>
      </c>
      <c r="N110" s="998"/>
      <c r="O110" s="998"/>
      <c r="P110" s="998"/>
      <c r="Q110" s="998"/>
      <c r="R110" s="998"/>
      <c r="S110" s="998"/>
    </row>
    <row r="111" spans="1:19">
      <c r="A111" s="213" t="s">
        <v>121</v>
      </c>
      <c r="B111" s="1003" t="s">
        <v>347</v>
      </c>
      <c r="C111" s="1003"/>
      <c r="D111" s="117" t="s">
        <v>999</v>
      </c>
      <c r="E111" s="186">
        <f t="shared" si="23"/>
        <v>0</v>
      </c>
      <c r="F111" s="186">
        <f t="shared" si="23"/>
        <v>0.39167899730176692</v>
      </c>
      <c r="G111" s="186">
        <f t="shared" ref="G111:M111" si="25">IF(F$40=0,0, F57/F$40)</f>
        <v>0</v>
      </c>
      <c r="H111" s="186">
        <f t="shared" si="25"/>
        <v>0</v>
      </c>
      <c r="I111" s="186">
        <f t="shared" si="25"/>
        <v>0</v>
      </c>
      <c r="J111" s="186">
        <f t="shared" si="25"/>
        <v>0</v>
      </c>
      <c r="K111" s="186">
        <f>IF(J$40=0,0, J57/J$40)</f>
        <v>9.4657445223231051E-2</v>
      </c>
      <c r="L111" s="186">
        <f t="shared" si="25"/>
        <v>0</v>
      </c>
      <c r="M111" s="186">
        <f t="shared" si="25"/>
        <v>0</v>
      </c>
      <c r="N111" s="998"/>
      <c r="O111" s="998"/>
      <c r="P111" s="998"/>
      <c r="Q111" s="998"/>
      <c r="R111" s="998"/>
      <c r="S111" s="998"/>
    </row>
    <row r="112" spans="1:19">
      <c r="A112" s="213" t="s">
        <v>121</v>
      </c>
      <c r="B112" s="1003" t="s">
        <v>254</v>
      </c>
      <c r="C112" s="1003"/>
      <c r="D112" s="117" t="s">
        <v>999</v>
      </c>
      <c r="E112" s="186">
        <f t="shared" si="23"/>
        <v>0</v>
      </c>
      <c r="F112" s="186">
        <f t="shared" si="23"/>
        <v>8.3833048545290459E-2</v>
      </c>
      <c r="G112" s="186">
        <f t="shared" ref="G112:M112" si="26">IF(F$40=0,0, F58/F$40)</f>
        <v>0</v>
      </c>
      <c r="H112" s="186">
        <f t="shared" si="26"/>
        <v>0</v>
      </c>
      <c r="I112" s="186">
        <f t="shared" si="26"/>
        <v>0</v>
      </c>
      <c r="J112" s="186">
        <f t="shared" si="26"/>
        <v>0</v>
      </c>
      <c r="K112" s="186">
        <f t="shared" si="26"/>
        <v>2.0260014591638925E-2</v>
      </c>
      <c r="L112" s="186">
        <f t="shared" si="26"/>
        <v>0</v>
      </c>
      <c r="M112" s="186">
        <f t="shared" si="26"/>
        <v>0</v>
      </c>
      <c r="N112" s="998"/>
      <c r="O112" s="998"/>
      <c r="P112" s="998"/>
      <c r="Q112" s="998"/>
      <c r="R112" s="998"/>
      <c r="S112" s="998"/>
    </row>
    <row r="113" spans="1:32">
      <c r="A113" s="213" t="s">
        <v>121</v>
      </c>
      <c r="B113" s="1003" t="s">
        <v>252</v>
      </c>
      <c r="C113" s="1003"/>
      <c r="D113" s="117" t="s">
        <v>999</v>
      </c>
      <c r="E113" s="186">
        <f t="shared" ref="E113:F115" si="27">IF(D$40=0,0, D59/D$40)</f>
        <v>0</v>
      </c>
      <c r="F113" s="186">
        <f t="shared" si="27"/>
        <v>0</v>
      </c>
      <c r="G113" s="186">
        <f t="shared" ref="G113:M113" si="28">IF(F$40=0,0, F59/F$40)</f>
        <v>9.7010040144805229E-2</v>
      </c>
      <c r="H113" s="186">
        <f t="shared" si="28"/>
        <v>0</v>
      </c>
      <c r="I113" s="186">
        <f t="shared" si="28"/>
        <v>0</v>
      </c>
      <c r="J113" s="186">
        <f t="shared" si="28"/>
        <v>0</v>
      </c>
      <c r="K113" s="186">
        <f t="shared" si="28"/>
        <v>0</v>
      </c>
      <c r="L113" s="186">
        <f t="shared" si="28"/>
        <v>0</v>
      </c>
      <c r="M113" s="186">
        <f t="shared" si="28"/>
        <v>0</v>
      </c>
      <c r="N113" s="998"/>
      <c r="O113" s="998"/>
      <c r="P113" s="998"/>
      <c r="Q113" s="998"/>
      <c r="R113" s="998"/>
      <c r="S113" s="998"/>
    </row>
    <row r="114" spans="1:32">
      <c r="A114" s="213" t="s">
        <v>121</v>
      </c>
      <c r="B114" s="1003" t="s">
        <v>253</v>
      </c>
      <c r="C114" s="1003"/>
      <c r="D114" s="117" t="s">
        <v>999</v>
      </c>
      <c r="E114" s="186">
        <f t="shared" si="27"/>
        <v>0</v>
      </c>
      <c r="F114" s="186">
        <f t="shared" si="27"/>
        <v>0.48467412765528584</v>
      </c>
      <c r="G114" s="186">
        <f t="shared" ref="G114:M114" si="29">IF(F$40=0,0, F60/F$40)</f>
        <v>0.8344440851479995</v>
      </c>
      <c r="H114" s="186">
        <f t="shared" si="29"/>
        <v>0</v>
      </c>
      <c r="I114" s="186">
        <f t="shared" si="29"/>
        <v>0</v>
      </c>
      <c r="J114" s="186">
        <f t="shared" si="29"/>
        <v>0</v>
      </c>
      <c r="K114" s="186">
        <f t="shared" si="29"/>
        <v>0.11713166905985782</v>
      </c>
      <c r="L114" s="186">
        <f t="shared" si="29"/>
        <v>0</v>
      </c>
      <c r="M114" s="186">
        <f t="shared" si="29"/>
        <v>0</v>
      </c>
      <c r="N114" s="998"/>
      <c r="O114" s="998"/>
      <c r="P114" s="998"/>
      <c r="Q114" s="998"/>
      <c r="R114" s="998"/>
      <c r="S114" s="998"/>
    </row>
    <row r="115" spans="1:32">
      <c r="A115" s="213" t="s">
        <v>121</v>
      </c>
      <c r="B115" s="1003" t="s">
        <v>199</v>
      </c>
      <c r="C115" s="1003"/>
      <c r="D115" s="117" t="s">
        <v>999</v>
      </c>
      <c r="E115" s="186">
        <f t="shared" si="27"/>
        <v>0</v>
      </c>
      <c r="F115" s="258">
        <f t="shared" si="27"/>
        <v>3.9813826497656801E-2</v>
      </c>
      <c r="G115" s="186">
        <f t="shared" ref="G115:M115" si="30">IF(F$40=0,0, F61/F$40)</f>
        <v>6.8545874707195309E-2</v>
      </c>
      <c r="H115" s="186">
        <f t="shared" si="30"/>
        <v>0</v>
      </c>
      <c r="I115" s="186">
        <f t="shared" si="30"/>
        <v>0</v>
      </c>
      <c r="J115" s="186">
        <f t="shared" si="30"/>
        <v>0</v>
      </c>
      <c r="K115" s="257">
        <f t="shared" si="30"/>
        <v>0.74088216310529564</v>
      </c>
      <c r="L115" s="257">
        <f t="shared" si="30"/>
        <v>0.81008528685277537</v>
      </c>
      <c r="M115" s="257">
        <f t="shared" si="30"/>
        <v>1</v>
      </c>
      <c r="N115" s="998"/>
      <c r="O115" s="998"/>
      <c r="P115" s="998"/>
      <c r="Q115" s="998"/>
      <c r="R115" s="998"/>
      <c r="S115" s="998"/>
    </row>
    <row r="116" spans="1:32">
      <c r="A116" s="213" t="s">
        <v>130</v>
      </c>
      <c r="B116" s="1003" t="s">
        <v>366</v>
      </c>
      <c r="C116" s="1003"/>
      <c r="D116" s="117" t="s">
        <v>999</v>
      </c>
      <c r="E116" s="186">
        <f>IF(D$41=0,0, D62/D$41)</f>
        <v>0</v>
      </c>
      <c r="F116" s="186">
        <f>IF(E$41=0,0, E62/E$41)</f>
        <v>0</v>
      </c>
      <c r="G116" s="186">
        <f>IF(F$41=0,0, F62/F$41)</f>
        <v>0.23131990255872262</v>
      </c>
      <c r="H116" s="186">
        <f t="shared" ref="H116:J116" si="31">IF(G$41=0,0, G62/G$41)</f>
        <v>0</v>
      </c>
      <c r="I116" s="186">
        <f t="shared" si="31"/>
        <v>0</v>
      </c>
      <c r="J116" s="186">
        <f t="shared" si="31"/>
        <v>0</v>
      </c>
      <c r="K116" s="186">
        <f>IF(J$41=0,0, J62/J$41)</f>
        <v>0.30372334961384378</v>
      </c>
      <c r="L116" s="186">
        <f>IF(K$41=0,0, K62/K$41)</f>
        <v>0.46776568999142792</v>
      </c>
      <c r="M116" s="186">
        <f>IF(L$41=0,0, L62/L$41)</f>
        <v>0.27563499529633112</v>
      </c>
      <c r="N116" s="998"/>
      <c r="O116" s="998"/>
      <c r="P116" s="998"/>
      <c r="Q116" s="998"/>
      <c r="R116" s="998"/>
      <c r="S116" s="998"/>
    </row>
    <row r="117" spans="1:32">
      <c r="A117" s="143" t="s">
        <v>130</v>
      </c>
      <c r="B117" s="1003" t="s">
        <v>356</v>
      </c>
      <c r="C117" s="1003"/>
      <c r="D117" s="117" t="s">
        <v>999</v>
      </c>
      <c r="E117" s="186">
        <f t="shared" ref="E117:F123" si="32">IF(D$41=0,0, D63/D$41)</f>
        <v>0</v>
      </c>
      <c r="F117" s="186">
        <f t="shared" si="32"/>
        <v>0</v>
      </c>
      <c r="G117" s="186">
        <f t="shared" ref="G117:I117" si="33">IF(F$41=0,0, F63/F$41)</f>
        <v>0.15197638649335868</v>
      </c>
      <c r="H117" s="186">
        <f t="shared" si="33"/>
        <v>0</v>
      </c>
      <c r="I117" s="186">
        <f t="shared" si="33"/>
        <v>0</v>
      </c>
      <c r="J117" s="186">
        <f t="shared" ref="J117:M117" si="34">IF(I$41=0,0, I63/I$41)</f>
        <v>0</v>
      </c>
      <c r="K117" s="186">
        <f t="shared" si="34"/>
        <v>0.15963616327826599</v>
      </c>
      <c r="L117" s="186">
        <f t="shared" si="34"/>
        <v>0.12292818474177457</v>
      </c>
      <c r="M117" s="186">
        <f t="shared" si="34"/>
        <v>0.72436500470366871</v>
      </c>
      <c r="N117" s="998"/>
      <c r="O117" s="998"/>
      <c r="P117" s="998"/>
      <c r="Q117" s="998"/>
      <c r="R117" s="998"/>
      <c r="S117" s="998"/>
    </row>
    <row r="118" spans="1:32">
      <c r="A118" s="143" t="s">
        <v>130</v>
      </c>
      <c r="B118" s="1003" t="s">
        <v>170</v>
      </c>
      <c r="C118" s="1003"/>
      <c r="D118" s="117" t="s">
        <v>999</v>
      </c>
      <c r="E118" s="186">
        <f t="shared" si="32"/>
        <v>0</v>
      </c>
      <c r="F118" s="186">
        <f t="shared" si="32"/>
        <v>0</v>
      </c>
      <c r="G118" s="186">
        <f t="shared" ref="G118:I118" si="35">IF(F$41=0,0, F64/F$41)</f>
        <v>0.14328135279788046</v>
      </c>
      <c r="H118" s="186">
        <f t="shared" si="35"/>
        <v>0</v>
      </c>
      <c r="I118" s="186">
        <f t="shared" si="35"/>
        <v>0</v>
      </c>
      <c r="J118" s="186">
        <f t="shared" ref="J118:M118" si="36">IF(I$41=0,0, I64/I$41)</f>
        <v>0</v>
      </c>
      <c r="K118" s="186">
        <f t="shared" si="36"/>
        <v>0.15050289033535363</v>
      </c>
      <c r="L118" s="186">
        <f t="shared" si="36"/>
        <v>0.11589508747504616</v>
      </c>
      <c r="M118" s="186">
        <f t="shared" si="36"/>
        <v>0</v>
      </c>
      <c r="N118" s="998"/>
      <c r="O118" s="998"/>
      <c r="P118" s="998"/>
      <c r="Q118" s="998"/>
      <c r="R118" s="998"/>
      <c r="S118" s="998"/>
    </row>
    <row r="119" spans="1:32">
      <c r="A119" s="143" t="s">
        <v>130</v>
      </c>
      <c r="B119" s="1003" t="s">
        <v>358</v>
      </c>
      <c r="C119" s="1003"/>
      <c r="D119" s="117" t="s">
        <v>999</v>
      </c>
      <c r="E119" s="186">
        <f t="shared" si="32"/>
        <v>0</v>
      </c>
      <c r="F119" s="186">
        <f t="shared" si="32"/>
        <v>0</v>
      </c>
      <c r="G119" s="186">
        <f t="shared" ref="G119:I119" si="37">IF(F$41=0,0, F65/F$41)</f>
        <v>0.16934867262931416</v>
      </c>
      <c r="H119" s="186">
        <f t="shared" si="37"/>
        <v>0</v>
      </c>
      <c r="I119" s="186">
        <f t="shared" si="37"/>
        <v>0</v>
      </c>
      <c r="J119" s="186">
        <f t="shared" ref="J119:M119" si="38">IF(I$41=0,0, I65/I$41)</f>
        <v>0</v>
      </c>
      <c r="K119" s="186">
        <f t="shared" si="38"/>
        <v>0.17788403171430972</v>
      </c>
      <c r="L119" s="186">
        <f t="shared" si="38"/>
        <v>0.13697999666323399</v>
      </c>
      <c r="M119" s="186">
        <f t="shared" si="38"/>
        <v>0</v>
      </c>
      <c r="N119" s="998"/>
      <c r="O119" s="998"/>
      <c r="P119" s="998"/>
      <c r="Q119" s="998"/>
      <c r="R119" s="998"/>
      <c r="S119" s="998"/>
    </row>
    <row r="120" spans="1:32">
      <c r="A120" s="143" t="s">
        <v>130</v>
      </c>
      <c r="B120" s="1003" t="s">
        <v>195</v>
      </c>
      <c r="C120" s="1003"/>
      <c r="D120" s="117" t="s">
        <v>999</v>
      </c>
      <c r="E120" s="186">
        <f t="shared" si="32"/>
        <v>0</v>
      </c>
      <c r="F120" s="186">
        <f t="shared" si="32"/>
        <v>1</v>
      </c>
      <c r="G120" s="186">
        <f>IF(F$41=0,0, F66/F$41)</f>
        <v>0.11189388147015418</v>
      </c>
      <c r="H120" s="186">
        <f t="shared" ref="H120:I120" si="39">IF(G$41=0,0, G66/G$41)</f>
        <v>0</v>
      </c>
      <c r="I120" s="186">
        <f t="shared" si="39"/>
        <v>0</v>
      </c>
      <c r="J120" s="186">
        <f t="shared" ref="J120:M120" si="40">IF(I$41=0,0, I66/I$41)</f>
        <v>0</v>
      </c>
      <c r="K120" s="186">
        <f t="shared" si="40"/>
        <v>6.387687825104362E-3</v>
      </c>
      <c r="L120" s="186">
        <f t="shared" si="40"/>
        <v>9.8377066062213417E-4</v>
      </c>
      <c r="M120" s="186">
        <f t="shared" si="40"/>
        <v>0</v>
      </c>
      <c r="N120" s="998"/>
      <c r="O120" s="998"/>
      <c r="P120" s="998"/>
      <c r="Q120" s="998"/>
      <c r="R120" s="998"/>
      <c r="S120" s="998"/>
    </row>
    <row r="121" spans="1:32">
      <c r="A121" s="143" t="s">
        <v>130</v>
      </c>
      <c r="B121" s="1003" t="s">
        <v>180</v>
      </c>
      <c r="C121" s="1003"/>
      <c r="D121" s="117" t="s">
        <v>999</v>
      </c>
      <c r="E121" s="186">
        <f t="shared" si="32"/>
        <v>0</v>
      </c>
      <c r="F121" s="186">
        <f t="shared" si="32"/>
        <v>0</v>
      </c>
      <c r="G121" s="186">
        <f t="shared" ref="G121:I121" si="41">IF(F$41=0,0, F67/F$41)</f>
        <v>5.3557140062945638E-2</v>
      </c>
      <c r="H121" s="186">
        <f t="shared" si="41"/>
        <v>0</v>
      </c>
      <c r="I121" s="186">
        <f t="shared" si="41"/>
        <v>0</v>
      </c>
      <c r="J121" s="186">
        <f t="shared" ref="J121:M121" si="42">IF(I$41=0,0, I67/I$41)</f>
        <v>0</v>
      </c>
      <c r="K121" s="186">
        <f t="shared" si="42"/>
        <v>5.6256478740392787E-2</v>
      </c>
      <c r="L121" s="186">
        <f t="shared" si="42"/>
        <v>4.3320427336167665E-2</v>
      </c>
      <c r="M121" s="186">
        <f t="shared" si="42"/>
        <v>0</v>
      </c>
      <c r="N121" s="998"/>
      <c r="O121" s="998"/>
      <c r="P121" s="998"/>
      <c r="Q121" s="998"/>
      <c r="R121" s="998"/>
      <c r="S121" s="998"/>
    </row>
    <row r="122" spans="1:32">
      <c r="A122" s="143" t="s">
        <v>130</v>
      </c>
      <c r="B122" s="1003" t="s">
        <v>251</v>
      </c>
      <c r="C122" s="1003"/>
      <c r="D122" s="117" t="s">
        <v>999</v>
      </c>
      <c r="E122" s="186">
        <f t="shared" si="32"/>
        <v>0</v>
      </c>
      <c r="F122" s="186">
        <f t="shared" si="32"/>
        <v>0</v>
      </c>
      <c r="G122" s="186">
        <f t="shared" ref="G122:I122" si="43">IF(F$41=0,0, F68/F$41)</f>
        <v>0.13862266398762429</v>
      </c>
      <c r="H122" s="186">
        <f t="shared" si="43"/>
        <v>0</v>
      </c>
      <c r="I122" s="186">
        <f t="shared" si="43"/>
        <v>0</v>
      </c>
      <c r="J122" s="186">
        <f t="shared" ref="J122:M122" si="44">IF(I$41=0,0, I68/I$41)</f>
        <v>0</v>
      </c>
      <c r="K122" s="186">
        <f t="shared" si="44"/>
        <v>0.14560939849272989</v>
      </c>
      <c r="L122" s="186">
        <f t="shared" si="44"/>
        <v>0.11212684313172752</v>
      </c>
      <c r="M122" s="186">
        <f t="shared" si="44"/>
        <v>0</v>
      </c>
      <c r="N122" s="998"/>
      <c r="O122" s="998"/>
      <c r="P122" s="998"/>
      <c r="Q122" s="998"/>
      <c r="R122" s="998"/>
      <c r="S122" s="998"/>
    </row>
    <row r="123" spans="1:32">
      <c r="A123" s="143" t="s">
        <v>130</v>
      </c>
      <c r="B123" s="1003" t="s">
        <v>370</v>
      </c>
      <c r="C123" s="1003"/>
      <c r="D123" s="117" t="s">
        <v>999</v>
      </c>
      <c r="E123" s="186">
        <f t="shared" si="32"/>
        <v>0</v>
      </c>
      <c r="F123" s="186">
        <f t="shared" si="32"/>
        <v>0</v>
      </c>
      <c r="G123" s="186">
        <f t="shared" ref="G123:I123" si="45">IF(F$41=0,0, F69/F$41)</f>
        <v>0</v>
      </c>
      <c r="H123" s="186">
        <f t="shared" si="45"/>
        <v>0</v>
      </c>
      <c r="I123" s="186">
        <f t="shared" si="45"/>
        <v>0</v>
      </c>
      <c r="J123" s="186">
        <f t="shared" ref="J123:M123" si="46">IF(I$41=0,0, I69/I$41)</f>
        <v>1</v>
      </c>
      <c r="K123" s="186">
        <f t="shared" si="46"/>
        <v>0</v>
      </c>
      <c r="L123" s="186">
        <f t="shared" si="46"/>
        <v>0</v>
      </c>
      <c r="M123" s="186">
        <f t="shared" si="46"/>
        <v>0</v>
      </c>
      <c r="N123" s="998"/>
      <c r="O123" s="998"/>
      <c r="P123" s="998"/>
      <c r="Q123" s="998"/>
      <c r="R123" s="998"/>
      <c r="S123" s="998"/>
      <c r="AD123" s="6"/>
      <c r="AE123" s="6"/>
      <c r="AF123" s="6"/>
    </row>
    <row r="124" spans="1:32">
      <c r="A124" s="1004" t="s">
        <v>993</v>
      </c>
      <c r="B124" s="1004"/>
      <c r="C124" s="1004"/>
      <c r="D124" s="1004"/>
      <c r="E124" s="1004"/>
      <c r="F124" s="1004"/>
      <c r="G124" s="1004"/>
      <c r="H124" s="1004"/>
      <c r="I124" s="1004"/>
      <c r="J124" s="1004"/>
      <c r="K124" s="1004"/>
      <c r="L124" s="1004"/>
      <c r="M124" s="1004"/>
      <c r="N124" s="1004"/>
      <c r="O124" s="1004"/>
      <c r="P124" s="1004"/>
      <c r="Q124" s="1004"/>
      <c r="R124" s="1004"/>
      <c r="S124" s="1004"/>
      <c r="AD124" s="6"/>
      <c r="AE124" s="6"/>
      <c r="AF124" s="6"/>
    </row>
    <row r="125" spans="1:32">
      <c r="A125" s="140" t="s">
        <v>137</v>
      </c>
      <c r="B125" s="995" t="s">
        <v>116</v>
      </c>
      <c r="C125" s="995"/>
      <c r="D125" s="995" t="s">
        <v>121</v>
      </c>
      <c r="E125" s="995"/>
      <c r="F125" s="995" t="s">
        <v>121</v>
      </c>
      <c r="G125" s="995"/>
      <c r="H125" s="995" t="s">
        <v>121</v>
      </c>
      <c r="I125" s="995"/>
      <c r="J125" s="995" t="s">
        <v>121</v>
      </c>
      <c r="K125" s="995"/>
      <c r="L125" s="995" t="s">
        <v>121</v>
      </c>
      <c r="M125" s="995"/>
      <c r="N125" s="995" t="s">
        <v>121</v>
      </c>
      <c r="O125" s="995"/>
      <c r="P125" s="995" t="s">
        <v>130</v>
      </c>
      <c r="Q125" s="995"/>
      <c r="R125" s="995" t="s">
        <v>130</v>
      </c>
      <c r="S125" s="995"/>
      <c r="T125" s="1001" t="s">
        <v>130</v>
      </c>
      <c r="U125" s="1002"/>
      <c r="V125" s="1001" t="s">
        <v>130</v>
      </c>
      <c r="W125" s="1002"/>
      <c r="X125" s="1001" t="s">
        <v>130</v>
      </c>
      <c r="Y125" s="1002"/>
      <c r="Z125" s="995" t="s">
        <v>130</v>
      </c>
      <c r="AA125" s="995"/>
      <c r="AB125" s="995" t="s">
        <v>130</v>
      </c>
      <c r="AC125" s="995"/>
      <c r="AD125" s="995" t="s">
        <v>130</v>
      </c>
      <c r="AE125" s="995"/>
    </row>
    <row r="126" spans="1:32">
      <c r="A126" s="140" t="s">
        <v>138</v>
      </c>
      <c r="B126" s="995" t="s">
        <v>205</v>
      </c>
      <c r="C126" s="995"/>
      <c r="D126" s="995" t="s">
        <v>965</v>
      </c>
      <c r="E126" s="995"/>
      <c r="F126" s="995" t="s">
        <v>347</v>
      </c>
      <c r="G126" s="995"/>
      <c r="H126" s="995" t="s">
        <v>254</v>
      </c>
      <c r="I126" s="995"/>
      <c r="J126" s="995" t="s">
        <v>252</v>
      </c>
      <c r="K126" s="995"/>
      <c r="L126" s="995" t="s">
        <v>253</v>
      </c>
      <c r="M126" s="995"/>
      <c r="N126" s="995" t="s">
        <v>199</v>
      </c>
      <c r="O126" s="995"/>
      <c r="P126" s="995" t="s">
        <v>366</v>
      </c>
      <c r="Q126" s="995"/>
      <c r="R126" s="995" t="s">
        <v>356</v>
      </c>
      <c r="S126" s="995"/>
      <c r="T126" s="995" t="s">
        <v>170</v>
      </c>
      <c r="U126" s="995"/>
      <c r="V126" s="995" t="s">
        <v>358</v>
      </c>
      <c r="W126" s="995"/>
      <c r="X126" s="995" t="s">
        <v>195</v>
      </c>
      <c r="Y126" s="995"/>
      <c r="Z126" s="995" t="s">
        <v>180</v>
      </c>
      <c r="AA126" s="995"/>
      <c r="AB126" s="995" t="s">
        <v>251</v>
      </c>
      <c r="AC126" s="995"/>
      <c r="AD126" s="995" t="s">
        <v>370</v>
      </c>
      <c r="AE126" s="995"/>
    </row>
    <row r="127" spans="1:32">
      <c r="A127" s="216" t="s">
        <v>93</v>
      </c>
      <c r="B127" s="997">
        <f>E109</f>
        <v>0</v>
      </c>
      <c r="C127" s="997"/>
      <c r="D127" s="997">
        <f>E110</f>
        <v>0</v>
      </c>
      <c r="E127" s="997"/>
      <c r="F127" s="997">
        <f>E111</f>
        <v>0</v>
      </c>
      <c r="G127" s="997"/>
      <c r="H127" s="997">
        <f>E112</f>
        <v>0</v>
      </c>
      <c r="I127" s="997"/>
      <c r="J127" s="997">
        <f>E113</f>
        <v>0</v>
      </c>
      <c r="K127" s="997"/>
      <c r="L127" s="997">
        <f>E114</f>
        <v>0</v>
      </c>
      <c r="M127" s="997"/>
      <c r="N127" s="997">
        <f>E115</f>
        <v>0</v>
      </c>
      <c r="O127" s="997"/>
      <c r="P127" s="997">
        <f>E116</f>
        <v>0</v>
      </c>
      <c r="Q127" s="997"/>
      <c r="R127" s="997">
        <f>E117</f>
        <v>0</v>
      </c>
      <c r="S127" s="997"/>
      <c r="T127" s="997">
        <f>E118</f>
        <v>0</v>
      </c>
      <c r="U127" s="997"/>
      <c r="V127" s="997">
        <f>E119</f>
        <v>0</v>
      </c>
      <c r="W127" s="997"/>
      <c r="X127" s="997">
        <f>E120</f>
        <v>0</v>
      </c>
      <c r="Y127" s="997"/>
      <c r="Z127" s="997">
        <f>E121</f>
        <v>0</v>
      </c>
      <c r="AA127" s="997"/>
      <c r="AB127" s="997">
        <f>E122</f>
        <v>0</v>
      </c>
      <c r="AC127" s="997"/>
      <c r="AD127" s="997">
        <f>E123</f>
        <v>0</v>
      </c>
      <c r="AE127" s="997"/>
    </row>
    <row r="128" spans="1:32">
      <c r="A128" s="216" t="s">
        <v>94</v>
      </c>
      <c r="B128" s="997">
        <f>F109</f>
        <v>1</v>
      </c>
      <c r="C128" s="997"/>
      <c r="D128" s="997">
        <f>F110</f>
        <v>0</v>
      </c>
      <c r="E128" s="997"/>
      <c r="F128" s="997">
        <f>F111</f>
        <v>0.39167899730176692</v>
      </c>
      <c r="G128" s="997"/>
      <c r="H128" s="997">
        <f>F112</f>
        <v>8.3833048545290459E-2</v>
      </c>
      <c r="I128" s="997"/>
      <c r="J128" s="997">
        <f>F113</f>
        <v>0</v>
      </c>
      <c r="K128" s="997"/>
      <c r="L128" s="997">
        <f>F114</f>
        <v>0.48467412765528584</v>
      </c>
      <c r="M128" s="997"/>
      <c r="N128" s="997">
        <f>F115</f>
        <v>3.9813826497656801E-2</v>
      </c>
      <c r="O128" s="997"/>
      <c r="P128" s="997">
        <f>F116</f>
        <v>0</v>
      </c>
      <c r="Q128" s="997"/>
      <c r="R128" s="997">
        <f>F117</f>
        <v>0</v>
      </c>
      <c r="S128" s="997"/>
      <c r="T128" s="997">
        <f>F118</f>
        <v>0</v>
      </c>
      <c r="U128" s="997"/>
      <c r="V128" s="997">
        <f>F119</f>
        <v>0</v>
      </c>
      <c r="W128" s="997"/>
      <c r="X128" s="997">
        <f>F120</f>
        <v>1</v>
      </c>
      <c r="Y128" s="997"/>
      <c r="Z128" s="997">
        <f>F121</f>
        <v>0</v>
      </c>
      <c r="AA128" s="997"/>
      <c r="AB128" s="997">
        <f>F122</f>
        <v>0</v>
      </c>
      <c r="AC128" s="997"/>
      <c r="AD128" s="997">
        <f>F123</f>
        <v>0</v>
      </c>
      <c r="AE128" s="997"/>
    </row>
    <row r="129" spans="1:31">
      <c r="A129" s="216" t="s">
        <v>95</v>
      </c>
      <c r="B129" s="997">
        <f>G109</f>
        <v>1</v>
      </c>
      <c r="C129" s="997"/>
      <c r="D129" s="997">
        <f>G110</f>
        <v>0</v>
      </c>
      <c r="E129" s="997"/>
      <c r="F129" s="997">
        <f>G111</f>
        <v>0</v>
      </c>
      <c r="G129" s="997"/>
      <c r="H129" s="997">
        <f>G112</f>
        <v>0</v>
      </c>
      <c r="I129" s="997"/>
      <c r="J129" s="997">
        <f>G113</f>
        <v>9.7010040144805229E-2</v>
      </c>
      <c r="K129" s="997"/>
      <c r="L129" s="997">
        <f>G114</f>
        <v>0.8344440851479995</v>
      </c>
      <c r="M129" s="997"/>
      <c r="N129" s="997">
        <f>G115</f>
        <v>6.8545874707195309E-2</v>
      </c>
      <c r="O129" s="997"/>
      <c r="P129" s="997">
        <f>G116</f>
        <v>0.23131990255872262</v>
      </c>
      <c r="Q129" s="997"/>
      <c r="R129" s="997">
        <f>G117</f>
        <v>0.15197638649335868</v>
      </c>
      <c r="S129" s="997"/>
      <c r="T129" s="997">
        <f>G118</f>
        <v>0.14328135279788046</v>
      </c>
      <c r="U129" s="997"/>
      <c r="V129" s="997">
        <f>G119</f>
        <v>0.16934867262931416</v>
      </c>
      <c r="W129" s="997"/>
      <c r="X129" s="997">
        <f>G120</f>
        <v>0.11189388147015418</v>
      </c>
      <c r="Y129" s="997"/>
      <c r="Z129" s="997">
        <f>G121</f>
        <v>5.3557140062945638E-2</v>
      </c>
      <c r="AA129" s="997"/>
      <c r="AB129" s="999">
        <f>G122</f>
        <v>0.13862266398762429</v>
      </c>
      <c r="AC129" s="1000"/>
      <c r="AD129" s="999">
        <f>G123</f>
        <v>0</v>
      </c>
      <c r="AE129" s="1000"/>
    </row>
    <row r="130" spans="1:31">
      <c r="A130" s="216" t="s">
        <v>96</v>
      </c>
      <c r="B130" s="997">
        <f>H109</f>
        <v>0</v>
      </c>
      <c r="C130" s="997"/>
      <c r="D130" s="997">
        <f>H110</f>
        <v>0</v>
      </c>
      <c r="E130" s="997"/>
      <c r="F130" s="997">
        <f>H111</f>
        <v>0</v>
      </c>
      <c r="G130" s="997"/>
      <c r="H130" s="997">
        <f>H112</f>
        <v>0</v>
      </c>
      <c r="I130" s="997"/>
      <c r="J130" s="997">
        <f>H113</f>
        <v>0</v>
      </c>
      <c r="K130" s="997"/>
      <c r="L130" s="997">
        <f>H114</f>
        <v>0</v>
      </c>
      <c r="M130" s="997"/>
      <c r="N130" s="997">
        <f>H115</f>
        <v>0</v>
      </c>
      <c r="O130" s="997"/>
      <c r="P130" s="997">
        <f>H116</f>
        <v>0</v>
      </c>
      <c r="Q130" s="997"/>
      <c r="R130" s="997">
        <f>H117</f>
        <v>0</v>
      </c>
      <c r="S130" s="997"/>
      <c r="T130" s="997">
        <f>H118</f>
        <v>0</v>
      </c>
      <c r="U130" s="997"/>
      <c r="V130" s="997">
        <f>H119</f>
        <v>0</v>
      </c>
      <c r="W130" s="997"/>
      <c r="X130" s="997">
        <f>H120</f>
        <v>0</v>
      </c>
      <c r="Y130" s="997"/>
      <c r="Z130" s="997">
        <f>H121</f>
        <v>0</v>
      </c>
      <c r="AA130" s="997"/>
      <c r="AB130" s="997">
        <f>H122</f>
        <v>0</v>
      </c>
      <c r="AC130" s="997"/>
      <c r="AD130" s="997">
        <f>H123</f>
        <v>0</v>
      </c>
      <c r="AE130" s="997"/>
    </row>
    <row r="131" spans="1:31">
      <c r="A131" s="216" t="s">
        <v>97</v>
      </c>
      <c r="B131" s="997">
        <f>I109</f>
        <v>0</v>
      </c>
      <c r="C131" s="997"/>
      <c r="D131" s="997">
        <f>I110</f>
        <v>0</v>
      </c>
      <c r="E131" s="997"/>
      <c r="F131" s="997">
        <f>I111</f>
        <v>0</v>
      </c>
      <c r="G131" s="997"/>
      <c r="H131" s="997">
        <f>I112</f>
        <v>0</v>
      </c>
      <c r="I131" s="997"/>
      <c r="J131" s="997">
        <f>I113</f>
        <v>0</v>
      </c>
      <c r="K131" s="997"/>
      <c r="L131" s="997">
        <f>I114</f>
        <v>0</v>
      </c>
      <c r="M131" s="997"/>
      <c r="N131" s="997">
        <f>I115</f>
        <v>0</v>
      </c>
      <c r="O131" s="997"/>
      <c r="P131" s="997">
        <f>I116</f>
        <v>0</v>
      </c>
      <c r="Q131" s="997"/>
      <c r="R131" s="997">
        <f>I117</f>
        <v>0</v>
      </c>
      <c r="S131" s="997"/>
      <c r="T131" s="997">
        <f>I118</f>
        <v>0</v>
      </c>
      <c r="U131" s="997"/>
      <c r="V131" s="997">
        <f>I119</f>
        <v>0</v>
      </c>
      <c r="W131" s="997"/>
      <c r="X131" s="997">
        <f>I120</f>
        <v>0</v>
      </c>
      <c r="Y131" s="997"/>
      <c r="Z131" s="997">
        <f>I121</f>
        <v>0</v>
      </c>
      <c r="AA131" s="997"/>
      <c r="AB131" s="997">
        <f>I122</f>
        <v>0</v>
      </c>
      <c r="AC131" s="997"/>
      <c r="AD131" s="997">
        <f>I123</f>
        <v>0</v>
      </c>
      <c r="AE131" s="997"/>
    </row>
    <row r="132" spans="1:31">
      <c r="A132" s="216" t="s">
        <v>98</v>
      </c>
      <c r="B132" s="997">
        <f>J109</f>
        <v>0</v>
      </c>
      <c r="C132" s="997"/>
      <c r="D132" s="997">
        <f>J110</f>
        <v>0</v>
      </c>
      <c r="E132" s="997"/>
      <c r="F132" s="997">
        <f>J111</f>
        <v>0</v>
      </c>
      <c r="G132" s="997"/>
      <c r="H132" s="997">
        <f>J112</f>
        <v>0</v>
      </c>
      <c r="I132" s="997"/>
      <c r="J132" s="997">
        <f>J113</f>
        <v>0</v>
      </c>
      <c r="K132" s="997"/>
      <c r="L132" s="997">
        <f>J114</f>
        <v>0</v>
      </c>
      <c r="M132" s="997"/>
      <c r="N132" s="997">
        <f>J115</f>
        <v>0</v>
      </c>
      <c r="O132" s="997"/>
      <c r="P132" s="997">
        <f>J116</f>
        <v>0</v>
      </c>
      <c r="Q132" s="997"/>
      <c r="R132" s="997">
        <f>J117</f>
        <v>0</v>
      </c>
      <c r="S132" s="997"/>
      <c r="T132" s="997">
        <f>J118</f>
        <v>0</v>
      </c>
      <c r="U132" s="997"/>
      <c r="V132" s="997">
        <f>J119</f>
        <v>0</v>
      </c>
      <c r="W132" s="997"/>
      <c r="X132" s="997">
        <f>J120</f>
        <v>0</v>
      </c>
      <c r="Y132" s="997"/>
      <c r="Z132" s="997">
        <f>J121</f>
        <v>0</v>
      </c>
      <c r="AA132" s="997"/>
      <c r="AB132" s="997">
        <f>J122</f>
        <v>0</v>
      </c>
      <c r="AC132" s="997"/>
      <c r="AD132" s="997">
        <f>J123</f>
        <v>1</v>
      </c>
      <c r="AE132" s="997"/>
    </row>
    <row r="133" spans="1:31">
      <c r="A133" s="216" t="s">
        <v>99</v>
      </c>
      <c r="B133" s="997">
        <f>K109</f>
        <v>1</v>
      </c>
      <c r="C133" s="997"/>
      <c r="D133" s="997">
        <f>K110</f>
        <v>2.7068708019976597E-2</v>
      </c>
      <c r="E133" s="997"/>
      <c r="F133" s="997">
        <f>K111</f>
        <v>9.4657445223231051E-2</v>
      </c>
      <c r="G133" s="997"/>
      <c r="H133" s="997">
        <f>K112</f>
        <v>2.0260014591638925E-2</v>
      </c>
      <c r="I133" s="997"/>
      <c r="J133" s="997">
        <f>K113</f>
        <v>0</v>
      </c>
      <c r="K133" s="997"/>
      <c r="L133" s="997">
        <f>K114</f>
        <v>0.11713166905985782</v>
      </c>
      <c r="M133" s="997"/>
      <c r="N133" s="997">
        <f>K115</f>
        <v>0.74088216310529564</v>
      </c>
      <c r="O133" s="997"/>
      <c r="P133" s="997">
        <f>K116</f>
        <v>0.30372334961384378</v>
      </c>
      <c r="Q133" s="997"/>
      <c r="R133" s="997">
        <f>K117</f>
        <v>0.15963616327826599</v>
      </c>
      <c r="S133" s="997"/>
      <c r="T133" s="997">
        <f>K118</f>
        <v>0.15050289033535363</v>
      </c>
      <c r="U133" s="997"/>
      <c r="V133" s="997">
        <f>K119</f>
        <v>0.17788403171430972</v>
      </c>
      <c r="W133" s="997"/>
      <c r="X133" s="997">
        <f>K120</f>
        <v>6.387687825104362E-3</v>
      </c>
      <c r="Y133" s="997"/>
      <c r="Z133" s="997">
        <f>K121</f>
        <v>5.6256478740392787E-2</v>
      </c>
      <c r="AA133" s="997"/>
      <c r="AB133" s="997">
        <f>K122</f>
        <v>0.14560939849272989</v>
      </c>
      <c r="AC133" s="997"/>
      <c r="AD133" s="997">
        <f>K123</f>
        <v>0</v>
      </c>
      <c r="AE133" s="997"/>
    </row>
    <row r="134" spans="1:31">
      <c r="A134" s="216" t="s">
        <v>103</v>
      </c>
      <c r="B134" s="997">
        <f>L109</f>
        <v>1</v>
      </c>
      <c r="C134" s="997"/>
      <c r="D134" s="997">
        <f>L110</f>
        <v>0.18991471314722469</v>
      </c>
      <c r="E134" s="997"/>
      <c r="F134" s="997">
        <f>L111</f>
        <v>0</v>
      </c>
      <c r="G134" s="997"/>
      <c r="H134" s="997">
        <f>L112</f>
        <v>0</v>
      </c>
      <c r="I134" s="997"/>
      <c r="J134" s="997">
        <f>L113</f>
        <v>0</v>
      </c>
      <c r="K134" s="997"/>
      <c r="L134" s="997">
        <f>L114</f>
        <v>0</v>
      </c>
      <c r="M134" s="997"/>
      <c r="N134" s="997">
        <f>L115</f>
        <v>0.81008528685277537</v>
      </c>
      <c r="O134" s="997"/>
      <c r="P134" s="997">
        <f>L116</f>
        <v>0.46776568999142792</v>
      </c>
      <c r="Q134" s="997"/>
      <c r="R134" s="997">
        <f>L117</f>
        <v>0.12292818474177457</v>
      </c>
      <c r="S134" s="997"/>
      <c r="T134" s="997">
        <f>L118</f>
        <v>0.11589508747504616</v>
      </c>
      <c r="U134" s="997"/>
      <c r="V134" s="997">
        <f>L119</f>
        <v>0.13697999666323399</v>
      </c>
      <c r="W134" s="997"/>
      <c r="X134" s="997">
        <f>L120</f>
        <v>9.8377066062213417E-4</v>
      </c>
      <c r="Y134" s="997"/>
      <c r="Z134" s="997">
        <f>L121</f>
        <v>4.3320427336167665E-2</v>
      </c>
      <c r="AA134" s="997"/>
      <c r="AB134" s="997">
        <f>L122</f>
        <v>0.11212684313172752</v>
      </c>
      <c r="AC134" s="997"/>
      <c r="AD134" s="997">
        <f>L123</f>
        <v>0</v>
      </c>
      <c r="AE134" s="997"/>
    </row>
    <row r="135" spans="1:31">
      <c r="A135" s="216" t="s">
        <v>961</v>
      </c>
      <c r="B135" s="997">
        <f>M109</f>
        <v>1</v>
      </c>
      <c r="C135" s="997"/>
      <c r="D135" s="997">
        <f>M110</f>
        <v>0</v>
      </c>
      <c r="E135" s="997"/>
      <c r="F135" s="997">
        <f>M111</f>
        <v>0</v>
      </c>
      <c r="G135" s="997"/>
      <c r="H135" s="997">
        <f>M112</f>
        <v>0</v>
      </c>
      <c r="I135" s="997"/>
      <c r="J135" s="997">
        <f>M113</f>
        <v>0</v>
      </c>
      <c r="K135" s="997"/>
      <c r="L135" s="997">
        <f>M114</f>
        <v>0</v>
      </c>
      <c r="M135" s="997"/>
      <c r="N135" s="997">
        <f>M115</f>
        <v>1</v>
      </c>
      <c r="O135" s="997"/>
      <c r="P135" s="997">
        <f>M116</f>
        <v>0.27563499529633112</v>
      </c>
      <c r="Q135" s="997"/>
      <c r="R135" s="997">
        <f>M117</f>
        <v>0.72436500470366871</v>
      </c>
      <c r="S135" s="997"/>
      <c r="T135" s="997">
        <f>M118</f>
        <v>0</v>
      </c>
      <c r="U135" s="997"/>
      <c r="V135" s="997">
        <f>M119</f>
        <v>0</v>
      </c>
      <c r="W135" s="997"/>
      <c r="X135" s="997">
        <f>M120</f>
        <v>0</v>
      </c>
      <c r="Y135" s="997"/>
      <c r="Z135" s="997">
        <f>M121</f>
        <v>0</v>
      </c>
      <c r="AA135" s="997"/>
      <c r="AB135" s="997">
        <f>M122</f>
        <v>0</v>
      </c>
      <c r="AC135" s="997"/>
      <c r="AD135" s="997">
        <f>M123</f>
        <v>0</v>
      </c>
      <c r="AE135" s="997"/>
    </row>
    <row r="136" spans="1:31">
      <c r="A136" s="64"/>
      <c r="B136" s="64"/>
      <c r="C136" s="64"/>
      <c r="D136" s="64"/>
      <c r="E136" s="249"/>
      <c r="F136" s="64"/>
      <c r="G136" s="64"/>
      <c r="H136" s="64"/>
      <c r="I136" s="64"/>
      <c r="J136" s="64"/>
      <c r="K136" s="64"/>
      <c r="L136" s="64"/>
      <c r="M136" s="64"/>
      <c r="N136" s="106"/>
    </row>
    <row r="137" spans="1:31" ht="60" customHeight="1">
      <c r="A137" s="140" t="s">
        <v>137</v>
      </c>
      <c r="B137" s="996" t="s">
        <v>138</v>
      </c>
      <c r="C137" s="996"/>
      <c r="D137" s="140" t="s">
        <v>139</v>
      </c>
      <c r="E137" s="247" t="s">
        <v>1000</v>
      </c>
      <c r="F137" s="246" t="s">
        <v>110</v>
      </c>
      <c r="G137" s="246" t="s">
        <v>141</v>
      </c>
      <c r="H137" s="1001" t="s">
        <v>112</v>
      </c>
      <c r="I137" s="1002"/>
      <c r="J137" s="995" t="s">
        <v>132</v>
      </c>
      <c r="K137" s="995"/>
      <c r="L137" s="995"/>
      <c r="M137" s="995"/>
      <c r="N137" s="995"/>
      <c r="O137" s="995"/>
      <c r="P137" s="995"/>
      <c r="Q137" s="995"/>
      <c r="R137" s="995"/>
      <c r="S137" s="995"/>
    </row>
    <row r="138" spans="1:31">
      <c r="A138" s="216" t="s">
        <v>205</v>
      </c>
      <c r="B138" s="991" t="s">
        <v>1001</v>
      </c>
      <c r="C138" s="991"/>
      <c r="D138" s="186" t="s">
        <v>147</v>
      </c>
      <c r="E138" s="244">
        <v>3.6999999999999999E-4</v>
      </c>
      <c r="F138" s="186" t="s">
        <v>147</v>
      </c>
      <c r="G138" s="248">
        <v>1</v>
      </c>
      <c r="H138" s="989" t="s">
        <v>171</v>
      </c>
      <c r="I138" s="990"/>
      <c r="J138" s="992" t="s">
        <v>1002</v>
      </c>
      <c r="K138" s="992"/>
      <c r="L138" s="992"/>
      <c r="M138" s="992"/>
      <c r="N138" s="992"/>
      <c r="O138" s="992"/>
      <c r="P138" s="992"/>
      <c r="Q138" s="992"/>
      <c r="R138" s="992"/>
      <c r="S138" s="992"/>
    </row>
    <row r="139" spans="1:31">
      <c r="A139" s="216" t="s">
        <v>205</v>
      </c>
      <c r="B139" s="991" t="s">
        <v>1001</v>
      </c>
      <c r="C139" s="991"/>
      <c r="D139" s="186" t="s">
        <v>147</v>
      </c>
      <c r="E139" s="244">
        <v>8.0000000000000002E-3</v>
      </c>
      <c r="F139" s="186" t="s">
        <v>147</v>
      </c>
      <c r="G139" s="248">
        <v>1</v>
      </c>
      <c r="H139" s="989" t="s">
        <v>171</v>
      </c>
      <c r="I139" s="990"/>
      <c r="J139" s="992" t="s">
        <v>1003</v>
      </c>
      <c r="K139" s="992"/>
      <c r="L139" s="992"/>
      <c r="M139" s="992"/>
      <c r="N139" s="992"/>
      <c r="O139" s="992"/>
      <c r="P139" s="992"/>
      <c r="Q139" s="992"/>
      <c r="R139" s="992"/>
      <c r="S139" s="992"/>
    </row>
    <row r="140" spans="1:31">
      <c r="A140" s="216" t="s">
        <v>205</v>
      </c>
      <c r="B140" s="991" t="s">
        <v>1001</v>
      </c>
      <c r="C140" s="991"/>
      <c r="D140" s="186" t="s">
        <v>147</v>
      </c>
      <c r="E140" s="245">
        <v>2.5100000000000001E-3</v>
      </c>
      <c r="F140" s="186" t="s">
        <v>147</v>
      </c>
      <c r="G140" s="248">
        <v>1</v>
      </c>
      <c r="H140" s="989" t="s">
        <v>171</v>
      </c>
      <c r="I140" s="990"/>
      <c r="J140" s="992" t="s">
        <v>1004</v>
      </c>
      <c r="K140" s="992"/>
      <c r="L140" s="992"/>
      <c r="M140" s="992"/>
      <c r="N140" s="992"/>
      <c r="O140" s="992"/>
      <c r="P140" s="992"/>
      <c r="Q140" s="992"/>
      <c r="R140" s="992"/>
      <c r="S140" s="992"/>
    </row>
    <row r="141" spans="1:31">
      <c r="A141" s="216" t="s">
        <v>205</v>
      </c>
      <c r="B141" s="991" t="s">
        <v>244</v>
      </c>
      <c r="C141" s="991"/>
      <c r="D141" s="186" t="s">
        <v>147</v>
      </c>
      <c r="E141" s="244">
        <v>3.0000000000000001E-5</v>
      </c>
      <c r="F141" s="186" t="s">
        <v>147</v>
      </c>
      <c r="G141" s="248">
        <v>1</v>
      </c>
      <c r="H141" s="989" t="s">
        <v>171</v>
      </c>
      <c r="I141" s="990"/>
      <c r="J141" s="992" t="s">
        <v>1005</v>
      </c>
      <c r="K141" s="992"/>
      <c r="L141" s="992"/>
      <c r="M141" s="992"/>
      <c r="N141" s="992"/>
      <c r="O141" s="992"/>
      <c r="P141" s="992"/>
      <c r="Q141" s="992"/>
      <c r="R141" s="992"/>
      <c r="S141" s="992"/>
    </row>
    <row r="142" spans="1:31">
      <c r="A142" s="216" t="s">
        <v>205</v>
      </c>
      <c r="B142" s="991" t="s">
        <v>244</v>
      </c>
      <c r="C142" s="991"/>
      <c r="D142" s="186" t="s">
        <v>147</v>
      </c>
      <c r="E142" s="244">
        <v>5.9999999999999995E-4</v>
      </c>
      <c r="F142" s="186" t="s">
        <v>147</v>
      </c>
      <c r="G142" s="248">
        <v>1</v>
      </c>
      <c r="H142" s="989" t="s">
        <v>171</v>
      </c>
      <c r="I142" s="990"/>
      <c r="J142" s="992" t="s">
        <v>1006</v>
      </c>
      <c r="K142" s="992"/>
      <c r="L142" s="992"/>
      <c r="M142" s="992"/>
      <c r="N142" s="992"/>
      <c r="O142" s="992"/>
      <c r="P142" s="992"/>
      <c r="Q142" s="992"/>
      <c r="R142" s="992"/>
      <c r="S142" s="992"/>
    </row>
    <row r="143" spans="1:31">
      <c r="A143" s="216" t="s">
        <v>205</v>
      </c>
      <c r="B143" s="991" t="s">
        <v>244</v>
      </c>
      <c r="C143" s="991"/>
      <c r="D143" s="186" t="s">
        <v>147</v>
      </c>
      <c r="E143" s="245">
        <v>1.9000000000000001E-4</v>
      </c>
      <c r="F143" s="186" t="s">
        <v>147</v>
      </c>
      <c r="G143" s="248">
        <v>1</v>
      </c>
      <c r="H143" s="989" t="s">
        <v>171</v>
      </c>
      <c r="I143" s="990"/>
      <c r="J143" s="992" t="s">
        <v>1007</v>
      </c>
      <c r="K143" s="992"/>
      <c r="L143" s="992"/>
      <c r="M143" s="992"/>
      <c r="N143" s="992"/>
      <c r="O143" s="992"/>
      <c r="P143" s="992"/>
      <c r="Q143" s="992"/>
      <c r="R143" s="992"/>
      <c r="S143" s="992"/>
    </row>
    <row r="144" spans="1:31">
      <c r="A144" s="216" t="s">
        <v>205</v>
      </c>
      <c r="B144" s="991" t="s">
        <v>245</v>
      </c>
      <c r="C144" s="991"/>
      <c r="D144" s="186" t="s">
        <v>147</v>
      </c>
      <c r="E144" s="244">
        <v>1.7569999999999999E-2</v>
      </c>
      <c r="F144" s="186" t="s">
        <v>147</v>
      </c>
      <c r="G144" s="248">
        <v>1</v>
      </c>
      <c r="H144" s="989" t="s">
        <v>176</v>
      </c>
      <c r="I144" s="990"/>
      <c r="J144" s="992" t="s">
        <v>1008</v>
      </c>
      <c r="K144" s="992"/>
      <c r="L144" s="992"/>
      <c r="M144" s="992"/>
      <c r="N144" s="992"/>
      <c r="O144" s="992"/>
      <c r="P144" s="992"/>
      <c r="Q144" s="992"/>
      <c r="R144" s="992"/>
      <c r="S144" s="992"/>
    </row>
    <row r="145" spans="1:19">
      <c r="A145" s="216" t="s">
        <v>205</v>
      </c>
      <c r="B145" s="991" t="s">
        <v>202</v>
      </c>
      <c r="C145" s="991"/>
      <c r="D145" s="186" t="s">
        <v>147</v>
      </c>
      <c r="E145" s="244" t="s">
        <v>158</v>
      </c>
      <c r="F145" s="186" t="s">
        <v>147</v>
      </c>
      <c r="G145" s="248">
        <v>1</v>
      </c>
      <c r="H145" s="989" t="s">
        <v>176</v>
      </c>
      <c r="I145" s="990"/>
      <c r="J145" s="992" t="s">
        <v>1009</v>
      </c>
      <c r="K145" s="992"/>
      <c r="L145" s="992"/>
      <c r="M145" s="992"/>
      <c r="N145" s="992"/>
      <c r="O145" s="992"/>
      <c r="P145" s="992"/>
      <c r="Q145" s="992"/>
      <c r="R145" s="992"/>
      <c r="S145" s="992"/>
    </row>
    <row r="146" spans="1:19">
      <c r="A146" s="216" t="s">
        <v>202</v>
      </c>
      <c r="B146" s="991" t="s">
        <v>217</v>
      </c>
      <c r="C146" s="991"/>
      <c r="D146" s="186" t="s">
        <v>147</v>
      </c>
      <c r="E146" s="244">
        <v>2.7E-4</v>
      </c>
      <c r="F146" s="186" t="s">
        <v>147</v>
      </c>
      <c r="G146" s="248">
        <v>2</v>
      </c>
      <c r="H146" s="989" t="s">
        <v>171</v>
      </c>
      <c r="I146" s="990"/>
      <c r="J146" s="992"/>
      <c r="K146" s="992"/>
      <c r="L146" s="992"/>
      <c r="M146" s="992"/>
      <c r="N146" s="992"/>
      <c r="O146" s="992"/>
      <c r="P146" s="992"/>
      <c r="Q146" s="992"/>
      <c r="R146" s="992"/>
      <c r="S146" s="992"/>
    </row>
    <row r="147" spans="1:19">
      <c r="A147" s="216" t="s">
        <v>202</v>
      </c>
      <c r="B147" s="991" t="s">
        <v>236</v>
      </c>
      <c r="C147" s="991"/>
      <c r="D147" s="186" t="s">
        <v>147</v>
      </c>
      <c r="E147" s="244">
        <v>0.55385041999999995</v>
      </c>
      <c r="F147" s="186" t="s">
        <v>147</v>
      </c>
      <c r="G147" s="248">
        <v>1</v>
      </c>
      <c r="H147" s="989" t="s">
        <v>237</v>
      </c>
      <c r="I147" s="990"/>
      <c r="J147" s="992" t="s">
        <v>1010</v>
      </c>
      <c r="K147" s="992"/>
      <c r="L147" s="992"/>
      <c r="M147" s="992"/>
      <c r="N147" s="992"/>
      <c r="O147" s="992"/>
      <c r="P147" s="992"/>
      <c r="Q147" s="992"/>
      <c r="R147" s="992"/>
      <c r="S147" s="992"/>
    </row>
    <row r="148" spans="1:19">
      <c r="A148" s="216" t="s">
        <v>202</v>
      </c>
      <c r="B148" s="991" t="s">
        <v>238</v>
      </c>
      <c r="C148" s="991"/>
      <c r="D148" s="186" t="s">
        <v>147</v>
      </c>
      <c r="E148" s="244">
        <v>0.44587958</v>
      </c>
      <c r="F148" s="186" t="s">
        <v>147</v>
      </c>
      <c r="G148" s="248">
        <v>1</v>
      </c>
      <c r="H148" s="989" t="s">
        <v>237</v>
      </c>
      <c r="I148" s="990"/>
      <c r="J148" s="992" t="s">
        <v>1011</v>
      </c>
      <c r="K148" s="992"/>
      <c r="L148" s="992"/>
      <c r="M148" s="992"/>
      <c r="N148" s="992"/>
      <c r="O148" s="992"/>
      <c r="P148" s="992"/>
      <c r="Q148" s="992"/>
      <c r="R148" s="992"/>
      <c r="S148" s="992"/>
    </row>
    <row r="149" spans="1:19">
      <c r="A149" s="216" t="s">
        <v>965</v>
      </c>
      <c r="B149" s="991" t="s">
        <v>245</v>
      </c>
      <c r="C149" s="991"/>
      <c r="D149" s="186" t="s">
        <v>147</v>
      </c>
      <c r="E149" s="244">
        <v>1.7569999999999999E-2</v>
      </c>
      <c r="F149" s="186" t="s">
        <v>147</v>
      </c>
      <c r="G149" s="248">
        <v>1</v>
      </c>
      <c r="H149" s="989" t="s">
        <v>176</v>
      </c>
      <c r="I149" s="990"/>
      <c r="J149" s="992" t="s">
        <v>1012</v>
      </c>
      <c r="K149" s="992"/>
      <c r="L149" s="992"/>
      <c r="M149" s="992"/>
      <c r="N149" s="992"/>
      <c r="O149" s="992"/>
      <c r="P149" s="992"/>
      <c r="Q149" s="992"/>
      <c r="R149" s="992"/>
      <c r="S149" s="992"/>
    </row>
    <row r="150" spans="1:19">
      <c r="A150" s="216" t="s">
        <v>965</v>
      </c>
      <c r="B150" s="991" t="s">
        <v>1013</v>
      </c>
      <c r="C150" s="991"/>
      <c r="D150" s="186" t="s">
        <v>147</v>
      </c>
      <c r="E150" s="244" t="s">
        <v>158</v>
      </c>
      <c r="F150" s="186" t="s">
        <v>147</v>
      </c>
      <c r="G150" s="248">
        <v>1</v>
      </c>
      <c r="H150" s="989" t="s">
        <v>176</v>
      </c>
      <c r="I150" s="990"/>
      <c r="J150" s="992" t="s">
        <v>1009</v>
      </c>
      <c r="K150" s="992"/>
      <c r="L150" s="992"/>
      <c r="M150" s="992"/>
      <c r="N150" s="992"/>
      <c r="O150" s="992"/>
      <c r="P150" s="992"/>
      <c r="Q150" s="992"/>
      <c r="R150" s="992"/>
      <c r="S150" s="992"/>
    </row>
    <row r="151" spans="1:19">
      <c r="A151" s="216" t="s">
        <v>1013</v>
      </c>
      <c r="B151" s="991" t="s">
        <v>217</v>
      </c>
      <c r="C151" s="991"/>
      <c r="D151" s="186" t="s">
        <v>147</v>
      </c>
      <c r="E151" s="244">
        <v>2.7E-4</v>
      </c>
      <c r="F151" s="186" t="s">
        <v>147</v>
      </c>
      <c r="G151" s="248">
        <v>2</v>
      </c>
      <c r="H151" s="989" t="s">
        <v>171</v>
      </c>
      <c r="I151" s="990"/>
      <c r="J151" s="992"/>
      <c r="K151" s="992"/>
      <c r="L151" s="992"/>
      <c r="M151" s="992"/>
      <c r="N151" s="992"/>
      <c r="O151" s="992"/>
      <c r="P151" s="992"/>
      <c r="Q151" s="992"/>
      <c r="R151" s="992"/>
      <c r="S151" s="992"/>
    </row>
    <row r="152" spans="1:19">
      <c r="A152" s="216" t="s">
        <v>1013</v>
      </c>
      <c r="B152" s="991" t="s">
        <v>236</v>
      </c>
      <c r="C152" s="991"/>
      <c r="D152" s="186" t="s">
        <v>147</v>
      </c>
      <c r="E152" s="244" t="s">
        <v>158</v>
      </c>
      <c r="F152" s="186" t="s">
        <v>147</v>
      </c>
      <c r="G152" s="248">
        <v>1</v>
      </c>
      <c r="H152" s="989" t="s">
        <v>357</v>
      </c>
      <c r="I152" s="990"/>
      <c r="J152" s="992"/>
      <c r="K152" s="992"/>
      <c r="L152" s="992"/>
      <c r="M152" s="992"/>
      <c r="N152" s="992"/>
      <c r="O152" s="992"/>
      <c r="P152" s="992"/>
      <c r="Q152" s="992"/>
      <c r="R152" s="992"/>
      <c r="S152" s="992"/>
    </row>
    <row r="153" spans="1:19">
      <c r="A153" s="216" t="s">
        <v>347</v>
      </c>
      <c r="B153" s="991" t="s">
        <v>217</v>
      </c>
      <c r="C153" s="991"/>
      <c r="D153" s="186" t="s">
        <v>147</v>
      </c>
      <c r="E153" s="244">
        <v>2.7E-4</v>
      </c>
      <c r="F153" s="186" t="s">
        <v>147</v>
      </c>
      <c r="G153" s="248">
        <v>2</v>
      </c>
      <c r="H153" s="989" t="s">
        <v>171</v>
      </c>
      <c r="I153" s="990"/>
      <c r="J153" s="992"/>
      <c r="K153" s="992"/>
      <c r="L153" s="992"/>
      <c r="M153" s="992"/>
      <c r="N153" s="992"/>
      <c r="O153" s="992"/>
      <c r="P153" s="992"/>
      <c r="Q153" s="992"/>
      <c r="R153" s="992"/>
      <c r="S153" s="992"/>
    </row>
    <row r="154" spans="1:19">
      <c r="A154" s="216" t="s">
        <v>347</v>
      </c>
      <c r="B154" s="991" t="s">
        <v>236</v>
      </c>
      <c r="C154" s="991"/>
      <c r="D154" s="186" t="s">
        <v>147</v>
      </c>
      <c r="E154" s="244" t="s">
        <v>158</v>
      </c>
      <c r="F154" s="186" t="s">
        <v>147</v>
      </c>
      <c r="G154" s="248">
        <v>1</v>
      </c>
      <c r="H154" s="989" t="s">
        <v>357</v>
      </c>
      <c r="I154" s="990"/>
      <c r="J154" s="992"/>
      <c r="K154" s="992"/>
      <c r="L154" s="992"/>
      <c r="M154" s="992"/>
      <c r="N154" s="992"/>
      <c r="O154" s="992"/>
      <c r="P154" s="992"/>
      <c r="Q154" s="992"/>
      <c r="R154" s="992"/>
      <c r="S154" s="992"/>
    </row>
    <row r="155" spans="1:19">
      <c r="A155" s="216" t="s">
        <v>347</v>
      </c>
      <c r="B155" s="991" t="s">
        <v>373</v>
      </c>
      <c r="C155" s="991"/>
      <c r="D155" s="186" t="s">
        <v>147</v>
      </c>
      <c r="E155" s="244">
        <v>6.5000000000000002E-2</v>
      </c>
      <c r="F155" s="186" t="s">
        <v>147</v>
      </c>
      <c r="G155" s="248">
        <v>1</v>
      </c>
      <c r="H155" s="989" t="s">
        <v>438</v>
      </c>
      <c r="I155" s="990"/>
      <c r="J155" s="992" t="s">
        <v>1014</v>
      </c>
      <c r="K155" s="992"/>
      <c r="L155" s="992"/>
      <c r="M155" s="992"/>
      <c r="N155" s="992"/>
      <c r="O155" s="992"/>
      <c r="P155" s="992"/>
      <c r="Q155" s="992"/>
      <c r="R155" s="992"/>
      <c r="S155" s="992"/>
    </row>
    <row r="156" spans="1:19">
      <c r="A156" s="216" t="s">
        <v>347</v>
      </c>
      <c r="B156" s="991" t="s">
        <v>373</v>
      </c>
      <c r="C156" s="991"/>
      <c r="D156" s="186" t="s">
        <v>147</v>
      </c>
      <c r="E156" s="244">
        <v>0.46</v>
      </c>
      <c r="F156" s="186" t="s">
        <v>147</v>
      </c>
      <c r="G156" s="248">
        <v>1</v>
      </c>
      <c r="H156" s="989" t="s">
        <v>439</v>
      </c>
      <c r="I156" s="990"/>
      <c r="J156" s="992" t="s">
        <v>1015</v>
      </c>
      <c r="K156" s="992"/>
      <c r="L156" s="992"/>
      <c r="M156" s="992"/>
      <c r="N156" s="992"/>
      <c r="O156" s="992"/>
      <c r="P156" s="992"/>
      <c r="Q156" s="992"/>
      <c r="R156" s="992"/>
      <c r="S156" s="992"/>
    </row>
    <row r="157" spans="1:19">
      <c r="A157" s="216" t="s">
        <v>254</v>
      </c>
      <c r="B157" s="991" t="s">
        <v>217</v>
      </c>
      <c r="C157" s="991"/>
      <c r="D157" s="186" t="s">
        <v>147</v>
      </c>
      <c r="E157" s="244">
        <v>2.7E-4</v>
      </c>
      <c r="F157" s="186" t="s">
        <v>147</v>
      </c>
      <c r="G157" s="248">
        <v>2</v>
      </c>
      <c r="H157" s="989" t="s">
        <v>171</v>
      </c>
      <c r="I157" s="990"/>
      <c r="J157" s="992"/>
      <c r="K157" s="992"/>
      <c r="L157" s="992"/>
      <c r="M157" s="992"/>
      <c r="N157" s="992"/>
      <c r="O157" s="992"/>
      <c r="P157" s="992"/>
      <c r="Q157" s="992"/>
      <c r="R157" s="992"/>
      <c r="S157" s="992"/>
    </row>
    <row r="158" spans="1:19">
      <c r="A158" s="216" t="s">
        <v>254</v>
      </c>
      <c r="B158" s="991" t="s">
        <v>236</v>
      </c>
      <c r="C158" s="991"/>
      <c r="D158" s="186" t="s">
        <v>147</v>
      </c>
      <c r="E158" s="244" t="s">
        <v>158</v>
      </c>
      <c r="F158" s="186" t="s">
        <v>147</v>
      </c>
      <c r="G158" s="248">
        <v>1</v>
      </c>
      <c r="H158" s="989" t="s">
        <v>357</v>
      </c>
      <c r="I158" s="990"/>
      <c r="J158" s="992"/>
      <c r="K158" s="992"/>
      <c r="L158" s="992"/>
      <c r="M158" s="992"/>
      <c r="N158" s="992"/>
      <c r="O158" s="992"/>
      <c r="P158" s="992"/>
      <c r="Q158" s="992"/>
      <c r="R158" s="992"/>
      <c r="S158" s="992"/>
    </row>
    <row r="159" spans="1:19">
      <c r="A159" s="216" t="s">
        <v>254</v>
      </c>
      <c r="B159" s="991" t="s">
        <v>373</v>
      </c>
      <c r="C159" s="991"/>
      <c r="D159" s="186" t="s">
        <v>147</v>
      </c>
      <c r="E159" s="244">
        <v>0.91400000000000003</v>
      </c>
      <c r="F159" s="186" t="s">
        <v>147</v>
      </c>
      <c r="G159" s="248">
        <v>1</v>
      </c>
      <c r="H159" s="989" t="s">
        <v>438</v>
      </c>
      <c r="I159" s="990"/>
      <c r="J159" s="992" t="s">
        <v>1014</v>
      </c>
      <c r="K159" s="992"/>
      <c r="L159" s="992"/>
      <c r="M159" s="992"/>
      <c r="N159" s="992"/>
      <c r="O159" s="992"/>
      <c r="P159" s="992"/>
      <c r="Q159" s="992"/>
      <c r="R159" s="992"/>
      <c r="S159" s="992"/>
    </row>
    <row r="160" spans="1:19">
      <c r="A160" s="216" t="s">
        <v>252</v>
      </c>
      <c r="B160" s="991" t="s">
        <v>217</v>
      </c>
      <c r="C160" s="991"/>
      <c r="D160" s="186" t="s">
        <v>147</v>
      </c>
      <c r="E160" s="244">
        <v>2.7E-4</v>
      </c>
      <c r="F160" s="186" t="s">
        <v>147</v>
      </c>
      <c r="G160" s="248">
        <v>2</v>
      </c>
      <c r="H160" s="989" t="s">
        <v>171</v>
      </c>
      <c r="I160" s="990"/>
      <c r="J160" s="992"/>
      <c r="K160" s="992"/>
      <c r="L160" s="992"/>
      <c r="M160" s="992"/>
      <c r="N160" s="992"/>
      <c r="O160" s="992"/>
      <c r="P160" s="992"/>
      <c r="Q160" s="992"/>
      <c r="R160" s="992"/>
      <c r="S160" s="992"/>
    </row>
    <row r="161" spans="1:19">
      <c r="A161" s="216" t="s">
        <v>252</v>
      </c>
      <c r="B161" s="991" t="s">
        <v>236</v>
      </c>
      <c r="C161" s="991"/>
      <c r="D161" s="186" t="s">
        <v>147</v>
      </c>
      <c r="E161" s="244" t="s">
        <v>158</v>
      </c>
      <c r="F161" s="186" t="s">
        <v>147</v>
      </c>
      <c r="G161" s="248">
        <v>1</v>
      </c>
      <c r="H161" s="989" t="s">
        <v>357</v>
      </c>
      <c r="I161" s="990"/>
      <c r="J161" s="992"/>
      <c r="K161" s="992"/>
      <c r="L161" s="992"/>
      <c r="M161" s="992"/>
      <c r="N161" s="992"/>
      <c r="O161" s="992"/>
      <c r="P161" s="992"/>
      <c r="Q161" s="992"/>
      <c r="R161" s="992"/>
      <c r="S161" s="992"/>
    </row>
    <row r="162" spans="1:19">
      <c r="A162" s="216" t="s">
        <v>252</v>
      </c>
      <c r="B162" s="991" t="s">
        <v>373</v>
      </c>
      <c r="C162" s="991"/>
      <c r="D162" s="186" t="s">
        <v>147</v>
      </c>
      <c r="E162" s="244">
        <v>0.16500000000000001</v>
      </c>
      <c r="F162" s="186" t="s">
        <v>147</v>
      </c>
      <c r="G162" s="248">
        <v>1</v>
      </c>
      <c r="H162" s="989" t="s">
        <v>438</v>
      </c>
      <c r="I162" s="990"/>
      <c r="J162" s="992" t="s">
        <v>1014</v>
      </c>
      <c r="K162" s="992"/>
      <c r="L162" s="992"/>
      <c r="M162" s="992"/>
      <c r="N162" s="992"/>
      <c r="O162" s="992"/>
      <c r="P162" s="992"/>
      <c r="Q162" s="992"/>
      <c r="R162" s="992"/>
      <c r="S162" s="992"/>
    </row>
    <row r="163" spans="1:19">
      <c r="A163" s="216" t="s">
        <v>252</v>
      </c>
      <c r="B163" s="991" t="s">
        <v>373</v>
      </c>
      <c r="C163" s="991"/>
      <c r="D163" s="186" t="s">
        <v>147</v>
      </c>
      <c r="E163" s="244">
        <v>0.52500000000000002</v>
      </c>
      <c r="F163" s="186" t="s">
        <v>147</v>
      </c>
      <c r="G163" s="248">
        <v>1</v>
      </c>
      <c r="H163" s="989" t="s">
        <v>438</v>
      </c>
      <c r="I163" s="990"/>
      <c r="J163" s="992" t="s">
        <v>1015</v>
      </c>
      <c r="K163" s="992"/>
      <c r="L163" s="992"/>
      <c r="M163" s="992"/>
      <c r="N163" s="992"/>
      <c r="O163" s="992"/>
      <c r="P163" s="992"/>
      <c r="Q163" s="992"/>
      <c r="R163" s="992"/>
      <c r="S163" s="992"/>
    </row>
    <row r="164" spans="1:19">
      <c r="A164" s="216" t="s">
        <v>253</v>
      </c>
      <c r="B164" s="991" t="s">
        <v>217</v>
      </c>
      <c r="C164" s="991"/>
      <c r="D164" s="186" t="s">
        <v>147</v>
      </c>
      <c r="E164" s="244">
        <v>2.7E-4</v>
      </c>
      <c r="F164" s="186" t="s">
        <v>147</v>
      </c>
      <c r="G164" s="248">
        <v>2</v>
      </c>
      <c r="H164" s="989" t="s">
        <v>171</v>
      </c>
      <c r="I164" s="990"/>
      <c r="J164" s="992"/>
      <c r="K164" s="992"/>
      <c r="L164" s="992"/>
      <c r="M164" s="992"/>
      <c r="N164" s="992"/>
      <c r="O164" s="992"/>
      <c r="P164" s="992"/>
      <c r="Q164" s="992"/>
      <c r="R164" s="992"/>
      <c r="S164" s="992"/>
    </row>
    <row r="165" spans="1:19">
      <c r="A165" s="216" t="s">
        <v>253</v>
      </c>
      <c r="B165" s="991" t="s">
        <v>236</v>
      </c>
      <c r="C165" s="991"/>
      <c r="D165" s="186" t="s">
        <v>147</v>
      </c>
      <c r="E165" s="244" t="s">
        <v>158</v>
      </c>
      <c r="F165" s="186" t="s">
        <v>147</v>
      </c>
      <c r="G165" s="248">
        <v>1</v>
      </c>
      <c r="H165" s="989" t="s">
        <v>357</v>
      </c>
      <c r="I165" s="990"/>
      <c r="J165" s="992"/>
      <c r="K165" s="992"/>
      <c r="L165" s="992"/>
      <c r="M165" s="992"/>
      <c r="N165" s="992"/>
      <c r="O165" s="992"/>
      <c r="P165" s="992"/>
      <c r="Q165" s="992"/>
      <c r="R165" s="992"/>
      <c r="S165" s="992"/>
    </row>
    <row r="166" spans="1:19">
      <c r="A166" s="216" t="s">
        <v>253</v>
      </c>
      <c r="B166" s="991" t="s">
        <v>373</v>
      </c>
      <c r="C166" s="991"/>
      <c r="D166" s="186" t="s">
        <v>147</v>
      </c>
      <c r="E166" s="244">
        <v>6.5000000000000002E-2</v>
      </c>
      <c r="F166" s="186" t="s">
        <v>147</v>
      </c>
      <c r="G166" s="248">
        <v>1</v>
      </c>
      <c r="H166" s="989" t="s">
        <v>438</v>
      </c>
      <c r="I166" s="990"/>
      <c r="J166" s="992" t="s">
        <v>1015</v>
      </c>
      <c r="K166" s="992"/>
      <c r="L166" s="992"/>
      <c r="M166" s="992"/>
      <c r="N166" s="992"/>
      <c r="O166" s="992"/>
      <c r="P166" s="992"/>
      <c r="Q166" s="992"/>
      <c r="R166" s="992"/>
      <c r="S166" s="992"/>
    </row>
    <row r="167" spans="1:19">
      <c r="A167" s="216" t="s">
        <v>199</v>
      </c>
      <c r="B167" s="991" t="s">
        <v>1001</v>
      </c>
      <c r="C167" s="991"/>
      <c r="D167" s="186" t="s">
        <v>147</v>
      </c>
      <c r="E167" s="244">
        <v>1.2999999999999999E-2</v>
      </c>
      <c r="F167" s="186" t="s">
        <v>147</v>
      </c>
      <c r="G167" s="248">
        <v>1</v>
      </c>
      <c r="H167" s="989" t="s">
        <v>171</v>
      </c>
      <c r="I167" s="990"/>
      <c r="J167" s="992" t="s">
        <v>1016</v>
      </c>
      <c r="K167" s="992"/>
      <c r="L167" s="992"/>
      <c r="M167" s="992"/>
      <c r="N167" s="992"/>
      <c r="O167" s="992"/>
      <c r="P167" s="992"/>
      <c r="Q167" s="992"/>
      <c r="R167" s="992"/>
      <c r="S167" s="992"/>
    </row>
    <row r="168" spans="1:19">
      <c r="A168" s="216" t="s">
        <v>199</v>
      </c>
      <c r="B168" s="991" t="s">
        <v>1001</v>
      </c>
      <c r="C168" s="991"/>
      <c r="D168" s="186" t="s">
        <v>147</v>
      </c>
      <c r="E168" s="244">
        <v>8.6E-3</v>
      </c>
      <c r="F168" s="186" t="s">
        <v>147</v>
      </c>
      <c r="G168" s="248">
        <v>1</v>
      </c>
      <c r="H168" s="989" t="s">
        <v>171</v>
      </c>
      <c r="I168" s="990"/>
      <c r="J168" s="992" t="s">
        <v>1017</v>
      </c>
      <c r="K168" s="992"/>
      <c r="L168" s="992"/>
      <c r="M168" s="992"/>
      <c r="N168" s="992"/>
      <c r="O168" s="992"/>
      <c r="P168" s="992"/>
      <c r="Q168" s="992"/>
      <c r="R168" s="992"/>
      <c r="S168" s="992"/>
    </row>
    <row r="169" spans="1:19">
      <c r="A169" s="216" t="s">
        <v>199</v>
      </c>
      <c r="B169" s="991" t="s">
        <v>244</v>
      </c>
      <c r="C169" s="991"/>
      <c r="D169" s="186" t="s">
        <v>147</v>
      </c>
      <c r="E169" s="244">
        <v>0</v>
      </c>
      <c r="F169" s="186" t="s">
        <v>147</v>
      </c>
      <c r="G169" s="248">
        <v>1</v>
      </c>
      <c r="H169" s="989" t="s">
        <v>171</v>
      </c>
      <c r="I169" s="990"/>
      <c r="J169" s="992"/>
      <c r="K169" s="992"/>
      <c r="L169" s="992"/>
      <c r="M169" s="992"/>
      <c r="N169" s="992"/>
      <c r="O169" s="992"/>
      <c r="P169" s="992"/>
      <c r="Q169" s="992"/>
      <c r="R169" s="992"/>
      <c r="S169" s="992"/>
    </row>
    <row r="170" spans="1:19">
      <c r="A170" s="216" t="s">
        <v>199</v>
      </c>
      <c r="B170" s="991" t="s">
        <v>245</v>
      </c>
      <c r="C170" s="991"/>
      <c r="D170" s="186" t="s">
        <v>147</v>
      </c>
      <c r="E170" s="244">
        <v>1.7569999999999999E-2</v>
      </c>
      <c r="F170" s="186" t="s">
        <v>147</v>
      </c>
      <c r="G170" s="248">
        <v>1</v>
      </c>
      <c r="H170" s="989" t="s">
        <v>176</v>
      </c>
      <c r="I170" s="990"/>
      <c r="J170" s="992" t="s">
        <v>1012</v>
      </c>
      <c r="K170" s="992"/>
      <c r="L170" s="992"/>
      <c r="M170" s="992"/>
      <c r="N170" s="992"/>
      <c r="O170" s="992"/>
      <c r="P170" s="992"/>
      <c r="Q170" s="992"/>
      <c r="R170" s="992"/>
      <c r="S170" s="992"/>
    </row>
    <row r="171" spans="1:19">
      <c r="A171" s="216" t="s">
        <v>199</v>
      </c>
      <c r="B171" s="991" t="s">
        <v>198</v>
      </c>
      <c r="C171" s="991"/>
      <c r="D171" s="186" t="s">
        <v>147</v>
      </c>
      <c r="E171" s="244" t="s">
        <v>158</v>
      </c>
      <c r="F171" s="186" t="s">
        <v>147</v>
      </c>
      <c r="G171" s="248">
        <v>1</v>
      </c>
      <c r="H171" s="989" t="s">
        <v>176</v>
      </c>
      <c r="I171" s="990"/>
      <c r="J171" s="992" t="s">
        <v>1009</v>
      </c>
      <c r="K171" s="992"/>
      <c r="L171" s="992"/>
      <c r="M171" s="992"/>
      <c r="N171" s="992"/>
      <c r="O171" s="992"/>
      <c r="P171" s="992"/>
      <c r="Q171" s="992"/>
      <c r="R171" s="992"/>
      <c r="S171" s="992"/>
    </row>
    <row r="172" spans="1:19">
      <c r="A172" s="216" t="s">
        <v>198</v>
      </c>
      <c r="B172" s="991" t="s">
        <v>217</v>
      </c>
      <c r="C172" s="991"/>
      <c r="D172" s="186" t="s">
        <v>147</v>
      </c>
      <c r="E172" s="244">
        <v>2.7E-4</v>
      </c>
      <c r="F172" s="186" t="s">
        <v>147</v>
      </c>
      <c r="G172" s="248">
        <v>2</v>
      </c>
      <c r="H172" s="989" t="s">
        <v>171</v>
      </c>
      <c r="I172" s="990"/>
      <c r="J172" s="992"/>
      <c r="K172" s="992"/>
      <c r="L172" s="992"/>
      <c r="M172" s="992"/>
      <c r="N172" s="992"/>
      <c r="O172" s="992"/>
      <c r="P172" s="992"/>
      <c r="Q172" s="992"/>
      <c r="R172" s="992"/>
      <c r="S172" s="992"/>
    </row>
    <row r="173" spans="1:19">
      <c r="A173" s="216" t="s">
        <v>198</v>
      </c>
      <c r="B173" s="991" t="s">
        <v>236</v>
      </c>
      <c r="C173" s="991"/>
      <c r="D173" s="186" t="s">
        <v>147</v>
      </c>
      <c r="E173" s="244">
        <v>0.55385041999999995</v>
      </c>
      <c r="F173" s="186" t="s">
        <v>147</v>
      </c>
      <c r="G173" s="248">
        <v>1</v>
      </c>
      <c r="H173" s="989" t="s">
        <v>237</v>
      </c>
      <c r="I173" s="990"/>
      <c r="J173" s="992" t="s">
        <v>1018</v>
      </c>
      <c r="K173" s="992"/>
      <c r="L173" s="992"/>
      <c r="M173" s="992"/>
      <c r="N173" s="992"/>
      <c r="O173" s="992"/>
      <c r="P173" s="992"/>
      <c r="Q173" s="992"/>
      <c r="R173" s="992"/>
      <c r="S173" s="992"/>
    </row>
    <row r="174" spans="1:19">
      <c r="A174" s="216" t="s">
        <v>198</v>
      </c>
      <c r="B174" s="991" t="s">
        <v>238</v>
      </c>
      <c r="C174" s="991"/>
      <c r="D174" s="186" t="s">
        <v>147</v>
      </c>
      <c r="E174" s="244">
        <v>0.44587958</v>
      </c>
      <c r="F174" s="186" t="s">
        <v>147</v>
      </c>
      <c r="G174" s="248">
        <v>1</v>
      </c>
      <c r="H174" s="989" t="s">
        <v>237</v>
      </c>
      <c r="I174" s="990"/>
      <c r="J174" s="992" t="s">
        <v>1019</v>
      </c>
      <c r="K174" s="992"/>
      <c r="L174" s="992"/>
      <c r="M174" s="992"/>
      <c r="N174" s="992"/>
      <c r="O174" s="992"/>
      <c r="P174" s="992"/>
      <c r="Q174" s="992"/>
      <c r="R174" s="992"/>
      <c r="S174" s="992"/>
    </row>
    <row r="175" spans="1:19">
      <c r="A175" s="216" t="s">
        <v>366</v>
      </c>
      <c r="B175" s="991" t="s">
        <v>1001</v>
      </c>
      <c r="C175" s="991"/>
      <c r="D175" s="186" t="s">
        <v>147</v>
      </c>
      <c r="E175" s="244">
        <v>1.2999999999999999E-2</v>
      </c>
      <c r="F175" s="186" t="s">
        <v>147</v>
      </c>
      <c r="G175" s="248">
        <v>1</v>
      </c>
      <c r="H175" s="989" t="s">
        <v>171</v>
      </c>
      <c r="I175" s="990"/>
      <c r="J175" s="992" t="s">
        <v>1020</v>
      </c>
      <c r="K175" s="992"/>
      <c r="L175" s="992"/>
      <c r="M175" s="992"/>
      <c r="N175" s="992"/>
      <c r="O175" s="992"/>
      <c r="P175" s="992"/>
      <c r="Q175" s="992"/>
      <c r="R175" s="992"/>
      <c r="S175" s="992"/>
    </row>
    <row r="176" spans="1:19">
      <c r="A176" s="216" t="s">
        <v>366</v>
      </c>
      <c r="B176" s="991" t="s">
        <v>1001</v>
      </c>
      <c r="C176" s="991"/>
      <c r="D176" s="186" t="s">
        <v>147</v>
      </c>
      <c r="E176" s="244">
        <v>8.6E-3</v>
      </c>
      <c r="F176" s="186" t="s">
        <v>147</v>
      </c>
      <c r="G176" s="248">
        <v>1</v>
      </c>
      <c r="H176" s="989" t="s">
        <v>171</v>
      </c>
      <c r="I176" s="990"/>
      <c r="J176" s="992" t="s">
        <v>1021</v>
      </c>
      <c r="K176" s="992"/>
      <c r="L176" s="992"/>
      <c r="M176" s="992"/>
      <c r="N176" s="992"/>
      <c r="O176" s="992"/>
      <c r="P176" s="992"/>
      <c r="Q176" s="992"/>
      <c r="R176" s="992"/>
      <c r="S176" s="992"/>
    </row>
    <row r="177" spans="1:19">
      <c r="A177" s="216" t="s">
        <v>366</v>
      </c>
      <c r="B177" s="991" t="s">
        <v>244</v>
      </c>
      <c r="C177" s="991"/>
      <c r="D177" s="186" t="s">
        <v>147</v>
      </c>
      <c r="E177" s="244">
        <v>0</v>
      </c>
      <c r="F177" s="186" t="s">
        <v>147</v>
      </c>
      <c r="G177" s="248">
        <v>1</v>
      </c>
      <c r="H177" s="989" t="s">
        <v>171</v>
      </c>
      <c r="I177" s="990"/>
      <c r="J177" s="992" t="s">
        <v>1022</v>
      </c>
      <c r="K177" s="992"/>
      <c r="L177" s="992"/>
      <c r="M177" s="992"/>
      <c r="N177" s="992"/>
      <c r="O177" s="992"/>
      <c r="P177" s="992"/>
      <c r="Q177" s="992"/>
      <c r="R177" s="992"/>
      <c r="S177" s="992"/>
    </row>
    <row r="178" spans="1:19">
      <c r="A178" s="216" t="s">
        <v>366</v>
      </c>
      <c r="B178" s="991" t="s">
        <v>245</v>
      </c>
      <c r="C178" s="991"/>
      <c r="D178" s="186" t="s">
        <v>147</v>
      </c>
      <c r="E178" s="244">
        <v>0</v>
      </c>
      <c r="F178" s="186" t="s">
        <v>147</v>
      </c>
      <c r="G178" s="248">
        <v>1</v>
      </c>
      <c r="H178" s="989" t="s">
        <v>171</v>
      </c>
      <c r="I178" s="990"/>
      <c r="J178" s="992" t="s">
        <v>1023</v>
      </c>
      <c r="K178" s="992"/>
      <c r="L178" s="992"/>
      <c r="M178" s="992"/>
      <c r="N178" s="992"/>
      <c r="O178" s="992"/>
      <c r="P178" s="992"/>
      <c r="Q178" s="992"/>
      <c r="R178" s="992"/>
      <c r="S178" s="992"/>
    </row>
    <row r="179" spans="1:19">
      <c r="A179" s="216" t="s">
        <v>366</v>
      </c>
      <c r="B179" s="991" t="s">
        <v>255</v>
      </c>
      <c r="C179" s="991"/>
      <c r="D179" s="186" t="s">
        <v>147</v>
      </c>
      <c r="E179" s="244" t="s">
        <v>158</v>
      </c>
      <c r="F179" s="186" t="s">
        <v>147</v>
      </c>
      <c r="G179" s="248">
        <v>1</v>
      </c>
      <c r="H179" s="989" t="s">
        <v>176</v>
      </c>
      <c r="I179" s="990"/>
      <c r="J179" s="992" t="s">
        <v>1009</v>
      </c>
      <c r="K179" s="992"/>
      <c r="L179" s="992"/>
      <c r="M179" s="992"/>
      <c r="N179" s="992"/>
      <c r="O179" s="992"/>
      <c r="P179" s="992"/>
      <c r="Q179" s="992"/>
      <c r="R179" s="992"/>
      <c r="S179" s="992"/>
    </row>
    <row r="180" spans="1:19">
      <c r="A180" s="216" t="s">
        <v>255</v>
      </c>
      <c r="B180" s="991" t="s">
        <v>217</v>
      </c>
      <c r="C180" s="991"/>
      <c r="D180" s="186" t="s">
        <v>147</v>
      </c>
      <c r="E180" s="244">
        <v>2.7E-4</v>
      </c>
      <c r="F180" s="186" t="s">
        <v>147</v>
      </c>
      <c r="G180" s="248">
        <v>2</v>
      </c>
      <c r="H180" s="989" t="s">
        <v>171</v>
      </c>
      <c r="I180" s="990"/>
      <c r="J180" s="992"/>
      <c r="K180" s="992"/>
      <c r="L180" s="992"/>
      <c r="M180" s="992"/>
      <c r="N180" s="992"/>
      <c r="O180" s="992"/>
      <c r="P180" s="992"/>
      <c r="Q180" s="992"/>
      <c r="R180" s="992"/>
      <c r="S180" s="992"/>
    </row>
    <row r="181" spans="1:19">
      <c r="A181" s="216" t="s">
        <v>255</v>
      </c>
      <c r="B181" s="991" t="s">
        <v>236</v>
      </c>
      <c r="C181" s="991"/>
      <c r="D181" s="186" t="s">
        <v>147</v>
      </c>
      <c r="E181" s="244">
        <v>0.55385041999999995</v>
      </c>
      <c r="F181" s="186" t="s">
        <v>147</v>
      </c>
      <c r="G181" s="248">
        <v>1</v>
      </c>
      <c r="H181" s="989" t="s">
        <v>237</v>
      </c>
      <c r="I181" s="990"/>
      <c r="J181" s="992" t="s">
        <v>1024</v>
      </c>
      <c r="K181" s="992"/>
      <c r="L181" s="992"/>
      <c r="M181" s="992"/>
      <c r="N181" s="992"/>
      <c r="O181" s="992"/>
      <c r="P181" s="992"/>
      <c r="Q181" s="992"/>
      <c r="R181" s="992"/>
      <c r="S181" s="992"/>
    </row>
    <row r="182" spans="1:19">
      <c r="A182" s="216" t="s">
        <v>255</v>
      </c>
      <c r="B182" s="991" t="s">
        <v>238</v>
      </c>
      <c r="C182" s="991"/>
      <c r="D182" s="186" t="s">
        <v>147</v>
      </c>
      <c r="E182" s="244">
        <v>0.44587958</v>
      </c>
      <c r="F182" s="186" t="s">
        <v>147</v>
      </c>
      <c r="G182" s="248">
        <v>1</v>
      </c>
      <c r="H182" s="989" t="s">
        <v>237</v>
      </c>
      <c r="I182" s="990"/>
      <c r="J182" s="992" t="s">
        <v>1025</v>
      </c>
      <c r="K182" s="992"/>
      <c r="L182" s="992"/>
      <c r="M182" s="992"/>
      <c r="N182" s="992"/>
      <c r="O182" s="992"/>
      <c r="P182" s="992"/>
      <c r="Q182" s="992"/>
      <c r="R182" s="992"/>
      <c r="S182" s="992"/>
    </row>
    <row r="183" spans="1:19">
      <c r="A183" s="216" t="s">
        <v>356</v>
      </c>
      <c r="B183" s="991" t="s">
        <v>236</v>
      </c>
      <c r="C183" s="991"/>
      <c r="D183" s="186" t="s">
        <v>147</v>
      </c>
      <c r="E183" s="244">
        <v>1</v>
      </c>
      <c r="F183" s="186" t="s">
        <v>147</v>
      </c>
      <c r="G183" s="248">
        <v>1</v>
      </c>
      <c r="H183" s="989" t="s">
        <v>171</v>
      </c>
      <c r="I183" s="990"/>
      <c r="J183" s="992"/>
      <c r="K183" s="992"/>
      <c r="L183" s="992"/>
      <c r="M183" s="992"/>
      <c r="N183" s="992"/>
      <c r="O183" s="992"/>
      <c r="P183" s="992"/>
      <c r="Q183" s="992"/>
      <c r="R183" s="992"/>
      <c r="S183" s="992"/>
    </row>
    <row r="184" spans="1:19">
      <c r="A184" s="216" t="s">
        <v>170</v>
      </c>
      <c r="B184" s="991" t="s">
        <v>163</v>
      </c>
      <c r="C184" s="991"/>
      <c r="D184" s="186" t="s">
        <v>147</v>
      </c>
      <c r="E184" s="244">
        <v>0</v>
      </c>
      <c r="F184" s="186" t="s">
        <v>147</v>
      </c>
      <c r="G184" s="248">
        <v>1</v>
      </c>
      <c r="H184" s="989" t="s">
        <v>171</v>
      </c>
      <c r="I184" s="990"/>
      <c r="J184" s="992" t="s">
        <v>155</v>
      </c>
      <c r="K184" s="992"/>
      <c r="L184" s="992"/>
      <c r="M184" s="992"/>
      <c r="N184" s="992"/>
      <c r="O184" s="992"/>
      <c r="P184" s="992"/>
      <c r="Q184" s="992"/>
      <c r="R184" s="992"/>
      <c r="S184" s="992"/>
    </row>
    <row r="185" spans="1:19">
      <c r="A185" s="216" t="s">
        <v>170</v>
      </c>
      <c r="B185" s="991" t="s">
        <v>163</v>
      </c>
      <c r="C185" s="991"/>
      <c r="D185" s="186" t="s">
        <v>147</v>
      </c>
      <c r="E185" s="244">
        <v>1.2999999999999999E-2</v>
      </c>
      <c r="F185" s="186" t="s">
        <v>147</v>
      </c>
      <c r="G185" s="248">
        <v>1</v>
      </c>
      <c r="H185" s="989" t="s">
        <v>171</v>
      </c>
      <c r="I185" s="990"/>
      <c r="J185" s="992" t="s">
        <v>1026</v>
      </c>
      <c r="K185" s="992"/>
      <c r="L185" s="992"/>
      <c r="M185" s="992"/>
      <c r="N185" s="992"/>
      <c r="O185" s="992"/>
      <c r="P185" s="992"/>
      <c r="Q185" s="992"/>
      <c r="R185" s="992"/>
      <c r="S185" s="992"/>
    </row>
    <row r="186" spans="1:19">
      <c r="A186" s="216" t="s">
        <v>170</v>
      </c>
      <c r="B186" s="991" t="s">
        <v>154</v>
      </c>
      <c r="C186" s="991"/>
      <c r="D186" s="186" t="s">
        <v>147</v>
      </c>
      <c r="E186" s="244">
        <v>0</v>
      </c>
      <c r="F186" s="186" t="s">
        <v>147</v>
      </c>
      <c r="G186" s="248">
        <v>1</v>
      </c>
      <c r="H186" s="989" t="s">
        <v>171</v>
      </c>
      <c r="I186" s="990"/>
      <c r="J186" s="992" t="s">
        <v>155</v>
      </c>
      <c r="K186" s="992"/>
      <c r="L186" s="992"/>
      <c r="M186" s="992"/>
      <c r="N186" s="992"/>
      <c r="O186" s="992"/>
      <c r="P186" s="992"/>
      <c r="Q186" s="992"/>
      <c r="R186" s="992"/>
      <c r="S186" s="992"/>
    </row>
    <row r="187" spans="1:19">
      <c r="A187" s="216" t="s">
        <v>170</v>
      </c>
      <c r="B187" s="991" t="s">
        <v>154</v>
      </c>
      <c r="C187" s="991"/>
      <c r="D187" s="186" t="s">
        <v>147</v>
      </c>
      <c r="E187" s="244">
        <v>8.5000000000000006E-2</v>
      </c>
      <c r="F187" s="186" t="s">
        <v>147</v>
      </c>
      <c r="G187" s="248">
        <v>1</v>
      </c>
      <c r="H187" s="989" t="s">
        <v>171</v>
      </c>
      <c r="I187" s="990"/>
      <c r="J187" s="992" t="s">
        <v>156</v>
      </c>
      <c r="K187" s="992"/>
      <c r="L187" s="992"/>
      <c r="M187" s="992"/>
      <c r="N187" s="992"/>
      <c r="O187" s="992"/>
      <c r="P187" s="992"/>
      <c r="Q187" s="992"/>
      <c r="R187" s="992"/>
      <c r="S187" s="992"/>
    </row>
    <row r="188" spans="1:19">
      <c r="A188" s="216" t="s">
        <v>170</v>
      </c>
      <c r="B188" s="991" t="s">
        <v>161</v>
      </c>
      <c r="C188" s="991"/>
      <c r="D188" s="186" t="s">
        <v>147</v>
      </c>
      <c r="E188" s="244" t="s">
        <v>158</v>
      </c>
      <c r="F188" s="186" t="s">
        <v>147</v>
      </c>
      <c r="G188" s="248">
        <v>1</v>
      </c>
      <c r="H188" s="989" t="s">
        <v>176</v>
      </c>
      <c r="I188" s="990"/>
      <c r="J188" s="992" t="s">
        <v>1009</v>
      </c>
      <c r="K188" s="992"/>
      <c r="L188" s="992"/>
      <c r="M188" s="992"/>
      <c r="N188" s="992"/>
      <c r="O188" s="992"/>
      <c r="P188" s="992"/>
      <c r="Q188" s="992"/>
      <c r="R188" s="992"/>
      <c r="S188" s="992"/>
    </row>
    <row r="189" spans="1:19">
      <c r="A189" s="216" t="s">
        <v>161</v>
      </c>
      <c r="B189" s="991" t="s">
        <v>173</v>
      </c>
      <c r="C189" s="991"/>
      <c r="D189" s="186" t="s">
        <v>147</v>
      </c>
      <c r="E189" s="244" t="s">
        <v>158</v>
      </c>
      <c r="F189" s="186" t="s">
        <v>147</v>
      </c>
      <c r="G189" s="248">
        <v>1</v>
      </c>
      <c r="H189" s="989" t="s">
        <v>171</v>
      </c>
      <c r="I189" s="990"/>
      <c r="J189" s="992"/>
      <c r="K189" s="992"/>
      <c r="L189" s="992"/>
      <c r="M189" s="992"/>
      <c r="N189" s="992"/>
      <c r="O189" s="992"/>
      <c r="P189" s="992"/>
      <c r="Q189" s="992"/>
      <c r="R189" s="992"/>
      <c r="S189" s="992"/>
    </row>
    <row r="190" spans="1:19">
      <c r="A190" s="216" t="s">
        <v>161</v>
      </c>
      <c r="B190" s="991" t="s">
        <v>217</v>
      </c>
      <c r="C190" s="991"/>
      <c r="D190" s="186" t="s">
        <v>147</v>
      </c>
      <c r="E190" s="244">
        <v>2.7E-4</v>
      </c>
      <c r="F190" s="186" t="s">
        <v>147</v>
      </c>
      <c r="G190" s="248">
        <v>2</v>
      </c>
      <c r="H190" s="989" t="s">
        <v>171</v>
      </c>
      <c r="I190" s="990"/>
      <c r="J190" s="992"/>
      <c r="K190" s="992"/>
      <c r="L190" s="992"/>
      <c r="M190" s="992"/>
      <c r="N190" s="992"/>
      <c r="O190" s="992"/>
      <c r="P190" s="992"/>
      <c r="Q190" s="992"/>
      <c r="R190" s="992"/>
      <c r="S190" s="992"/>
    </row>
    <row r="191" spans="1:19">
      <c r="A191" s="216" t="s">
        <v>161</v>
      </c>
      <c r="B191" s="991" t="s">
        <v>1027</v>
      </c>
      <c r="C191" s="991"/>
      <c r="D191" s="186" t="s">
        <v>147</v>
      </c>
      <c r="E191" s="244">
        <v>0</v>
      </c>
      <c r="F191" s="186" t="s">
        <v>147</v>
      </c>
      <c r="G191" s="248">
        <v>1</v>
      </c>
      <c r="H191" s="989" t="s">
        <v>171</v>
      </c>
      <c r="I191" s="990"/>
      <c r="J191" s="992"/>
      <c r="K191" s="992"/>
      <c r="L191" s="992"/>
      <c r="M191" s="992"/>
      <c r="N191" s="992"/>
      <c r="O191" s="992"/>
      <c r="P191" s="992"/>
      <c r="Q191" s="992"/>
      <c r="R191" s="992"/>
      <c r="S191" s="992"/>
    </row>
    <row r="192" spans="1:19">
      <c r="A192" s="216" t="s">
        <v>161</v>
      </c>
      <c r="B192" s="991" t="s">
        <v>1028</v>
      </c>
      <c r="C192" s="991"/>
      <c r="D192" s="186" t="s">
        <v>147</v>
      </c>
      <c r="E192" s="244">
        <v>0</v>
      </c>
      <c r="F192" s="186" t="s">
        <v>147</v>
      </c>
      <c r="G192" s="248">
        <v>1</v>
      </c>
      <c r="H192" s="989" t="s">
        <v>171</v>
      </c>
      <c r="I192" s="990"/>
      <c r="J192" s="992"/>
      <c r="K192" s="992"/>
      <c r="L192" s="992"/>
      <c r="M192" s="992"/>
      <c r="N192" s="992"/>
      <c r="O192" s="992"/>
      <c r="P192" s="992"/>
      <c r="Q192" s="992"/>
      <c r="R192" s="992"/>
      <c r="S192" s="992"/>
    </row>
    <row r="193" spans="1:19">
      <c r="A193" s="216" t="s">
        <v>358</v>
      </c>
      <c r="B193" s="991" t="s">
        <v>258</v>
      </c>
      <c r="C193" s="991"/>
      <c r="D193" s="186" t="s">
        <v>147</v>
      </c>
      <c r="E193" s="244">
        <v>0.53527000000000002</v>
      </c>
      <c r="F193" s="186" t="s">
        <v>147</v>
      </c>
      <c r="G193" s="248">
        <v>1</v>
      </c>
      <c r="H193" s="989" t="s">
        <v>171</v>
      </c>
      <c r="I193" s="990"/>
      <c r="J193" s="992"/>
      <c r="K193" s="992"/>
      <c r="L193" s="992"/>
      <c r="M193" s="992"/>
      <c r="N193" s="992"/>
      <c r="O193" s="992"/>
      <c r="P193" s="992"/>
      <c r="Q193" s="992"/>
      <c r="R193" s="992"/>
      <c r="S193" s="992"/>
    </row>
    <row r="194" spans="1:19">
      <c r="A194" s="216" t="s">
        <v>358</v>
      </c>
      <c r="B194" s="991" t="s">
        <v>186</v>
      </c>
      <c r="C194" s="991"/>
      <c r="D194" s="186" t="s">
        <v>147</v>
      </c>
      <c r="E194" s="244" t="s">
        <v>158</v>
      </c>
      <c r="F194" s="186" t="s">
        <v>147</v>
      </c>
      <c r="G194" s="248">
        <v>1</v>
      </c>
      <c r="H194" s="989" t="s">
        <v>171</v>
      </c>
      <c r="I194" s="990"/>
      <c r="J194" s="992"/>
      <c r="K194" s="992"/>
      <c r="L194" s="992"/>
      <c r="M194" s="992"/>
      <c r="N194" s="992"/>
      <c r="O194" s="992"/>
      <c r="P194" s="992"/>
      <c r="Q194" s="992"/>
      <c r="R194" s="992"/>
      <c r="S194" s="992"/>
    </row>
    <row r="195" spans="1:19">
      <c r="A195" s="216" t="s">
        <v>195</v>
      </c>
      <c r="B195" s="991" t="s">
        <v>184</v>
      </c>
      <c r="C195" s="991"/>
      <c r="D195" s="186" t="s">
        <v>147</v>
      </c>
      <c r="E195" s="244">
        <v>1.2999999999999999E-3</v>
      </c>
      <c r="F195" s="186" t="s">
        <v>147</v>
      </c>
      <c r="G195" s="248">
        <v>1</v>
      </c>
      <c r="H195" s="989" t="s">
        <v>171</v>
      </c>
      <c r="I195" s="990"/>
      <c r="J195" s="992" t="s">
        <v>185</v>
      </c>
      <c r="K195" s="992"/>
      <c r="L195" s="992"/>
      <c r="M195" s="992"/>
      <c r="N195" s="992"/>
      <c r="O195" s="992"/>
      <c r="P195" s="992"/>
      <c r="Q195" s="992"/>
      <c r="R195" s="992"/>
      <c r="S195" s="992"/>
    </row>
    <row r="196" spans="1:19">
      <c r="A196" s="216" t="s">
        <v>195</v>
      </c>
      <c r="B196" s="991" t="s">
        <v>184</v>
      </c>
      <c r="C196" s="991"/>
      <c r="D196" s="186" t="s">
        <v>147</v>
      </c>
      <c r="E196" s="244">
        <v>1.47E-2</v>
      </c>
      <c r="F196" s="186" t="s">
        <v>147</v>
      </c>
      <c r="G196" s="248">
        <v>1</v>
      </c>
      <c r="H196" s="989" t="s">
        <v>171</v>
      </c>
      <c r="I196" s="990"/>
      <c r="J196" s="992" t="s">
        <v>185</v>
      </c>
      <c r="K196" s="992"/>
      <c r="L196" s="992"/>
      <c r="M196" s="992"/>
      <c r="N196" s="992"/>
      <c r="O196" s="992"/>
      <c r="P196" s="992"/>
      <c r="Q196" s="992"/>
      <c r="R196" s="992"/>
      <c r="S196" s="992"/>
    </row>
    <row r="197" spans="1:19">
      <c r="A197" s="216" t="s">
        <v>195</v>
      </c>
      <c r="B197" s="991" t="s">
        <v>196</v>
      </c>
      <c r="C197" s="991"/>
      <c r="D197" s="186" t="s">
        <v>147</v>
      </c>
      <c r="E197" s="244">
        <v>0</v>
      </c>
      <c r="F197" s="186" t="s">
        <v>147</v>
      </c>
      <c r="G197" s="248">
        <v>1</v>
      </c>
      <c r="H197" s="989" t="s">
        <v>171</v>
      </c>
      <c r="I197" s="990"/>
      <c r="J197" s="992"/>
      <c r="K197" s="992"/>
      <c r="L197" s="992"/>
      <c r="M197" s="992"/>
      <c r="N197" s="992"/>
      <c r="O197" s="992"/>
      <c r="P197" s="992"/>
      <c r="Q197" s="992"/>
      <c r="R197" s="992"/>
      <c r="S197" s="992"/>
    </row>
    <row r="198" spans="1:19">
      <c r="A198" s="216" t="s">
        <v>195</v>
      </c>
      <c r="B198" s="991" t="s">
        <v>196</v>
      </c>
      <c r="C198" s="991"/>
      <c r="D198" s="186" t="s">
        <v>147</v>
      </c>
      <c r="E198" s="244">
        <v>1.2E-2</v>
      </c>
      <c r="F198" s="186" t="s">
        <v>147</v>
      </c>
      <c r="G198" s="248">
        <v>1</v>
      </c>
      <c r="H198" s="989" t="s">
        <v>171</v>
      </c>
      <c r="I198" s="990"/>
      <c r="J198" s="992" t="s">
        <v>1029</v>
      </c>
      <c r="K198" s="992"/>
      <c r="L198" s="992"/>
      <c r="M198" s="992"/>
      <c r="N198" s="992"/>
      <c r="O198" s="992"/>
      <c r="P198" s="992"/>
      <c r="Q198" s="992"/>
      <c r="R198" s="992"/>
      <c r="S198" s="992"/>
    </row>
    <row r="199" spans="1:19">
      <c r="A199" s="216" t="s">
        <v>195</v>
      </c>
      <c r="B199" s="991" t="s">
        <v>194</v>
      </c>
      <c r="C199" s="991"/>
      <c r="D199" s="186" t="s">
        <v>147</v>
      </c>
      <c r="E199" s="244" t="s">
        <v>158</v>
      </c>
      <c r="F199" s="186" t="s">
        <v>147</v>
      </c>
      <c r="G199" s="248">
        <v>1</v>
      </c>
      <c r="H199" s="989" t="s">
        <v>176</v>
      </c>
      <c r="I199" s="990"/>
      <c r="J199" s="992" t="s">
        <v>1009</v>
      </c>
      <c r="K199" s="992"/>
      <c r="L199" s="992"/>
      <c r="M199" s="992"/>
      <c r="N199" s="992"/>
      <c r="O199" s="992"/>
      <c r="P199" s="992"/>
      <c r="Q199" s="992"/>
      <c r="R199" s="992"/>
      <c r="S199" s="992"/>
    </row>
    <row r="200" spans="1:19">
      <c r="A200" s="216" t="s">
        <v>194</v>
      </c>
      <c r="B200" s="991" t="s">
        <v>183</v>
      </c>
      <c r="C200" s="991"/>
      <c r="D200" s="186" t="s">
        <v>147</v>
      </c>
      <c r="E200" s="244" t="s">
        <v>158</v>
      </c>
      <c r="F200" s="186" t="s">
        <v>147</v>
      </c>
      <c r="G200" s="248">
        <v>1</v>
      </c>
      <c r="H200" s="989" t="s">
        <v>171</v>
      </c>
      <c r="I200" s="990"/>
      <c r="J200" s="992"/>
      <c r="K200" s="992"/>
      <c r="L200" s="992"/>
      <c r="M200" s="992"/>
      <c r="N200" s="992"/>
      <c r="O200" s="992"/>
      <c r="P200" s="992"/>
      <c r="Q200" s="992"/>
      <c r="R200" s="992"/>
      <c r="S200" s="992"/>
    </row>
    <row r="201" spans="1:19">
      <c r="A201" s="216" t="s">
        <v>194</v>
      </c>
      <c r="B201" s="991" t="s">
        <v>217</v>
      </c>
      <c r="C201" s="991"/>
      <c r="D201" s="186" t="s">
        <v>147</v>
      </c>
      <c r="E201" s="244">
        <v>2.7E-4</v>
      </c>
      <c r="F201" s="186" t="s">
        <v>147</v>
      </c>
      <c r="G201" s="248">
        <v>2</v>
      </c>
      <c r="H201" s="989" t="s">
        <v>171</v>
      </c>
      <c r="I201" s="990"/>
      <c r="J201" s="992"/>
      <c r="K201" s="992"/>
      <c r="L201" s="992"/>
      <c r="M201" s="992"/>
      <c r="N201" s="992"/>
      <c r="O201" s="992"/>
      <c r="P201" s="992"/>
      <c r="Q201" s="992"/>
      <c r="R201" s="992"/>
      <c r="S201" s="992"/>
    </row>
    <row r="202" spans="1:19">
      <c r="A202" s="216" t="s">
        <v>180</v>
      </c>
      <c r="B202" s="991" t="s">
        <v>184</v>
      </c>
      <c r="C202" s="991"/>
      <c r="D202" s="186" t="s">
        <v>147</v>
      </c>
      <c r="E202" s="244">
        <v>1.2999999999999999E-3</v>
      </c>
      <c r="F202" s="186" t="s">
        <v>147</v>
      </c>
      <c r="G202" s="248">
        <v>1</v>
      </c>
      <c r="H202" s="989" t="s">
        <v>171</v>
      </c>
      <c r="I202" s="990"/>
      <c r="J202" s="992" t="s">
        <v>185</v>
      </c>
      <c r="K202" s="992"/>
      <c r="L202" s="992"/>
      <c r="M202" s="992"/>
      <c r="N202" s="992"/>
      <c r="O202" s="992"/>
      <c r="P202" s="992"/>
      <c r="Q202" s="992"/>
      <c r="R202" s="992"/>
      <c r="S202" s="992"/>
    </row>
    <row r="203" spans="1:19">
      <c r="A203" s="216" t="s">
        <v>180</v>
      </c>
      <c r="B203" s="991" t="s">
        <v>184</v>
      </c>
      <c r="C203" s="991"/>
      <c r="D203" s="186" t="s">
        <v>147</v>
      </c>
      <c r="E203" s="244">
        <v>1.47E-2</v>
      </c>
      <c r="F203" s="186" t="s">
        <v>147</v>
      </c>
      <c r="G203" s="248">
        <v>1</v>
      </c>
      <c r="H203" s="989" t="s">
        <v>171</v>
      </c>
      <c r="I203" s="990"/>
      <c r="J203" s="992" t="s">
        <v>185</v>
      </c>
      <c r="K203" s="992"/>
      <c r="L203" s="992"/>
      <c r="M203" s="992"/>
      <c r="N203" s="992"/>
      <c r="O203" s="992"/>
      <c r="P203" s="992"/>
      <c r="Q203" s="992"/>
      <c r="R203" s="992"/>
      <c r="S203" s="992"/>
    </row>
    <row r="204" spans="1:19">
      <c r="A204" s="216" t="s">
        <v>180</v>
      </c>
      <c r="B204" s="991" t="s">
        <v>179</v>
      </c>
      <c r="C204" s="991"/>
      <c r="D204" s="186" t="s">
        <v>147</v>
      </c>
      <c r="E204" s="244" t="s">
        <v>158</v>
      </c>
      <c r="F204" s="186" t="s">
        <v>147</v>
      </c>
      <c r="G204" s="248">
        <v>1</v>
      </c>
      <c r="H204" s="989" t="s">
        <v>176</v>
      </c>
      <c r="I204" s="990"/>
      <c r="J204" s="992" t="s">
        <v>1009</v>
      </c>
      <c r="K204" s="992"/>
      <c r="L204" s="992"/>
      <c r="M204" s="992"/>
      <c r="N204" s="992"/>
      <c r="O204" s="992"/>
      <c r="P204" s="992"/>
      <c r="Q204" s="992"/>
      <c r="R204" s="992"/>
      <c r="S204" s="992"/>
    </row>
    <row r="205" spans="1:19">
      <c r="A205" s="216" t="s">
        <v>179</v>
      </c>
      <c r="B205" s="991" t="s">
        <v>183</v>
      </c>
      <c r="C205" s="991"/>
      <c r="D205" s="186" t="s">
        <v>147</v>
      </c>
      <c r="E205" s="244" t="s">
        <v>158</v>
      </c>
      <c r="F205" s="186" t="s">
        <v>147</v>
      </c>
      <c r="G205" s="248">
        <v>1</v>
      </c>
      <c r="H205" s="989" t="s">
        <v>171</v>
      </c>
      <c r="I205" s="990"/>
      <c r="J205" s="992"/>
      <c r="K205" s="992"/>
      <c r="L205" s="992"/>
      <c r="M205" s="992"/>
      <c r="N205" s="992"/>
      <c r="O205" s="992"/>
      <c r="P205" s="992"/>
      <c r="Q205" s="992"/>
      <c r="R205" s="992"/>
      <c r="S205" s="992"/>
    </row>
    <row r="206" spans="1:19">
      <c r="A206" s="216" t="s">
        <v>179</v>
      </c>
      <c r="B206" s="991" t="s">
        <v>217</v>
      </c>
      <c r="C206" s="991"/>
      <c r="D206" s="186" t="s">
        <v>147</v>
      </c>
      <c r="E206" s="244">
        <v>2.7E-4</v>
      </c>
      <c r="F206" s="186" t="s">
        <v>147</v>
      </c>
      <c r="G206" s="248">
        <v>2</v>
      </c>
      <c r="H206" s="989" t="s">
        <v>171</v>
      </c>
      <c r="I206" s="990"/>
      <c r="J206" s="992"/>
      <c r="K206" s="992"/>
      <c r="L206" s="992"/>
      <c r="M206" s="992"/>
      <c r="N206" s="992"/>
      <c r="O206" s="992"/>
      <c r="P206" s="992"/>
      <c r="Q206" s="992"/>
      <c r="R206" s="992"/>
      <c r="S206" s="992"/>
    </row>
    <row r="207" spans="1:19">
      <c r="A207" s="216" t="s">
        <v>251</v>
      </c>
      <c r="B207" s="991" t="s">
        <v>217</v>
      </c>
      <c r="C207" s="991"/>
      <c r="D207" s="186" t="s">
        <v>147</v>
      </c>
      <c r="E207" s="244">
        <v>2.7E-4</v>
      </c>
      <c r="F207" s="186" t="s">
        <v>147</v>
      </c>
      <c r="G207" s="248">
        <v>2</v>
      </c>
      <c r="H207" s="989" t="s">
        <v>171</v>
      </c>
      <c r="I207" s="990"/>
      <c r="J207" s="992"/>
      <c r="K207" s="992"/>
      <c r="L207" s="992"/>
      <c r="M207" s="992"/>
      <c r="N207" s="992"/>
      <c r="O207" s="992"/>
      <c r="P207" s="992"/>
      <c r="Q207" s="992"/>
      <c r="R207" s="992"/>
      <c r="S207" s="992"/>
    </row>
    <row r="208" spans="1:19">
      <c r="A208" s="216" t="s">
        <v>251</v>
      </c>
      <c r="B208" s="991" t="s">
        <v>236</v>
      </c>
      <c r="C208" s="991"/>
      <c r="D208" s="186" t="s">
        <v>147</v>
      </c>
      <c r="E208" s="244" t="s">
        <v>158</v>
      </c>
      <c r="F208" s="186" t="s">
        <v>147</v>
      </c>
      <c r="G208" s="248">
        <v>1</v>
      </c>
      <c r="H208" s="989" t="s">
        <v>171</v>
      </c>
      <c r="I208" s="990"/>
      <c r="J208" s="992"/>
      <c r="K208" s="992"/>
      <c r="L208" s="992"/>
      <c r="M208" s="992"/>
      <c r="N208" s="992"/>
      <c r="O208" s="992"/>
      <c r="P208" s="992"/>
      <c r="Q208" s="992"/>
      <c r="R208" s="992"/>
      <c r="S208" s="992"/>
    </row>
    <row r="209" spans="1:19">
      <c r="A209" s="216" t="s">
        <v>370</v>
      </c>
      <c r="B209" s="991" t="s">
        <v>244</v>
      </c>
      <c r="C209" s="991"/>
      <c r="D209" s="186" t="s">
        <v>147</v>
      </c>
      <c r="E209" s="244">
        <v>4.0000000000000002E-4</v>
      </c>
      <c r="F209" s="186" t="s">
        <v>147</v>
      </c>
      <c r="G209" s="248">
        <v>1</v>
      </c>
      <c r="H209" s="989" t="s">
        <v>171</v>
      </c>
      <c r="I209" s="990"/>
      <c r="J209" s="992" t="s">
        <v>1030</v>
      </c>
      <c r="K209" s="992"/>
      <c r="L209" s="992"/>
      <c r="M209" s="992"/>
      <c r="N209" s="992"/>
      <c r="O209" s="992"/>
      <c r="P209" s="992"/>
      <c r="Q209" s="992"/>
      <c r="R209" s="992"/>
      <c r="S209" s="992"/>
    </row>
    <row r="210" spans="1:19">
      <c r="A210" s="216" t="s">
        <v>370</v>
      </c>
      <c r="B210" s="991" t="s">
        <v>244</v>
      </c>
      <c r="C210" s="991"/>
      <c r="D210" s="186" t="s">
        <v>147</v>
      </c>
      <c r="E210" s="244">
        <v>8.6E-3</v>
      </c>
      <c r="F210" s="186" t="s">
        <v>147</v>
      </c>
      <c r="G210" s="248">
        <v>1</v>
      </c>
      <c r="H210" s="989" t="s">
        <v>171</v>
      </c>
      <c r="I210" s="990"/>
      <c r="J210" s="992" t="s">
        <v>1031</v>
      </c>
      <c r="K210" s="992"/>
      <c r="L210" s="992"/>
      <c r="M210" s="992"/>
      <c r="N210" s="992"/>
      <c r="O210" s="992"/>
      <c r="P210" s="992"/>
      <c r="Q210" s="992"/>
      <c r="R210" s="992"/>
      <c r="S210" s="992"/>
    </row>
    <row r="211" spans="1:19">
      <c r="A211" s="216" t="s">
        <v>370</v>
      </c>
      <c r="B211" s="993" t="s">
        <v>264</v>
      </c>
      <c r="C211" s="994"/>
      <c r="D211" s="186" t="s">
        <v>147</v>
      </c>
      <c r="E211" s="244">
        <v>2.5000000000000001E-3</v>
      </c>
      <c r="F211" s="186" t="s">
        <v>147</v>
      </c>
      <c r="G211" s="248">
        <v>2</v>
      </c>
      <c r="H211" s="989" t="s">
        <v>171</v>
      </c>
      <c r="I211" s="990"/>
      <c r="J211" s="992" t="s">
        <v>1032</v>
      </c>
      <c r="K211" s="992"/>
      <c r="L211" s="992"/>
      <c r="M211" s="992"/>
      <c r="N211" s="992"/>
      <c r="O211" s="992"/>
      <c r="P211" s="992"/>
      <c r="Q211" s="992"/>
      <c r="R211" s="992"/>
      <c r="S211" s="992"/>
    </row>
    <row r="212" spans="1:19">
      <c r="A212" s="216" t="s">
        <v>370</v>
      </c>
      <c r="B212" s="993" t="s">
        <v>371</v>
      </c>
      <c r="C212" s="994"/>
      <c r="D212" s="186" t="s">
        <v>147</v>
      </c>
      <c r="E212" s="244">
        <v>2.5000000000000001E-3</v>
      </c>
      <c r="F212" s="186" t="s">
        <v>147</v>
      </c>
      <c r="G212" s="248">
        <v>2</v>
      </c>
      <c r="H212" s="989" t="s">
        <v>171</v>
      </c>
      <c r="I212" s="990"/>
      <c r="J212" s="992" t="s">
        <v>1032</v>
      </c>
      <c r="K212" s="992"/>
      <c r="L212" s="992"/>
      <c r="M212" s="992"/>
      <c r="N212" s="992"/>
      <c r="O212" s="992"/>
      <c r="P212" s="992"/>
      <c r="Q212" s="992"/>
      <c r="R212" s="992"/>
      <c r="S212" s="992"/>
    </row>
    <row r="213" spans="1:19">
      <c r="A213" s="216" t="s">
        <v>370</v>
      </c>
      <c r="B213" s="993" t="s">
        <v>245</v>
      </c>
      <c r="C213" s="994"/>
      <c r="D213" s="186" t="s">
        <v>147</v>
      </c>
      <c r="E213" s="244">
        <v>2.5000000000000001E-3</v>
      </c>
      <c r="F213" s="186" t="s">
        <v>147</v>
      </c>
      <c r="G213" s="248">
        <v>2</v>
      </c>
      <c r="H213" s="989" t="s">
        <v>171</v>
      </c>
      <c r="I213" s="990"/>
      <c r="J213" s="992" t="s">
        <v>1032</v>
      </c>
      <c r="K213" s="992"/>
      <c r="L213" s="992"/>
      <c r="M213" s="992"/>
      <c r="N213" s="992"/>
      <c r="O213" s="992"/>
      <c r="P213" s="992"/>
      <c r="Q213" s="992"/>
      <c r="R213" s="992"/>
      <c r="S213" s="992"/>
    </row>
    <row r="214" spans="1:19">
      <c r="A214" s="216" t="s">
        <v>370</v>
      </c>
      <c r="B214" s="993" t="s">
        <v>276</v>
      </c>
      <c r="C214" s="994"/>
      <c r="D214" s="186" t="s">
        <v>147</v>
      </c>
      <c r="E214" s="244">
        <v>2.5000000000000001E-3</v>
      </c>
      <c r="F214" s="186" t="s">
        <v>147</v>
      </c>
      <c r="G214" s="248">
        <v>2</v>
      </c>
      <c r="H214" s="989" t="s">
        <v>171</v>
      </c>
      <c r="I214" s="990"/>
      <c r="J214" s="992" t="s">
        <v>1032</v>
      </c>
      <c r="K214" s="992"/>
      <c r="L214" s="992"/>
      <c r="M214" s="992"/>
      <c r="N214" s="992"/>
      <c r="O214" s="992"/>
      <c r="P214" s="992"/>
      <c r="Q214" s="992"/>
      <c r="R214" s="992"/>
      <c r="S214" s="992"/>
    </row>
    <row r="215" spans="1:19">
      <c r="A215" s="216" t="s">
        <v>370</v>
      </c>
      <c r="B215" s="993" t="s">
        <v>360</v>
      </c>
      <c r="C215" s="994"/>
      <c r="D215" s="186" t="s">
        <v>147</v>
      </c>
      <c r="E215" s="244" t="s">
        <v>158</v>
      </c>
      <c r="F215" s="186" t="s">
        <v>147</v>
      </c>
      <c r="G215" s="248">
        <v>1</v>
      </c>
      <c r="H215" s="989" t="s">
        <v>176</v>
      </c>
      <c r="I215" s="990"/>
      <c r="J215" s="992" t="s">
        <v>1009</v>
      </c>
      <c r="K215" s="992"/>
      <c r="L215" s="992"/>
      <c r="M215" s="992"/>
      <c r="N215" s="992"/>
      <c r="O215" s="992"/>
      <c r="P215" s="992"/>
      <c r="Q215" s="992"/>
      <c r="R215" s="992"/>
      <c r="S215" s="992"/>
    </row>
    <row r="216" spans="1:19">
      <c r="A216" s="216" t="s">
        <v>360</v>
      </c>
      <c r="B216" s="993" t="s">
        <v>217</v>
      </c>
      <c r="C216" s="994"/>
      <c r="D216" s="186" t="s">
        <v>147</v>
      </c>
      <c r="E216" s="244">
        <v>2.7E-4</v>
      </c>
      <c r="F216" s="186" t="s">
        <v>147</v>
      </c>
      <c r="G216" s="248">
        <v>2</v>
      </c>
      <c r="H216" s="989" t="s">
        <v>171</v>
      </c>
      <c r="I216" s="990"/>
      <c r="J216" s="992"/>
      <c r="K216" s="992"/>
      <c r="L216" s="992"/>
      <c r="M216" s="992"/>
      <c r="N216" s="992"/>
      <c r="O216" s="992"/>
      <c r="P216" s="992"/>
      <c r="Q216" s="992"/>
      <c r="R216" s="992"/>
      <c r="S216" s="992"/>
    </row>
    <row r="217" spans="1:19">
      <c r="A217" s="216" t="s">
        <v>360</v>
      </c>
      <c r="B217" s="993" t="s">
        <v>236</v>
      </c>
      <c r="C217" s="994"/>
      <c r="D217" s="186" t="s">
        <v>147</v>
      </c>
      <c r="E217" s="244" t="s">
        <v>158</v>
      </c>
      <c r="F217" s="186" t="s">
        <v>147</v>
      </c>
      <c r="G217" s="248">
        <v>1</v>
      </c>
      <c r="H217" s="989" t="s">
        <v>171</v>
      </c>
      <c r="I217" s="990"/>
      <c r="J217" s="992"/>
      <c r="K217" s="992"/>
      <c r="L217" s="992"/>
      <c r="M217" s="992"/>
      <c r="N217" s="992"/>
      <c r="O217" s="992"/>
      <c r="P217" s="992"/>
      <c r="Q217" s="992"/>
      <c r="R217" s="992"/>
      <c r="S217" s="992"/>
    </row>
    <row r="218" spans="1:19">
      <c r="A218" s="216" t="s">
        <v>360</v>
      </c>
      <c r="B218" s="993" t="s">
        <v>238</v>
      </c>
      <c r="C218" s="994"/>
      <c r="D218" s="186" t="s">
        <v>147</v>
      </c>
      <c r="E218" s="244">
        <v>0.33810000000000001</v>
      </c>
      <c r="F218" s="186" t="s">
        <v>147</v>
      </c>
      <c r="G218" s="248">
        <v>1</v>
      </c>
      <c r="H218" s="989" t="s">
        <v>171</v>
      </c>
      <c r="I218" s="990"/>
      <c r="J218" s="992" t="s">
        <v>437</v>
      </c>
      <c r="K218" s="992"/>
      <c r="L218" s="992"/>
      <c r="M218" s="992"/>
      <c r="N218" s="992"/>
      <c r="O218" s="992"/>
      <c r="P218" s="992"/>
      <c r="Q218" s="992"/>
      <c r="R218" s="992"/>
      <c r="S218" s="992"/>
    </row>
    <row r="219" spans="1:19">
      <c r="A219" s="216" t="s">
        <v>238</v>
      </c>
      <c r="B219" s="991" t="s">
        <v>261</v>
      </c>
      <c r="C219" s="991"/>
      <c r="D219" s="186" t="s">
        <v>147</v>
      </c>
      <c r="E219" s="244">
        <v>1.44E-2</v>
      </c>
      <c r="F219" s="186" t="s">
        <v>147</v>
      </c>
      <c r="G219" s="248">
        <v>1</v>
      </c>
      <c r="H219" s="989" t="s">
        <v>237</v>
      </c>
      <c r="I219" s="990"/>
      <c r="J219" s="992"/>
      <c r="K219" s="992"/>
      <c r="L219" s="992"/>
      <c r="M219" s="992"/>
      <c r="N219" s="992"/>
      <c r="O219" s="992"/>
      <c r="P219" s="992"/>
      <c r="Q219" s="992"/>
      <c r="R219" s="992"/>
      <c r="S219" s="992"/>
    </row>
    <row r="220" spans="1:19">
      <c r="A220" s="216" t="s">
        <v>238</v>
      </c>
      <c r="B220" s="991" t="s">
        <v>258</v>
      </c>
      <c r="C220" s="991"/>
      <c r="D220" s="186" t="s">
        <v>147</v>
      </c>
      <c r="E220" s="244">
        <v>0.84</v>
      </c>
      <c r="F220" s="186" t="s">
        <v>147</v>
      </c>
      <c r="G220" s="248">
        <v>1</v>
      </c>
      <c r="H220" s="989" t="s">
        <v>237</v>
      </c>
      <c r="I220" s="990"/>
      <c r="J220" s="992"/>
      <c r="K220" s="992"/>
      <c r="L220" s="992"/>
      <c r="M220" s="992"/>
      <c r="N220" s="992"/>
      <c r="O220" s="992"/>
      <c r="P220" s="992"/>
      <c r="Q220" s="992"/>
      <c r="R220" s="992"/>
      <c r="S220" s="992"/>
    </row>
    <row r="221" spans="1:19">
      <c r="A221" s="216" t="s">
        <v>238</v>
      </c>
      <c r="B221" s="991" t="s">
        <v>436</v>
      </c>
      <c r="C221" s="991"/>
      <c r="D221" s="186" t="s">
        <v>147</v>
      </c>
      <c r="E221" s="244">
        <v>4.48E-2</v>
      </c>
      <c r="F221" s="186" t="s">
        <v>147</v>
      </c>
      <c r="G221" s="248">
        <v>1</v>
      </c>
      <c r="H221" s="989" t="s">
        <v>237</v>
      </c>
      <c r="I221" s="990"/>
      <c r="J221" s="992"/>
      <c r="K221" s="992"/>
      <c r="L221" s="992"/>
      <c r="M221" s="992"/>
      <c r="N221" s="992"/>
      <c r="O221" s="992"/>
      <c r="P221" s="992"/>
      <c r="Q221" s="992"/>
      <c r="R221" s="992"/>
      <c r="S221" s="992"/>
    </row>
    <row r="222" spans="1:19">
      <c r="A222" s="216" t="s">
        <v>238</v>
      </c>
      <c r="B222" s="991" t="s">
        <v>192</v>
      </c>
      <c r="C222" s="991"/>
      <c r="D222" s="186" t="s">
        <v>147</v>
      </c>
      <c r="E222" s="244">
        <v>3.0000000000000001E-3</v>
      </c>
      <c r="F222" s="186" t="s">
        <v>147</v>
      </c>
      <c r="G222" s="248">
        <v>1</v>
      </c>
      <c r="H222" s="989" t="s">
        <v>237</v>
      </c>
      <c r="I222" s="990"/>
      <c r="J222" s="992"/>
      <c r="K222" s="992"/>
      <c r="L222" s="992"/>
      <c r="M222" s="992"/>
      <c r="N222" s="992"/>
      <c r="O222" s="992"/>
      <c r="P222" s="992"/>
      <c r="Q222" s="992"/>
      <c r="R222" s="992"/>
      <c r="S222" s="992"/>
    </row>
    <row r="223" spans="1:19">
      <c r="A223" s="216" t="s">
        <v>238</v>
      </c>
      <c r="B223" s="991" t="s">
        <v>187</v>
      </c>
      <c r="C223" s="991"/>
      <c r="D223" s="186" t="s">
        <v>147</v>
      </c>
      <c r="E223" s="244">
        <v>9.6000000000000002E-2</v>
      </c>
      <c r="F223" s="186" t="s">
        <v>147</v>
      </c>
      <c r="G223" s="248">
        <v>1</v>
      </c>
      <c r="H223" s="989" t="s">
        <v>237</v>
      </c>
      <c r="I223" s="990"/>
      <c r="J223" s="992"/>
      <c r="K223" s="992"/>
      <c r="L223" s="992"/>
      <c r="M223" s="992"/>
      <c r="N223" s="992"/>
      <c r="O223" s="992"/>
      <c r="P223" s="992"/>
      <c r="Q223" s="992"/>
      <c r="R223" s="992"/>
      <c r="S223" s="992"/>
    </row>
    <row r="224" spans="1:19">
      <c r="A224" s="216" t="s">
        <v>238</v>
      </c>
      <c r="B224" s="991" t="s">
        <v>184</v>
      </c>
      <c r="C224" s="991"/>
      <c r="D224" s="186" t="s">
        <v>147</v>
      </c>
      <c r="E224" s="244" t="s">
        <v>158</v>
      </c>
      <c r="F224" s="186" t="s">
        <v>147</v>
      </c>
      <c r="G224" s="248">
        <v>1</v>
      </c>
      <c r="H224" s="989" t="s">
        <v>176</v>
      </c>
      <c r="I224" s="990"/>
      <c r="J224" s="992"/>
      <c r="K224" s="992"/>
      <c r="L224" s="992"/>
      <c r="M224" s="992"/>
      <c r="N224" s="992"/>
      <c r="O224" s="992"/>
      <c r="P224" s="992"/>
      <c r="Q224" s="992"/>
      <c r="R224" s="992"/>
      <c r="S224" s="992"/>
    </row>
    <row r="225" spans="1:16">
      <c r="A225" s="64"/>
      <c r="B225" s="64"/>
      <c r="C225" s="64"/>
      <c r="D225" s="64"/>
      <c r="E225" s="64"/>
      <c r="F225" s="64"/>
      <c r="G225" s="64"/>
      <c r="H225" s="64"/>
      <c r="I225" s="64"/>
      <c r="J225" s="64"/>
      <c r="K225" s="64"/>
      <c r="L225" s="64"/>
      <c r="M225" s="64"/>
      <c r="N225" s="106"/>
    </row>
    <row r="226" spans="1:16">
      <c r="A226" s="64"/>
      <c r="B226" s="64"/>
      <c r="C226" s="64"/>
      <c r="D226" s="64"/>
      <c r="E226" s="64"/>
      <c r="F226" s="64"/>
      <c r="G226" s="64"/>
      <c r="H226" s="64"/>
      <c r="I226" s="64"/>
      <c r="J226" s="64"/>
      <c r="K226" s="64"/>
      <c r="L226" s="64"/>
      <c r="M226" s="64"/>
      <c r="N226" s="106"/>
    </row>
    <row r="229" spans="1:16" ht="15.75" thickBot="1"/>
    <row r="230" spans="1:16" ht="15.75" thickBot="1">
      <c r="A230" s="65" t="s">
        <v>137</v>
      </c>
      <c r="B230" s="107" t="s">
        <v>138</v>
      </c>
      <c r="C230" s="108" t="s">
        <v>139</v>
      </c>
      <c r="D230" s="109" t="s">
        <v>110</v>
      </c>
      <c r="E230" s="229" t="s">
        <v>140</v>
      </c>
      <c r="F230" s="108" t="s">
        <v>141</v>
      </c>
      <c r="G230" s="110" t="s">
        <v>112</v>
      </c>
      <c r="H230" s="111" t="s">
        <v>142</v>
      </c>
      <c r="I230" s="112" t="s">
        <v>143</v>
      </c>
      <c r="J230" s="112" t="s">
        <v>69</v>
      </c>
      <c r="K230" s="112" t="s">
        <v>75</v>
      </c>
      <c r="L230" s="112" t="s">
        <v>81</v>
      </c>
      <c r="M230" s="113" t="s">
        <v>87</v>
      </c>
      <c r="N230" s="114" t="s">
        <v>144</v>
      </c>
      <c r="O230" s="114" t="s">
        <v>145</v>
      </c>
      <c r="P230" s="115" t="s">
        <v>132</v>
      </c>
    </row>
    <row r="231" spans="1:16">
      <c r="A231" s="294" t="s">
        <v>238</v>
      </c>
      <c r="B231" s="583" t="s">
        <v>436</v>
      </c>
      <c r="C231" s="264" t="s">
        <v>147</v>
      </c>
      <c r="D231" s="54" t="s">
        <v>147</v>
      </c>
      <c r="E231" s="259">
        <v>4.48E-2</v>
      </c>
      <c r="F231" s="234">
        <v>2</v>
      </c>
      <c r="G231" s="584" t="s">
        <v>237</v>
      </c>
      <c r="H231" s="253">
        <v>1</v>
      </c>
      <c r="I231" s="13">
        <v>2</v>
      </c>
      <c r="J231" s="13">
        <v>2</v>
      </c>
      <c r="K231" s="13">
        <v>1</v>
      </c>
      <c r="L231" s="13">
        <v>2</v>
      </c>
      <c r="M231" s="322">
        <v>2</v>
      </c>
      <c r="N231" s="436">
        <v>0.37356464144298934</v>
      </c>
      <c r="O231" s="505">
        <v>0.38795788889711302</v>
      </c>
      <c r="P231" s="33"/>
    </row>
    <row r="232" spans="1:16">
      <c r="A232" s="292" t="s">
        <v>238</v>
      </c>
      <c r="B232" s="585" t="s">
        <v>428</v>
      </c>
      <c r="C232" s="265" t="s">
        <v>147</v>
      </c>
      <c r="D232" s="55" t="s">
        <v>147</v>
      </c>
      <c r="E232" s="260">
        <v>1.44E-2</v>
      </c>
      <c r="F232" s="235">
        <v>2</v>
      </c>
      <c r="G232" s="586" t="s">
        <v>237</v>
      </c>
      <c r="H232" s="252">
        <v>1</v>
      </c>
      <c r="I232" s="10">
        <v>2</v>
      </c>
      <c r="J232" s="10">
        <v>2</v>
      </c>
      <c r="K232" s="10">
        <v>1</v>
      </c>
      <c r="L232" s="10">
        <v>2</v>
      </c>
      <c r="M232" s="323">
        <v>2</v>
      </c>
      <c r="N232" s="453">
        <v>0.37356464144298934</v>
      </c>
      <c r="O232" s="581">
        <v>0.38795788889711302</v>
      </c>
      <c r="P232" s="34"/>
    </row>
    <row r="233" spans="1:16">
      <c r="A233" s="292" t="s">
        <v>238</v>
      </c>
      <c r="B233" s="585" t="s">
        <v>184</v>
      </c>
      <c r="C233" s="265" t="s">
        <v>147</v>
      </c>
      <c r="D233" s="55" t="s">
        <v>147</v>
      </c>
      <c r="E233" s="260">
        <v>1E-4</v>
      </c>
      <c r="F233" s="235">
        <v>1</v>
      </c>
      <c r="G233" s="586" t="s">
        <v>410</v>
      </c>
      <c r="H233" s="252"/>
      <c r="I233" s="10"/>
      <c r="J233" s="10"/>
      <c r="K233" s="10"/>
      <c r="L233" s="10"/>
      <c r="M233" s="323"/>
      <c r="N233" s="453" t="s">
        <v>262</v>
      </c>
      <c r="O233" s="581" t="s">
        <v>262</v>
      </c>
      <c r="P233" s="34"/>
    </row>
    <row r="234" spans="1:16">
      <c r="A234" s="292" t="s">
        <v>238</v>
      </c>
      <c r="B234" s="585" t="s">
        <v>192</v>
      </c>
      <c r="C234" s="265" t="s">
        <v>147</v>
      </c>
      <c r="D234" s="55" t="s">
        <v>147</v>
      </c>
      <c r="E234" s="260">
        <v>3.0000000000000001E-3</v>
      </c>
      <c r="F234" s="235">
        <v>2</v>
      </c>
      <c r="G234" s="586" t="s">
        <v>237</v>
      </c>
      <c r="H234" s="252">
        <v>1</v>
      </c>
      <c r="I234" s="10">
        <v>2</v>
      </c>
      <c r="J234" s="10">
        <v>2</v>
      </c>
      <c r="K234" s="10">
        <v>1</v>
      </c>
      <c r="L234" s="10">
        <v>2</v>
      </c>
      <c r="M234" s="323">
        <v>2</v>
      </c>
      <c r="N234" s="453">
        <v>0.37356464144298934</v>
      </c>
      <c r="O234" s="581">
        <v>0.38795788889711302</v>
      </c>
      <c r="P234" s="34"/>
    </row>
    <row r="235" spans="1:16">
      <c r="A235" s="292" t="s">
        <v>238</v>
      </c>
      <c r="B235" s="585" t="s">
        <v>187</v>
      </c>
      <c r="C235" s="265" t="s">
        <v>147</v>
      </c>
      <c r="D235" s="55" t="s">
        <v>147</v>
      </c>
      <c r="E235" s="260">
        <v>9.6000000000000002E-2</v>
      </c>
      <c r="F235" s="235">
        <v>2</v>
      </c>
      <c r="G235" s="586" t="s">
        <v>237</v>
      </c>
      <c r="H235" s="252">
        <v>1</v>
      </c>
      <c r="I235" s="10">
        <v>2</v>
      </c>
      <c r="J235" s="10">
        <v>2</v>
      </c>
      <c r="K235" s="10">
        <v>1</v>
      </c>
      <c r="L235" s="10">
        <v>2</v>
      </c>
      <c r="M235" s="323">
        <v>2</v>
      </c>
      <c r="N235" s="453">
        <v>0.37356464144298934</v>
      </c>
      <c r="O235" s="581">
        <v>0.38795788889711302</v>
      </c>
      <c r="P235" s="34"/>
    </row>
    <row r="236" spans="1:16" ht="15.75" thickBot="1">
      <c r="A236" s="295" t="s">
        <v>238</v>
      </c>
      <c r="B236" s="587" t="s">
        <v>258</v>
      </c>
      <c r="C236" s="293" t="s">
        <v>147</v>
      </c>
      <c r="D236" s="157" t="s">
        <v>147</v>
      </c>
      <c r="E236" s="657" t="s">
        <v>158</v>
      </c>
      <c r="F236" s="238">
        <v>2</v>
      </c>
      <c r="G236" s="588" t="s">
        <v>237</v>
      </c>
      <c r="H236" s="251">
        <v>1</v>
      </c>
      <c r="I236" s="15">
        <v>2</v>
      </c>
      <c r="J236" s="15">
        <v>2</v>
      </c>
      <c r="K236" s="15">
        <v>1</v>
      </c>
      <c r="L236" s="15">
        <v>2</v>
      </c>
      <c r="M236" s="357">
        <v>2</v>
      </c>
      <c r="N236" s="454">
        <v>0.37356464144298934</v>
      </c>
      <c r="O236" s="582">
        <v>0.38795788889711302</v>
      </c>
      <c r="P236" s="35"/>
    </row>
    <row r="238" spans="1:16" ht="15.75" thickBot="1"/>
    <row r="239" spans="1:16" ht="15.75" thickBot="1">
      <c r="H239" s="111" t="s">
        <v>142</v>
      </c>
      <c r="I239" s="112" t="s">
        <v>143</v>
      </c>
      <c r="J239" s="112" t="s">
        <v>69</v>
      </c>
      <c r="K239" s="112" t="s">
        <v>75</v>
      </c>
      <c r="L239" s="112" t="s">
        <v>81</v>
      </c>
      <c r="M239" s="113" t="s">
        <v>87</v>
      </c>
      <c r="N239" s="114" t="s">
        <v>144</v>
      </c>
      <c r="O239" s="114" t="s">
        <v>145</v>
      </c>
      <c r="P239" s="115" t="s">
        <v>132</v>
      </c>
    </row>
    <row r="240" spans="1:16">
      <c r="A240" s="585" t="s">
        <v>428</v>
      </c>
      <c r="B240" s="6" t="s">
        <v>261</v>
      </c>
      <c r="C240" s="293" t="s">
        <v>147</v>
      </c>
      <c r="D240" s="157" t="s">
        <v>147</v>
      </c>
      <c r="E240" s="262" t="s">
        <v>158</v>
      </c>
      <c r="F240" s="238">
        <v>2</v>
      </c>
      <c r="G240" s="588"/>
      <c r="H240" s="253">
        <v>1</v>
      </c>
      <c r="I240" s="13">
        <v>2</v>
      </c>
      <c r="J240" s="13">
        <v>2</v>
      </c>
      <c r="K240" s="13">
        <v>1</v>
      </c>
      <c r="L240" s="13">
        <v>2</v>
      </c>
      <c r="M240" s="322">
        <v>2</v>
      </c>
      <c r="N240" s="436">
        <v>0.37356464144298934</v>
      </c>
      <c r="O240" s="505">
        <v>0.38795788889711302</v>
      </c>
      <c r="P240" s="33"/>
    </row>
    <row r="241" spans="1:15">
      <c r="A241" t="s">
        <v>428</v>
      </c>
      <c r="B241" s="40" t="s">
        <v>245</v>
      </c>
      <c r="C241" s="34" t="s">
        <v>147</v>
      </c>
      <c r="D241" s="40" t="s">
        <v>147</v>
      </c>
      <c r="E241" s="219">
        <v>1E-4</v>
      </c>
      <c r="F241" s="169">
        <v>2</v>
      </c>
      <c r="G241" s="34" t="s">
        <v>165</v>
      </c>
      <c r="H241" s="173">
        <v>3</v>
      </c>
      <c r="I241" s="10">
        <v>2</v>
      </c>
      <c r="J241" s="10">
        <v>3</v>
      </c>
      <c r="K241" s="10">
        <v>3</v>
      </c>
      <c r="L241" s="10">
        <v>3</v>
      </c>
      <c r="M241" s="10">
        <v>3</v>
      </c>
      <c r="N241" s="178">
        <f t="shared" ref="N241:N243" si="47">IF( OR( ISBLANK(H241),ISBLANK(J241), ISBLANK(K241), ISBLANK(L241), ISBLANK(M241) ), "", 1.5*SQRT(   EXP(2.21*(H241-1)) + EXP(2.21*(J241-1)) + EXP(2.21*(K241-1)) + EXP(2.21*(L241-1)) + EXP(2.21*M241)   )/100*2.45 )</f>
        <v>1.2132328390150593</v>
      </c>
      <c r="O241" s="34"/>
    </row>
    <row r="242" spans="1:15">
      <c r="A242" t="s">
        <v>428</v>
      </c>
      <c r="B242" s="40" t="s">
        <v>264</v>
      </c>
      <c r="C242" s="34" t="s">
        <v>147</v>
      </c>
      <c r="D242" s="40" t="s">
        <v>147</v>
      </c>
      <c r="E242" s="219">
        <v>1E-4</v>
      </c>
      <c r="F242" s="169">
        <v>2</v>
      </c>
      <c r="G242" s="34" t="s">
        <v>165</v>
      </c>
      <c r="H242" s="173">
        <v>3</v>
      </c>
      <c r="I242" s="10">
        <v>2</v>
      </c>
      <c r="J242" s="10">
        <v>3</v>
      </c>
      <c r="K242" s="10">
        <v>3</v>
      </c>
      <c r="L242" s="10">
        <v>3</v>
      </c>
      <c r="M242" s="10">
        <v>3</v>
      </c>
      <c r="N242" s="178">
        <f t="shared" si="47"/>
        <v>1.2132328390150593</v>
      </c>
      <c r="O242" s="34"/>
    </row>
    <row r="243" spans="1:15" ht="15.75" thickBot="1">
      <c r="A243" t="s">
        <v>428</v>
      </c>
      <c r="B243" s="154" t="s">
        <v>244</v>
      </c>
      <c r="C243" s="150" t="s">
        <v>147</v>
      </c>
      <c r="D243" s="154" t="s">
        <v>147</v>
      </c>
      <c r="E243" s="220">
        <v>1E-4</v>
      </c>
      <c r="F243" s="171">
        <v>2</v>
      </c>
      <c r="G243" s="150" t="s">
        <v>165</v>
      </c>
      <c r="H243" s="176">
        <v>3</v>
      </c>
      <c r="I243" s="15">
        <v>2</v>
      </c>
      <c r="J243" s="15">
        <v>3</v>
      </c>
      <c r="K243" s="15">
        <v>3</v>
      </c>
      <c r="L243" s="15">
        <v>3</v>
      </c>
      <c r="M243" s="15">
        <v>3</v>
      </c>
      <c r="N243" s="181">
        <f t="shared" si="47"/>
        <v>1.2132328390150593</v>
      </c>
      <c r="O243" s="150"/>
    </row>
  </sheetData>
  <mergeCells count="708">
    <mergeCell ref="H137:I137"/>
    <mergeCell ref="M62:S62"/>
    <mergeCell ref="M63:S63"/>
    <mergeCell ref="M64:S64"/>
    <mergeCell ref="A1:S1"/>
    <mergeCell ref="M2:S2"/>
    <mergeCell ref="M3:S3"/>
    <mergeCell ref="M55:S55"/>
    <mergeCell ref="M56:S56"/>
    <mergeCell ref="M57:S57"/>
    <mergeCell ref="M58:S58"/>
    <mergeCell ref="M59:S59"/>
    <mergeCell ref="M60:S60"/>
    <mergeCell ref="M9:S9"/>
    <mergeCell ref="M10:S10"/>
    <mergeCell ref="M11:S11"/>
    <mergeCell ref="M12:S12"/>
    <mergeCell ref="M13:S13"/>
    <mergeCell ref="M4:S4"/>
    <mergeCell ref="M5:S5"/>
    <mergeCell ref="M6:S6"/>
    <mergeCell ref="M7:S7"/>
    <mergeCell ref="M8:S8"/>
    <mergeCell ref="E20:F20"/>
    <mergeCell ref="E21:F21"/>
    <mergeCell ref="G20:H20"/>
    <mergeCell ref="G21:H21"/>
    <mergeCell ref="I20:J20"/>
    <mergeCell ref="I21:J21"/>
    <mergeCell ref="M14:S14"/>
    <mergeCell ref="M15:S15"/>
    <mergeCell ref="M16:S16"/>
    <mergeCell ref="M17:S17"/>
    <mergeCell ref="A19:S19"/>
    <mergeCell ref="K20:S20"/>
    <mergeCell ref="K21:S21"/>
    <mergeCell ref="E32:F32"/>
    <mergeCell ref="E33:F33"/>
    <mergeCell ref="E34:F34"/>
    <mergeCell ref="E35:F35"/>
    <mergeCell ref="E36:F36"/>
    <mergeCell ref="E27:F27"/>
    <mergeCell ref="E28:F28"/>
    <mergeCell ref="E29:F29"/>
    <mergeCell ref="E30:F30"/>
    <mergeCell ref="E31:F31"/>
    <mergeCell ref="G32:H32"/>
    <mergeCell ref="G33:H33"/>
    <mergeCell ref="G34:H34"/>
    <mergeCell ref="G35:H35"/>
    <mergeCell ref="G36:H36"/>
    <mergeCell ref="G27:H27"/>
    <mergeCell ref="G28:H28"/>
    <mergeCell ref="G29:H29"/>
    <mergeCell ref="G30:H30"/>
    <mergeCell ref="G31:H31"/>
    <mergeCell ref="I32:J32"/>
    <mergeCell ref="I33:J33"/>
    <mergeCell ref="I34:J34"/>
    <mergeCell ref="I35:J35"/>
    <mergeCell ref="I36:J36"/>
    <mergeCell ref="I27:J27"/>
    <mergeCell ref="I28:J28"/>
    <mergeCell ref="I29:J29"/>
    <mergeCell ref="I30:J30"/>
    <mergeCell ref="I31:J31"/>
    <mergeCell ref="K32:S32"/>
    <mergeCell ref="K33:S33"/>
    <mergeCell ref="K34:S34"/>
    <mergeCell ref="K35:S35"/>
    <mergeCell ref="K36:S36"/>
    <mergeCell ref="K28:S28"/>
    <mergeCell ref="K29:S29"/>
    <mergeCell ref="K30:S30"/>
    <mergeCell ref="K31:S31"/>
    <mergeCell ref="K22:S22"/>
    <mergeCell ref="K23:S23"/>
    <mergeCell ref="K24:S24"/>
    <mergeCell ref="K25:S25"/>
    <mergeCell ref="K26:S26"/>
    <mergeCell ref="K27:S27"/>
    <mergeCell ref="I22:J22"/>
    <mergeCell ref="I23:J23"/>
    <mergeCell ref="I24:J24"/>
    <mergeCell ref="I25:J25"/>
    <mergeCell ref="I26:J26"/>
    <mergeCell ref="G22:H22"/>
    <mergeCell ref="G23:H23"/>
    <mergeCell ref="G24:H24"/>
    <mergeCell ref="G25:H25"/>
    <mergeCell ref="G26:H26"/>
    <mergeCell ref="E22:F22"/>
    <mergeCell ref="E23:F23"/>
    <mergeCell ref="E24:F24"/>
    <mergeCell ref="E25:F25"/>
    <mergeCell ref="E26:F26"/>
    <mergeCell ref="I86:J86"/>
    <mergeCell ref="I87:J87"/>
    <mergeCell ref="E87:H87"/>
    <mergeCell ref="A71:S71"/>
    <mergeCell ref="K72:S72"/>
    <mergeCell ref="K73:S73"/>
    <mergeCell ref="K74:S74"/>
    <mergeCell ref="K75:S75"/>
    <mergeCell ref="K76:S76"/>
    <mergeCell ref="K77:S77"/>
    <mergeCell ref="K78:S78"/>
    <mergeCell ref="K79:S79"/>
    <mergeCell ref="K80:S80"/>
    <mergeCell ref="I72:J72"/>
    <mergeCell ref="K83:S83"/>
    <mergeCell ref="K84:S84"/>
    <mergeCell ref="K85:S85"/>
    <mergeCell ref="I83:J83"/>
    <mergeCell ref="I84:J84"/>
    <mergeCell ref="I85:J85"/>
    <mergeCell ref="A42:S42"/>
    <mergeCell ref="E88:H88"/>
    <mergeCell ref="M40:S40"/>
    <mergeCell ref="M39:S39"/>
    <mergeCell ref="M41:S41"/>
    <mergeCell ref="M38:S38"/>
    <mergeCell ref="E72:H72"/>
    <mergeCell ref="E73:H73"/>
    <mergeCell ref="E74:H74"/>
    <mergeCell ref="E75:H75"/>
    <mergeCell ref="E76:H76"/>
    <mergeCell ref="E77:H77"/>
    <mergeCell ref="E78:H78"/>
    <mergeCell ref="E79:H79"/>
    <mergeCell ref="E80:H80"/>
    <mergeCell ref="E81:H81"/>
    <mergeCell ref="E82:H82"/>
    <mergeCell ref="E83:H83"/>
    <mergeCell ref="E84:H84"/>
    <mergeCell ref="E85:H85"/>
    <mergeCell ref="E86:H86"/>
    <mergeCell ref="I88:J88"/>
    <mergeCell ref="I73:J73"/>
    <mergeCell ref="I74:J74"/>
    <mergeCell ref="D43:F43"/>
    <mergeCell ref="G43:I43"/>
    <mergeCell ref="J43:L43"/>
    <mergeCell ref="D44:F44"/>
    <mergeCell ref="J52:L52"/>
    <mergeCell ref="J44:L44"/>
    <mergeCell ref="J45:L45"/>
    <mergeCell ref="J46:L46"/>
    <mergeCell ref="J47:L47"/>
    <mergeCell ref="J48:L48"/>
    <mergeCell ref="J49:L49"/>
    <mergeCell ref="J50:L50"/>
    <mergeCell ref="J51:L51"/>
    <mergeCell ref="G44:I44"/>
    <mergeCell ref="G45:I45"/>
    <mergeCell ref="G46:I46"/>
    <mergeCell ref="G47:I47"/>
    <mergeCell ref="G48:I48"/>
    <mergeCell ref="G49:I49"/>
    <mergeCell ref="G50:I50"/>
    <mergeCell ref="G51:I51"/>
    <mergeCell ref="G52:I52"/>
    <mergeCell ref="D45:F45"/>
    <mergeCell ref="D46:F46"/>
    <mergeCell ref="D47:F47"/>
    <mergeCell ref="D48:F48"/>
    <mergeCell ref="D49:F49"/>
    <mergeCell ref="D50:F50"/>
    <mergeCell ref="D51:F51"/>
    <mergeCell ref="D52:F52"/>
    <mergeCell ref="M52:S52"/>
    <mergeCell ref="K81:S81"/>
    <mergeCell ref="K82:S82"/>
    <mergeCell ref="M54:S54"/>
    <mergeCell ref="I75:J75"/>
    <mergeCell ref="M65:S65"/>
    <mergeCell ref="M66:S66"/>
    <mergeCell ref="M67:S67"/>
    <mergeCell ref="M68:S68"/>
    <mergeCell ref="M69:S69"/>
    <mergeCell ref="I76:J76"/>
    <mergeCell ref="I77:J77"/>
    <mergeCell ref="I78:J78"/>
    <mergeCell ref="I79:J79"/>
    <mergeCell ref="I80:J80"/>
    <mergeCell ref="I81:J81"/>
    <mergeCell ref="I82:J82"/>
    <mergeCell ref="M61:S61"/>
    <mergeCell ref="D97:F97"/>
    <mergeCell ref="G97:I97"/>
    <mergeCell ref="J97:L97"/>
    <mergeCell ref="D103:F103"/>
    <mergeCell ref="G103:I103"/>
    <mergeCell ref="J103:L103"/>
    <mergeCell ref="D101:F101"/>
    <mergeCell ref="G101:I101"/>
    <mergeCell ref="J101:L101"/>
    <mergeCell ref="D102:F102"/>
    <mergeCell ref="G102:I102"/>
    <mergeCell ref="J102:L102"/>
    <mergeCell ref="M43:S43"/>
    <mergeCell ref="M44:S44"/>
    <mergeCell ref="M45:S45"/>
    <mergeCell ref="M46:S46"/>
    <mergeCell ref="M47:S47"/>
    <mergeCell ref="M48:S48"/>
    <mergeCell ref="M49:S49"/>
    <mergeCell ref="M50:S50"/>
    <mergeCell ref="M51:S51"/>
    <mergeCell ref="M97:S97"/>
    <mergeCell ref="M98:S98"/>
    <mergeCell ref="M99:S99"/>
    <mergeCell ref="M100:S100"/>
    <mergeCell ref="M101:S101"/>
    <mergeCell ref="K86:S86"/>
    <mergeCell ref="K87:S87"/>
    <mergeCell ref="K88:S88"/>
    <mergeCell ref="J98:L98"/>
    <mergeCell ref="A94:S94"/>
    <mergeCell ref="D95:F95"/>
    <mergeCell ref="G95:I95"/>
    <mergeCell ref="J95:L95"/>
    <mergeCell ref="D96:F96"/>
    <mergeCell ref="G96:I96"/>
    <mergeCell ref="J96:L96"/>
    <mergeCell ref="M95:S95"/>
    <mergeCell ref="M96:S96"/>
    <mergeCell ref="M90:S90"/>
    <mergeCell ref="M91:S91"/>
    <mergeCell ref="M92:S92"/>
    <mergeCell ref="M93:S93"/>
    <mergeCell ref="D99:F99"/>
    <mergeCell ref="G99:I99"/>
    <mergeCell ref="M102:S102"/>
    <mergeCell ref="M103:S103"/>
    <mergeCell ref="M104:S104"/>
    <mergeCell ref="A106:S106"/>
    <mergeCell ref="D104:F104"/>
    <mergeCell ref="G104:I104"/>
    <mergeCell ref="J104:L104"/>
    <mergeCell ref="D98:F98"/>
    <mergeCell ref="G98:I98"/>
    <mergeCell ref="J99:L99"/>
    <mergeCell ref="D100:F100"/>
    <mergeCell ref="G100:I100"/>
    <mergeCell ref="J100:L100"/>
    <mergeCell ref="B110:C110"/>
    <mergeCell ref="B111:C111"/>
    <mergeCell ref="B116:C116"/>
    <mergeCell ref="B112:C112"/>
    <mergeCell ref="B113:C113"/>
    <mergeCell ref="B114:C114"/>
    <mergeCell ref="B115:C115"/>
    <mergeCell ref="A107:S107"/>
    <mergeCell ref="B108:C108"/>
    <mergeCell ref="B109:C109"/>
    <mergeCell ref="B128:C128"/>
    <mergeCell ref="B129:C129"/>
    <mergeCell ref="B121:C121"/>
    <mergeCell ref="B122:C122"/>
    <mergeCell ref="B123:C123"/>
    <mergeCell ref="A124:S124"/>
    <mergeCell ref="N123:S123"/>
    <mergeCell ref="B117:C117"/>
    <mergeCell ref="B118:C118"/>
    <mergeCell ref="B119:C119"/>
    <mergeCell ref="B120:C120"/>
    <mergeCell ref="L125:M125"/>
    <mergeCell ref="N125:O125"/>
    <mergeCell ref="P125:Q125"/>
    <mergeCell ref="R125:S125"/>
    <mergeCell ref="D126:E126"/>
    <mergeCell ref="F126:G126"/>
    <mergeCell ref="H126:I126"/>
    <mergeCell ref="J126:K126"/>
    <mergeCell ref="L126:M126"/>
    <mergeCell ref="N126:O126"/>
    <mergeCell ref="P126:Q126"/>
    <mergeCell ref="R126:S126"/>
    <mergeCell ref="B135:C135"/>
    <mergeCell ref="D125:E125"/>
    <mergeCell ref="F125:G125"/>
    <mergeCell ref="H125:I125"/>
    <mergeCell ref="J125:K125"/>
    <mergeCell ref="D127:E127"/>
    <mergeCell ref="F127:G127"/>
    <mergeCell ref="H127:I127"/>
    <mergeCell ref="J127:K127"/>
    <mergeCell ref="D129:E129"/>
    <mergeCell ref="F129:G129"/>
    <mergeCell ref="H129:I129"/>
    <mergeCell ref="J129:K129"/>
    <mergeCell ref="D131:E131"/>
    <mergeCell ref="F131:G131"/>
    <mergeCell ref="H131:I131"/>
    <mergeCell ref="B130:C130"/>
    <mergeCell ref="B131:C131"/>
    <mergeCell ref="B132:C132"/>
    <mergeCell ref="B133:C133"/>
    <mergeCell ref="B134:C134"/>
    <mergeCell ref="B125:C125"/>
    <mergeCell ref="B126:C126"/>
    <mergeCell ref="B127:C127"/>
    <mergeCell ref="D130:E130"/>
    <mergeCell ref="F130:G130"/>
    <mergeCell ref="H130:I130"/>
    <mergeCell ref="J130:K130"/>
    <mergeCell ref="L130:M130"/>
    <mergeCell ref="N130:O130"/>
    <mergeCell ref="P130:Q130"/>
    <mergeCell ref="R130:S130"/>
    <mergeCell ref="L127:M127"/>
    <mergeCell ref="N127:O127"/>
    <mergeCell ref="P127:Q127"/>
    <mergeCell ref="R127:S127"/>
    <mergeCell ref="D128:E128"/>
    <mergeCell ref="F128:G128"/>
    <mergeCell ref="H128:I128"/>
    <mergeCell ref="J128:K128"/>
    <mergeCell ref="L128:M128"/>
    <mergeCell ref="N128:O128"/>
    <mergeCell ref="P128:Q128"/>
    <mergeCell ref="R128:S128"/>
    <mergeCell ref="J131:K131"/>
    <mergeCell ref="L131:M131"/>
    <mergeCell ref="N131:O131"/>
    <mergeCell ref="P131:Q131"/>
    <mergeCell ref="R131:S131"/>
    <mergeCell ref="L129:M129"/>
    <mergeCell ref="N129:O129"/>
    <mergeCell ref="P129:Q129"/>
    <mergeCell ref="R129:S129"/>
    <mergeCell ref="N132:O132"/>
    <mergeCell ref="P132:Q132"/>
    <mergeCell ref="R132:S132"/>
    <mergeCell ref="D133:E133"/>
    <mergeCell ref="F133:G133"/>
    <mergeCell ref="H133:I133"/>
    <mergeCell ref="J133:K133"/>
    <mergeCell ref="L133:M133"/>
    <mergeCell ref="N133:O133"/>
    <mergeCell ref="P133:Q133"/>
    <mergeCell ref="R133:S133"/>
    <mergeCell ref="D132:E132"/>
    <mergeCell ref="F132:G132"/>
    <mergeCell ref="H132:I132"/>
    <mergeCell ref="J132:K132"/>
    <mergeCell ref="L132:M132"/>
    <mergeCell ref="N134:O134"/>
    <mergeCell ref="P134:Q134"/>
    <mergeCell ref="R134:S134"/>
    <mergeCell ref="D135:E135"/>
    <mergeCell ref="F135:G135"/>
    <mergeCell ref="H135:I135"/>
    <mergeCell ref="J135:K135"/>
    <mergeCell ref="L135:M135"/>
    <mergeCell ref="N135:O135"/>
    <mergeCell ref="P135:Q135"/>
    <mergeCell ref="R135:S135"/>
    <mergeCell ref="D134:E134"/>
    <mergeCell ref="F134:G134"/>
    <mergeCell ref="H134:I134"/>
    <mergeCell ref="J134:K134"/>
    <mergeCell ref="L134:M134"/>
    <mergeCell ref="T126:U126"/>
    <mergeCell ref="V126:W126"/>
    <mergeCell ref="X126:Y126"/>
    <mergeCell ref="Z126:AA126"/>
    <mergeCell ref="AB126:AC126"/>
    <mergeCell ref="T125:U125"/>
    <mergeCell ref="V125:W125"/>
    <mergeCell ref="X125:Y125"/>
    <mergeCell ref="Z125:AA125"/>
    <mergeCell ref="AB125:AC125"/>
    <mergeCell ref="T128:U128"/>
    <mergeCell ref="V128:W128"/>
    <mergeCell ref="X128:Y128"/>
    <mergeCell ref="Z128:AA128"/>
    <mergeCell ref="AB128:AC128"/>
    <mergeCell ref="T127:U127"/>
    <mergeCell ref="V127:W127"/>
    <mergeCell ref="X127:Y127"/>
    <mergeCell ref="Z127:AA127"/>
    <mergeCell ref="AB127:AC127"/>
    <mergeCell ref="X131:Y131"/>
    <mergeCell ref="Z131:AA131"/>
    <mergeCell ref="AB131:AC131"/>
    <mergeCell ref="T130:U130"/>
    <mergeCell ref="V130:W130"/>
    <mergeCell ref="X130:Y130"/>
    <mergeCell ref="Z130:AA130"/>
    <mergeCell ref="AB130:AC130"/>
    <mergeCell ref="T129:U129"/>
    <mergeCell ref="V129:W129"/>
    <mergeCell ref="X129:Y129"/>
    <mergeCell ref="Z129:AA129"/>
    <mergeCell ref="AB129:AC129"/>
    <mergeCell ref="AD128:AE128"/>
    <mergeCell ref="AD129:AE129"/>
    <mergeCell ref="T135:U135"/>
    <mergeCell ref="V135:W135"/>
    <mergeCell ref="X135:Y135"/>
    <mergeCell ref="Z135:AA135"/>
    <mergeCell ref="AB135:AC135"/>
    <mergeCell ref="T134:U134"/>
    <mergeCell ref="V134:W134"/>
    <mergeCell ref="X134:Y134"/>
    <mergeCell ref="Z134:AA134"/>
    <mergeCell ref="AB134:AC134"/>
    <mergeCell ref="T133:U133"/>
    <mergeCell ref="V133:W133"/>
    <mergeCell ref="X133:Y133"/>
    <mergeCell ref="Z133:AA133"/>
    <mergeCell ref="AB133:AC133"/>
    <mergeCell ref="T132:U132"/>
    <mergeCell ref="V132:W132"/>
    <mergeCell ref="X132:Y132"/>
    <mergeCell ref="Z132:AA132"/>
    <mergeCell ref="AB132:AC132"/>
    <mergeCell ref="T131:U131"/>
    <mergeCell ref="V131:W131"/>
    <mergeCell ref="AD135:AE135"/>
    <mergeCell ref="N108:S108"/>
    <mergeCell ref="N109:S109"/>
    <mergeCell ref="N110:S110"/>
    <mergeCell ref="N111:S111"/>
    <mergeCell ref="N112:S112"/>
    <mergeCell ref="N113:S113"/>
    <mergeCell ref="N114:S114"/>
    <mergeCell ref="N115:S115"/>
    <mergeCell ref="N116:S116"/>
    <mergeCell ref="N117:S117"/>
    <mergeCell ref="N118:S118"/>
    <mergeCell ref="N119:S119"/>
    <mergeCell ref="N120:S120"/>
    <mergeCell ref="N121:S121"/>
    <mergeCell ref="N122:S122"/>
    <mergeCell ref="AD130:AE130"/>
    <mergeCell ref="AD131:AE131"/>
    <mergeCell ref="AD132:AE132"/>
    <mergeCell ref="AD133:AE133"/>
    <mergeCell ref="AD134:AE134"/>
    <mergeCell ref="AD125:AE125"/>
    <mergeCell ref="AD126:AE126"/>
    <mergeCell ref="AD127:AE12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98:C198"/>
    <mergeCell ref="B199:C199"/>
    <mergeCell ref="B182:C182"/>
    <mergeCell ref="B183:C183"/>
    <mergeCell ref="B184:C184"/>
    <mergeCell ref="B185:C185"/>
    <mergeCell ref="B186:C186"/>
    <mergeCell ref="B187:C187"/>
    <mergeCell ref="B188:C188"/>
    <mergeCell ref="B189:C189"/>
    <mergeCell ref="B190:C190"/>
    <mergeCell ref="J154:S154"/>
    <mergeCell ref="J155:S155"/>
    <mergeCell ref="J156:S156"/>
    <mergeCell ref="B137:C137"/>
    <mergeCell ref="B208:C208"/>
    <mergeCell ref="B217:C217"/>
    <mergeCell ref="B209:C209"/>
    <mergeCell ref="B219:C219"/>
    <mergeCell ref="B220:C220"/>
    <mergeCell ref="B200:C200"/>
    <mergeCell ref="B201:C201"/>
    <mergeCell ref="B202:C202"/>
    <mergeCell ref="B203:C203"/>
    <mergeCell ref="B204:C204"/>
    <mergeCell ref="B205:C205"/>
    <mergeCell ref="B206:C206"/>
    <mergeCell ref="B207:C207"/>
    <mergeCell ref="B191:C191"/>
    <mergeCell ref="B192:C192"/>
    <mergeCell ref="B193:C193"/>
    <mergeCell ref="B194:C194"/>
    <mergeCell ref="B195:C195"/>
    <mergeCell ref="B196:C196"/>
    <mergeCell ref="B197:C197"/>
    <mergeCell ref="J146:S146"/>
    <mergeCell ref="J147:S147"/>
    <mergeCell ref="J148:S148"/>
    <mergeCell ref="J149:S149"/>
    <mergeCell ref="J150:S150"/>
    <mergeCell ref="J151:S151"/>
    <mergeCell ref="J152:S152"/>
    <mergeCell ref="J153:S153"/>
    <mergeCell ref="J137:S137"/>
    <mergeCell ref="J138:S138"/>
    <mergeCell ref="J139:S139"/>
    <mergeCell ref="J140:S140"/>
    <mergeCell ref="J141:S141"/>
    <mergeCell ref="J142:S142"/>
    <mergeCell ref="J143:S143"/>
    <mergeCell ref="J144:S144"/>
    <mergeCell ref="J145:S145"/>
    <mergeCell ref="J157:S157"/>
    <mergeCell ref="J158:S158"/>
    <mergeCell ref="J159:S159"/>
    <mergeCell ref="J160:S160"/>
    <mergeCell ref="J161:S161"/>
    <mergeCell ref="J162:S162"/>
    <mergeCell ref="J163:S163"/>
    <mergeCell ref="J164:S164"/>
    <mergeCell ref="J165:S165"/>
    <mergeCell ref="J166:S166"/>
    <mergeCell ref="J167:S167"/>
    <mergeCell ref="J168:S168"/>
    <mergeCell ref="J169:S169"/>
    <mergeCell ref="J170:S170"/>
    <mergeCell ref="J171:S171"/>
    <mergeCell ref="J172:S172"/>
    <mergeCell ref="J173:S173"/>
    <mergeCell ref="J174:S174"/>
    <mergeCell ref="J175:S175"/>
    <mergeCell ref="J176:S176"/>
    <mergeCell ref="J177:S177"/>
    <mergeCell ref="J178:S178"/>
    <mergeCell ref="J179:S179"/>
    <mergeCell ref="J180:S180"/>
    <mergeCell ref="J181:S181"/>
    <mergeCell ref="J182:S182"/>
    <mergeCell ref="J183:S183"/>
    <mergeCell ref="J184:S184"/>
    <mergeCell ref="J185:S185"/>
    <mergeCell ref="J186:S186"/>
    <mergeCell ref="J187:S187"/>
    <mergeCell ref="J188:S188"/>
    <mergeCell ref="J189:S189"/>
    <mergeCell ref="J190:S190"/>
    <mergeCell ref="J191:S191"/>
    <mergeCell ref="J192:S192"/>
    <mergeCell ref="J193:S193"/>
    <mergeCell ref="J194:S194"/>
    <mergeCell ref="J195:S195"/>
    <mergeCell ref="J196:S196"/>
    <mergeCell ref="J197:S197"/>
    <mergeCell ref="J198:S198"/>
    <mergeCell ref="J199:S199"/>
    <mergeCell ref="J200:S200"/>
    <mergeCell ref="J201:S201"/>
    <mergeCell ref="J202:S202"/>
    <mergeCell ref="J203:S203"/>
    <mergeCell ref="J204:S204"/>
    <mergeCell ref="J205:S205"/>
    <mergeCell ref="J206:S206"/>
    <mergeCell ref="J207:S207"/>
    <mergeCell ref="J208:S208"/>
    <mergeCell ref="J217:S217"/>
    <mergeCell ref="J216:S216"/>
    <mergeCell ref="J224:S224"/>
    <mergeCell ref="B218:C218"/>
    <mergeCell ref="B211:C211"/>
    <mergeCell ref="B212:C212"/>
    <mergeCell ref="B213:C213"/>
    <mergeCell ref="B215:C215"/>
    <mergeCell ref="B216:C216"/>
    <mergeCell ref="B214:C214"/>
    <mergeCell ref="J211:S211"/>
    <mergeCell ref="J212:S212"/>
    <mergeCell ref="J213:S213"/>
    <mergeCell ref="J214:S214"/>
    <mergeCell ref="J215:S215"/>
    <mergeCell ref="B221:C221"/>
    <mergeCell ref="B222:C222"/>
    <mergeCell ref="B223:C223"/>
    <mergeCell ref="B224:C224"/>
    <mergeCell ref="J218:S218"/>
    <mergeCell ref="H216:I216"/>
    <mergeCell ref="H217:I217"/>
    <mergeCell ref="H218:I218"/>
    <mergeCell ref="H219:I219"/>
    <mergeCell ref="H220:I220"/>
    <mergeCell ref="H221:I221"/>
    <mergeCell ref="B210:C210"/>
    <mergeCell ref="J210:S210"/>
    <mergeCell ref="J209:S209"/>
    <mergeCell ref="J219:S219"/>
    <mergeCell ref="J220:S220"/>
    <mergeCell ref="J221:S221"/>
    <mergeCell ref="J222:S222"/>
    <mergeCell ref="J223:S223"/>
    <mergeCell ref="H188:I188"/>
    <mergeCell ref="H192:I192"/>
    <mergeCell ref="H193:I193"/>
    <mergeCell ref="H194:I194"/>
    <mergeCell ref="H195:I195"/>
    <mergeCell ref="H196:I196"/>
    <mergeCell ref="H197:I197"/>
    <mergeCell ref="H198:I198"/>
    <mergeCell ref="H199:I199"/>
    <mergeCell ref="H200:I200"/>
    <mergeCell ref="H201:I201"/>
    <mergeCell ref="H202:I202"/>
    <mergeCell ref="H203:I203"/>
    <mergeCell ref="H204:I204"/>
    <mergeCell ref="H205:I205"/>
    <mergeCell ref="H206:I206"/>
    <mergeCell ref="H138:I138"/>
    <mergeCell ref="H139:I139"/>
    <mergeCell ref="H140:I140"/>
    <mergeCell ref="H141:I141"/>
    <mergeCell ref="H142:I142"/>
    <mergeCell ref="H143:I143"/>
    <mergeCell ref="H144:I144"/>
    <mergeCell ref="H145:I145"/>
    <mergeCell ref="H146:I146"/>
    <mergeCell ref="H147:I147"/>
    <mergeCell ref="H148:I148"/>
    <mergeCell ref="H149:I149"/>
    <mergeCell ref="H150:I150"/>
    <mergeCell ref="H151:I151"/>
    <mergeCell ref="H152:I152"/>
    <mergeCell ref="H153:I153"/>
    <mergeCell ref="H154:I154"/>
    <mergeCell ref="H155:I155"/>
    <mergeCell ref="H156:I156"/>
    <mergeCell ref="H157:I157"/>
    <mergeCell ref="H158:I158"/>
    <mergeCell ref="H159:I159"/>
    <mergeCell ref="H160:I160"/>
    <mergeCell ref="H161:I161"/>
    <mergeCell ref="H162:I162"/>
    <mergeCell ref="H163:I163"/>
    <mergeCell ref="H164:I164"/>
    <mergeCell ref="H165:I165"/>
    <mergeCell ref="H166:I166"/>
    <mergeCell ref="H167:I167"/>
    <mergeCell ref="H168:I168"/>
    <mergeCell ref="H169:I169"/>
    <mergeCell ref="H170:I170"/>
    <mergeCell ref="H171:I171"/>
    <mergeCell ref="H172:I172"/>
    <mergeCell ref="H173:I173"/>
    <mergeCell ref="H174:I174"/>
    <mergeCell ref="H175:I175"/>
    <mergeCell ref="H176:I176"/>
    <mergeCell ref="H177:I177"/>
    <mergeCell ref="H178:I178"/>
    <mergeCell ref="H179:I179"/>
    <mergeCell ref="H180:I180"/>
    <mergeCell ref="H181:I181"/>
    <mergeCell ref="H182:I182"/>
    <mergeCell ref="H183:I183"/>
    <mergeCell ref="H184:I184"/>
    <mergeCell ref="H185:I185"/>
    <mergeCell ref="H186:I186"/>
    <mergeCell ref="H187:I187"/>
    <mergeCell ref="H189:I189"/>
    <mergeCell ref="H190:I190"/>
    <mergeCell ref="H191:I191"/>
    <mergeCell ref="H222:I222"/>
    <mergeCell ref="H223:I223"/>
    <mergeCell ref="H224:I224"/>
    <mergeCell ref="H207:I207"/>
    <mergeCell ref="H208:I208"/>
    <mergeCell ref="H209:I209"/>
    <mergeCell ref="H210:I210"/>
    <mergeCell ref="H211:I211"/>
    <mergeCell ref="H212:I212"/>
    <mergeCell ref="H213:I213"/>
    <mergeCell ref="H214:I214"/>
    <mergeCell ref="H215:I215"/>
  </mergeCells>
  <phoneticPr fontId="22" type="noConversion"/>
  <conditionalFormatting sqref="H231:M236">
    <cfRule type="cellIs" dxfId="82" priority="11" stopIfTrue="1" operator="notBetween">
      <formula>1</formula>
      <formula>4</formula>
    </cfRule>
    <cfRule type="dataBar" priority="12">
      <dataBar>
        <cfvo type="min"/>
        <cfvo type="num" val="4"/>
        <color rgb="FFFFC000"/>
      </dataBar>
      <extLst>
        <ext xmlns:x14="http://schemas.microsoft.com/office/spreadsheetml/2009/9/main" uri="{B025F937-C7B1-47D3-B67F-A62EFF666E3E}">
          <x14:id>{52D30522-04B5-4A14-A26F-867A77599C02}</x14:id>
        </ext>
      </extLst>
    </cfRule>
  </conditionalFormatting>
  <conditionalFormatting sqref="H240:M240">
    <cfRule type="cellIs" dxfId="81" priority="2" stopIfTrue="1" operator="notBetween">
      <formula>1</formula>
      <formula>4</formula>
    </cfRule>
    <cfRule type="dataBar" priority="3">
      <dataBar>
        <cfvo type="min"/>
        <cfvo type="num" val="4"/>
        <color rgb="FFFFC000"/>
      </dataBar>
      <extLst>
        <ext xmlns:x14="http://schemas.microsoft.com/office/spreadsheetml/2009/9/main" uri="{B025F937-C7B1-47D3-B67F-A62EFF666E3E}">
          <x14:id>{0E248CE5-5955-4706-9D11-F52F17F9A0F6}</x14:id>
        </ext>
      </extLst>
    </cfRule>
  </conditionalFormatting>
  <conditionalFormatting sqref="H241:M243">
    <cfRule type="cellIs" dxfId="80" priority="7" stopIfTrue="1" operator="notBetween">
      <formula>1</formula>
      <formula>4</formula>
    </cfRule>
    <cfRule type="dataBar" priority="9">
      <dataBar>
        <cfvo type="min"/>
        <cfvo type="num" val="4"/>
        <color rgb="FFFFC000"/>
      </dataBar>
      <extLst>
        <ext xmlns:x14="http://schemas.microsoft.com/office/spreadsheetml/2009/9/main" uri="{B025F937-C7B1-47D3-B67F-A62EFF666E3E}">
          <x14:id>{ADB0E609-8EED-4E8E-940E-91D447DF706D}</x14:id>
        </ext>
      </extLst>
    </cfRule>
  </conditionalFormatting>
  <conditionalFormatting sqref="H241:N243">
    <cfRule type="containsBlanks" dxfId="79" priority="6">
      <formula>LEN(TRIM(H241))=0</formula>
    </cfRule>
  </conditionalFormatting>
  <conditionalFormatting sqref="H231:O236">
    <cfRule type="containsBlanks" dxfId="78" priority="10" stopIfTrue="1">
      <formula>LEN(TRIM(H231))=0</formula>
    </cfRule>
  </conditionalFormatting>
  <conditionalFormatting sqref="H240:O240">
    <cfRule type="containsBlanks" dxfId="77" priority="1" stopIfTrue="1">
      <formula>LEN(TRIM(H240))=0</formula>
    </cfRule>
  </conditionalFormatting>
  <conditionalFormatting sqref="N241:N243">
    <cfRule type="dataBar" priority="8">
      <dataBar>
        <cfvo type="min"/>
        <cfvo type="max"/>
        <color rgb="FF3FCDFF"/>
      </dataBar>
      <extLst>
        <ext xmlns:x14="http://schemas.microsoft.com/office/spreadsheetml/2009/9/main" uri="{B025F937-C7B1-47D3-B67F-A62EFF666E3E}">
          <x14:id>{56ADEB90-7F84-40E6-8A25-6FB6CFE5B13E}</x14:id>
        </ext>
      </extLst>
    </cfRule>
  </conditionalFormatting>
  <conditionalFormatting sqref="N231:O236">
    <cfRule type="dataBar" priority="13">
      <dataBar>
        <cfvo type="min"/>
        <cfvo type="max"/>
        <color rgb="FF3FCDFF"/>
      </dataBar>
      <extLst>
        <ext xmlns:x14="http://schemas.microsoft.com/office/spreadsheetml/2009/9/main" uri="{B025F937-C7B1-47D3-B67F-A62EFF666E3E}">
          <x14:id>{A264C664-B8C6-421C-8411-0C4F6AB227F8}</x14:id>
        </ext>
      </extLst>
    </cfRule>
  </conditionalFormatting>
  <conditionalFormatting sqref="N240:O240">
    <cfRule type="dataBar" priority="4">
      <dataBar>
        <cfvo type="min"/>
        <cfvo type="max"/>
        <color rgb="FF3FCDFF"/>
      </dataBar>
      <extLst>
        <ext xmlns:x14="http://schemas.microsoft.com/office/spreadsheetml/2009/9/main" uri="{B025F937-C7B1-47D3-B67F-A62EFF666E3E}">
          <x14:id>{AFB119B0-BF6D-4F68-80DF-05A62D605C38}</x14:id>
        </ext>
      </extLst>
    </cfRule>
  </conditionalFormatting>
  <conditionalFormatting sqref="P231:P236">
    <cfRule type="containsText" dxfId="76" priority="14" operator="containsText" text="Actual TC">
      <formula>NOT(ISERROR(SEARCH("Actual TC",P231)))</formula>
    </cfRule>
  </conditionalFormatting>
  <conditionalFormatting sqref="P240">
    <cfRule type="containsText" dxfId="75" priority="5" operator="containsText" text="Actual TC">
      <formula>NOT(ISERROR(SEARCH("Actual TC",P240)))</formula>
    </cfRule>
  </conditionalFormatting>
  <hyperlinks>
    <hyperlink ref="M3" r:id="rId1" xr:uid="{C17EA12C-9368-4E35-81AD-C8EAA5BD5DFA}"/>
    <hyperlink ref="M9" r:id="rId2" xr:uid="{A9070DCC-82A5-4CC3-95E6-8BB7D7651415}"/>
    <hyperlink ref="M10" r:id="rId3" xr:uid="{9CEB3E6F-36D1-4526-8DC9-6129A314EEC4}"/>
  </hyperlinks>
  <pageMargins left="0.7" right="0.7" top="0.75" bottom="0.75" header="0.3" footer="0.3"/>
  <pageSetup paperSize="9" orientation="portrait" horizontalDpi="4294967293" verticalDpi="0" r:id="rId4"/>
  <extLst>
    <ext xmlns:x14="http://schemas.microsoft.com/office/spreadsheetml/2009/9/main" uri="{78C0D931-6437-407d-A8EE-F0AAD7539E65}">
      <x14:conditionalFormattings>
        <x14:conditionalFormatting xmlns:xm="http://schemas.microsoft.com/office/excel/2006/main">
          <x14:cfRule type="dataBar" id="{52D30522-04B5-4A14-A26F-867A77599C02}">
            <x14:dataBar minLength="0" maxLength="100" gradient="0">
              <x14:cfvo type="autoMin"/>
              <x14:cfvo type="num">
                <xm:f>4</xm:f>
              </x14:cfvo>
              <x14:negativeFillColor rgb="FFFF0000"/>
              <x14:axisColor rgb="FF000000"/>
            </x14:dataBar>
          </x14:cfRule>
          <xm:sqref>H231:M236</xm:sqref>
        </x14:conditionalFormatting>
        <x14:conditionalFormatting xmlns:xm="http://schemas.microsoft.com/office/excel/2006/main">
          <x14:cfRule type="dataBar" id="{0E248CE5-5955-4706-9D11-F52F17F9A0F6}">
            <x14:dataBar minLength="0" maxLength="100" gradient="0">
              <x14:cfvo type="autoMin"/>
              <x14:cfvo type="num">
                <xm:f>4</xm:f>
              </x14:cfvo>
              <x14:negativeFillColor rgb="FFFF0000"/>
              <x14:axisColor rgb="FF000000"/>
            </x14:dataBar>
          </x14:cfRule>
          <xm:sqref>H240:M240</xm:sqref>
        </x14:conditionalFormatting>
        <x14:conditionalFormatting xmlns:xm="http://schemas.microsoft.com/office/excel/2006/main">
          <x14:cfRule type="dataBar" id="{ADB0E609-8EED-4E8E-940E-91D447DF706D}">
            <x14:dataBar minLength="0" maxLength="100" gradient="0">
              <x14:cfvo type="autoMin"/>
              <x14:cfvo type="num">
                <xm:f>4</xm:f>
              </x14:cfvo>
              <x14:negativeFillColor rgb="FFFF0000"/>
              <x14:axisColor rgb="FF000000"/>
            </x14:dataBar>
          </x14:cfRule>
          <xm:sqref>H241:M243</xm:sqref>
        </x14:conditionalFormatting>
        <x14:conditionalFormatting xmlns:xm="http://schemas.microsoft.com/office/excel/2006/main">
          <x14:cfRule type="dataBar" id="{56ADEB90-7F84-40E6-8A25-6FB6CFE5B13E}">
            <x14:dataBar minLength="0" maxLength="100" gradient="0">
              <x14:cfvo type="autoMin"/>
              <x14:cfvo type="autoMax"/>
              <x14:negativeFillColor rgb="FFFF0000"/>
              <x14:axisColor rgb="FF000000"/>
            </x14:dataBar>
          </x14:cfRule>
          <xm:sqref>N241:N243</xm:sqref>
        </x14:conditionalFormatting>
        <x14:conditionalFormatting xmlns:xm="http://schemas.microsoft.com/office/excel/2006/main">
          <x14:cfRule type="dataBar" id="{A264C664-B8C6-421C-8411-0C4F6AB227F8}">
            <x14:dataBar minLength="0" maxLength="100" gradient="0">
              <x14:cfvo type="autoMin"/>
              <x14:cfvo type="autoMax"/>
              <x14:negativeFillColor rgb="FFFF0000"/>
              <x14:axisColor rgb="FF000000"/>
            </x14:dataBar>
          </x14:cfRule>
          <xm:sqref>N231:O236</xm:sqref>
        </x14:conditionalFormatting>
        <x14:conditionalFormatting xmlns:xm="http://schemas.microsoft.com/office/excel/2006/main">
          <x14:cfRule type="dataBar" id="{AFB119B0-BF6D-4F68-80DF-05A62D605C38}">
            <x14:dataBar minLength="0" maxLength="100" gradient="0">
              <x14:cfvo type="autoMin"/>
              <x14:cfvo type="autoMax"/>
              <x14:negativeFillColor rgb="FFFF0000"/>
              <x14:axisColor rgb="FF000000"/>
            </x14:dataBar>
          </x14:cfRule>
          <xm:sqref>N240:O240</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7341A-5EA0-4D17-A641-6A977AEA044B}">
  <sheetPr>
    <tabColor theme="8"/>
  </sheetPr>
  <dimension ref="A2:AI408"/>
  <sheetViews>
    <sheetView zoomScale="70" zoomScaleNormal="70" workbookViewId="0">
      <selection activeCell="L184" sqref="L184"/>
    </sheetView>
  </sheetViews>
  <sheetFormatPr defaultRowHeight="15"/>
  <cols>
    <col min="1" max="1" width="40.5703125" customWidth="1"/>
    <col min="2" max="2" width="29.85546875" customWidth="1"/>
    <col min="3" max="3" width="19.28515625" customWidth="1"/>
    <col min="4" max="4" width="26" customWidth="1"/>
    <col min="5" max="5" width="32" bestFit="1" customWidth="1"/>
    <col min="6" max="6" width="11.7109375" customWidth="1"/>
    <col min="7" max="7" width="14.28515625" customWidth="1"/>
    <col min="8" max="8" width="12.28515625" customWidth="1"/>
    <col min="9" max="9" width="14.42578125" customWidth="1"/>
    <col min="10" max="10" width="14.28515625" customWidth="1"/>
    <col min="11" max="11" width="13" customWidth="1"/>
    <col min="12" max="12" width="13.7109375" customWidth="1"/>
    <col min="13" max="13" width="16.5703125" customWidth="1"/>
    <col min="14" max="14" width="14.7109375" customWidth="1"/>
    <col min="15" max="15" width="15.42578125" customWidth="1"/>
    <col min="16" max="16" width="30.85546875" customWidth="1"/>
    <col min="17" max="17" width="18.5703125" bestFit="1" customWidth="1"/>
    <col min="18" max="18" width="25.140625" bestFit="1" customWidth="1"/>
    <col min="19" max="19" width="16.28515625" bestFit="1" customWidth="1"/>
    <col min="20" max="20" width="13.140625" bestFit="1" customWidth="1"/>
    <col min="21" max="21" width="13.85546875" bestFit="1" customWidth="1"/>
    <col min="22" max="22" width="16.85546875" customWidth="1"/>
    <col min="23" max="23" width="23.5703125" customWidth="1"/>
    <col min="24" max="24" width="11.5703125" bestFit="1" customWidth="1"/>
    <col min="25" max="25" width="12" bestFit="1" customWidth="1"/>
    <col min="27" max="27" width="13.140625" bestFit="1" customWidth="1"/>
    <col min="29" max="29" width="12.85546875" customWidth="1"/>
    <col min="30" max="30" width="11.140625" customWidth="1"/>
    <col min="31" max="31" width="12" customWidth="1"/>
    <col min="32" max="32" width="12.140625" customWidth="1"/>
    <col min="33" max="33" width="11.5703125" customWidth="1"/>
    <col min="34" max="34" width="12.5703125" customWidth="1"/>
    <col min="35" max="38" width="14.85546875" bestFit="1" customWidth="1"/>
    <col min="40" max="40" width="16.5703125" bestFit="1" customWidth="1"/>
    <col min="41" max="42" width="14.28515625" bestFit="1" customWidth="1"/>
    <col min="43" max="43" width="18.28515625" customWidth="1"/>
    <col min="44" max="44" width="24.42578125" customWidth="1"/>
  </cols>
  <sheetData>
    <row r="2" spans="1:19" s="131" customFormat="1" ht="30" customHeight="1">
      <c r="A2" s="477" t="s">
        <v>956</v>
      </c>
      <c r="B2" s="415"/>
      <c r="C2" s="415"/>
      <c r="D2" s="415"/>
      <c r="E2" s="415"/>
      <c r="F2" s="415"/>
      <c r="G2" s="415"/>
      <c r="H2" s="415"/>
      <c r="I2" s="415"/>
      <c r="J2" s="415"/>
      <c r="K2" s="415"/>
      <c r="L2" s="415"/>
      <c r="M2" s="415"/>
      <c r="N2" s="415"/>
      <c r="O2"/>
      <c r="P2"/>
      <c r="Q2"/>
    </row>
    <row r="3" spans="1:19" s="6" customFormat="1" ht="30" customHeight="1">
      <c r="A3" s="140" t="s">
        <v>108</v>
      </c>
      <c r="B3" s="140" t="s">
        <v>139</v>
      </c>
      <c r="C3" s="140" t="s">
        <v>109</v>
      </c>
      <c r="D3" s="140" t="s">
        <v>110</v>
      </c>
      <c r="E3" s="140" t="s">
        <v>973</v>
      </c>
      <c r="F3" s="367" t="s">
        <v>112</v>
      </c>
      <c r="G3" s="228"/>
      <c r="H3" s="228"/>
      <c r="I3" s="228"/>
      <c r="J3" s="228"/>
      <c r="K3" s="228"/>
      <c r="L3" s="228"/>
      <c r="O3"/>
      <c r="P3"/>
      <c r="Q3"/>
      <c r="R3"/>
      <c r="S3"/>
    </row>
    <row r="4" spans="1:19" s="6" customFormat="1">
      <c r="A4" s="417" t="s">
        <v>1033</v>
      </c>
      <c r="B4" s="417" t="s">
        <v>190</v>
      </c>
      <c r="C4" s="223">
        <v>2018</v>
      </c>
      <c r="D4" s="117" t="s">
        <v>1034</v>
      </c>
      <c r="E4" s="498">
        <f>((D200)/1000)-B232</f>
        <v>692.81</v>
      </c>
      <c r="F4" t="s">
        <v>1035</v>
      </c>
      <c r="G4"/>
      <c r="H4"/>
      <c r="I4"/>
      <c r="O4"/>
      <c r="P4"/>
      <c r="Q4"/>
      <c r="R4"/>
      <c r="S4"/>
    </row>
    <row r="5" spans="1:19" s="6" customFormat="1">
      <c r="A5" s="418" t="s">
        <v>1033</v>
      </c>
      <c r="B5" s="418" t="s">
        <v>190</v>
      </c>
      <c r="C5" s="416">
        <v>2019</v>
      </c>
      <c r="D5" s="117" t="s">
        <v>1034</v>
      </c>
      <c r="E5" s="419">
        <f>((D203/1000)-B232)</f>
        <v>695.5</v>
      </c>
      <c r="F5" t="s">
        <v>1035</v>
      </c>
      <c r="G5"/>
      <c r="H5"/>
      <c r="I5"/>
      <c r="O5"/>
      <c r="P5"/>
      <c r="Q5"/>
      <c r="R5"/>
      <c r="S5"/>
    </row>
    <row r="6" spans="1:19" s="6" customFormat="1">
      <c r="A6"/>
      <c r="B6"/>
      <c r="C6"/>
      <c r="D6"/>
      <c r="E6"/>
      <c r="F6"/>
      <c r="G6"/>
      <c r="H6"/>
      <c r="I6"/>
      <c r="J6"/>
      <c r="K6"/>
      <c r="L6"/>
      <c r="M6"/>
      <c r="O6"/>
      <c r="P6"/>
      <c r="Q6"/>
      <c r="R6"/>
      <c r="S6"/>
    </row>
    <row r="7" spans="1:19" s="6" customFormat="1" ht="15.75" thickBot="1">
      <c r="A7" s="6" t="s">
        <v>1036</v>
      </c>
      <c r="E7"/>
      <c r="O7"/>
      <c r="P7"/>
      <c r="Q7"/>
      <c r="R7"/>
      <c r="S7"/>
    </row>
    <row r="8" spans="1:19" s="6" customFormat="1">
      <c r="A8" s="140" t="s">
        <v>108</v>
      </c>
      <c r="B8" s="140" t="s">
        <v>139</v>
      </c>
      <c r="C8" s="140" t="s">
        <v>109</v>
      </c>
      <c r="D8" s="140" t="s">
        <v>110</v>
      </c>
      <c r="E8" s="140" t="s">
        <v>973</v>
      </c>
      <c r="F8" s="367" t="s">
        <v>112</v>
      </c>
      <c r="G8" s="111" t="s">
        <v>143</v>
      </c>
      <c r="H8" s="112" t="s">
        <v>69</v>
      </c>
      <c r="I8" s="112" t="s">
        <v>75</v>
      </c>
      <c r="J8" s="112" t="s">
        <v>81</v>
      </c>
      <c r="K8" s="113" t="s">
        <v>87</v>
      </c>
      <c r="L8" s="114" t="s">
        <v>114</v>
      </c>
      <c r="M8" s="115" t="s">
        <v>132</v>
      </c>
      <c r="O8"/>
      <c r="P8"/>
      <c r="Q8"/>
      <c r="R8"/>
      <c r="S8"/>
    </row>
    <row r="9" spans="1:19" s="6" customFormat="1">
      <c r="A9" s="143" t="s">
        <v>1033</v>
      </c>
      <c r="B9" s="143" t="s">
        <v>190</v>
      </c>
      <c r="C9" s="223">
        <v>2018</v>
      </c>
      <c r="D9" s="9" t="s">
        <v>98</v>
      </c>
      <c r="E9" s="414">
        <f>E4*H165</f>
        <v>56.385014842085823</v>
      </c>
      <c r="F9" t="s">
        <v>1037</v>
      </c>
      <c r="G9" s="175">
        <v>1</v>
      </c>
      <c r="H9" s="66">
        <v>1</v>
      </c>
      <c r="I9" s="66">
        <v>2</v>
      </c>
      <c r="J9" s="66">
        <v>1</v>
      </c>
      <c r="K9" s="66">
        <v>2</v>
      </c>
      <c r="L9" s="180">
        <f t="shared" ref="L9:L18" si="0">IF( OR( ISBLANK(G9),ISBLANK(H9), ISBLANK(I9), ISBLANK(J9), ISBLANK(K9) ), "", 1.5*SQRT(   EXP(2.21*(G9-1)) + EXP(2.21*(H9-1)) + EXP(2.21*(I9-1)) + EXP(2.21*(J9-1)) + EXP(2.21*K9)   )/100*2.45 )</f>
        <v>0.35859414261160716</v>
      </c>
      <c r="M9" s="60"/>
      <c r="O9"/>
      <c r="P9"/>
      <c r="Q9"/>
      <c r="R9"/>
      <c r="S9"/>
    </row>
    <row r="10" spans="1:19" s="6" customFormat="1">
      <c r="A10" s="143" t="s">
        <v>1033</v>
      </c>
      <c r="B10" s="143" t="s">
        <v>190</v>
      </c>
      <c r="C10" s="223">
        <v>2018</v>
      </c>
      <c r="D10" s="9" t="s">
        <v>96</v>
      </c>
      <c r="E10" s="414">
        <f>E4*H166</f>
        <v>3.9507478925049049</v>
      </c>
      <c r="F10" t="s">
        <v>1037</v>
      </c>
      <c r="G10" s="173">
        <v>1</v>
      </c>
      <c r="H10" s="10">
        <v>1</v>
      </c>
      <c r="I10" s="66">
        <v>2</v>
      </c>
      <c r="J10" s="10">
        <v>1</v>
      </c>
      <c r="K10" s="10">
        <v>2</v>
      </c>
      <c r="L10" s="180">
        <f t="shared" si="0"/>
        <v>0.35859414261160716</v>
      </c>
      <c r="M10" s="34"/>
      <c r="O10"/>
      <c r="P10"/>
      <c r="Q10"/>
      <c r="R10"/>
      <c r="S10"/>
    </row>
    <row r="11" spans="1:19" s="6" customFormat="1">
      <c r="A11" s="143" t="s">
        <v>1033</v>
      </c>
      <c r="B11" s="143" t="s">
        <v>190</v>
      </c>
      <c r="C11" s="223">
        <v>2018</v>
      </c>
      <c r="D11" s="9" t="s">
        <v>95</v>
      </c>
      <c r="E11" s="414">
        <f>E5*H167</f>
        <v>3.9660876131077227</v>
      </c>
      <c r="F11" t="s">
        <v>1037</v>
      </c>
      <c r="G11" s="173">
        <v>1</v>
      </c>
      <c r="H11" s="10">
        <v>1</v>
      </c>
      <c r="I11" s="66">
        <v>2</v>
      </c>
      <c r="J11" s="10">
        <v>1</v>
      </c>
      <c r="K11" s="10">
        <v>2</v>
      </c>
      <c r="L11" s="180">
        <f t="shared" si="0"/>
        <v>0.35859414261160716</v>
      </c>
      <c r="M11" s="34"/>
      <c r="O11"/>
      <c r="P11"/>
      <c r="Q11"/>
      <c r="R11"/>
      <c r="S11"/>
    </row>
    <row r="12" spans="1:19" s="6" customFormat="1">
      <c r="A12" s="143" t="s">
        <v>1033</v>
      </c>
      <c r="B12" s="143" t="s">
        <v>190</v>
      </c>
      <c r="C12" s="223">
        <v>2018</v>
      </c>
      <c r="D12" s="9" t="s">
        <v>93</v>
      </c>
      <c r="E12" s="414">
        <f>E4*H168</f>
        <v>622.8710048492452</v>
      </c>
      <c r="F12" t="s">
        <v>1037</v>
      </c>
      <c r="G12" s="173">
        <v>1</v>
      </c>
      <c r="H12" s="10">
        <v>1</v>
      </c>
      <c r="I12" s="66">
        <v>2</v>
      </c>
      <c r="J12" s="10">
        <v>1</v>
      </c>
      <c r="K12" s="10">
        <v>2</v>
      </c>
      <c r="L12" s="180">
        <f t="shared" si="0"/>
        <v>0.35859414261160716</v>
      </c>
      <c r="M12" s="34"/>
      <c r="O12"/>
      <c r="P12"/>
      <c r="Q12"/>
      <c r="R12"/>
      <c r="S12"/>
    </row>
    <row r="13" spans="1:19">
      <c r="A13" s="143" t="s">
        <v>1033</v>
      </c>
      <c r="B13" s="143" t="s">
        <v>190</v>
      </c>
      <c r="C13" s="223">
        <v>2018</v>
      </c>
      <c r="D13" s="9" t="s">
        <v>94</v>
      </c>
      <c r="E13" s="414">
        <f>E4*H169</f>
        <v>5.6494845366498607</v>
      </c>
      <c r="F13" t="s">
        <v>1037</v>
      </c>
      <c r="G13" s="173">
        <v>1</v>
      </c>
      <c r="H13" s="10">
        <v>1</v>
      </c>
      <c r="I13" s="66">
        <v>2</v>
      </c>
      <c r="J13" s="10">
        <v>1</v>
      </c>
      <c r="K13" s="10">
        <v>2</v>
      </c>
      <c r="L13" s="180">
        <f t="shared" si="0"/>
        <v>0.35859414261160716</v>
      </c>
      <c r="M13" s="34"/>
    </row>
    <row r="14" spans="1:19" s="131" customFormat="1" ht="18.75">
      <c r="A14" s="143" t="s">
        <v>1033</v>
      </c>
      <c r="B14" s="143" t="s">
        <v>190</v>
      </c>
      <c r="C14" s="223">
        <v>2019</v>
      </c>
      <c r="D14" s="9" t="s">
        <v>98</v>
      </c>
      <c r="E14" s="414">
        <f>E5*H165</f>
        <v>56.60394310513805</v>
      </c>
      <c r="F14" t="s">
        <v>1037</v>
      </c>
      <c r="G14" s="175">
        <v>1</v>
      </c>
      <c r="H14" s="66">
        <v>1</v>
      </c>
      <c r="I14" s="66">
        <v>2</v>
      </c>
      <c r="J14" s="66">
        <v>1</v>
      </c>
      <c r="K14" s="66">
        <v>2</v>
      </c>
      <c r="L14" s="180">
        <f t="shared" si="0"/>
        <v>0.35859414261160716</v>
      </c>
      <c r="M14" s="60"/>
      <c r="O14"/>
      <c r="P14"/>
      <c r="Q14"/>
      <c r="R14"/>
      <c r="S14"/>
    </row>
    <row r="15" spans="1:19" s="6" customFormat="1">
      <c r="A15" s="143" t="s">
        <v>1033</v>
      </c>
      <c r="B15" s="143" t="s">
        <v>190</v>
      </c>
      <c r="C15" s="223">
        <v>2019</v>
      </c>
      <c r="D15" s="9" t="s">
        <v>96</v>
      </c>
      <c r="E15" s="414">
        <f>E5*H166</f>
        <v>3.9660876131077227</v>
      </c>
      <c r="F15" t="s">
        <v>1037</v>
      </c>
      <c r="G15" s="173">
        <v>1</v>
      </c>
      <c r="H15" s="10">
        <v>1</v>
      </c>
      <c r="I15" s="66">
        <v>2</v>
      </c>
      <c r="J15" s="10">
        <v>1</v>
      </c>
      <c r="K15" s="10">
        <v>2</v>
      </c>
      <c r="L15" s="180">
        <f t="shared" si="0"/>
        <v>0.35859414261160716</v>
      </c>
      <c r="M15" s="34"/>
      <c r="O15"/>
      <c r="P15"/>
      <c r="Q15"/>
      <c r="R15"/>
      <c r="S15"/>
    </row>
    <row r="16" spans="1:19" s="6" customFormat="1">
      <c r="A16" s="143" t="s">
        <v>1033</v>
      </c>
      <c r="B16" s="143" t="s">
        <v>190</v>
      </c>
      <c r="C16" s="223">
        <v>2019</v>
      </c>
      <c r="D16" s="9" t="s">
        <v>95</v>
      </c>
      <c r="E16" s="414">
        <f>E5*H167</f>
        <v>3.9660876131077227</v>
      </c>
      <c r="F16" t="s">
        <v>1037</v>
      </c>
      <c r="G16" s="173">
        <v>1</v>
      </c>
      <c r="H16" s="10">
        <v>1</v>
      </c>
      <c r="I16" s="66">
        <v>2</v>
      </c>
      <c r="J16" s="10">
        <v>1</v>
      </c>
      <c r="K16" s="10">
        <v>2</v>
      </c>
      <c r="L16" s="180">
        <f t="shared" si="0"/>
        <v>0.35859414261160716</v>
      </c>
      <c r="M16" s="34"/>
      <c r="O16"/>
      <c r="P16"/>
      <c r="Q16"/>
      <c r="R16"/>
      <c r="S16"/>
    </row>
    <row r="17" spans="1:19" s="6" customFormat="1">
      <c r="A17" s="143" t="s">
        <v>1033</v>
      </c>
      <c r="B17" s="143" t="s">
        <v>190</v>
      </c>
      <c r="C17" s="223">
        <v>2019</v>
      </c>
      <c r="D17" s="9" t="s">
        <v>93</v>
      </c>
      <c r="E17" s="414">
        <f>E5*H168</f>
        <v>625.28945002619776</v>
      </c>
      <c r="F17" t="s">
        <v>1037</v>
      </c>
      <c r="G17" s="173">
        <v>1</v>
      </c>
      <c r="H17" s="10">
        <v>1</v>
      </c>
      <c r="I17" s="66">
        <v>2</v>
      </c>
      <c r="J17" s="10">
        <v>1</v>
      </c>
      <c r="K17" s="10">
        <v>2</v>
      </c>
      <c r="L17" s="180">
        <f t="shared" si="0"/>
        <v>0.35859414261160716</v>
      </c>
      <c r="M17" s="34"/>
      <c r="O17"/>
      <c r="P17"/>
      <c r="Q17"/>
      <c r="R17"/>
      <c r="S17"/>
    </row>
    <row r="18" spans="1:19" s="6" customFormat="1">
      <c r="A18" s="143" t="s">
        <v>1033</v>
      </c>
      <c r="B18" s="143" t="s">
        <v>190</v>
      </c>
      <c r="C18" s="223">
        <v>2019</v>
      </c>
      <c r="D18" s="9" t="s">
        <v>94</v>
      </c>
      <c r="E18" s="414">
        <f>E5*H169</f>
        <v>5.6714200072746905</v>
      </c>
      <c r="F18" t="s">
        <v>1037</v>
      </c>
      <c r="G18" s="173">
        <v>1</v>
      </c>
      <c r="H18" s="10">
        <v>1</v>
      </c>
      <c r="I18" s="66">
        <v>2</v>
      </c>
      <c r="J18" s="10">
        <v>1</v>
      </c>
      <c r="K18" s="10">
        <v>2</v>
      </c>
      <c r="L18" s="180">
        <f t="shared" si="0"/>
        <v>0.35859414261160716</v>
      </c>
      <c r="M18" s="34"/>
      <c r="O18"/>
      <c r="P18"/>
      <c r="Q18"/>
      <c r="R18"/>
      <c r="S18"/>
    </row>
    <row r="19" spans="1:19" s="6" customFormat="1">
      <c r="B19"/>
      <c r="C19"/>
      <c r="D19"/>
      <c r="E19"/>
      <c r="F19" s="413"/>
      <c r="G19"/>
      <c r="H19"/>
      <c r="I19"/>
      <c r="J19"/>
      <c r="K19"/>
      <c r="L19"/>
      <c r="M19"/>
      <c r="N19"/>
      <c r="O19"/>
      <c r="P19"/>
      <c r="Q19"/>
      <c r="R19"/>
      <c r="S19"/>
    </row>
    <row r="20" spans="1:19" s="6" customFormat="1" ht="27" customHeight="1">
      <c r="A20" s="477" t="s">
        <v>955</v>
      </c>
      <c r="B20" s="477"/>
      <c r="C20" s="477"/>
      <c r="D20" s="415"/>
      <c r="E20" s="415"/>
      <c r="F20" s="415"/>
      <c r="G20" s="415"/>
      <c r="H20" s="415"/>
      <c r="I20" s="415"/>
      <c r="J20" s="415"/>
      <c r="K20" s="415"/>
      <c r="L20" s="415"/>
      <c r="M20" s="415"/>
      <c r="N20" s="415"/>
      <c r="O20"/>
      <c r="P20"/>
      <c r="Q20"/>
      <c r="R20"/>
      <c r="S20"/>
    </row>
    <row r="21" spans="1:19" s="6" customFormat="1">
      <c r="A21" s="140" t="s">
        <v>108</v>
      </c>
      <c r="B21" s="140" t="s">
        <v>139</v>
      </c>
      <c r="C21" s="140" t="s">
        <v>109</v>
      </c>
      <c r="D21" s="140" t="s">
        <v>110</v>
      </c>
      <c r="E21" s="140" t="s">
        <v>973</v>
      </c>
      <c r="F21" s="367" t="s">
        <v>112</v>
      </c>
      <c r="G21" s="811" t="s">
        <v>132</v>
      </c>
      <c r="H21" s="811"/>
      <c r="I21" s="811"/>
      <c r="O21"/>
      <c r="P21"/>
      <c r="Q21"/>
      <c r="R21"/>
      <c r="S21"/>
    </row>
    <row r="22" spans="1:19" s="6" customFormat="1">
      <c r="A22" s="143" t="s">
        <v>1033</v>
      </c>
      <c r="B22" s="143" t="s">
        <v>188</v>
      </c>
      <c r="C22" s="223">
        <v>2018</v>
      </c>
      <c r="D22" s="117" t="s">
        <v>1034</v>
      </c>
      <c r="E22" s="419">
        <f>(((D200)/1000))*$C$222-Intentional_Agr_NL_2020*'Input projections'!$C$42</f>
        <v>22.798165427830579</v>
      </c>
      <c r="F22" s="227" t="s">
        <v>1038</v>
      </c>
      <c r="G22" s="60" t="s">
        <v>1039</v>
      </c>
      <c r="H22"/>
      <c r="I22"/>
      <c r="O22"/>
      <c r="P22"/>
      <c r="Q22"/>
      <c r="R22"/>
      <c r="S22"/>
    </row>
    <row r="23" spans="1:19" s="6" customFormat="1">
      <c r="A23" s="418" t="s">
        <v>1033</v>
      </c>
      <c r="B23" s="143" t="s">
        <v>188</v>
      </c>
      <c r="C23" s="223">
        <v>2018</v>
      </c>
      <c r="D23" s="117" t="s">
        <v>1034</v>
      </c>
      <c r="E23" s="419">
        <f>(((D200)/1000))*$C$224-Intentional_Agr_NL_2020*'Input projections'!$C$42</f>
        <v>46.525919248910952</v>
      </c>
      <c r="F23" s="227" t="s">
        <v>1038</v>
      </c>
      <c r="G23" s="60" t="s">
        <v>1040</v>
      </c>
      <c r="H23"/>
      <c r="I23"/>
      <c r="O23"/>
      <c r="P23"/>
      <c r="Q23"/>
      <c r="R23"/>
      <c r="S23"/>
    </row>
    <row r="24" spans="1:19">
      <c r="A24" s="143" t="s">
        <v>1033</v>
      </c>
      <c r="B24" s="143" t="s">
        <v>188</v>
      </c>
      <c r="C24" s="223">
        <v>2019</v>
      </c>
      <c r="D24" s="117" t="s">
        <v>1034</v>
      </c>
      <c r="E24" s="419">
        <f>(((D203)/1000))*$C$222-Intentional_Agr_NL_2020*'Input projections'!$C$42</f>
        <v>22.888549427830579</v>
      </c>
      <c r="F24" s="227" t="s">
        <v>1038</v>
      </c>
      <c r="G24" s="60" t="s">
        <v>1039</v>
      </c>
    </row>
    <row r="25" spans="1:19">
      <c r="A25" s="418" t="s">
        <v>1033</v>
      </c>
      <c r="B25" s="143" t="s">
        <v>188</v>
      </c>
      <c r="C25" s="223">
        <v>2019</v>
      </c>
      <c r="D25" s="117" t="s">
        <v>1034</v>
      </c>
      <c r="E25" s="419">
        <f>(((D203)/1000))*$C$224-Intentional_Agr_NL_2020*'Input projections'!$C$42</f>
        <v>46.706479507763902</v>
      </c>
      <c r="F25" s="227" t="s">
        <v>1038</v>
      </c>
      <c r="G25" s="60" t="s">
        <v>1040</v>
      </c>
    </row>
    <row r="26" spans="1:19" s="6" customFormat="1">
      <c r="A26"/>
      <c r="B26"/>
      <c r="C26"/>
      <c r="D26"/>
      <c r="E26"/>
      <c r="F26"/>
      <c r="G26"/>
      <c r="H26"/>
      <c r="I26"/>
      <c r="J26"/>
      <c r="K26"/>
      <c r="L26"/>
      <c r="M26"/>
    </row>
    <row r="27" spans="1:19" s="6" customFormat="1" ht="15.75" thickBot="1">
      <c r="A27" s="6" t="s">
        <v>1036</v>
      </c>
      <c r="E27"/>
    </row>
    <row r="28" spans="1:19" s="2" customFormat="1">
      <c r="A28" s="140" t="s">
        <v>108</v>
      </c>
      <c r="B28" s="140" t="s">
        <v>139</v>
      </c>
      <c r="C28" s="140" t="s">
        <v>109</v>
      </c>
      <c r="D28" s="140" t="s">
        <v>110</v>
      </c>
      <c r="E28" s="140" t="s">
        <v>973</v>
      </c>
      <c r="F28" s="228" t="s">
        <v>112</v>
      </c>
      <c r="G28" s="111" t="s">
        <v>142</v>
      </c>
      <c r="H28" s="112" t="s">
        <v>69</v>
      </c>
      <c r="I28" s="112" t="s">
        <v>75</v>
      </c>
      <c r="J28" s="112" t="s">
        <v>81</v>
      </c>
      <c r="K28" s="113" t="s">
        <v>87</v>
      </c>
      <c r="L28" s="114" t="s">
        <v>114</v>
      </c>
      <c r="M28" s="115" t="s">
        <v>132</v>
      </c>
    </row>
    <row r="29" spans="1:19" s="2" customFormat="1">
      <c r="A29" s="143" t="s">
        <v>1033</v>
      </c>
      <c r="B29" s="143" t="s">
        <v>188</v>
      </c>
      <c r="C29" s="223">
        <v>2018</v>
      </c>
      <c r="D29" s="473" t="s">
        <v>98</v>
      </c>
      <c r="E29" s="136">
        <f>$E$22*H183</f>
        <v>2.3385327534831104</v>
      </c>
      <c r="F29" t="s">
        <v>1041</v>
      </c>
      <c r="G29" s="175">
        <v>2</v>
      </c>
      <c r="H29" s="66">
        <v>1</v>
      </c>
      <c r="I29" s="66">
        <v>2</v>
      </c>
      <c r="J29" s="66">
        <v>1</v>
      </c>
      <c r="K29" s="66">
        <v>2</v>
      </c>
      <c r="L29" s="180">
        <f t="shared" ref="L29:L48" si="1">IF( OR( ISBLANK(G29),ISBLANK(H29), ISBLANK(I29), ISBLANK(J29), ISBLANK(K29) ), "", 1.5*SQRT(   EXP(2.21*(G29-1)) + EXP(2.21*(H29-1)) + EXP(2.21*(I29-1)) + EXP(2.21*(J29-1)) + EXP(2.21*K29)   )/100*2.45 )</f>
        <v>0.37356464144298934</v>
      </c>
      <c r="M29" s="60" t="s">
        <v>1039</v>
      </c>
    </row>
    <row r="30" spans="1:19" s="2" customFormat="1">
      <c r="A30" s="143" t="s">
        <v>1033</v>
      </c>
      <c r="B30" s="143" t="s">
        <v>188</v>
      </c>
      <c r="C30" s="223">
        <v>2018</v>
      </c>
      <c r="D30" s="473" t="s">
        <v>96</v>
      </c>
      <c r="E30" s="136">
        <f>$E$22*H184</f>
        <v>0.11106595848154695</v>
      </c>
      <c r="F30" t="s">
        <v>1041</v>
      </c>
      <c r="G30" s="173">
        <v>2</v>
      </c>
      <c r="H30" s="10">
        <v>1</v>
      </c>
      <c r="I30" s="66">
        <v>2</v>
      </c>
      <c r="J30" s="10">
        <v>1</v>
      </c>
      <c r="K30" s="10">
        <v>2</v>
      </c>
      <c r="L30" s="180">
        <f t="shared" si="1"/>
        <v>0.37356464144298934</v>
      </c>
      <c r="M30" s="60" t="s">
        <v>1039</v>
      </c>
    </row>
    <row r="31" spans="1:19" s="2" customFormat="1">
      <c r="A31" s="143" t="s">
        <v>1033</v>
      </c>
      <c r="B31" s="143" t="s">
        <v>188</v>
      </c>
      <c r="C31" s="223">
        <v>2018</v>
      </c>
      <c r="D31" s="473" t="s">
        <v>95</v>
      </c>
      <c r="E31" s="136">
        <f>$E$22*H185</f>
        <v>0.11106595848154695</v>
      </c>
      <c r="F31" t="s">
        <v>1041</v>
      </c>
      <c r="G31" s="173">
        <v>2</v>
      </c>
      <c r="H31" s="10">
        <v>1</v>
      </c>
      <c r="I31" s="66">
        <v>2</v>
      </c>
      <c r="J31" s="10">
        <v>1</v>
      </c>
      <c r="K31" s="10">
        <v>2</v>
      </c>
      <c r="L31" s="180">
        <f t="shared" si="1"/>
        <v>0.37356464144298934</v>
      </c>
      <c r="M31" s="60" t="s">
        <v>1039</v>
      </c>
    </row>
    <row r="32" spans="1:19" s="2" customFormat="1">
      <c r="A32" s="143" t="s">
        <v>1033</v>
      </c>
      <c r="B32" s="143" t="s">
        <v>188</v>
      </c>
      <c r="C32" s="223">
        <v>2018</v>
      </c>
      <c r="D32" s="473" t="s">
        <v>93</v>
      </c>
      <c r="E32" s="136">
        <f>$E$22*H186</f>
        <v>19.95503155784176</v>
      </c>
      <c r="F32" t="s">
        <v>1041</v>
      </c>
      <c r="G32" s="173">
        <v>2</v>
      </c>
      <c r="H32" s="10">
        <v>1</v>
      </c>
      <c r="I32" s="66">
        <v>2</v>
      </c>
      <c r="J32" s="10">
        <v>1</v>
      </c>
      <c r="K32" s="10">
        <v>2</v>
      </c>
      <c r="L32" s="180">
        <f t="shared" si="1"/>
        <v>0.37356464144298934</v>
      </c>
      <c r="M32" s="60" t="s">
        <v>1039</v>
      </c>
    </row>
    <row r="33" spans="1:13" s="2" customFormat="1">
      <c r="A33" s="143" t="s">
        <v>1033</v>
      </c>
      <c r="B33" s="143" t="s">
        <v>188</v>
      </c>
      <c r="C33" s="223">
        <v>2018</v>
      </c>
      <c r="D33" s="473" t="s">
        <v>94</v>
      </c>
      <c r="E33" s="136">
        <f>$E$22*H187</f>
        <v>0.2824691995426149</v>
      </c>
      <c r="F33" t="s">
        <v>1041</v>
      </c>
      <c r="G33" s="173">
        <v>2</v>
      </c>
      <c r="H33" s="10">
        <v>1</v>
      </c>
      <c r="I33" s="66">
        <v>2</v>
      </c>
      <c r="J33" s="10">
        <v>1</v>
      </c>
      <c r="K33" s="10">
        <v>2</v>
      </c>
      <c r="L33" s="180">
        <f t="shared" si="1"/>
        <v>0.37356464144298934</v>
      </c>
      <c r="M33" s="60" t="s">
        <v>1039</v>
      </c>
    </row>
    <row r="34" spans="1:13" s="2" customFormat="1">
      <c r="A34" s="143" t="s">
        <v>1033</v>
      </c>
      <c r="B34" s="143" t="s">
        <v>188</v>
      </c>
      <c r="C34" s="223">
        <v>2018</v>
      </c>
      <c r="D34" s="9" t="s">
        <v>98</v>
      </c>
      <c r="E34" s="136">
        <f>$E$23*H183</f>
        <v>4.7724184822639018</v>
      </c>
      <c r="F34" t="s">
        <v>1042</v>
      </c>
      <c r="G34" s="175">
        <v>2</v>
      </c>
      <c r="H34" s="66">
        <v>1</v>
      </c>
      <c r="I34" s="66">
        <v>2</v>
      </c>
      <c r="J34" s="66">
        <v>1</v>
      </c>
      <c r="K34" s="66">
        <v>2</v>
      </c>
      <c r="L34" s="180">
        <f t="shared" si="1"/>
        <v>0.37356464144298934</v>
      </c>
      <c r="M34" s="60" t="s">
        <v>1040</v>
      </c>
    </row>
    <row r="35" spans="1:13" s="2" customFormat="1">
      <c r="A35" s="143" t="s">
        <v>1033</v>
      </c>
      <c r="B35" s="143" t="s">
        <v>188</v>
      </c>
      <c r="C35" s="223">
        <v>2018</v>
      </c>
      <c r="D35" s="9" t="s">
        <v>96</v>
      </c>
      <c r="E35" s="136">
        <f>$E$23*H184</f>
        <v>0.22666059828249402</v>
      </c>
      <c r="F35" t="s">
        <v>1042</v>
      </c>
      <c r="G35" s="173">
        <v>2</v>
      </c>
      <c r="H35" s="10">
        <v>1</v>
      </c>
      <c r="I35" s="66">
        <v>2</v>
      </c>
      <c r="J35" s="10">
        <v>1</v>
      </c>
      <c r="K35" s="10">
        <v>2</v>
      </c>
      <c r="L35" s="180">
        <f t="shared" si="1"/>
        <v>0.37356464144298934</v>
      </c>
      <c r="M35" s="60" t="s">
        <v>1040</v>
      </c>
    </row>
    <row r="36" spans="1:13" s="2" customFormat="1">
      <c r="A36" s="143" t="s">
        <v>1033</v>
      </c>
      <c r="B36" s="143" t="s">
        <v>188</v>
      </c>
      <c r="C36" s="223">
        <v>2018</v>
      </c>
      <c r="D36" s="9" t="s">
        <v>95</v>
      </c>
      <c r="E36" s="136">
        <f>$E$23*H185</f>
        <v>0.22666059828249402</v>
      </c>
      <c r="F36" t="s">
        <v>1042</v>
      </c>
      <c r="G36" s="173">
        <v>2</v>
      </c>
      <c r="H36" s="10">
        <v>1</v>
      </c>
      <c r="I36" s="66">
        <v>2</v>
      </c>
      <c r="J36" s="10">
        <v>1</v>
      </c>
      <c r="K36" s="10">
        <v>2</v>
      </c>
      <c r="L36" s="180">
        <f t="shared" si="1"/>
        <v>0.37356464144298934</v>
      </c>
      <c r="M36" s="60" t="s">
        <v>1040</v>
      </c>
    </row>
    <row r="37" spans="1:13" s="2" customFormat="1">
      <c r="A37" s="143" t="s">
        <v>1033</v>
      </c>
      <c r="B37" s="143" t="s">
        <v>188</v>
      </c>
      <c r="C37" s="223">
        <v>2018</v>
      </c>
      <c r="D37" s="9" t="s">
        <v>93</v>
      </c>
      <c r="E37" s="136">
        <f>$E$23*H186</f>
        <v>40.723723573663108</v>
      </c>
      <c r="F37" t="s">
        <v>1042</v>
      </c>
      <c r="G37" s="173">
        <v>2</v>
      </c>
      <c r="H37" s="10">
        <v>1</v>
      </c>
      <c r="I37" s="66">
        <v>2</v>
      </c>
      <c r="J37" s="10">
        <v>1</v>
      </c>
      <c r="K37" s="10">
        <v>2</v>
      </c>
      <c r="L37" s="180">
        <f t="shared" si="1"/>
        <v>0.37356464144298934</v>
      </c>
      <c r="M37" s="60" t="s">
        <v>1040</v>
      </c>
    </row>
    <row r="38" spans="1:13" s="2" customFormat="1">
      <c r="A38" s="143" t="s">
        <v>1033</v>
      </c>
      <c r="B38" s="143" t="s">
        <v>188</v>
      </c>
      <c r="C38" s="223">
        <v>2018</v>
      </c>
      <c r="D38" s="9" t="s">
        <v>94</v>
      </c>
      <c r="E38" s="136">
        <f>$E$23*H187</f>
        <v>0.57645599641895362</v>
      </c>
      <c r="F38" t="s">
        <v>1042</v>
      </c>
      <c r="G38" s="173">
        <v>2</v>
      </c>
      <c r="H38" s="10">
        <v>1</v>
      </c>
      <c r="I38" s="66">
        <v>2</v>
      </c>
      <c r="J38" s="10">
        <v>1</v>
      </c>
      <c r="K38" s="10">
        <v>2</v>
      </c>
      <c r="L38" s="180">
        <f t="shared" si="1"/>
        <v>0.37356464144298934</v>
      </c>
      <c r="M38" s="60" t="s">
        <v>1040</v>
      </c>
    </row>
    <row r="39" spans="1:13" s="2" customFormat="1">
      <c r="A39" s="143" t="s">
        <v>1033</v>
      </c>
      <c r="B39" s="143" t="s">
        <v>188</v>
      </c>
      <c r="C39" s="223">
        <v>2019</v>
      </c>
      <c r="D39" s="473" t="s">
        <v>98</v>
      </c>
      <c r="E39" s="136">
        <f>$E$24*H183</f>
        <v>2.3478039356341438</v>
      </c>
      <c r="F39" t="s">
        <v>1041</v>
      </c>
      <c r="G39" s="175">
        <v>2</v>
      </c>
      <c r="H39" s="66">
        <v>1</v>
      </c>
      <c r="I39" s="66">
        <v>2</v>
      </c>
      <c r="J39" s="66">
        <v>1</v>
      </c>
      <c r="K39" s="66">
        <v>2</v>
      </c>
      <c r="L39" s="180">
        <f t="shared" si="1"/>
        <v>0.37356464144298934</v>
      </c>
      <c r="M39" s="60" t="s">
        <v>1039</v>
      </c>
    </row>
    <row r="40" spans="1:13" s="2" customFormat="1">
      <c r="A40" s="143" t="s">
        <v>1033</v>
      </c>
      <c r="B40" s="143" t="s">
        <v>188</v>
      </c>
      <c r="C40" s="223">
        <v>2019</v>
      </c>
      <c r="D40" s="473" t="s">
        <v>96</v>
      </c>
      <c r="E40" s="136">
        <f>$E$24*H184</f>
        <v>0.11150628275339129</v>
      </c>
      <c r="F40" t="s">
        <v>1041</v>
      </c>
      <c r="G40" s="173">
        <v>2</v>
      </c>
      <c r="H40" s="10">
        <v>1</v>
      </c>
      <c r="I40" s="66">
        <v>2</v>
      </c>
      <c r="J40" s="10">
        <v>1</v>
      </c>
      <c r="K40" s="10">
        <v>2</v>
      </c>
      <c r="L40" s="180">
        <f t="shared" si="1"/>
        <v>0.37356464144298934</v>
      </c>
      <c r="M40" s="60" t="s">
        <v>1039</v>
      </c>
    </row>
    <row r="41" spans="1:13" s="2" customFormat="1">
      <c r="A41" s="143" t="s">
        <v>1033</v>
      </c>
      <c r="B41" s="143" t="s">
        <v>188</v>
      </c>
      <c r="C41" s="223">
        <v>2019</v>
      </c>
      <c r="D41" s="473" t="s">
        <v>95</v>
      </c>
      <c r="E41" s="136">
        <f>$E$24*H185</f>
        <v>0.11150628275339129</v>
      </c>
      <c r="F41" t="s">
        <v>1041</v>
      </c>
      <c r="G41" s="173">
        <v>2</v>
      </c>
      <c r="H41" s="10">
        <v>1</v>
      </c>
      <c r="I41" s="66">
        <v>2</v>
      </c>
      <c r="J41" s="10">
        <v>1</v>
      </c>
      <c r="K41" s="10">
        <v>2</v>
      </c>
      <c r="L41" s="180">
        <f t="shared" si="1"/>
        <v>0.37356464144298934</v>
      </c>
      <c r="M41" s="60" t="s">
        <v>1039</v>
      </c>
    </row>
    <row r="42" spans="1:13" s="2" customFormat="1">
      <c r="A42" s="143" t="s">
        <v>1033</v>
      </c>
      <c r="B42" s="143" t="s">
        <v>188</v>
      </c>
      <c r="C42" s="223">
        <v>2019</v>
      </c>
      <c r="D42" s="473" t="s">
        <v>93</v>
      </c>
      <c r="E42" s="136">
        <f>$E$24*H186</f>
        <v>20.034143869664984</v>
      </c>
      <c r="F42" t="s">
        <v>1041</v>
      </c>
      <c r="G42" s="173">
        <v>2</v>
      </c>
      <c r="H42" s="10">
        <v>1</v>
      </c>
      <c r="I42" s="66">
        <v>2</v>
      </c>
      <c r="J42" s="10">
        <v>1</v>
      </c>
      <c r="K42" s="10">
        <v>2</v>
      </c>
      <c r="L42" s="180">
        <f t="shared" si="1"/>
        <v>0.37356464144298934</v>
      </c>
      <c r="M42" s="60" t="s">
        <v>1039</v>
      </c>
    </row>
    <row r="43" spans="1:13" s="2" customFormat="1">
      <c r="A43" s="143" t="s">
        <v>1033</v>
      </c>
      <c r="B43" s="143" t="s">
        <v>188</v>
      </c>
      <c r="C43" s="223">
        <v>2019</v>
      </c>
      <c r="D43" s="473" t="s">
        <v>94</v>
      </c>
      <c r="E43" s="136">
        <f>$E$24*H187</f>
        <v>0.28358905702466886</v>
      </c>
      <c r="F43" t="s">
        <v>1041</v>
      </c>
      <c r="G43" s="173">
        <v>2</v>
      </c>
      <c r="H43" s="10">
        <v>1</v>
      </c>
      <c r="I43" s="66">
        <v>2</v>
      </c>
      <c r="J43" s="10">
        <v>1</v>
      </c>
      <c r="K43" s="10">
        <v>2</v>
      </c>
      <c r="L43" s="180">
        <f t="shared" si="1"/>
        <v>0.37356464144298934</v>
      </c>
      <c r="M43" s="60" t="s">
        <v>1039</v>
      </c>
    </row>
    <row r="44" spans="1:13" s="2" customFormat="1">
      <c r="A44" s="143" t="s">
        <v>1033</v>
      </c>
      <c r="B44" s="143" t="s">
        <v>188</v>
      </c>
      <c r="C44" s="223">
        <v>2019</v>
      </c>
      <c r="D44" s="9" t="s">
        <v>98</v>
      </c>
      <c r="E44" s="136">
        <f>$E$25*H183</f>
        <v>4.7909395374181711</v>
      </c>
      <c r="F44" t="s">
        <v>1042</v>
      </c>
      <c r="G44" s="175">
        <v>2</v>
      </c>
      <c r="H44" s="66">
        <v>1</v>
      </c>
      <c r="I44" s="66">
        <v>2</v>
      </c>
      <c r="J44" s="66">
        <v>1</v>
      </c>
      <c r="K44" s="66">
        <v>2</v>
      </c>
      <c r="L44" s="180">
        <f t="shared" si="1"/>
        <v>0.37356464144298934</v>
      </c>
      <c r="M44" s="60" t="s">
        <v>1040</v>
      </c>
    </row>
    <row r="45" spans="1:13" s="2" customFormat="1">
      <c r="A45" s="143" t="s">
        <v>1033</v>
      </c>
      <c r="B45" s="143" t="s">
        <v>188</v>
      </c>
      <c r="C45" s="223">
        <v>2019</v>
      </c>
      <c r="D45" s="9" t="s">
        <v>96</v>
      </c>
      <c r="E45" s="136">
        <f>$E$25*H184</f>
        <v>0.22754023477239763</v>
      </c>
      <c r="F45" t="s">
        <v>1042</v>
      </c>
      <c r="G45" s="173">
        <v>2</v>
      </c>
      <c r="H45" s="10">
        <v>1</v>
      </c>
      <c r="I45" s="66">
        <v>2</v>
      </c>
      <c r="J45" s="10">
        <v>1</v>
      </c>
      <c r="K45" s="10">
        <v>2</v>
      </c>
      <c r="L45" s="180">
        <f t="shared" si="1"/>
        <v>0.37356464144298934</v>
      </c>
      <c r="M45" s="60" t="s">
        <v>1040</v>
      </c>
    </row>
    <row r="46" spans="1:13" s="2" customFormat="1">
      <c r="A46" s="143" t="s">
        <v>1033</v>
      </c>
      <c r="B46" s="143" t="s">
        <v>188</v>
      </c>
      <c r="C46" s="223">
        <v>2019</v>
      </c>
      <c r="D46" s="9" t="s">
        <v>95</v>
      </c>
      <c r="E46" s="136">
        <f>$E$25*H185</f>
        <v>0.22754023477239763</v>
      </c>
      <c r="F46" t="s">
        <v>1042</v>
      </c>
      <c r="G46" s="173">
        <v>2</v>
      </c>
      <c r="H46" s="10">
        <v>1</v>
      </c>
      <c r="I46" s="66">
        <v>2</v>
      </c>
      <c r="J46" s="10">
        <v>1</v>
      </c>
      <c r="K46" s="10">
        <v>2</v>
      </c>
      <c r="L46" s="180">
        <f t="shared" si="1"/>
        <v>0.37356464144298934</v>
      </c>
      <c r="M46" s="60" t="s">
        <v>1040</v>
      </c>
    </row>
    <row r="47" spans="1:13" s="2" customFormat="1">
      <c r="A47" s="143" t="s">
        <v>1033</v>
      </c>
      <c r="B47" s="143" t="s">
        <v>188</v>
      </c>
      <c r="C47" s="223">
        <v>2019</v>
      </c>
      <c r="D47" s="9" t="s">
        <v>93</v>
      </c>
      <c r="E47" s="136">
        <f>$E$25*H186</f>
        <v>40.881766363330044</v>
      </c>
      <c r="F47" t="s">
        <v>1042</v>
      </c>
      <c r="G47" s="173">
        <v>2</v>
      </c>
      <c r="H47" s="10">
        <v>1</v>
      </c>
      <c r="I47" s="66">
        <v>2</v>
      </c>
      <c r="J47" s="10">
        <v>1</v>
      </c>
      <c r="K47" s="10">
        <v>2</v>
      </c>
      <c r="L47" s="180">
        <f t="shared" si="1"/>
        <v>0.37356464144298934</v>
      </c>
      <c r="M47" s="60" t="s">
        <v>1040</v>
      </c>
    </row>
    <row r="48" spans="1:13" s="2" customFormat="1">
      <c r="A48" s="143" t="s">
        <v>1033</v>
      </c>
      <c r="B48" s="143" t="s">
        <v>188</v>
      </c>
      <c r="C48" s="223">
        <v>2019</v>
      </c>
      <c r="D48" s="9" t="s">
        <v>94</v>
      </c>
      <c r="E48" s="136">
        <f>$E$25*H187</f>
        <v>0.57869313747088835</v>
      </c>
      <c r="F48" t="s">
        <v>1042</v>
      </c>
      <c r="G48" s="173">
        <v>2</v>
      </c>
      <c r="H48" s="10">
        <v>1</v>
      </c>
      <c r="I48" s="66">
        <v>2</v>
      </c>
      <c r="J48" s="10">
        <v>1</v>
      </c>
      <c r="K48" s="10">
        <v>2</v>
      </c>
      <c r="L48" s="180">
        <f t="shared" si="1"/>
        <v>0.37356464144298934</v>
      </c>
      <c r="M48" s="60" t="s">
        <v>1040</v>
      </c>
    </row>
    <row r="49" spans="1:35" s="2" customFormat="1"/>
    <row r="50" spans="1:35" s="478" customFormat="1" ht="27" thickBot="1">
      <c r="A50" s="477" t="s">
        <v>15</v>
      </c>
    </row>
    <row r="51" spans="1:35" s="2" customFormat="1">
      <c r="A51" s="65" t="s">
        <v>137</v>
      </c>
      <c r="B51" s="107" t="s">
        <v>138</v>
      </c>
      <c r="C51" s="108" t="s">
        <v>139</v>
      </c>
      <c r="D51" s="109" t="s">
        <v>110</v>
      </c>
      <c r="E51" s="229" t="s">
        <v>140</v>
      </c>
      <c r="F51" s="109" t="s">
        <v>141</v>
      </c>
      <c r="G51" s="108" t="s">
        <v>112</v>
      </c>
      <c r="H51" s="111" t="s">
        <v>142</v>
      </c>
      <c r="I51" s="112" t="s">
        <v>143</v>
      </c>
      <c r="J51" s="112" t="s">
        <v>69</v>
      </c>
      <c r="K51" s="112" t="s">
        <v>75</v>
      </c>
      <c r="L51" s="112" t="s">
        <v>81</v>
      </c>
      <c r="M51" s="113" t="s">
        <v>87</v>
      </c>
      <c r="N51" s="462" t="s">
        <v>144</v>
      </c>
      <c r="O51" s="452" t="s">
        <v>145</v>
      </c>
      <c r="P51" s="455" t="s">
        <v>132</v>
      </c>
    </row>
    <row r="52" spans="1:35" s="2" customFormat="1">
      <c r="A52" s="60" t="s">
        <v>1033</v>
      </c>
      <c r="B52" s="162" t="s">
        <v>1043</v>
      </c>
      <c r="C52" s="60" t="s">
        <v>188</v>
      </c>
      <c r="D52" s="162" t="s">
        <v>98</v>
      </c>
      <c r="E52" s="499">
        <f>E183*$E$249</f>
        <v>0.40710942904980374</v>
      </c>
      <c r="F52" s="424">
        <v>2</v>
      </c>
      <c r="G52" s="60" t="s">
        <v>1044</v>
      </c>
      <c r="H52" s="254">
        <v>1</v>
      </c>
      <c r="I52" s="66"/>
      <c r="J52" s="66">
        <v>2</v>
      </c>
      <c r="K52" s="66">
        <v>1</v>
      </c>
      <c r="L52" s="66">
        <v>1</v>
      </c>
      <c r="M52" s="300">
        <v>2</v>
      </c>
      <c r="N52" s="303">
        <f t="shared" ref="N52:N81" si="2">IF( OR( ISBLANK(H52),ISBLANK(J52), ISBLANK(K52), ISBLANK(L52), ISBLANK(M52) ), "", 1.5*SQRT(   EXP(2.21*(H52-1)) + EXP(2.21*(J52-1)) + EXP(2.21*(K52-1)) + EXP(2.21*(L52-1)) + EXP(2.21*M52)   )/100*2.45 )</f>
        <v>0.35859414261160716</v>
      </c>
      <c r="O52" s="453" t="str">
        <f t="shared" ref="O52:O81" si="3">IF( OR( ISBLANK(I52),ISBLANK(J52), ISBLANK(K52), ISBLANK(L52), ISBLANK(M52) ), "", 1.5*SQRT( EXP(2.21*(I52-1)) + EXP(2.21*(J52-1)) + EXP(2.21*(K52-1)) + EXP(2.21*(L52-1)) + EXP(2.21*M52)   )/100*2.45 )</f>
        <v/>
      </c>
      <c r="P52" s="68"/>
    </row>
    <row r="53" spans="1:35" s="2" customFormat="1">
      <c r="A53" s="34" t="s">
        <v>1033</v>
      </c>
      <c r="B53" s="162" t="s">
        <v>1043</v>
      </c>
      <c r="C53" s="34" t="s">
        <v>188</v>
      </c>
      <c r="D53" s="40" t="s">
        <v>96</v>
      </c>
      <c r="E53" s="499">
        <f t="shared" ref="E53:E56" si="4">E184*$E$249</f>
        <v>0</v>
      </c>
      <c r="F53" s="424">
        <v>2</v>
      </c>
      <c r="G53" s="34" t="s">
        <v>1044</v>
      </c>
      <c r="H53" s="252">
        <v>1</v>
      </c>
      <c r="I53" s="10"/>
      <c r="J53" s="66">
        <v>2</v>
      </c>
      <c r="K53" s="66">
        <v>1</v>
      </c>
      <c r="L53" s="66">
        <v>1</v>
      </c>
      <c r="M53" s="300">
        <v>2</v>
      </c>
      <c r="N53" s="303">
        <f t="shared" si="2"/>
        <v>0.35859414261160716</v>
      </c>
      <c r="O53" s="453" t="str">
        <f t="shared" si="3"/>
        <v/>
      </c>
      <c r="P53" s="68"/>
    </row>
    <row r="54" spans="1:35" s="2" customFormat="1">
      <c r="A54" s="34" t="s">
        <v>1033</v>
      </c>
      <c r="B54" s="162" t="s">
        <v>1043</v>
      </c>
      <c r="C54" s="34" t="s">
        <v>188</v>
      </c>
      <c r="D54" s="40" t="s">
        <v>95</v>
      </c>
      <c r="E54" s="499">
        <f t="shared" si="4"/>
        <v>0</v>
      </c>
      <c r="F54" s="424">
        <v>2</v>
      </c>
      <c r="G54" s="34" t="s">
        <v>1044</v>
      </c>
      <c r="H54" s="252">
        <v>1</v>
      </c>
      <c r="I54" s="10"/>
      <c r="J54" s="66">
        <v>2</v>
      </c>
      <c r="K54" s="66">
        <v>1</v>
      </c>
      <c r="L54" s="66">
        <v>1</v>
      </c>
      <c r="M54" s="300">
        <v>2</v>
      </c>
      <c r="N54" s="303">
        <f t="shared" si="2"/>
        <v>0.35859414261160716</v>
      </c>
      <c r="O54" s="453" t="str">
        <f t="shared" si="3"/>
        <v/>
      </c>
      <c r="P54" s="68"/>
    </row>
    <row r="55" spans="1:35" s="2" customFormat="1">
      <c r="A55" s="34" t="s">
        <v>1033</v>
      </c>
      <c r="B55" s="162" t="s">
        <v>1043</v>
      </c>
      <c r="C55" s="34" t="s">
        <v>188</v>
      </c>
      <c r="D55" s="40" t="s">
        <v>93</v>
      </c>
      <c r="E55" s="499">
        <f t="shared" si="4"/>
        <v>0.14312762142097193</v>
      </c>
      <c r="F55" s="424">
        <v>2</v>
      </c>
      <c r="G55" s="34" t="s">
        <v>1044</v>
      </c>
      <c r="H55" s="252">
        <v>1</v>
      </c>
      <c r="I55" s="10"/>
      <c r="J55" s="10">
        <v>2</v>
      </c>
      <c r="K55" s="10">
        <v>1</v>
      </c>
      <c r="L55" s="10">
        <v>1</v>
      </c>
      <c r="M55" s="298">
        <v>2</v>
      </c>
      <c r="N55" s="303">
        <f t="shared" si="2"/>
        <v>0.35859414261160716</v>
      </c>
      <c r="O55" s="453" t="str">
        <f t="shared" si="3"/>
        <v/>
      </c>
      <c r="P55" s="68"/>
    </row>
    <row r="56" spans="1:35" s="2" customFormat="1">
      <c r="A56" s="34" t="s">
        <v>1033</v>
      </c>
      <c r="B56" s="162" t="s">
        <v>1043</v>
      </c>
      <c r="C56" s="34" t="s">
        <v>188</v>
      </c>
      <c r="D56" s="40" t="s">
        <v>94</v>
      </c>
      <c r="E56" s="499">
        <f t="shared" si="4"/>
        <v>0.56173601441995114</v>
      </c>
      <c r="F56" s="424">
        <v>2</v>
      </c>
      <c r="G56" s="34" t="s">
        <v>1044</v>
      </c>
      <c r="H56" s="252">
        <v>1</v>
      </c>
      <c r="I56" s="10"/>
      <c r="J56" s="10">
        <v>2</v>
      </c>
      <c r="K56" s="10">
        <v>1</v>
      </c>
      <c r="L56" s="10">
        <v>1</v>
      </c>
      <c r="M56" s="298">
        <v>2</v>
      </c>
      <c r="N56" s="303">
        <f t="shared" si="2"/>
        <v>0.35859414261160716</v>
      </c>
      <c r="O56" s="453" t="str">
        <f t="shared" si="3"/>
        <v/>
      </c>
      <c r="P56" s="68"/>
    </row>
    <row r="57" spans="1:35" s="2" customFormat="1">
      <c r="A57" s="34" t="s">
        <v>1033</v>
      </c>
      <c r="B57" s="162" t="s">
        <v>1043</v>
      </c>
      <c r="C57" s="34" t="s">
        <v>190</v>
      </c>
      <c r="D57" s="40" t="s">
        <v>98</v>
      </c>
      <c r="E57" s="499">
        <f>E165*$E$249</f>
        <v>0.16733929871138836</v>
      </c>
      <c r="F57" s="424">
        <v>2</v>
      </c>
      <c r="G57" s="34" t="s">
        <v>1045</v>
      </c>
      <c r="H57" s="252"/>
      <c r="I57" s="10">
        <v>1</v>
      </c>
      <c r="J57" s="66">
        <v>2</v>
      </c>
      <c r="K57" s="10">
        <v>1</v>
      </c>
      <c r="L57" s="10">
        <v>1</v>
      </c>
      <c r="M57" s="298">
        <v>2</v>
      </c>
      <c r="N57" s="303" t="str">
        <f>IF( OR( ISBLANK(H57),ISBLANK(J57), ISBLANK(K57), ISBLANK(L57), ISBLANK(M57) ), "", 1.5*SQRT(   EXP(2.21*(H57-1)) + EXP(2.21*(J57-1)) + EXP(2.21*(K57-1)) + EXP(2.21*(L57-1)) + EXP(2.21*M57)   )/100*2.45 )</f>
        <v/>
      </c>
      <c r="O57" s="453">
        <f>IF( OR( ISBLANK(I57),ISBLANK(J57), ISBLANK(K57), ISBLANK(L57), ISBLANK(M57) ), "", 1.5*SQRT( EXP(2.21*(I57-1)) + EXP(2.21*(J57-1)) + EXP(2.21*(K57-1)) + EXP(2.21*(L57-1)) + EXP(2.21*M57)   )/100*2.45 )</f>
        <v>0.35859414261160716</v>
      </c>
      <c r="P57" s="68"/>
    </row>
    <row r="58" spans="1:35" s="2" customFormat="1">
      <c r="A58" s="34" t="s">
        <v>1033</v>
      </c>
      <c r="B58" s="162" t="s">
        <v>1043</v>
      </c>
      <c r="C58" s="34" t="s">
        <v>190</v>
      </c>
      <c r="D58" s="40" t="s">
        <v>96</v>
      </c>
      <c r="E58" s="499">
        <f>E166*$E$249</f>
        <v>0</v>
      </c>
      <c r="F58" s="424">
        <v>2</v>
      </c>
      <c r="G58" s="34" t="s">
        <v>1045</v>
      </c>
      <c r="H58" s="252"/>
      <c r="I58" s="10">
        <v>1</v>
      </c>
      <c r="J58" s="66">
        <v>2</v>
      </c>
      <c r="K58" s="10">
        <v>1</v>
      </c>
      <c r="L58" s="10">
        <v>1</v>
      </c>
      <c r="M58" s="298">
        <v>2</v>
      </c>
      <c r="N58" s="303" t="str">
        <f>IF( OR( ISBLANK(H58),ISBLANK(J58), ISBLANK(K58), ISBLANK(L58), ISBLANK(M58) ), "", 1.5*SQRT(   EXP(2.21*(H58-1)) + EXP(2.21*(J58-1)) + EXP(2.21*(K58-1)) + EXP(2.21*(L58-1)) + EXP(2.21*M58)   )/100*2.45 )</f>
        <v/>
      </c>
      <c r="O58" s="453">
        <f>IF( OR( ISBLANK(I58),ISBLANK(J58), ISBLANK(K58), ISBLANK(L58), ISBLANK(M58) ), "", 1.5*SQRT( EXP(2.21*(I58-1)) + EXP(2.21*(J58-1)) + EXP(2.21*(K58-1)) + EXP(2.21*(L58-1)) + EXP(2.21*M58)   )/100*2.45 )</f>
        <v>0.35859414261160716</v>
      </c>
      <c r="P58" s="68"/>
    </row>
    <row r="59" spans="1:35">
      <c r="A59" s="34" t="s">
        <v>1033</v>
      </c>
      <c r="B59" s="162" t="s">
        <v>1043</v>
      </c>
      <c r="C59" s="34" t="s">
        <v>190</v>
      </c>
      <c r="D59" s="40" t="s">
        <v>95</v>
      </c>
      <c r="E59" s="499">
        <f>E167*$E$249</f>
        <v>0</v>
      </c>
      <c r="F59" s="424">
        <v>2</v>
      </c>
      <c r="G59" s="34" t="s">
        <v>1045</v>
      </c>
      <c r="H59" s="252"/>
      <c r="I59" s="10">
        <v>1</v>
      </c>
      <c r="J59" s="66">
        <v>2</v>
      </c>
      <c r="K59" s="10">
        <v>1</v>
      </c>
      <c r="L59" s="10">
        <v>1</v>
      </c>
      <c r="M59" s="298">
        <v>2</v>
      </c>
      <c r="N59" s="303" t="str">
        <f>IF( OR( ISBLANK(H59),ISBLANK(J59), ISBLANK(K59), ISBLANK(L59), ISBLANK(M59) ), "", 1.5*SQRT(   EXP(2.21*(H59-1)) + EXP(2.21*(J59-1)) + EXP(2.21*(K59-1)) + EXP(2.21*(L59-1)) + EXP(2.21*M59)   )/100*2.45 )</f>
        <v/>
      </c>
      <c r="O59" s="453">
        <f>IF( OR( ISBLANK(I59),ISBLANK(J59), ISBLANK(K59), ISBLANK(L59), ISBLANK(M59) ), "", 1.5*SQRT( EXP(2.21*(I59-1)) + EXP(2.21*(J59-1)) + EXP(2.21*(K59-1)) + EXP(2.21*(L59-1)) + EXP(2.21*M59)   )/100*2.45 )</f>
        <v>0.35859414261160716</v>
      </c>
      <c r="P59" s="68"/>
    </row>
    <row r="60" spans="1:35" s="224" customFormat="1">
      <c r="A60" s="34" t="s">
        <v>1033</v>
      </c>
      <c r="B60" s="162" t="s">
        <v>1043</v>
      </c>
      <c r="C60" s="34" t="s">
        <v>190</v>
      </c>
      <c r="D60" s="40" t="s">
        <v>93</v>
      </c>
      <c r="E60" s="499">
        <f>E168*$E$249</f>
        <v>4.5444861462717513E-2</v>
      </c>
      <c r="F60" s="424">
        <v>2</v>
      </c>
      <c r="G60" s="34" t="s">
        <v>1045</v>
      </c>
      <c r="H60" s="252"/>
      <c r="I60" s="10">
        <v>1</v>
      </c>
      <c r="J60" s="10">
        <v>2</v>
      </c>
      <c r="K60" s="10">
        <v>1</v>
      </c>
      <c r="L60" s="10">
        <v>1</v>
      </c>
      <c r="M60" s="298">
        <v>2</v>
      </c>
      <c r="N60" s="303" t="str">
        <f>IF( OR( ISBLANK(H60),ISBLANK(J60), ISBLANK(K60), ISBLANK(L60), ISBLANK(M60) ), "", 1.5*SQRT(   EXP(2.21*(H60-1)) + EXP(2.21*(J60-1)) + EXP(2.21*(K60-1)) + EXP(2.21*(L60-1)) + EXP(2.21*M60)   )/100*2.45 )</f>
        <v/>
      </c>
      <c r="O60" s="453">
        <f>IF( OR( ISBLANK(I60),ISBLANK(J60), ISBLANK(K60), ISBLANK(L60), ISBLANK(M60) ), "", 1.5*SQRT( EXP(2.21*(I60-1)) + EXP(2.21*(J60-1)) + EXP(2.21*(K60-1)) + EXP(2.21*(L60-1)) + EXP(2.21*M60)   )/100*2.45 )</f>
        <v>0.35859414261160716</v>
      </c>
      <c r="P60" s="68"/>
      <c r="Q60"/>
      <c r="R60"/>
      <c r="S60"/>
      <c r="T60"/>
      <c r="U60"/>
      <c r="V60"/>
      <c r="W60"/>
      <c r="X60"/>
      <c r="Y60"/>
      <c r="Z60"/>
      <c r="AA60"/>
      <c r="AB60"/>
      <c r="AC60"/>
      <c r="AD60"/>
      <c r="AE60"/>
      <c r="AF60"/>
      <c r="AG60"/>
      <c r="AH60"/>
      <c r="AI60"/>
    </row>
    <row r="61" spans="1:35">
      <c r="A61" s="34" t="s">
        <v>1033</v>
      </c>
      <c r="B61" s="162" t="s">
        <v>1043</v>
      </c>
      <c r="C61" s="34" t="s">
        <v>190</v>
      </c>
      <c r="D61" s="40" t="s">
        <v>94</v>
      </c>
      <c r="E61" s="499">
        <f>E169*$E$249</f>
        <v>0.27835662942036199</v>
      </c>
      <c r="F61" s="424">
        <v>2</v>
      </c>
      <c r="G61" s="34" t="s">
        <v>1045</v>
      </c>
      <c r="H61" s="252"/>
      <c r="I61" s="10">
        <v>1</v>
      </c>
      <c r="J61" s="10">
        <v>2</v>
      </c>
      <c r="K61" s="10">
        <v>1</v>
      </c>
      <c r="L61" s="10">
        <v>1</v>
      </c>
      <c r="M61" s="298">
        <v>2</v>
      </c>
      <c r="N61" s="303" t="str">
        <f>IF( OR( ISBLANK(H61),ISBLANK(J61), ISBLANK(K61), ISBLANK(L61), ISBLANK(M61) ), "", 1.5*SQRT(   EXP(2.21*(H61-1)) + EXP(2.21*(J61-1)) + EXP(2.21*(K61-1)) + EXP(2.21*(L61-1)) + EXP(2.21*M61)   )/100*2.45 )</f>
        <v/>
      </c>
      <c r="O61" s="453">
        <f>IF( OR( ISBLANK(I61),ISBLANK(J61), ISBLANK(K61), ISBLANK(L61), ISBLANK(M61) ), "", 1.5*SQRT( EXP(2.21*(I61-1)) + EXP(2.21*(J61-1)) + EXP(2.21*(K61-1)) + EXP(2.21*(L61-1)) + EXP(2.21*M61)   )/100*2.45 )</f>
        <v>0.35859414261160716</v>
      </c>
      <c r="P61" s="68"/>
    </row>
    <row r="62" spans="1:35">
      <c r="A62" s="60" t="s">
        <v>1033</v>
      </c>
      <c r="B62" s="162" t="s">
        <v>1046</v>
      </c>
      <c r="C62" s="60" t="s">
        <v>188</v>
      </c>
      <c r="D62" s="162" t="s">
        <v>98</v>
      </c>
      <c r="E62" s="499">
        <f>F183</f>
        <v>0.2192024530360637</v>
      </c>
      <c r="F62" s="424">
        <v>2</v>
      </c>
      <c r="G62" s="60" t="s">
        <v>1044</v>
      </c>
      <c r="H62" s="254">
        <v>1</v>
      </c>
      <c r="I62" s="66"/>
      <c r="J62" s="66">
        <v>2</v>
      </c>
      <c r="K62" s="66">
        <v>1</v>
      </c>
      <c r="L62" s="66">
        <v>1</v>
      </c>
      <c r="M62" s="300">
        <v>2</v>
      </c>
      <c r="N62" s="303">
        <f t="shared" si="2"/>
        <v>0.35859414261160716</v>
      </c>
      <c r="O62" s="453" t="str">
        <f t="shared" si="3"/>
        <v/>
      </c>
      <c r="P62" s="68"/>
    </row>
    <row r="63" spans="1:35">
      <c r="A63" s="34" t="s">
        <v>1033</v>
      </c>
      <c r="B63" s="40" t="s">
        <v>1046</v>
      </c>
      <c r="C63" s="34" t="s">
        <v>188</v>
      </c>
      <c r="D63" s="40" t="s">
        <v>96</v>
      </c>
      <c r="E63" s="499">
        <f>F184</f>
        <v>1</v>
      </c>
      <c r="F63" s="424">
        <v>2</v>
      </c>
      <c r="G63" s="34" t="s">
        <v>1044</v>
      </c>
      <c r="H63" s="252">
        <v>1</v>
      </c>
      <c r="I63" s="10"/>
      <c r="J63" s="66">
        <v>2</v>
      </c>
      <c r="K63" s="66">
        <v>1</v>
      </c>
      <c r="L63" s="66">
        <v>1</v>
      </c>
      <c r="M63" s="300">
        <v>2</v>
      </c>
      <c r="N63" s="303">
        <f t="shared" si="2"/>
        <v>0.35859414261160716</v>
      </c>
      <c r="O63" s="453" t="str">
        <f t="shared" si="3"/>
        <v/>
      </c>
      <c r="P63" s="68"/>
    </row>
    <row r="64" spans="1:35">
      <c r="A64" s="34" t="s">
        <v>1033</v>
      </c>
      <c r="B64" s="40" t="s">
        <v>1046</v>
      </c>
      <c r="C64" s="34" t="s">
        <v>188</v>
      </c>
      <c r="D64" s="40" t="s">
        <v>95</v>
      </c>
      <c r="E64" s="499">
        <f>F185</f>
        <v>1</v>
      </c>
      <c r="F64" s="424">
        <v>2</v>
      </c>
      <c r="G64" s="34" t="s">
        <v>1044</v>
      </c>
      <c r="H64" s="252">
        <v>1</v>
      </c>
      <c r="I64" s="10"/>
      <c r="J64" s="66">
        <v>2</v>
      </c>
      <c r="K64" s="66">
        <v>1</v>
      </c>
      <c r="L64" s="66">
        <v>1</v>
      </c>
      <c r="M64" s="300">
        <v>2</v>
      </c>
      <c r="N64" s="303">
        <f t="shared" si="2"/>
        <v>0.35859414261160716</v>
      </c>
      <c r="O64" s="453" t="str">
        <f t="shared" si="3"/>
        <v/>
      </c>
      <c r="P64" s="68"/>
    </row>
    <row r="65" spans="1:16">
      <c r="A65" s="34" t="s">
        <v>1033</v>
      </c>
      <c r="B65" s="40" t="s">
        <v>1046</v>
      </c>
      <c r="C65" s="34" t="s">
        <v>188</v>
      </c>
      <c r="D65" s="40" t="s">
        <v>93</v>
      </c>
      <c r="E65" s="499">
        <f>F186</f>
        <v>8.6056019698713113E-2</v>
      </c>
      <c r="F65" s="424">
        <v>2</v>
      </c>
      <c r="G65" s="34" t="s">
        <v>1044</v>
      </c>
      <c r="H65" s="252">
        <v>1</v>
      </c>
      <c r="I65" s="10"/>
      <c r="J65" s="10">
        <v>2</v>
      </c>
      <c r="K65" s="10">
        <v>1</v>
      </c>
      <c r="L65" s="10">
        <v>1</v>
      </c>
      <c r="M65" s="298">
        <v>2</v>
      </c>
      <c r="N65" s="303">
        <f t="shared" si="2"/>
        <v>0.35859414261160716</v>
      </c>
      <c r="O65" s="453" t="str">
        <f t="shared" si="3"/>
        <v/>
      </c>
      <c r="P65" s="68"/>
    </row>
    <row r="66" spans="1:16">
      <c r="A66" s="34" t="s">
        <v>1033</v>
      </c>
      <c r="B66" s="40" t="s">
        <v>1046</v>
      </c>
      <c r="C66" s="34" t="s">
        <v>188</v>
      </c>
      <c r="D66" s="40" t="s">
        <v>94</v>
      </c>
      <c r="E66" s="499">
        <f>F187</f>
        <v>0.39319670484919866</v>
      </c>
      <c r="F66" s="424">
        <v>2</v>
      </c>
      <c r="G66" s="34" t="s">
        <v>1044</v>
      </c>
      <c r="H66" s="252">
        <v>1</v>
      </c>
      <c r="I66" s="10"/>
      <c r="J66" s="10">
        <v>2</v>
      </c>
      <c r="K66" s="10">
        <v>1</v>
      </c>
      <c r="L66" s="10">
        <v>1</v>
      </c>
      <c r="M66" s="298">
        <v>2</v>
      </c>
      <c r="N66" s="303">
        <f t="shared" si="2"/>
        <v>0.35859414261160716</v>
      </c>
      <c r="O66" s="453" t="str">
        <f t="shared" si="3"/>
        <v/>
      </c>
      <c r="P66" s="68"/>
    </row>
    <row r="67" spans="1:16">
      <c r="A67" s="34" t="s">
        <v>1033</v>
      </c>
      <c r="B67" s="40" t="s">
        <v>1046</v>
      </c>
      <c r="C67" s="34" t="s">
        <v>190</v>
      </c>
      <c r="D67" s="40" t="s">
        <v>98</v>
      </c>
      <c r="E67" s="217">
        <f>F165</f>
        <v>0.32338771379945241</v>
      </c>
      <c r="F67" s="424">
        <v>2</v>
      </c>
      <c r="G67" s="34" t="s">
        <v>1045</v>
      </c>
      <c r="H67" s="252"/>
      <c r="I67" s="10">
        <v>1</v>
      </c>
      <c r="J67" s="66">
        <v>2</v>
      </c>
      <c r="K67" s="10">
        <v>1</v>
      </c>
      <c r="L67" s="10">
        <v>1</v>
      </c>
      <c r="M67" s="298">
        <v>2</v>
      </c>
      <c r="N67" s="303" t="str">
        <f t="shared" si="2"/>
        <v/>
      </c>
      <c r="O67" s="453">
        <f t="shared" si="3"/>
        <v>0.35859414261160716</v>
      </c>
      <c r="P67" s="68"/>
    </row>
    <row r="68" spans="1:16">
      <c r="A68" s="34" t="s">
        <v>1033</v>
      </c>
      <c r="B68" s="40" t="s">
        <v>1046</v>
      </c>
      <c r="C68" s="34" t="s">
        <v>190</v>
      </c>
      <c r="D68" s="40" t="s">
        <v>96</v>
      </c>
      <c r="E68" s="217">
        <f t="shared" ref="E68:E71" si="5">F166</f>
        <v>1</v>
      </c>
      <c r="F68" s="424">
        <v>2</v>
      </c>
      <c r="G68" s="34" t="s">
        <v>1045</v>
      </c>
      <c r="H68" s="252"/>
      <c r="I68" s="10">
        <v>1</v>
      </c>
      <c r="J68" s="66">
        <v>2</v>
      </c>
      <c r="K68" s="10">
        <v>1</v>
      </c>
      <c r="L68" s="10">
        <v>1</v>
      </c>
      <c r="M68" s="298">
        <v>2</v>
      </c>
      <c r="N68" s="303" t="str">
        <f t="shared" si="2"/>
        <v/>
      </c>
      <c r="O68" s="453">
        <f t="shared" si="3"/>
        <v>0.35859414261160716</v>
      </c>
      <c r="P68" s="68"/>
    </row>
    <row r="69" spans="1:16">
      <c r="A69" s="34" t="s">
        <v>1033</v>
      </c>
      <c r="B69" s="40" t="s">
        <v>1046</v>
      </c>
      <c r="C69" s="34" t="s">
        <v>190</v>
      </c>
      <c r="D69" s="40" t="s">
        <v>95</v>
      </c>
      <c r="E69" s="217">
        <f t="shared" si="5"/>
        <v>1</v>
      </c>
      <c r="F69" s="424">
        <v>2</v>
      </c>
      <c r="G69" s="34" t="s">
        <v>1045</v>
      </c>
      <c r="H69" s="252"/>
      <c r="I69" s="10">
        <v>1</v>
      </c>
      <c r="J69" s="66">
        <v>2</v>
      </c>
      <c r="K69" s="10">
        <v>1</v>
      </c>
      <c r="L69" s="10">
        <v>1</v>
      </c>
      <c r="M69" s="298">
        <v>2</v>
      </c>
      <c r="N69" s="303" t="str">
        <f t="shared" si="2"/>
        <v/>
      </c>
      <c r="O69" s="453">
        <f t="shared" si="3"/>
        <v>0.35859414261160716</v>
      </c>
      <c r="P69" s="68"/>
    </row>
    <row r="70" spans="1:16">
      <c r="A70" s="34" t="s">
        <v>1033</v>
      </c>
      <c r="B70" s="40" t="s">
        <v>1046</v>
      </c>
      <c r="C70" s="34" t="s">
        <v>190</v>
      </c>
      <c r="D70" s="40" t="s">
        <v>93</v>
      </c>
      <c r="E70" s="217">
        <f t="shared" si="5"/>
        <v>9.8069487929673418E-2</v>
      </c>
      <c r="F70" s="424">
        <v>2</v>
      </c>
      <c r="G70" s="34" t="s">
        <v>1045</v>
      </c>
      <c r="H70" s="252"/>
      <c r="I70" s="10">
        <v>1</v>
      </c>
      <c r="J70" s="10">
        <v>2</v>
      </c>
      <c r="K70" s="10">
        <v>1</v>
      </c>
      <c r="L70" s="10">
        <v>1</v>
      </c>
      <c r="M70" s="298">
        <v>2</v>
      </c>
      <c r="N70" s="303" t="str">
        <f t="shared" si="2"/>
        <v/>
      </c>
      <c r="O70" s="453">
        <f t="shared" si="3"/>
        <v>0.35859414261160716</v>
      </c>
      <c r="P70" s="68"/>
    </row>
    <row r="71" spans="1:16">
      <c r="A71" s="34" t="s">
        <v>1033</v>
      </c>
      <c r="B71" s="40" t="s">
        <v>1046</v>
      </c>
      <c r="C71" s="34" t="s">
        <v>190</v>
      </c>
      <c r="D71" s="40" t="s">
        <v>94</v>
      </c>
      <c r="E71" s="217">
        <f t="shared" si="5"/>
        <v>0.6993112144789928</v>
      </c>
      <c r="F71" s="424">
        <v>2</v>
      </c>
      <c r="G71" s="34" t="s">
        <v>1045</v>
      </c>
      <c r="H71" s="252"/>
      <c r="I71" s="10">
        <v>1</v>
      </c>
      <c r="J71" s="10">
        <v>2</v>
      </c>
      <c r="K71" s="10">
        <v>1</v>
      </c>
      <c r="L71" s="10">
        <v>1</v>
      </c>
      <c r="M71" s="298">
        <v>2</v>
      </c>
      <c r="N71" s="303" t="str">
        <f t="shared" si="2"/>
        <v/>
      </c>
      <c r="O71" s="453">
        <f t="shared" si="3"/>
        <v>0.35859414261160716</v>
      </c>
      <c r="P71" s="68"/>
    </row>
    <row r="72" spans="1:16">
      <c r="A72" s="60" t="s">
        <v>1033</v>
      </c>
      <c r="B72" s="162" t="s">
        <v>1047</v>
      </c>
      <c r="C72" s="60" t="s">
        <v>188</v>
      </c>
      <c r="D72" s="162" t="s">
        <v>98</v>
      </c>
      <c r="E72" s="499">
        <f>G183*SUM($E$238:$E$241, $E$236)</f>
        <v>6.3729615065902419E-3</v>
      </c>
      <c r="F72" s="424">
        <v>2</v>
      </c>
      <c r="G72" s="233" t="s">
        <v>1044</v>
      </c>
      <c r="H72" s="227">
        <v>1</v>
      </c>
      <c r="I72" s="227"/>
      <c r="J72" s="66">
        <v>2</v>
      </c>
      <c r="K72" s="227">
        <v>1</v>
      </c>
      <c r="L72" s="227">
        <v>1</v>
      </c>
      <c r="M72" s="300">
        <v>2</v>
      </c>
      <c r="N72" s="303">
        <f t="shared" si="2"/>
        <v>0.35859414261160716</v>
      </c>
      <c r="O72" s="453" t="str">
        <f t="shared" si="3"/>
        <v/>
      </c>
      <c r="P72" s="68"/>
    </row>
    <row r="73" spans="1:16">
      <c r="A73" s="34" t="s">
        <v>1033</v>
      </c>
      <c r="B73" s="162" t="s">
        <v>1047</v>
      </c>
      <c r="C73" s="34" t="s">
        <v>188</v>
      </c>
      <c r="D73" s="40" t="s">
        <v>96</v>
      </c>
      <c r="E73" s="499">
        <f t="shared" ref="E73:E76" si="6">G184*SUM($E$238:$E$241, $E$236)</f>
        <v>0</v>
      </c>
      <c r="F73" s="169">
        <v>2</v>
      </c>
      <c r="G73" s="152" t="s">
        <v>1044</v>
      </c>
      <c r="H73" s="227">
        <v>1</v>
      </c>
      <c r="I73" s="227"/>
      <c r="J73" s="66">
        <v>2</v>
      </c>
      <c r="K73" s="227">
        <v>1</v>
      </c>
      <c r="L73" s="227">
        <v>1</v>
      </c>
      <c r="M73" s="300">
        <v>2</v>
      </c>
      <c r="N73" s="303">
        <f t="shared" si="2"/>
        <v>0.35859414261160716</v>
      </c>
      <c r="O73" s="453" t="str">
        <f t="shared" si="3"/>
        <v/>
      </c>
      <c r="P73" s="68"/>
    </row>
    <row r="74" spans="1:16">
      <c r="A74" s="34" t="s">
        <v>1033</v>
      </c>
      <c r="B74" s="162" t="s">
        <v>1047</v>
      </c>
      <c r="C74" s="34" t="s">
        <v>188</v>
      </c>
      <c r="D74" s="40" t="s">
        <v>95</v>
      </c>
      <c r="E74" s="499">
        <f t="shared" si="6"/>
        <v>0</v>
      </c>
      <c r="F74" s="169">
        <v>2</v>
      </c>
      <c r="G74" s="152" t="s">
        <v>1044</v>
      </c>
      <c r="H74" s="227">
        <v>1</v>
      </c>
      <c r="I74" s="227"/>
      <c r="J74" s="66">
        <v>2</v>
      </c>
      <c r="K74" s="227">
        <v>1</v>
      </c>
      <c r="L74" s="227">
        <v>1</v>
      </c>
      <c r="M74" s="300">
        <v>2</v>
      </c>
      <c r="N74" s="303">
        <f t="shared" si="2"/>
        <v>0.35859414261160716</v>
      </c>
      <c r="O74" s="453" t="str">
        <f t="shared" si="3"/>
        <v/>
      </c>
      <c r="P74" s="68"/>
    </row>
    <row r="75" spans="1:16">
      <c r="A75" s="34" t="s">
        <v>1033</v>
      </c>
      <c r="B75" s="162" t="s">
        <v>1047</v>
      </c>
      <c r="C75" s="34" t="s">
        <v>188</v>
      </c>
      <c r="D75" s="40" t="s">
        <v>93</v>
      </c>
      <c r="E75" s="499">
        <f t="shared" si="6"/>
        <v>1.4190115628548983E-2</v>
      </c>
      <c r="F75" s="169">
        <v>2</v>
      </c>
      <c r="G75" s="152" t="s">
        <v>1044</v>
      </c>
      <c r="H75" s="227">
        <v>1</v>
      </c>
      <c r="I75" s="227"/>
      <c r="J75" s="10">
        <v>2</v>
      </c>
      <c r="K75" s="227">
        <v>1</v>
      </c>
      <c r="L75" s="227">
        <v>1</v>
      </c>
      <c r="M75" s="298">
        <v>2</v>
      </c>
      <c r="N75" s="303">
        <f t="shared" si="2"/>
        <v>0.35859414261160716</v>
      </c>
      <c r="O75" s="453" t="str">
        <f t="shared" si="3"/>
        <v/>
      </c>
      <c r="P75" s="68"/>
    </row>
    <row r="76" spans="1:16">
      <c r="A76" s="34" t="s">
        <v>1033</v>
      </c>
      <c r="B76" s="162" t="s">
        <v>1047</v>
      </c>
      <c r="C76" s="34" t="s">
        <v>188</v>
      </c>
      <c r="D76" s="40" t="s">
        <v>94</v>
      </c>
      <c r="E76" s="499">
        <f t="shared" si="6"/>
        <v>0</v>
      </c>
      <c r="F76" s="169">
        <v>2</v>
      </c>
      <c r="G76" s="152" t="s">
        <v>1044</v>
      </c>
      <c r="H76" s="227">
        <v>1</v>
      </c>
      <c r="I76" s="227"/>
      <c r="J76" s="10">
        <v>2</v>
      </c>
      <c r="K76" s="227">
        <v>1</v>
      </c>
      <c r="L76" s="227">
        <v>1</v>
      </c>
      <c r="M76" s="298">
        <v>2</v>
      </c>
      <c r="N76" s="303">
        <f t="shared" si="2"/>
        <v>0.35859414261160716</v>
      </c>
      <c r="O76" s="453" t="str">
        <f t="shared" si="3"/>
        <v/>
      </c>
      <c r="P76" s="68"/>
    </row>
    <row r="77" spans="1:16">
      <c r="A77" s="34" t="s">
        <v>1033</v>
      </c>
      <c r="B77" s="162" t="s">
        <v>1047</v>
      </c>
      <c r="C77" s="34" t="s">
        <v>190</v>
      </c>
      <c r="D77" s="40" t="s">
        <v>98</v>
      </c>
      <c r="E77" s="499">
        <f>G165*SUM($E$238:$E$241, $E$236)</f>
        <v>9.2661989829646799E-3</v>
      </c>
      <c r="F77" s="169">
        <v>2</v>
      </c>
      <c r="G77" s="152" t="s">
        <v>1045</v>
      </c>
      <c r="H77" s="227"/>
      <c r="I77" s="227">
        <v>1</v>
      </c>
      <c r="J77" s="66">
        <v>2</v>
      </c>
      <c r="K77" s="227">
        <v>1</v>
      </c>
      <c r="L77" s="227">
        <v>1</v>
      </c>
      <c r="M77" s="298">
        <v>2</v>
      </c>
      <c r="N77" s="303" t="str">
        <f t="shared" si="2"/>
        <v/>
      </c>
      <c r="O77" s="453">
        <f t="shared" si="3"/>
        <v>0.35859414261160716</v>
      </c>
      <c r="P77" s="68"/>
    </row>
    <row r="78" spans="1:16">
      <c r="A78" s="34" t="s">
        <v>1033</v>
      </c>
      <c r="B78" s="162" t="s">
        <v>1047</v>
      </c>
      <c r="C78" s="34" t="s">
        <v>190</v>
      </c>
      <c r="D78" s="40" t="s">
        <v>96</v>
      </c>
      <c r="E78" s="499">
        <f t="shared" ref="E78:E81" si="7">G166*SUM($E$238:$E$241, $E$236)</f>
        <v>0</v>
      </c>
      <c r="F78" s="169">
        <v>2</v>
      </c>
      <c r="G78" s="152" t="s">
        <v>1045</v>
      </c>
      <c r="H78" s="227"/>
      <c r="I78" s="227">
        <v>1</v>
      </c>
      <c r="J78" s="66">
        <v>2</v>
      </c>
      <c r="K78" s="227">
        <v>1</v>
      </c>
      <c r="L78" s="227">
        <v>1</v>
      </c>
      <c r="M78" s="298">
        <v>2</v>
      </c>
      <c r="N78" s="303" t="str">
        <f t="shared" si="2"/>
        <v/>
      </c>
      <c r="O78" s="453">
        <f t="shared" si="3"/>
        <v>0.35859414261160716</v>
      </c>
      <c r="P78" s="68"/>
    </row>
    <row r="79" spans="1:16">
      <c r="A79" s="34" t="s">
        <v>1033</v>
      </c>
      <c r="B79" s="162" t="s">
        <v>1047</v>
      </c>
      <c r="C79" s="34" t="s">
        <v>190</v>
      </c>
      <c r="D79" s="40" t="s">
        <v>95</v>
      </c>
      <c r="E79" s="499">
        <f t="shared" si="7"/>
        <v>0</v>
      </c>
      <c r="F79" s="169">
        <v>2</v>
      </c>
      <c r="G79" s="152" t="s">
        <v>1045</v>
      </c>
      <c r="H79" s="227"/>
      <c r="I79" s="227">
        <v>1</v>
      </c>
      <c r="J79" s="66">
        <v>2</v>
      </c>
      <c r="K79" s="227">
        <v>1</v>
      </c>
      <c r="L79" s="227">
        <v>1</v>
      </c>
      <c r="M79" s="298">
        <v>2</v>
      </c>
      <c r="N79" s="303" t="str">
        <f t="shared" si="2"/>
        <v/>
      </c>
      <c r="O79" s="453">
        <f t="shared" si="3"/>
        <v>0.35859414261160716</v>
      </c>
      <c r="P79" s="68"/>
    </row>
    <row r="80" spans="1:16">
      <c r="A80" s="34" t="s">
        <v>1033</v>
      </c>
      <c r="B80" s="162" t="s">
        <v>1047</v>
      </c>
      <c r="C80" s="34" t="s">
        <v>190</v>
      </c>
      <c r="D80" s="40" t="s">
        <v>93</v>
      </c>
      <c r="E80" s="499">
        <f t="shared" si="7"/>
        <v>1.5937522374961335E-2</v>
      </c>
      <c r="F80" s="169">
        <v>2</v>
      </c>
      <c r="G80" s="152" t="s">
        <v>1045</v>
      </c>
      <c r="H80" s="227"/>
      <c r="I80" s="227">
        <v>1</v>
      </c>
      <c r="J80" s="10">
        <v>2</v>
      </c>
      <c r="K80" s="227">
        <v>1</v>
      </c>
      <c r="L80" s="227">
        <v>1</v>
      </c>
      <c r="M80" s="298">
        <v>2</v>
      </c>
      <c r="N80" s="303" t="str">
        <f t="shared" si="2"/>
        <v/>
      </c>
      <c r="O80" s="453">
        <f t="shared" si="3"/>
        <v>0.35859414261160716</v>
      </c>
      <c r="P80" s="68"/>
    </row>
    <row r="81" spans="1:16">
      <c r="A81" s="150" t="s">
        <v>1033</v>
      </c>
      <c r="B81" s="162" t="s">
        <v>1047</v>
      </c>
      <c r="C81" s="34" t="s">
        <v>190</v>
      </c>
      <c r="D81" s="63" t="s">
        <v>94</v>
      </c>
      <c r="E81" s="499">
        <f t="shared" si="7"/>
        <v>0</v>
      </c>
      <c r="F81" s="171">
        <v>2</v>
      </c>
      <c r="G81" s="230" t="s">
        <v>1045</v>
      </c>
      <c r="H81" s="227"/>
      <c r="I81" s="227">
        <v>1</v>
      </c>
      <c r="J81" s="10">
        <v>2</v>
      </c>
      <c r="K81" s="227">
        <v>1</v>
      </c>
      <c r="L81" s="227">
        <v>1</v>
      </c>
      <c r="M81" s="298">
        <v>2</v>
      </c>
      <c r="N81" s="303" t="str">
        <f t="shared" si="2"/>
        <v/>
      </c>
      <c r="O81" s="453">
        <f t="shared" si="3"/>
        <v>0.35859414261160716</v>
      </c>
      <c r="P81" s="68"/>
    </row>
    <row r="82" spans="1:16">
      <c r="A82" s="150" t="s">
        <v>1033</v>
      </c>
      <c r="B82" s="162" t="s">
        <v>1048</v>
      </c>
      <c r="C82" s="60" t="s">
        <v>188</v>
      </c>
      <c r="D82" s="162" t="s">
        <v>98</v>
      </c>
      <c r="E82" s="500">
        <f>E183*SUM($E$250:$E$253, $E$248)</f>
        <v>3.2661809918149924E-2</v>
      </c>
      <c r="F82" s="172">
        <v>2</v>
      </c>
      <c r="G82" s="152" t="s">
        <v>1044</v>
      </c>
      <c r="H82" s="227">
        <v>1</v>
      </c>
      <c r="I82" s="227"/>
      <c r="J82" s="66">
        <v>2</v>
      </c>
      <c r="K82" s="227">
        <v>1</v>
      </c>
      <c r="L82" s="227">
        <v>1</v>
      </c>
      <c r="M82" s="300">
        <v>2</v>
      </c>
      <c r="N82" s="303">
        <f t="shared" ref="N82:N86" si="8">IF( OR( ISBLANK(H82),ISBLANK(J82), ISBLANK(K82), ISBLANK(L82), ISBLANK(M82) ), "", 1.5*SQRT(   EXP(2.21*(H82-1)) + EXP(2.21*(J82-1)) + EXP(2.21*(K82-1)) + EXP(2.21*(L82-1)) + EXP(2.21*M82)   )/100*2.45 )</f>
        <v>0.35859414261160716</v>
      </c>
      <c r="O82" s="453" t="str">
        <f t="shared" ref="O82:O86" si="9">IF( OR( ISBLANK(I82),ISBLANK(J82), ISBLANK(K82), ISBLANK(L82), ISBLANK(M82) ), "", 1.5*SQRT( EXP(2.21*(I82-1)) + EXP(2.21*(J82-1)) + EXP(2.21*(K82-1)) + EXP(2.21*(L82-1)) + EXP(2.21*M82)   )/100*2.45 )</f>
        <v/>
      </c>
      <c r="P82" s="68"/>
    </row>
    <row r="83" spans="1:16">
      <c r="A83" s="150" t="s">
        <v>1033</v>
      </c>
      <c r="B83" s="162" t="s">
        <v>1048</v>
      </c>
      <c r="C83" s="34" t="s">
        <v>188</v>
      </c>
      <c r="D83" s="40" t="s">
        <v>96</v>
      </c>
      <c r="E83" s="499">
        <f t="shared" ref="E83:E86" si="10">E184*SUM($E$250:$E$253, $E$248)</f>
        <v>0</v>
      </c>
      <c r="F83" s="424">
        <v>2</v>
      </c>
      <c r="G83" s="233" t="s">
        <v>1044</v>
      </c>
      <c r="H83" s="227">
        <v>1</v>
      </c>
      <c r="I83" s="227"/>
      <c r="J83" s="66">
        <v>2</v>
      </c>
      <c r="K83" s="227">
        <v>1</v>
      </c>
      <c r="L83" s="227">
        <v>1</v>
      </c>
      <c r="M83" s="300">
        <v>2</v>
      </c>
      <c r="N83" s="303">
        <f t="shared" si="8"/>
        <v>0.35859414261160716</v>
      </c>
      <c r="O83" s="453" t="str">
        <f t="shared" si="9"/>
        <v/>
      </c>
      <c r="P83" s="68"/>
    </row>
    <row r="84" spans="1:16">
      <c r="A84" s="150" t="s">
        <v>1033</v>
      </c>
      <c r="B84" s="162" t="s">
        <v>1048</v>
      </c>
      <c r="C84" s="34" t="s">
        <v>188</v>
      </c>
      <c r="D84" s="40" t="s">
        <v>95</v>
      </c>
      <c r="E84" s="499">
        <f t="shared" si="10"/>
        <v>0</v>
      </c>
      <c r="F84" s="169">
        <v>2</v>
      </c>
      <c r="G84" s="152" t="s">
        <v>1044</v>
      </c>
      <c r="H84" s="227">
        <v>1</v>
      </c>
      <c r="I84" s="227"/>
      <c r="J84" s="66">
        <v>2</v>
      </c>
      <c r="K84" s="227">
        <v>1</v>
      </c>
      <c r="L84" s="227">
        <v>1</v>
      </c>
      <c r="M84" s="300">
        <v>2</v>
      </c>
      <c r="N84" s="303">
        <f t="shared" si="8"/>
        <v>0.35859414261160716</v>
      </c>
      <c r="O84" s="453" t="str">
        <f t="shared" si="9"/>
        <v/>
      </c>
      <c r="P84" s="68"/>
    </row>
    <row r="85" spans="1:16">
      <c r="A85" s="150" t="s">
        <v>1033</v>
      </c>
      <c r="B85" s="162" t="s">
        <v>1048</v>
      </c>
      <c r="C85" s="34" t="s">
        <v>188</v>
      </c>
      <c r="D85" s="40" t="s">
        <v>93</v>
      </c>
      <c r="E85" s="499">
        <f t="shared" si="10"/>
        <v>1.1482925305365051E-2</v>
      </c>
      <c r="F85" s="169">
        <v>2</v>
      </c>
      <c r="G85" s="152" t="s">
        <v>1044</v>
      </c>
      <c r="H85" s="227">
        <v>1</v>
      </c>
      <c r="I85" s="227"/>
      <c r="J85" s="10">
        <v>2</v>
      </c>
      <c r="K85" s="227">
        <v>1</v>
      </c>
      <c r="L85" s="227">
        <v>1</v>
      </c>
      <c r="M85" s="298">
        <v>2</v>
      </c>
      <c r="N85" s="303">
        <f t="shared" si="8"/>
        <v>0.35859414261160716</v>
      </c>
      <c r="O85" s="453" t="str">
        <f t="shared" si="9"/>
        <v/>
      </c>
      <c r="P85" s="68"/>
    </row>
    <row r="86" spans="1:16">
      <c r="A86" s="150" t="s">
        <v>1033</v>
      </c>
      <c r="B86" s="162" t="s">
        <v>1048</v>
      </c>
      <c r="C86" s="34" t="s">
        <v>188</v>
      </c>
      <c r="D86" s="40" t="s">
        <v>94</v>
      </c>
      <c r="E86" s="499">
        <f t="shared" si="10"/>
        <v>4.5067280730850014E-2</v>
      </c>
      <c r="F86" s="169">
        <v>2</v>
      </c>
      <c r="G86" s="152" t="s">
        <v>1044</v>
      </c>
      <c r="H86" s="227">
        <v>1</v>
      </c>
      <c r="I86" s="227"/>
      <c r="J86" s="10">
        <v>2</v>
      </c>
      <c r="K86" s="227">
        <v>1</v>
      </c>
      <c r="L86" s="227">
        <v>1</v>
      </c>
      <c r="M86" s="298">
        <v>2</v>
      </c>
      <c r="N86" s="303">
        <f t="shared" si="8"/>
        <v>0.35859414261160716</v>
      </c>
      <c r="O86" s="453" t="str">
        <f t="shared" si="9"/>
        <v/>
      </c>
      <c r="P86" s="68"/>
    </row>
    <row r="87" spans="1:16">
      <c r="A87" s="150" t="s">
        <v>1033</v>
      </c>
      <c r="B87" s="162" t="s">
        <v>1048</v>
      </c>
      <c r="C87" s="34" t="s">
        <v>190</v>
      </c>
      <c r="D87" s="40" t="s">
        <v>98</v>
      </c>
      <c r="E87" s="499">
        <f>E165*SUM($E$250:$E$253, $E$248)</f>
        <v>1.3425393705826556E-2</v>
      </c>
      <c r="F87" s="169">
        <v>2</v>
      </c>
      <c r="G87" s="152" t="s">
        <v>1045</v>
      </c>
      <c r="H87" s="227"/>
      <c r="I87" s="227">
        <v>1</v>
      </c>
      <c r="J87" s="66">
        <v>2</v>
      </c>
      <c r="K87" s="227">
        <v>1</v>
      </c>
      <c r="L87" s="227">
        <v>1</v>
      </c>
      <c r="M87" s="298">
        <v>2</v>
      </c>
      <c r="N87" s="303" t="str">
        <f>IF( OR( ISBLANK(H87),ISBLANK(J87), ISBLANK(K87), ISBLANK(L87), ISBLANK(M87) ), "", 1.5*SQRT(   EXP(2.21*(H87-1)) + EXP(2.21*(J87-1)) + EXP(2.21*(K87-1)) + EXP(2.21*(L87-1)) + EXP(2.21*M87)   )/100*2.45 )</f>
        <v/>
      </c>
      <c r="O87" s="453">
        <f>IF( OR( ISBLANK(I87),ISBLANK(J87), ISBLANK(K87), ISBLANK(L87), ISBLANK(M87) ), "", 1.5*SQRT( EXP(2.21*(I87-1)) + EXP(2.21*(J87-1)) + EXP(2.21*(K87-1)) + EXP(2.21*(L87-1)) + EXP(2.21*M87)   )/100*2.45 )</f>
        <v>0.35859414261160716</v>
      </c>
      <c r="P87" s="68"/>
    </row>
    <row r="88" spans="1:16">
      <c r="A88" s="150" t="s">
        <v>1033</v>
      </c>
      <c r="B88" s="162" t="s">
        <v>1048</v>
      </c>
      <c r="C88" s="34" t="s">
        <v>190</v>
      </c>
      <c r="D88" s="40" t="s">
        <v>96</v>
      </c>
      <c r="E88" s="499">
        <f t="shared" ref="E88:E91" si="11">E166*SUM($E$250:$E$253, $E$248)</f>
        <v>0</v>
      </c>
      <c r="F88" s="169">
        <v>2</v>
      </c>
      <c r="G88" s="152" t="s">
        <v>1045</v>
      </c>
      <c r="H88" s="227"/>
      <c r="I88" s="227">
        <v>1</v>
      </c>
      <c r="J88" s="66">
        <v>2</v>
      </c>
      <c r="K88" s="227">
        <v>1</v>
      </c>
      <c r="L88" s="227">
        <v>1</v>
      </c>
      <c r="M88" s="298">
        <v>2</v>
      </c>
      <c r="N88" s="303" t="str">
        <f>IF( OR( ISBLANK(H88),ISBLANK(J88), ISBLANK(K88), ISBLANK(L88), ISBLANK(M88) ), "", 1.5*SQRT(   EXP(2.21*(H88-1)) + EXP(2.21*(J88-1)) + EXP(2.21*(K88-1)) + EXP(2.21*(L88-1)) + EXP(2.21*M88)   )/100*2.45 )</f>
        <v/>
      </c>
      <c r="O88" s="453">
        <f>IF( OR( ISBLANK(I88),ISBLANK(J88), ISBLANK(K88), ISBLANK(L88), ISBLANK(M88) ), "", 1.5*SQRT( EXP(2.21*(I88-1)) + EXP(2.21*(J88-1)) + EXP(2.21*(K88-1)) + EXP(2.21*(L88-1)) + EXP(2.21*M88)   )/100*2.45 )</f>
        <v>0.35859414261160716</v>
      </c>
      <c r="P88" s="68"/>
    </row>
    <row r="89" spans="1:16">
      <c r="A89" s="150" t="s">
        <v>1033</v>
      </c>
      <c r="B89" s="162" t="s">
        <v>1048</v>
      </c>
      <c r="C89" s="34" t="s">
        <v>190</v>
      </c>
      <c r="D89" s="40" t="s">
        <v>95</v>
      </c>
      <c r="E89" s="499">
        <f t="shared" si="11"/>
        <v>0</v>
      </c>
      <c r="F89" s="169">
        <v>2</v>
      </c>
      <c r="G89" s="152" t="s">
        <v>1045</v>
      </c>
      <c r="H89" s="227"/>
      <c r="I89" s="227">
        <v>1</v>
      </c>
      <c r="J89" s="66">
        <v>2</v>
      </c>
      <c r="K89" s="227">
        <v>1</v>
      </c>
      <c r="L89" s="227">
        <v>1</v>
      </c>
      <c r="M89" s="298">
        <v>2</v>
      </c>
      <c r="N89" s="303" t="str">
        <f>IF( OR( ISBLANK(H89),ISBLANK(J89), ISBLANK(K89), ISBLANK(L89), ISBLANK(M89) ), "", 1.5*SQRT(   EXP(2.21*(H89-1)) + EXP(2.21*(J89-1)) + EXP(2.21*(K89-1)) + EXP(2.21*(L89-1)) + EXP(2.21*M89)   )/100*2.45 )</f>
        <v/>
      </c>
      <c r="O89" s="453">
        <f>IF( OR( ISBLANK(I89),ISBLANK(J89), ISBLANK(K89), ISBLANK(L89), ISBLANK(M89) ), "", 1.5*SQRT( EXP(2.21*(I89-1)) + EXP(2.21*(J89-1)) + EXP(2.21*(K89-1)) + EXP(2.21*(L89-1)) + EXP(2.21*M89)   )/100*2.45 )</f>
        <v>0.35859414261160716</v>
      </c>
      <c r="P89" s="68"/>
    </row>
    <row r="90" spans="1:16">
      <c r="A90" s="150" t="s">
        <v>1033</v>
      </c>
      <c r="B90" s="162" t="s">
        <v>1048</v>
      </c>
      <c r="C90" s="34" t="s">
        <v>190</v>
      </c>
      <c r="D90" s="40" t="s">
        <v>93</v>
      </c>
      <c r="E90" s="499">
        <f t="shared" si="11"/>
        <v>3.6459765383384255E-3</v>
      </c>
      <c r="F90" s="169">
        <v>2</v>
      </c>
      <c r="G90" s="152" t="s">
        <v>1045</v>
      </c>
      <c r="H90" s="227"/>
      <c r="I90" s="227">
        <v>1</v>
      </c>
      <c r="J90" s="10">
        <v>2</v>
      </c>
      <c r="K90" s="227">
        <v>1</v>
      </c>
      <c r="L90" s="227">
        <v>1</v>
      </c>
      <c r="M90" s="298">
        <v>2</v>
      </c>
      <c r="N90" s="303" t="str">
        <f>IF( OR( ISBLANK(H90),ISBLANK(J90), ISBLANK(K90), ISBLANK(L90), ISBLANK(M90) ), "", 1.5*SQRT(   EXP(2.21*(H90-1)) + EXP(2.21*(J90-1)) + EXP(2.21*(K90-1)) + EXP(2.21*(L90-1)) + EXP(2.21*M90)   )/100*2.45 )</f>
        <v/>
      </c>
      <c r="O90" s="453">
        <f>IF( OR( ISBLANK(I90),ISBLANK(J90), ISBLANK(K90), ISBLANK(L90), ISBLANK(M90) ), "", 1.5*SQRT( EXP(2.21*(I90-1)) + EXP(2.21*(J90-1)) + EXP(2.21*(K90-1)) + EXP(2.21*(L90-1)) + EXP(2.21*M90)   )/100*2.45 )</f>
        <v>0.35859414261160716</v>
      </c>
      <c r="P90" s="68"/>
    </row>
    <row r="91" spans="1:16">
      <c r="A91" s="150" t="s">
        <v>1033</v>
      </c>
      <c r="B91" s="162" t="s">
        <v>1048</v>
      </c>
      <c r="C91" s="34" t="s">
        <v>190</v>
      </c>
      <c r="D91" s="40" t="s">
        <v>94</v>
      </c>
      <c r="E91" s="499">
        <f t="shared" si="11"/>
        <v>2.233215610064521E-2</v>
      </c>
      <c r="F91" s="169">
        <v>2</v>
      </c>
      <c r="G91" s="152" t="s">
        <v>1045</v>
      </c>
      <c r="H91" s="227"/>
      <c r="I91" s="227">
        <v>1</v>
      </c>
      <c r="J91" s="10">
        <v>2</v>
      </c>
      <c r="K91" s="227">
        <v>1</v>
      </c>
      <c r="L91" s="227">
        <v>1</v>
      </c>
      <c r="M91" s="298">
        <v>2</v>
      </c>
      <c r="N91" s="303" t="str">
        <f>IF( OR( ISBLANK(H91),ISBLANK(J91), ISBLANK(K91), ISBLANK(L91), ISBLANK(M91) ), "", 1.5*SQRT(   EXP(2.21*(H91-1)) + EXP(2.21*(J91-1)) + EXP(2.21*(K91-1)) + EXP(2.21*(L91-1)) + EXP(2.21*M91)   )/100*2.45 )</f>
        <v/>
      </c>
      <c r="O91" s="453">
        <f>IF( OR( ISBLANK(I91),ISBLANK(J91), ISBLANK(K91), ISBLANK(L91), ISBLANK(M91) ), "", 1.5*SQRT( EXP(2.21*(I91-1)) + EXP(2.21*(J91-1)) + EXP(2.21*(K91-1)) + EXP(2.21*(L91-1)) + EXP(2.21*M91)   )/100*2.45 )</f>
        <v>0.35859414261160716</v>
      </c>
      <c r="P91" s="68"/>
    </row>
    <row r="92" spans="1:16">
      <c r="A92" s="34" t="s">
        <v>1033</v>
      </c>
      <c r="B92" s="162" t="s">
        <v>1049</v>
      </c>
      <c r="C92" s="60" t="s">
        <v>188</v>
      </c>
      <c r="D92" s="162" t="s">
        <v>98</v>
      </c>
      <c r="E92" s="456">
        <f>G183*$E$237</f>
        <v>6.2695657834368257E-2</v>
      </c>
      <c r="F92" s="424">
        <v>1</v>
      </c>
      <c r="G92" s="233" t="s">
        <v>1044</v>
      </c>
      <c r="H92" s="10">
        <v>1</v>
      </c>
      <c r="I92" s="10"/>
      <c r="J92" s="66">
        <v>2</v>
      </c>
      <c r="K92" s="10">
        <v>1</v>
      </c>
      <c r="L92" s="10">
        <v>1</v>
      </c>
      <c r="M92" s="300">
        <v>2</v>
      </c>
      <c r="N92" s="303">
        <f t="shared" ref="N92:N101" si="12">IF( OR( ISBLANK(H92),ISBLANK(J92), ISBLANK(K92), ISBLANK(L92), ISBLANK(M92) ), "", 1.5*SQRT(   EXP(2.21*(H92-1)) + EXP(2.21*(J92-1)) + EXP(2.21*(K92-1)) + EXP(2.21*(L92-1)) + EXP(2.21*M92)   )/100*2.45 )</f>
        <v>0.35859414261160716</v>
      </c>
      <c r="O92" s="453" t="str">
        <f t="shared" ref="O92:O101" si="13">IF( OR( ISBLANK(I92),ISBLANK(J92), ISBLANK(K92), ISBLANK(L92), ISBLANK(M92) ), "", 1.5*SQRT( EXP(2.21*(I92-1)) + EXP(2.21*(J92-1)) + EXP(2.21*(K92-1)) + EXP(2.21*(L92-1)) + EXP(2.21*M92)   )/100*2.45 )</f>
        <v/>
      </c>
      <c r="P92" s="68"/>
    </row>
    <row r="93" spans="1:16">
      <c r="A93" s="34" t="s">
        <v>1033</v>
      </c>
      <c r="B93" s="162" t="s">
        <v>1049</v>
      </c>
      <c r="C93" s="34" t="s">
        <v>188</v>
      </c>
      <c r="D93" s="40" t="s">
        <v>96</v>
      </c>
      <c r="E93" s="456">
        <f>G184*$E$237</f>
        <v>0</v>
      </c>
      <c r="F93" s="169">
        <v>1</v>
      </c>
      <c r="G93" s="34" t="s">
        <v>1044</v>
      </c>
      <c r="H93" s="254">
        <v>1</v>
      </c>
      <c r="I93" s="66"/>
      <c r="J93" s="66">
        <v>2</v>
      </c>
      <c r="K93" s="66">
        <v>1</v>
      </c>
      <c r="L93" s="66">
        <v>1</v>
      </c>
      <c r="M93" s="300">
        <v>2</v>
      </c>
      <c r="N93" s="303">
        <f t="shared" si="12"/>
        <v>0.35859414261160716</v>
      </c>
      <c r="O93" s="453" t="str">
        <f t="shared" si="13"/>
        <v/>
      </c>
      <c r="P93" s="68"/>
    </row>
    <row r="94" spans="1:16">
      <c r="A94" s="34" t="s">
        <v>1033</v>
      </c>
      <c r="B94" s="162" t="s">
        <v>1049</v>
      </c>
      <c r="C94" s="34" t="s">
        <v>188</v>
      </c>
      <c r="D94" s="40" t="s">
        <v>95</v>
      </c>
      <c r="E94" s="456">
        <f>G185*$E$237</f>
        <v>0</v>
      </c>
      <c r="F94" s="169">
        <v>1</v>
      </c>
      <c r="G94" s="34" t="s">
        <v>1044</v>
      </c>
      <c r="H94" s="254">
        <v>1</v>
      </c>
      <c r="I94" s="66"/>
      <c r="J94" s="66">
        <v>2</v>
      </c>
      <c r="K94" s="66">
        <v>1</v>
      </c>
      <c r="L94" s="66">
        <v>1</v>
      </c>
      <c r="M94" s="300">
        <v>2</v>
      </c>
      <c r="N94" s="303">
        <f t="shared" si="12"/>
        <v>0.35859414261160716</v>
      </c>
      <c r="O94" s="453" t="str">
        <f t="shared" si="13"/>
        <v/>
      </c>
      <c r="P94" s="68"/>
    </row>
    <row r="95" spans="1:16">
      <c r="A95" s="34" t="s">
        <v>1033</v>
      </c>
      <c r="B95" s="162" t="s">
        <v>1049</v>
      </c>
      <c r="C95" s="34" t="s">
        <v>188</v>
      </c>
      <c r="D95" s="40" t="s">
        <v>93</v>
      </c>
      <c r="E95" s="456">
        <f>G186*$E$237</f>
        <v>0.13959893420941549</v>
      </c>
      <c r="F95" s="169">
        <v>1</v>
      </c>
      <c r="G95" s="34" t="s">
        <v>1044</v>
      </c>
      <c r="H95" s="254">
        <v>1</v>
      </c>
      <c r="I95" s="66"/>
      <c r="J95" s="10">
        <v>2</v>
      </c>
      <c r="K95" s="66">
        <v>1</v>
      </c>
      <c r="L95" s="66">
        <v>1</v>
      </c>
      <c r="M95" s="298">
        <v>2</v>
      </c>
      <c r="N95" s="303">
        <f t="shared" si="12"/>
        <v>0.35859414261160716</v>
      </c>
      <c r="O95" s="453" t="str">
        <f t="shared" si="13"/>
        <v/>
      </c>
      <c r="P95" s="68"/>
    </row>
    <row r="96" spans="1:16">
      <c r="A96" s="34" t="s">
        <v>1033</v>
      </c>
      <c r="B96" s="162" t="s">
        <v>1049</v>
      </c>
      <c r="C96" s="34" t="s">
        <v>188</v>
      </c>
      <c r="D96" s="40" t="s">
        <v>94</v>
      </c>
      <c r="E96" s="456">
        <f>G187*$E$237</f>
        <v>0</v>
      </c>
      <c r="F96" s="169">
        <v>1</v>
      </c>
      <c r="G96" s="34" t="s">
        <v>1044</v>
      </c>
      <c r="H96" s="254">
        <v>1</v>
      </c>
      <c r="I96" s="66"/>
      <c r="J96" s="10">
        <v>2</v>
      </c>
      <c r="K96" s="66">
        <v>1</v>
      </c>
      <c r="L96" s="66">
        <v>1</v>
      </c>
      <c r="M96" s="298">
        <v>2</v>
      </c>
      <c r="N96" s="303">
        <f t="shared" si="12"/>
        <v>0.35859414261160716</v>
      </c>
      <c r="O96" s="453" t="str">
        <f t="shared" si="13"/>
        <v/>
      </c>
      <c r="P96" s="68"/>
    </row>
    <row r="97" spans="1:16">
      <c r="A97" s="34" t="s">
        <v>1033</v>
      </c>
      <c r="B97" s="162" t="s">
        <v>1049</v>
      </c>
      <c r="C97" s="34" t="s">
        <v>190</v>
      </c>
      <c r="D97" s="40" t="s">
        <v>98</v>
      </c>
      <c r="E97" s="456">
        <f>G165*$E$237</f>
        <v>9.1158630137710292E-2</v>
      </c>
      <c r="F97" s="169">
        <v>1</v>
      </c>
      <c r="G97" s="34" t="s">
        <v>1045</v>
      </c>
      <c r="H97" s="252"/>
      <c r="I97" s="10">
        <v>1</v>
      </c>
      <c r="J97" s="66">
        <v>2</v>
      </c>
      <c r="K97" s="10">
        <v>1</v>
      </c>
      <c r="L97" s="10">
        <v>1</v>
      </c>
      <c r="M97" s="298">
        <v>2</v>
      </c>
      <c r="N97" s="303" t="str">
        <f t="shared" si="12"/>
        <v/>
      </c>
      <c r="O97" s="453">
        <f t="shared" si="13"/>
        <v>0.35859414261160716</v>
      </c>
      <c r="P97" s="68"/>
    </row>
    <row r="98" spans="1:16">
      <c r="A98" s="34" t="s">
        <v>1033</v>
      </c>
      <c r="B98" s="162" t="s">
        <v>1049</v>
      </c>
      <c r="C98" s="34" t="s">
        <v>190</v>
      </c>
      <c r="D98" s="40" t="s">
        <v>96</v>
      </c>
      <c r="E98" s="456">
        <f>G166*$E$237</f>
        <v>0</v>
      </c>
      <c r="F98" s="169">
        <v>1</v>
      </c>
      <c r="G98" s="34" t="s">
        <v>1045</v>
      </c>
      <c r="H98" s="252"/>
      <c r="I98" s="10">
        <v>1</v>
      </c>
      <c r="J98" s="66">
        <v>2</v>
      </c>
      <c r="K98" s="10">
        <v>1</v>
      </c>
      <c r="L98" s="10">
        <v>1</v>
      </c>
      <c r="M98" s="298">
        <v>2</v>
      </c>
      <c r="N98" s="303" t="str">
        <f t="shared" si="12"/>
        <v/>
      </c>
      <c r="O98" s="453">
        <f t="shared" si="13"/>
        <v>0.35859414261160716</v>
      </c>
      <c r="P98" s="68"/>
    </row>
    <row r="99" spans="1:16">
      <c r="A99" s="34" t="s">
        <v>1033</v>
      </c>
      <c r="B99" s="162" t="s">
        <v>1049</v>
      </c>
      <c r="C99" s="34" t="s">
        <v>190</v>
      </c>
      <c r="D99" s="40" t="s">
        <v>95</v>
      </c>
      <c r="E99" s="456">
        <f>G167*$E$237</f>
        <v>0</v>
      </c>
      <c r="F99" s="169">
        <v>1</v>
      </c>
      <c r="G99" s="34" t="s">
        <v>1045</v>
      </c>
      <c r="H99" s="252"/>
      <c r="I99" s="10">
        <v>1</v>
      </c>
      <c r="J99" s="66">
        <v>2</v>
      </c>
      <c r="K99" s="10">
        <v>1</v>
      </c>
      <c r="L99" s="10">
        <v>1</v>
      </c>
      <c r="M99" s="298">
        <v>2</v>
      </c>
      <c r="N99" s="303" t="str">
        <f t="shared" si="12"/>
        <v/>
      </c>
      <c r="O99" s="453">
        <f t="shared" si="13"/>
        <v>0.35859414261160716</v>
      </c>
      <c r="P99" s="68"/>
    </row>
    <row r="100" spans="1:16">
      <c r="A100" s="34" t="s">
        <v>1033</v>
      </c>
      <c r="B100" s="162" t="s">
        <v>1049</v>
      </c>
      <c r="C100" s="34" t="s">
        <v>190</v>
      </c>
      <c r="D100" s="40" t="s">
        <v>93</v>
      </c>
      <c r="E100" s="456">
        <f>G168*$E$237</f>
        <v>0.15678950022134661</v>
      </c>
      <c r="F100" s="169">
        <v>1</v>
      </c>
      <c r="G100" s="34" t="s">
        <v>1045</v>
      </c>
      <c r="H100" s="252"/>
      <c r="I100" s="10">
        <v>1</v>
      </c>
      <c r="J100" s="10">
        <v>2</v>
      </c>
      <c r="K100" s="10">
        <v>1</v>
      </c>
      <c r="L100" s="10">
        <v>1</v>
      </c>
      <c r="M100" s="298">
        <v>2</v>
      </c>
      <c r="N100" s="303" t="str">
        <f t="shared" si="12"/>
        <v/>
      </c>
      <c r="O100" s="453">
        <f t="shared" si="13"/>
        <v>0.35859414261160716</v>
      </c>
      <c r="P100" s="68"/>
    </row>
    <row r="101" spans="1:16">
      <c r="A101" s="150" t="s">
        <v>1033</v>
      </c>
      <c r="B101" s="7" t="s">
        <v>1049</v>
      </c>
      <c r="C101" s="150" t="s">
        <v>190</v>
      </c>
      <c r="D101" s="154" t="s">
        <v>94</v>
      </c>
      <c r="E101" s="456">
        <f>G169*$E$237</f>
        <v>0</v>
      </c>
      <c r="F101" s="171">
        <v>1</v>
      </c>
      <c r="G101" s="150" t="s">
        <v>1045</v>
      </c>
      <c r="H101" s="251"/>
      <c r="I101" s="10">
        <v>1</v>
      </c>
      <c r="J101" s="10">
        <v>2</v>
      </c>
      <c r="K101" s="10">
        <v>1</v>
      </c>
      <c r="L101" s="10">
        <v>1</v>
      </c>
      <c r="M101" s="298">
        <v>2</v>
      </c>
      <c r="N101" s="303" t="str">
        <f t="shared" si="12"/>
        <v/>
      </c>
      <c r="O101" s="453">
        <f t="shared" si="13"/>
        <v>0.35859414261160716</v>
      </c>
      <c r="P101" s="68"/>
    </row>
    <row r="102" spans="1:16">
      <c r="A102" s="34" t="s">
        <v>1033</v>
      </c>
      <c r="B102" s="40" t="s">
        <v>1050</v>
      </c>
      <c r="C102" s="34" t="s">
        <v>188</v>
      </c>
      <c r="D102" s="40" t="s">
        <v>98</v>
      </c>
      <c r="E102" s="240">
        <f>D183</f>
        <v>0.27195768865502412</v>
      </c>
      <c r="F102" s="169">
        <v>1</v>
      </c>
      <c r="G102" s="34" t="s">
        <v>1044</v>
      </c>
      <c r="H102" s="252">
        <v>1</v>
      </c>
      <c r="I102" s="10"/>
      <c r="J102" s="66">
        <v>2</v>
      </c>
      <c r="K102" s="10">
        <v>1</v>
      </c>
      <c r="L102" s="10">
        <v>1</v>
      </c>
      <c r="M102" s="300">
        <v>2</v>
      </c>
      <c r="N102" s="303">
        <f t="shared" ref="N102:N111" si="14">IF( OR( ISBLANK(H102),ISBLANK(J102), ISBLANK(K102), ISBLANK(L102), ISBLANK(M102) ), "", 1.5*SQRT(   EXP(2.21*(H102-1)) + EXP(2.21*(J102-1)) + EXP(2.21*(K102-1)) + EXP(2.21*(L102-1)) + EXP(2.21*M102)   )/100*2.45 )</f>
        <v>0.35859414261160716</v>
      </c>
      <c r="O102" s="453" t="str">
        <f t="shared" ref="O102:O111" si="15">IF( OR( ISBLANK(I102),ISBLANK(J102), ISBLANK(K102), ISBLANK(L102), ISBLANK(M102) ), "", 1.5*SQRT( EXP(2.21*(I102-1)) + EXP(2.21*(J102-1)) + EXP(2.21*(K102-1)) + EXP(2.21*(L102-1)) + EXP(2.21*M102)   )/100*2.45 )</f>
        <v/>
      </c>
      <c r="P102" s="68"/>
    </row>
    <row r="103" spans="1:16">
      <c r="A103" s="34" t="s">
        <v>1033</v>
      </c>
      <c r="B103" s="162" t="s">
        <v>1050</v>
      </c>
      <c r="C103" s="34" t="s">
        <v>188</v>
      </c>
      <c r="D103" s="40" t="s">
        <v>96</v>
      </c>
      <c r="E103" s="240">
        <f>D184</f>
        <v>0</v>
      </c>
      <c r="F103" s="169">
        <v>1</v>
      </c>
      <c r="G103" s="34" t="s">
        <v>1044</v>
      </c>
      <c r="H103" s="252">
        <v>1</v>
      </c>
      <c r="I103" s="10"/>
      <c r="J103" s="66">
        <v>2</v>
      </c>
      <c r="K103" s="10">
        <v>1</v>
      </c>
      <c r="L103" s="10">
        <v>1</v>
      </c>
      <c r="M103" s="300">
        <v>2</v>
      </c>
      <c r="N103" s="303">
        <f t="shared" si="14"/>
        <v>0.35859414261160716</v>
      </c>
      <c r="O103" s="453" t="str">
        <f t="shared" si="15"/>
        <v/>
      </c>
      <c r="P103" s="68"/>
    </row>
    <row r="104" spans="1:16">
      <c r="A104" s="34" t="s">
        <v>1033</v>
      </c>
      <c r="B104" s="162" t="s">
        <v>1050</v>
      </c>
      <c r="C104" s="34" t="s">
        <v>188</v>
      </c>
      <c r="D104" s="40" t="s">
        <v>95</v>
      </c>
      <c r="E104" s="240">
        <f>D185</f>
        <v>0</v>
      </c>
      <c r="F104" s="169">
        <v>1</v>
      </c>
      <c r="G104" s="34" t="s">
        <v>1044</v>
      </c>
      <c r="H104" s="252">
        <v>1</v>
      </c>
      <c r="I104" s="10"/>
      <c r="J104" s="66">
        <v>2</v>
      </c>
      <c r="K104" s="10">
        <v>1</v>
      </c>
      <c r="L104" s="10">
        <v>1</v>
      </c>
      <c r="M104" s="300">
        <v>2</v>
      </c>
      <c r="N104" s="303">
        <f t="shared" si="14"/>
        <v>0.35859414261160716</v>
      </c>
      <c r="O104" s="453" t="str">
        <f t="shared" si="15"/>
        <v/>
      </c>
      <c r="P104" s="68"/>
    </row>
    <row r="105" spans="1:16">
      <c r="A105" s="34" t="s">
        <v>1033</v>
      </c>
      <c r="B105" s="162" t="s">
        <v>1050</v>
      </c>
      <c r="C105" s="34" t="s">
        <v>188</v>
      </c>
      <c r="D105" s="40" t="s">
        <v>93</v>
      </c>
      <c r="E105" s="240">
        <f>D186</f>
        <v>0.60554438373698527</v>
      </c>
      <c r="F105" s="169">
        <v>1</v>
      </c>
      <c r="G105" s="34" t="s">
        <v>1044</v>
      </c>
      <c r="H105" s="252">
        <v>1</v>
      </c>
      <c r="I105" s="10"/>
      <c r="J105" s="10">
        <v>2</v>
      </c>
      <c r="K105" s="10">
        <v>1</v>
      </c>
      <c r="L105" s="10">
        <v>1</v>
      </c>
      <c r="M105" s="298">
        <v>2</v>
      </c>
      <c r="N105" s="303">
        <f t="shared" si="14"/>
        <v>0.35859414261160716</v>
      </c>
      <c r="O105" s="453" t="str">
        <f t="shared" si="15"/>
        <v/>
      </c>
      <c r="P105" s="68"/>
    </row>
    <row r="106" spans="1:16">
      <c r="A106" s="34" t="s">
        <v>1033</v>
      </c>
      <c r="B106" s="162" t="s">
        <v>1050</v>
      </c>
      <c r="C106" s="34" t="s">
        <v>188</v>
      </c>
      <c r="D106" s="40" t="s">
        <v>94</v>
      </c>
      <c r="E106" s="240">
        <f>D187</f>
        <v>0</v>
      </c>
      <c r="F106" s="169">
        <v>1</v>
      </c>
      <c r="G106" s="34" t="s">
        <v>1044</v>
      </c>
      <c r="H106" s="252">
        <v>1</v>
      </c>
      <c r="I106" s="10"/>
      <c r="J106" s="10">
        <v>2</v>
      </c>
      <c r="K106" s="10">
        <v>1</v>
      </c>
      <c r="L106" s="10">
        <v>1</v>
      </c>
      <c r="M106" s="298">
        <v>2</v>
      </c>
      <c r="N106" s="303">
        <f t="shared" si="14"/>
        <v>0.35859414261160716</v>
      </c>
      <c r="O106" s="453" t="str">
        <f t="shared" si="15"/>
        <v/>
      </c>
      <c r="P106" s="68"/>
    </row>
    <row r="107" spans="1:16">
      <c r="A107" s="34" t="s">
        <v>1033</v>
      </c>
      <c r="B107" s="162" t="s">
        <v>1050</v>
      </c>
      <c r="C107" s="34" t="s">
        <v>190</v>
      </c>
      <c r="D107" s="40" t="s">
        <v>98</v>
      </c>
      <c r="E107" s="240">
        <f>D165</f>
        <v>0.39542276466265769</v>
      </c>
      <c r="F107" s="169">
        <v>1</v>
      </c>
      <c r="G107" s="34" t="s">
        <v>1045</v>
      </c>
      <c r="H107" s="252"/>
      <c r="I107" s="10">
        <v>1</v>
      </c>
      <c r="J107" s="66">
        <v>2</v>
      </c>
      <c r="K107" s="10">
        <v>1</v>
      </c>
      <c r="L107" s="10">
        <v>1</v>
      </c>
      <c r="M107" s="298">
        <v>2</v>
      </c>
      <c r="N107" s="303" t="str">
        <f t="shared" si="14"/>
        <v/>
      </c>
      <c r="O107" s="453">
        <f t="shared" si="15"/>
        <v>0.35859414261160716</v>
      </c>
      <c r="P107" s="68"/>
    </row>
    <row r="108" spans="1:16">
      <c r="A108" s="34" t="s">
        <v>1033</v>
      </c>
      <c r="B108" s="162" t="s">
        <v>1050</v>
      </c>
      <c r="C108" s="34" t="s">
        <v>190</v>
      </c>
      <c r="D108" s="40" t="s">
        <v>96</v>
      </c>
      <c r="E108" s="240">
        <f t="shared" ref="E108:E111" si="16">D166</f>
        <v>0</v>
      </c>
      <c r="F108" s="169">
        <v>1</v>
      </c>
      <c r="G108" s="34" t="s">
        <v>1045</v>
      </c>
      <c r="H108" s="252"/>
      <c r="I108" s="10">
        <v>1</v>
      </c>
      <c r="J108" s="66">
        <v>2</v>
      </c>
      <c r="K108" s="10">
        <v>1</v>
      </c>
      <c r="L108" s="10">
        <v>1</v>
      </c>
      <c r="M108" s="298">
        <v>2</v>
      </c>
      <c r="N108" s="303" t="str">
        <f t="shared" si="14"/>
        <v/>
      </c>
      <c r="O108" s="453">
        <f t="shared" si="15"/>
        <v>0.35859414261160716</v>
      </c>
      <c r="P108" s="68"/>
    </row>
    <row r="109" spans="1:16">
      <c r="A109" s="34" t="s">
        <v>1033</v>
      </c>
      <c r="B109" s="162" t="s">
        <v>1050</v>
      </c>
      <c r="C109" s="34" t="s">
        <v>190</v>
      </c>
      <c r="D109" s="40" t="s">
        <v>95</v>
      </c>
      <c r="E109" s="240">
        <f t="shared" si="16"/>
        <v>0</v>
      </c>
      <c r="F109" s="169">
        <v>1</v>
      </c>
      <c r="G109" s="34" t="s">
        <v>1045</v>
      </c>
      <c r="H109" s="252"/>
      <c r="I109" s="10">
        <v>1</v>
      </c>
      <c r="J109" s="66">
        <v>2</v>
      </c>
      <c r="K109" s="10">
        <v>1</v>
      </c>
      <c r="L109" s="10">
        <v>1</v>
      </c>
      <c r="M109" s="298">
        <v>2</v>
      </c>
      <c r="N109" s="303" t="str">
        <f t="shared" si="14"/>
        <v/>
      </c>
      <c r="O109" s="453">
        <f t="shared" si="15"/>
        <v>0.35859414261160716</v>
      </c>
      <c r="P109" s="68"/>
    </row>
    <row r="110" spans="1:16">
      <c r="A110" s="34" t="s">
        <v>1033</v>
      </c>
      <c r="B110" s="162" t="s">
        <v>1050</v>
      </c>
      <c r="C110" s="34" t="s">
        <v>190</v>
      </c>
      <c r="D110" s="40" t="s">
        <v>93</v>
      </c>
      <c r="E110" s="240">
        <f t="shared" si="16"/>
        <v>0.68011265147296251</v>
      </c>
      <c r="F110" s="169">
        <v>1</v>
      </c>
      <c r="G110" s="34" t="s">
        <v>1045</v>
      </c>
      <c r="H110" s="252"/>
      <c r="I110" s="10">
        <v>1</v>
      </c>
      <c r="J110" s="10">
        <v>2</v>
      </c>
      <c r="K110" s="10">
        <v>1</v>
      </c>
      <c r="L110" s="10">
        <v>1</v>
      </c>
      <c r="M110" s="298">
        <v>2</v>
      </c>
      <c r="N110" s="303" t="str">
        <f t="shared" si="14"/>
        <v/>
      </c>
      <c r="O110" s="453">
        <f t="shared" si="15"/>
        <v>0.35859414261160716</v>
      </c>
      <c r="P110" s="68"/>
    </row>
    <row r="111" spans="1:16" ht="15.75" thickBot="1">
      <c r="A111" s="35" t="s">
        <v>1033</v>
      </c>
      <c r="B111" s="162" t="s">
        <v>1050</v>
      </c>
      <c r="C111" s="35" t="s">
        <v>190</v>
      </c>
      <c r="D111" s="154" t="s">
        <v>94</v>
      </c>
      <c r="E111" s="240">
        <f t="shared" si="16"/>
        <v>0</v>
      </c>
      <c r="F111" s="171">
        <v>1</v>
      </c>
      <c r="G111" s="150" t="s">
        <v>1045</v>
      </c>
      <c r="H111" s="251"/>
      <c r="I111" s="10">
        <v>1</v>
      </c>
      <c r="J111" s="10">
        <v>2</v>
      </c>
      <c r="K111" s="10">
        <v>1</v>
      </c>
      <c r="L111" s="10">
        <v>1</v>
      </c>
      <c r="M111" s="298">
        <v>2</v>
      </c>
      <c r="N111" s="303" t="str">
        <f t="shared" si="14"/>
        <v/>
      </c>
      <c r="O111" s="453">
        <f t="shared" si="15"/>
        <v>0.35859414261160716</v>
      </c>
      <c r="P111" s="68"/>
    </row>
    <row r="112" spans="1:16">
      <c r="A112" s="33" t="s">
        <v>1050</v>
      </c>
      <c r="B112" s="324" t="str">
        <f>B236</f>
        <v>Dumping</v>
      </c>
      <c r="C112" s="95" t="str">
        <f>C236</f>
        <v>any</v>
      </c>
      <c r="D112" s="324" t="str">
        <f>D236</f>
        <v>any</v>
      </c>
      <c r="E112" s="457">
        <f>E236</f>
        <v>2.7E-4</v>
      </c>
      <c r="F112" s="460">
        <f>F236</f>
        <v>2</v>
      </c>
      <c r="G112" s="33" t="s">
        <v>1051</v>
      </c>
      <c r="H112" s="253">
        <v>2</v>
      </c>
      <c r="I112" s="13">
        <v>2</v>
      </c>
      <c r="J112" s="13">
        <v>2</v>
      </c>
      <c r="K112" s="13">
        <v>3</v>
      </c>
      <c r="L112" s="13">
        <v>3</v>
      </c>
      <c r="M112" s="297">
        <v>3</v>
      </c>
      <c r="N112" s="303">
        <f t="shared" ref="N112:N135" si="17">IF( OR( ISBLANK(H112),ISBLANK(J112), ISBLANK(K112), ISBLANK(L112), ISBLANK(M112) ), "", 1.5*SQRT(   EXP(2.21*(H112-1)) + EXP(2.21*(J112-1)) + EXP(2.21*(K112-1)) + EXP(2.21*(L112-1)) + EXP(2.21*M112)   )/100*2.45 )</f>
        <v>1.1278755061256258</v>
      </c>
      <c r="O112" s="453">
        <f t="shared" ref="O112:O135" si="18">IF( OR( ISBLANK(I112),ISBLANK(J112), ISBLANK(K112), ISBLANK(L112), ISBLANK(M112) ), "", 1.5*SQRT( EXP(2.21*(I112-1)) + EXP(2.21*(J112-1)) + EXP(2.21*(K112-1)) + EXP(2.21*(L112-1)) + EXP(2.21*M112)   )/100*2.45 )</f>
        <v>1.1278755061256258</v>
      </c>
      <c r="P112" s="68"/>
    </row>
    <row r="113" spans="1:32">
      <c r="A113" s="34" t="s">
        <v>1050</v>
      </c>
      <c r="B113" s="312" t="str">
        <f t="shared" ref="B113:D123" si="19">B237</f>
        <v>Agricultural waste collection</v>
      </c>
      <c r="C113" s="68" t="str">
        <f t="shared" si="19"/>
        <v>any</v>
      </c>
      <c r="D113" s="312" t="str">
        <f t="shared" si="19"/>
        <v>any</v>
      </c>
      <c r="E113" s="458" t="s">
        <v>158</v>
      </c>
      <c r="F113" s="461">
        <f t="shared" ref="F113:F123" si="20">F237</f>
        <v>1</v>
      </c>
      <c r="G113" s="68"/>
      <c r="H113" s="252"/>
      <c r="I113" s="10"/>
      <c r="J113" s="10"/>
      <c r="K113" s="10"/>
      <c r="L113" s="10"/>
      <c r="M113" s="298"/>
      <c r="N113" s="303" t="str">
        <f t="shared" si="17"/>
        <v/>
      </c>
      <c r="O113" s="453" t="str">
        <f t="shared" si="18"/>
        <v/>
      </c>
      <c r="P113" s="68"/>
    </row>
    <row r="114" spans="1:32">
      <c r="A114" s="34" t="s">
        <v>1050</v>
      </c>
      <c r="B114" s="312" t="str">
        <f t="shared" si="19"/>
        <v>Agricultural soil (micro)</v>
      </c>
      <c r="C114" s="68" t="str">
        <f t="shared" si="19"/>
        <v>any</v>
      </c>
      <c r="D114" s="312" t="str">
        <f t="shared" si="19"/>
        <v>any</v>
      </c>
      <c r="E114" s="458">
        <f t="shared" ref="E114:E123" si="21">E238</f>
        <v>0.02</v>
      </c>
      <c r="F114" s="461">
        <f t="shared" si="20"/>
        <v>2</v>
      </c>
      <c r="G114" s="68" t="str">
        <f>G238</f>
        <v>Assumption by Kawecki and Nowack (explained on page 38 of the SI)</v>
      </c>
      <c r="H114" s="252">
        <v>2</v>
      </c>
      <c r="I114" s="10">
        <v>2</v>
      </c>
      <c r="J114" s="10">
        <v>2</v>
      </c>
      <c r="K114" s="10">
        <v>1</v>
      </c>
      <c r="L114" s="10">
        <v>1</v>
      </c>
      <c r="M114" s="298">
        <v>3</v>
      </c>
      <c r="N114" s="303">
        <f t="shared" si="17"/>
        <v>1.0248662490928169</v>
      </c>
      <c r="O114" s="453">
        <f t="shared" si="18"/>
        <v>1.0248662490928169</v>
      </c>
      <c r="P114" s="34" t="s">
        <v>1052</v>
      </c>
    </row>
    <row r="115" spans="1:32">
      <c r="A115" s="34" t="s">
        <v>1050</v>
      </c>
      <c r="B115" s="312" t="str">
        <f t="shared" si="19"/>
        <v>Agricultural soil (macro)</v>
      </c>
      <c r="C115" s="68" t="str">
        <f t="shared" si="19"/>
        <v>any</v>
      </c>
      <c r="D115" s="312" t="str">
        <f t="shared" si="19"/>
        <v>any</v>
      </c>
      <c r="E115" s="458">
        <f t="shared" si="21"/>
        <v>0</v>
      </c>
      <c r="F115" s="461">
        <f t="shared" si="20"/>
        <v>2</v>
      </c>
      <c r="G115" s="68" t="str">
        <f>G239</f>
        <v>Best case scenario</v>
      </c>
      <c r="H115" s="252"/>
      <c r="I115" s="10"/>
      <c r="J115" s="10"/>
      <c r="K115" s="10"/>
      <c r="L115" s="10"/>
      <c r="M115" s="298"/>
      <c r="N115" s="303" t="str">
        <f t="shared" si="17"/>
        <v/>
      </c>
      <c r="O115" s="453" t="str">
        <f t="shared" si="18"/>
        <v/>
      </c>
      <c r="P115" s="68"/>
    </row>
    <row r="116" spans="1:32">
      <c r="A116" s="34" t="s">
        <v>1050</v>
      </c>
      <c r="B116" s="312" t="str">
        <f t="shared" si="19"/>
        <v>Agricultural soil (macro)</v>
      </c>
      <c r="C116" s="68" t="str">
        <f t="shared" si="19"/>
        <v>any</v>
      </c>
      <c r="D116" s="312" t="str">
        <f t="shared" si="19"/>
        <v>any</v>
      </c>
      <c r="E116" s="458">
        <f t="shared" si="21"/>
        <v>3.6999999999999998E-2</v>
      </c>
      <c r="F116" s="461">
        <f t="shared" si="20"/>
        <v>2</v>
      </c>
      <c r="G116" s="68" t="str">
        <f>G240</f>
        <v>Based on Agreste. Chiffres-Clés : 61 Hectares En Moyenne Par Exploitation; 2017</v>
      </c>
      <c r="H116" s="252">
        <v>2</v>
      </c>
      <c r="I116" s="10">
        <v>2</v>
      </c>
      <c r="J116" s="10">
        <v>2</v>
      </c>
      <c r="K116" s="10">
        <v>1</v>
      </c>
      <c r="L116" s="10">
        <v>1</v>
      </c>
      <c r="M116" s="298">
        <v>3</v>
      </c>
      <c r="N116" s="303">
        <f t="shared" si="17"/>
        <v>1.0248662490928169</v>
      </c>
      <c r="O116" s="453">
        <f t="shared" si="18"/>
        <v>1.0248662490928169</v>
      </c>
      <c r="P116" s="68"/>
    </row>
    <row r="117" spans="1:32" ht="15.75" thickBot="1">
      <c r="A117" s="150" t="s">
        <v>1050</v>
      </c>
      <c r="B117" s="327" t="str">
        <f t="shared" si="19"/>
        <v>Collected organic waste</v>
      </c>
      <c r="C117" s="328" t="str">
        <f t="shared" si="19"/>
        <v>any</v>
      </c>
      <c r="D117" s="327" t="str">
        <f t="shared" si="19"/>
        <v>any</v>
      </c>
      <c r="E117" s="459">
        <f t="shared" si="21"/>
        <v>3.5000000000000003E-2</v>
      </c>
      <c r="F117" s="439">
        <f t="shared" si="20"/>
        <v>2</v>
      </c>
      <c r="G117" s="328" t="str">
        <f>G241</f>
        <v>See calculation in Compost sheet</v>
      </c>
      <c r="H117" s="451">
        <v>1</v>
      </c>
      <c r="I117" s="437">
        <v>2</v>
      </c>
      <c r="J117" s="437">
        <v>3</v>
      </c>
      <c r="K117" s="437">
        <v>3</v>
      </c>
      <c r="L117" s="437">
        <v>3</v>
      </c>
      <c r="M117" s="463">
        <v>2</v>
      </c>
      <c r="N117" s="303">
        <f t="shared" si="17"/>
        <v>0.67101227267249941</v>
      </c>
      <c r="O117" s="453">
        <f t="shared" si="18"/>
        <v>0.67913051197703389</v>
      </c>
      <c r="P117" s="68"/>
    </row>
    <row r="118" spans="1:32">
      <c r="A118" s="95" t="str">
        <f t="shared" ref="A118:A123" si="22">A242</f>
        <v>Agricultural other</v>
      </c>
      <c r="B118" s="324" t="str">
        <f t="shared" si="19"/>
        <v>Dumping</v>
      </c>
      <c r="C118" s="95" t="str">
        <f t="shared" si="19"/>
        <v>any</v>
      </c>
      <c r="D118" s="324" t="str">
        <f t="shared" si="19"/>
        <v>any</v>
      </c>
      <c r="E118" s="457">
        <f t="shared" si="21"/>
        <v>2.7E-4</v>
      </c>
      <c r="F118" s="460">
        <f t="shared" si="20"/>
        <v>2</v>
      </c>
      <c r="G118" s="33" t="s">
        <v>1051</v>
      </c>
      <c r="H118" s="253">
        <v>2</v>
      </c>
      <c r="I118" s="13">
        <v>2</v>
      </c>
      <c r="J118" s="13">
        <v>2</v>
      </c>
      <c r="K118" s="13">
        <v>3</v>
      </c>
      <c r="L118" s="13">
        <v>3</v>
      </c>
      <c r="M118" s="297">
        <v>3</v>
      </c>
      <c r="N118" s="303">
        <f t="shared" si="17"/>
        <v>1.1278755061256258</v>
      </c>
      <c r="O118" s="453">
        <f t="shared" si="18"/>
        <v>1.1278755061256258</v>
      </c>
      <c r="P118" s="68"/>
    </row>
    <row r="119" spans="1:32">
      <c r="A119" s="68" t="str">
        <f t="shared" si="22"/>
        <v>Agricultural other</v>
      </c>
      <c r="B119" s="312" t="str">
        <f t="shared" si="19"/>
        <v>Agricultural waste collection</v>
      </c>
      <c r="C119" s="68" t="str">
        <f t="shared" si="19"/>
        <v>any</v>
      </c>
      <c r="D119" s="312" t="str">
        <f t="shared" si="19"/>
        <v>any</v>
      </c>
      <c r="E119" s="458" t="str">
        <f t="shared" si="21"/>
        <v>rest</v>
      </c>
      <c r="F119" s="461">
        <f t="shared" si="20"/>
        <v>1</v>
      </c>
      <c r="G119" s="68"/>
      <c r="H119" s="252"/>
      <c r="I119" s="10"/>
      <c r="J119" s="10"/>
      <c r="K119" s="10"/>
      <c r="L119" s="10"/>
      <c r="M119" s="298"/>
      <c r="N119" s="303" t="str">
        <f t="shared" si="17"/>
        <v/>
      </c>
      <c r="O119" s="453" t="str">
        <f t="shared" si="18"/>
        <v/>
      </c>
      <c r="P119" s="68"/>
    </row>
    <row r="120" spans="1:32">
      <c r="A120" s="68" t="str">
        <f t="shared" si="22"/>
        <v>Agricultural other</v>
      </c>
      <c r="B120" s="312" t="str">
        <f t="shared" si="19"/>
        <v>Agricultural soil (micro)</v>
      </c>
      <c r="C120" s="68" t="str">
        <f t="shared" si="19"/>
        <v>any</v>
      </c>
      <c r="D120" s="312" t="str">
        <f t="shared" si="19"/>
        <v>any</v>
      </c>
      <c r="E120" s="458">
        <f t="shared" si="21"/>
        <v>1E-3</v>
      </c>
      <c r="F120" s="461">
        <f t="shared" si="20"/>
        <v>2</v>
      </c>
      <c r="G120" s="68" t="str">
        <f>G244</f>
        <v>Assumption</v>
      </c>
      <c r="H120" s="252">
        <v>1</v>
      </c>
      <c r="I120" s="10">
        <v>1</v>
      </c>
      <c r="J120" s="10">
        <v>1</v>
      </c>
      <c r="K120" s="10">
        <v>1</v>
      </c>
      <c r="L120" s="10">
        <v>1</v>
      </c>
      <c r="M120" s="298">
        <v>3</v>
      </c>
      <c r="N120" s="303">
        <f t="shared" si="17"/>
        <v>1.0141150152164344</v>
      </c>
      <c r="O120" s="453">
        <f t="shared" si="18"/>
        <v>1.0141150152164344</v>
      </c>
      <c r="P120" s="68"/>
    </row>
    <row r="121" spans="1:32">
      <c r="A121" s="68" t="str">
        <f t="shared" si="22"/>
        <v>Agricultural other</v>
      </c>
      <c r="B121" s="312" t="str">
        <f t="shared" si="19"/>
        <v>Agricultural soil (macro)</v>
      </c>
      <c r="C121" s="68" t="str">
        <f t="shared" si="19"/>
        <v>any</v>
      </c>
      <c r="D121" s="312" t="str">
        <f t="shared" si="19"/>
        <v>any</v>
      </c>
      <c r="E121" s="458">
        <f t="shared" si="21"/>
        <v>0</v>
      </c>
      <c r="F121" s="461">
        <f t="shared" si="20"/>
        <v>2</v>
      </c>
      <c r="G121" s="68" t="str">
        <f>G245</f>
        <v>Best case scenario</v>
      </c>
      <c r="H121" s="252"/>
      <c r="I121" s="10"/>
      <c r="J121" s="10"/>
      <c r="K121" s="10"/>
      <c r="L121" s="10"/>
      <c r="M121" s="298"/>
      <c r="N121" s="303" t="str">
        <f t="shared" si="17"/>
        <v/>
      </c>
      <c r="O121" s="453" t="str">
        <f t="shared" si="18"/>
        <v/>
      </c>
      <c r="P121" s="68"/>
    </row>
    <row r="122" spans="1:32">
      <c r="A122" s="68" t="str">
        <f t="shared" si="22"/>
        <v>Agricultural other</v>
      </c>
      <c r="B122" s="312" t="str">
        <f t="shared" si="19"/>
        <v>Agricultural soil (macro)</v>
      </c>
      <c r="C122" s="68" t="str">
        <f t="shared" si="19"/>
        <v>any</v>
      </c>
      <c r="D122" s="312" t="str">
        <f t="shared" si="19"/>
        <v>any</v>
      </c>
      <c r="E122" s="458">
        <f t="shared" si="21"/>
        <v>3.7999999999999999E-2</v>
      </c>
      <c r="F122" s="461">
        <f t="shared" si="20"/>
        <v>2</v>
      </c>
      <c r="G122" s="68" t="str">
        <f>G246</f>
        <v>Based on Agreste. Chiffres-Clés : 61 Hectares En Moyenne Par Exploitation; 2017</v>
      </c>
      <c r="H122" s="252">
        <v>2</v>
      </c>
      <c r="I122" s="10">
        <v>2</v>
      </c>
      <c r="J122" s="10">
        <v>2</v>
      </c>
      <c r="K122" s="10">
        <v>1</v>
      </c>
      <c r="L122" s="10">
        <v>1</v>
      </c>
      <c r="M122" s="298">
        <v>3</v>
      </c>
      <c r="N122" s="303">
        <f t="shared" si="17"/>
        <v>1.0248662490928169</v>
      </c>
      <c r="O122" s="453">
        <f t="shared" si="18"/>
        <v>1.0248662490928169</v>
      </c>
      <c r="P122" s="68"/>
      <c r="X122" s="226"/>
      <c r="Y122" s="226"/>
      <c r="AA122" s="226"/>
      <c r="AB122" s="226"/>
      <c r="AC122" s="221"/>
      <c r="AD122" s="221"/>
      <c r="AE122" s="226"/>
      <c r="AF122" s="221"/>
    </row>
    <row r="123" spans="1:32" ht="15.75" thickBot="1">
      <c r="A123" s="328" t="str">
        <f t="shared" si="22"/>
        <v>Agricultural other</v>
      </c>
      <c r="B123" s="327" t="str">
        <f t="shared" si="19"/>
        <v>Collected organic waste</v>
      </c>
      <c r="C123" s="328" t="str">
        <f t="shared" si="19"/>
        <v>any</v>
      </c>
      <c r="D123" s="327" t="str">
        <f t="shared" si="19"/>
        <v>any</v>
      </c>
      <c r="E123" s="892">
        <f t="shared" si="21"/>
        <v>3.5000000000000003E-2</v>
      </c>
      <c r="F123" s="439">
        <f t="shared" si="20"/>
        <v>2</v>
      </c>
      <c r="G123" s="328" t="str">
        <f>G247</f>
        <v>See calculation in Compost sheet</v>
      </c>
      <c r="H123" s="451">
        <v>1</v>
      </c>
      <c r="I123" s="437">
        <v>2</v>
      </c>
      <c r="J123" s="437">
        <v>3</v>
      </c>
      <c r="K123" s="437">
        <v>3</v>
      </c>
      <c r="L123" s="437">
        <v>3</v>
      </c>
      <c r="M123" s="463">
        <v>2</v>
      </c>
      <c r="N123" s="303">
        <f t="shared" si="17"/>
        <v>0.67101227267249941</v>
      </c>
      <c r="O123" s="453">
        <f t="shared" si="18"/>
        <v>0.67913051197703389</v>
      </c>
      <c r="P123" s="68"/>
      <c r="X123" s="226"/>
      <c r="Y123" s="226"/>
      <c r="AA123" s="226"/>
      <c r="AB123" s="226"/>
      <c r="AC123" s="221"/>
      <c r="AD123" s="221"/>
      <c r="AE123" s="226"/>
      <c r="AF123" s="221"/>
    </row>
    <row r="124" spans="1:32">
      <c r="A124" s="151" t="s">
        <v>1048</v>
      </c>
      <c r="B124" s="95" t="str">
        <f t="shared" ref="B124:D127" si="23">B250</f>
        <v>Agricultural soil (micro)</v>
      </c>
      <c r="C124" s="99" t="str">
        <f t="shared" si="23"/>
        <v>any</v>
      </c>
      <c r="D124" s="324" t="str">
        <f t="shared" si="23"/>
        <v>any</v>
      </c>
      <c r="E124" s="891" t="s">
        <v>158</v>
      </c>
      <c r="F124" s="324">
        <v>2</v>
      </c>
      <c r="G124" s="95" t="str">
        <f>G250</f>
        <v>Assumption</v>
      </c>
      <c r="H124" s="252">
        <v>1</v>
      </c>
      <c r="I124" s="10">
        <v>1</v>
      </c>
      <c r="J124" s="10">
        <v>1</v>
      </c>
      <c r="K124" s="10">
        <v>1</v>
      </c>
      <c r="L124" s="10">
        <v>1</v>
      </c>
      <c r="M124" s="298">
        <v>3</v>
      </c>
      <c r="N124" s="303">
        <f t="shared" si="17"/>
        <v>1.0141150152164344</v>
      </c>
      <c r="O124" s="453">
        <f t="shared" si="18"/>
        <v>1.0141150152164344</v>
      </c>
      <c r="P124" s="68" t="s">
        <v>1052</v>
      </c>
      <c r="X124" s="226"/>
      <c r="Y124" s="226"/>
      <c r="AA124" s="226"/>
      <c r="AB124" s="226"/>
      <c r="AC124" s="221"/>
      <c r="AD124" s="221"/>
      <c r="AE124" s="226"/>
      <c r="AF124" s="221"/>
    </row>
    <row r="125" spans="1:32">
      <c r="A125" s="152" t="s">
        <v>1048</v>
      </c>
      <c r="B125" s="68" t="str">
        <f t="shared" si="23"/>
        <v>Agricultural soil (macro)</v>
      </c>
      <c r="C125" s="100" t="str">
        <f t="shared" si="23"/>
        <v>any</v>
      </c>
      <c r="D125" s="312" t="str">
        <f t="shared" si="23"/>
        <v>any</v>
      </c>
      <c r="E125" s="458">
        <f>E251/SUM(E250:E253)</f>
        <v>0</v>
      </c>
      <c r="F125" s="312">
        <v>2</v>
      </c>
      <c r="G125" s="68" t="str">
        <f>G251</f>
        <v>Best case scenario</v>
      </c>
      <c r="H125" s="252"/>
      <c r="I125" s="10"/>
      <c r="J125" s="10"/>
      <c r="K125" s="10"/>
      <c r="L125" s="10"/>
      <c r="M125" s="298"/>
      <c r="N125" s="303" t="str">
        <f t="shared" si="17"/>
        <v/>
      </c>
      <c r="O125" s="453" t="str">
        <f t="shared" si="18"/>
        <v/>
      </c>
      <c r="P125" s="68" t="s">
        <v>1053</v>
      </c>
      <c r="X125" s="226"/>
      <c r="Y125" s="226"/>
      <c r="AA125" s="226"/>
      <c r="AB125" s="226"/>
      <c r="AC125" s="221"/>
      <c r="AD125" s="221"/>
      <c r="AE125" s="226"/>
      <c r="AF125" s="221"/>
    </row>
    <row r="126" spans="1:32">
      <c r="A126" s="152" t="s">
        <v>1048</v>
      </c>
      <c r="B126" s="68" t="str">
        <f t="shared" si="23"/>
        <v>Agricultural soil (macro)</v>
      </c>
      <c r="C126" s="100" t="str">
        <f t="shared" si="23"/>
        <v>any</v>
      </c>
      <c r="D126" s="312" t="str">
        <f t="shared" si="23"/>
        <v>any</v>
      </c>
      <c r="E126" s="458">
        <f>E252/SUM(E250:E253)</f>
        <v>0.51351351351351338</v>
      </c>
      <c r="F126" s="312">
        <v>2</v>
      </c>
      <c r="G126" s="68" t="str">
        <f>G252</f>
        <v>Based on Agreste. Chiffres-Clés : 61 Hectares En Moyenne Par Exploitation; 2017</v>
      </c>
      <c r="H126" s="252">
        <v>2</v>
      </c>
      <c r="I126" s="10">
        <v>2</v>
      </c>
      <c r="J126" s="10">
        <v>2</v>
      </c>
      <c r="K126" s="10">
        <v>1</v>
      </c>
      <c r="L126" s="10">
        <v>1</v>
      </c>
      <c r="M126" s="298">
        <v>3</v>
      </c>
      <c r="N126" s="303">
        <f t="shared" si="17"/>
        <v>1.0248662490928169</v>
      </c>
      <c r="O126" s="453">
        <f t="shared" si="18"/>
        <v>1.0248662490928169</v>
      </c>
      <c r="P126" s="68" t="s">
        <v>1053</v>
      </c>
      <c r="X126" s="226"/>
      <c r="Y126" s="226"/>
      <c r="AA126" s="226"/>
      <c r="AB126" s="226"/>
      <c r="AC126" s="221"/>
      <c r="AD126" s="221"/>
      <c r="AE126" s="226"/>
      <c r="AF126" s="221"/>
    </row>
    <row r="127" spans="1:32" ht="15.75" thickBot="1">
      <c r="A127" s="230" t="s">
        <v>1048</v>
      </c>
      <c r="B127" s="68" t="str">
        <f t="shared" si="23"/>
        <v>Collected organic waste</v>
      </c>
      <c r="C127" s="331" t="str">
        <f t="shared" si="23"/>
        <v>any</v>
      </c>
      <c r="D127" s="327" t="str">
        <f t="shared" si="23"/>
        <v>any</v>
      </c>
      <c r="E127" s="892">
        <f>E253/SUM(E250:E253)</f>
        <v>0.47297297297297297</v>
      </c>
      <c r="F127" s="327">
        <v>2</v>
      </c>
      <c r="G127" s="72" t="str">
        <f>G253</f>
        <v>See calculation in Compost sheet</v>
      </c>
      <c r="H127" s="451">
        <v>1</v>
      </c>
      <c r="I127" s="437">
        <v>2</v>
      </c>
      <c r="J127" s="437">
        <v>3</v>
      </c>
      <c r="K127" s="437">
        <v>3</v>
      </c>
      <c r="L127" s="437">
        <v>3</v>
      </c>
      <c r="M127" s="463">
        <v>2</v>
      </c>
      <c r="N127" s="303">
        <f t="shared" si="17"/>
        <v>0.67101227267249941</v>
      </c>
      <c r="O127" s="453">
        <f t="shared" si="18"/>
        <v>0.67913051197703389</v>
      </c>
      <c r="P127" s="68" t="s">
        <v>1053</v>
      </c>
      <c r="X127" s="226"/>
      <c r="Y127" s="226"/>
      <c r="AA127" s="226"/>
      <c r="AB127" s="226"/>
      <c r="AC127" s="221"/>
      <c r="AD127" s="221"/>
      <c r="AE127" s="226"/>
      <c r="AF127" s="221"/>
    </row>
    <row r="128" spans="1:32">
      <c r="A128" s="162" t="s">
        <v>1047</v>
      </c>
      <c r="B128" s="68" t="str">
        <f t="shared" ref="B128:D131" si="24">B238</f>
        <v>Agricultural soil (micro)</v>
      </c>
      <c r="C128" s="99" t="str">
        <f t="shared" si="24"/>
        <v>any</v>
      </c>
      <c r="D128" s="324" t="str">
        <f t="shared" si="24"/>
        <v>any</v>
      </c>
      <c r="E128" s="891" t="s">
        <v>158</v>
      </c>
      <c r="F128" s="460">
        <v>1</v>
      </c>
      <c r="G128" s="77" t="str">
        <f t="shared" ref="F128:G131" si="25">G238</f>
        <v>Assumption by Kawecki and Nowack (explained on page 38 of the SI)</v>
      </c>
      <c r="H128" s="253">
        <v>2</v>
      </c>
      <c r="I128" s="13">
        <v>2</v>
      </c>
      <c r="J128" s="13">
        <v>1</v>
      </c>
      <c r="K128" s="13">
        <v>1</v>
      </c>
      <c r="L128" s="13">
        <v>1</v>
      </c>
      <c r="M128" s="297">
        <v>3</v>
      </c>
      <c r="N128" s="303">
        <f t="shared" si="17"/>
        <v>1.0195048044558224</v>
      </c>
      <c r="O128" s="453">
        <f t="shared" si="18"/>
        <v>1.0195048044558224</v>
      </c>
      <c r="P128" s="68"/>
      <c r="X128" s="226"/>
      <c r="Y128" s="226"/>
      <c r="AA128" s="226"/>
      <c r="AB128" s="226"/>
      <c r="AC128" s="221"/>
      <c r="AD128" s="221"/>
      <c r="AE128" s="226"/>
      <c r="AF128" s="221"/>
    </row>
    <row r="129" spans="1:32">
      <c r="A129" s="162" t="s">
        <v>1047</v>
      </c>
      <c r="B129" s="68" t="str">
        <f t="shared" si="24"/>
        <v>Agricultural soil (macro)</v>
      </c>
      <c r="C129" s="100" t="str">
        <f t="shared" si="24"/>
        <v>any</v>
      </c>
      <c r="D129" s="312" t="str">
        <f t="shared" si="24"/>
        <v>any</v>
      </c>
      <c r="E129" s="68">
        <f>E239/SUM(E238:E241)</f>
        <v>0</v>
      </c>
      <c r="F129" s="461">
        <f t="shared" si="25"/>
        <v>2</v>
      </c>
      <c r="G129" s="68" t="str">
        <f t="shared" si="25"/>
        <v>Best case scenario</v>
      </c>
      <c r="H129" s="252"/>
      <c r="I129" s="10"/>
      <c r="J129" s="10"/>
      <c r="K129" s="10"/>
      <c r="L129" s="10"/>
      <c r="M129" s="298"/>
      <c r="N129" s="303" t="str">
        <f t="shared" si="17"/>
        <v/>
      </c>
      <c r="O129" s="453" t="str">
        <f t="shared" si="18"/>
        <v/>
      </c>
      <c r="P129" s="68" t="s">
        <v>1053</v>
      </c>
      <c r="X129" s="226"/>
      <c r="Y129" s="226"/>
      <c r="AA129" s="226"/>
      <c r="AB129" s="226"/>
      <c r="AC129" s="221"/>
      <c r="AD129" s="221"/>
      <c r="AE129" s="226"/>
      <c r="AF129" s="221"/>
    </row>
    <row r="130" spans="1:32">
      <c r="A130" s="162" t="s">
        <v>1047</v>
      </c>
      <c r="B130" s="68" t="str">
        <f t="shared" si="24"/>
        <v>Agricultural soil (macro)</v>
      </c>
      <c r="C130" s="100" t="str">
        <f t="shared" si="24"/>
        <v>any</v>
      </c>
      <c r="D130" s="312" t="str">
        <f t="shared" si="24"/>
        <v>any</v>
      </c>
      <c r="E130" s="68">
        <f>E240/SUM(E238:E241)</f>
        <v>0.40217391304347827</v>
      </c>
      <c r="F130" s="461">
        <f t="shared" si="25"/>
        <v>2</v>
      </c>
      <c r="G130" s="68" t="str">
        <f t="shared" si="25"/>
        <v>Based on Agreste. Chiffres-Clés : 61 Hectares En Moyenne Par Exploitation; 2017</v>
      </c>
      <c r="H130" s="252">
        <v>2</v>
      </c>
      <c r="I130" s="10">
        <v>2</v>
      </c>
      <c r="J130" s="10">
        <v>2</v>
      </c>
      <c r="K130" s="10">
        <v>1</v>
      </c>
      <c r="L130" s="10">
        <v>1</v>
      </c>
      <c r="M130" s="298">
        <v>3</v>
      </c>
      <c r="N130" s="303">
        <f t="shared" si="17"/>
        <v>1.0248662490928169</v>
      </c>
      <c r="O130" s="453">
        <f t="shared" si="18"/>
        <v>1.0248662490928169</v>
      </c>
      <c r="P130" s="68" t="s">
        <v>1053</v>
      </c>
      <c r="X130" s="226"/>
      <c r="Y130" s="226"/>
      <c r="AA130" s="226"/>
      <c r="AB130" s="226"/>
      <c r="AC130" s="221"/>
      <c r="AD130" s="221"/>
      <c r="AE130" s="226"/>
      <c r="AF130" s="221"/>
    </row>
    <row r="131" spans="1:32" ht="15.75" thickBot="1">
      <c r="A131" s="162" t="s">
        <v>1047</v>
      </c>
      <c r="B131" s="328" t="str">
        <f t="shared" si="24"/>
        <v>Collected organic waste</v>
      </c>
      <c r="C131" s="331" t="str">
        <f t="shared" si="24"/>
        <v>any</v>
      </c>
      <c r="D131" s="327" t="str">
        <f t="shared" si="24"/>
        <v>any</v>
      </c>
      <c r="E131" s="328">
        <f>E241/SUM(E238:E241)</f>
        <v>0.38043478260869568</v>
      </c>
      <c r="F131" s="439">
        <f t="shared" si="25"/>
        <v>2</v>
      </c>
      <c r="G131" s="328" t="str">
        <f t="shared" si="25"/>
        <v>See calculation in Compost sheet</v>
      </c>
      <c r="H131" s="451">
        <v>1</v>
      </c>
      <c r="I131" s="437">
        <v>2</v>
      </c>
      <c r="J131" s="437">
        <v>3</v>
      </c>
      <c r="K131" s="437">
        <v>3</v>
      </c>
      <c r="L131" s="437">
        <v>3</v>
      </c>
      <c r="M131" s="463">
        <v>2</v>
      </c>
      <c r="N131" s="305">
        <f t="shared" si="17"/>
        <v>0.67101227267249941</v>
      </c>
      <c r="O131" s="453">
        <f t="shared" si="18"/>
        <v>0.67913051197703389</v>
      </c>
      <c r="P131" s="68" t="s">
        <v>1053</v>
      </c>
      <c r="X131" s="226"/>
      <c r="Y131" s="226"/>
      <c r="AA131" s="226"/>
      <c r="AB131" s="226"/>
      <c r="AC131" s="221"/>
      <c r="AD131" s="221"/>
      <c r="AE131" s="226"/>
      <c r="AF131" s="221"/>
    </row>
    <row r="132" spans="1:32">
      <c r="A132" s="151" t="s">
        <v>1043</v>
      </c>
      <c r="B132" s="95" t="str">
        <f t="shared" ref="B132:D133" si="26">B248</f>
        <v>Dumping</v>
      </c>
      <c r="C132" s="99" t="str">
        <f t="shared" si="26"/>
        <v>any</v>
      </c>
      <c r="D132" s="324" t="str">
        <f t="shared" si="26"/>
        <v>any</v>
      </c>
      <c r="E132" s="95">
        <f>E248/SUM(E249,E248)</f>
        <v>2.9157667386609074E-4</v>
      </c>
      <c r="F132" s="324">
        <v>2</v>
      </c>
      <c r="G132" s="33" t="s">
        <v>1051</v>
      </c>
      <c r="H132" s="253">
        <v>2</v>
      </c>
      <c r="I132" s="13">
        <v>2</v>
      </c>
      <c r="J132" s="13">
        <v>1</v>
      </c>
      <c r="K132" s="13">
        <v>3</v>
      </c>
      <c r="L132" s="13">
        <v>3</v>
      </c>
      <c r="M132" s="297">
        <v>3</v>
      </c>
      <c r="N132" s="302">
        <f t="shared" si="17"/>
        <v>1.123005955058592</v>
      </c>
      <c r="O132" s="453">
        <f t="shared" si="18"/>
        <v>1.123005955058592</v>
      </c>
      <c r="P132" s="68" t="s">
        <v>1053</v>
      </c>
      <c r="X132" s="226"/>
      <c r="Y132" s="226"/>
      <c r="AA132" s="226"/>
      <c r="AB132" s="226"/>
      <c r="AC132" s="221"/>
      <c r="AD132" s="221"/>
      <c r="AE132" s="226"/>
      <c r="AF132" s="221"/>
    </row>
    <row r="133" spans="1:32" ht="15.75" thickBot="1">
      <c r="A133" s="230" t="s">
        <v>1043</v>
      </c>
      <c r="B133" s="68" t="str">
        <f t="shared" si="26"/>
        <v>Agricultural waste collection</v>
      </c>
      <c r="C133" s="331" t="str">
        <f t="shared" si="26"/>
        <v>any</v>
      </c>
      <c r="D133" s="327" t="str">
        <f t="shared" si="26"/>
        <v>any</v>
      </c>
      <c r="E133" s="328" t="s">
        <v>158</v>
      </c>
      <c r="F133" s="327">
        <v>1</v>
      </c>
      <c r="G133" s="328"/>
      <c r="H133" s="251"/>
      <c r="I133" s="15"/>
      <c r="J133" s="15"/>
      <c r="K133" s="15"/>
      <c r="L133" s="15"/>
      <c r="M133" s="301"/>
      <c r="N133" s="305" t="str">
        <f t="shared" si="17"/>
        <v/>
      </c>
      <c r="O133" s="453" t="str">
        <f t="shared" si="18"/>
        <v/>
      </c>
      <c r="P133" s="68"/>
      <c r="X133" s="226"/>
      <c r="Y133" s="226"/>
      <c r="AA133" s="226"/>
      <c r="AB133" s="226"/>
      <c r="AC133" s="221"/>
      <c r="AD133" s="221"/>
      <c r="AE133" s="226"/>
      <c r="AF133" s="221"/>
    </row>
    <row r="134" spans="1:32">
      <c r="A134" s="162" t="s">
        <v>1049</v>
      </c>
      <c r="B134" s="68" t="str">
        <f t="shared" ref="B134:D135" si="27">B236</f>
        <v>Dumping</v>
      </c>
      <c r="C134" s="99" t="str">
        <f t="shared" si="27"/>
        <v>any</v>
      </c>
      <c r="D134" s="324" t="str">
        <f t="shared" si="27"/>
        <v>any</v>
      </c>
      <c r="E134" s="95">
        <f>E236/(E236+E237)</f>
        <v>2.9735682819383261E-4</v>
      </c>
      <c r="F134" s="324">
        <v>2</v>
      </c>
      <c r="G134" s="33" t="s">
        <v>1051</v>
      </c>
      <c r="H134" s="253">
        <v>2</v>
      </c>
      <c r="I134" s="13">
        <v>2</v>
      </c>
      <c r="J134" s="13">
        <v>1</v>
      </c>
      <c r="K134" s="13">
        <v>3</v>
      </c>
      <c r="L134" s="13">
        <v>3</v>
      </c>
      <c r="M134" s="297">
        <v>3</v>
      </c>
      <c r="N134" s="302">
        <f t="shared" si="17"/>
        <v>1.123005955058592</v>
      </c>
      <c r="O134" s="453">
        <f t="shared" si="18"/>
        <v>1.123005955058592</v>
      </c>
      <c r="P134" s="68" t="s">
        <v>1053</v>
      </c>
      <c r="X134" s="226"/>
      <c r="Y134" s="226"/>
      <c r="AA134" s="226"/>
      <c r="AB134" s="226"/>
      <c r="AC134" s="221"/>
      <c r="AD134" s="221"/>
      <c r="AE134" s="226"/>
      <c r="AF134" s="221"/>
    </row>
    <row r="135" spans="1:32" ht="15.75" thickBot="1">
      <c r="A135" s="7" t="s">
        <v>1049</v>
      </c>
      <c r="B135" s="328" t="str">
        <f t="shared" si="27"/>
        <v>Agricultural waste collection</v>
      </c>
      <c r="C135" s="331" t="str">
        <f t="shared" si="27"/>
        <v>any</v>
      </c>
      <c r="D135" s="327" t="str">
        <f t="shared" si="27"/>
        <v>any</v>
      </c>
      <c r="E135" s="328" t="s">
        <v>158</v>
      </c>
      <c r="F135" s="327">
        <v>1</v>
      </c>
      <c r="G135" s="328"/>
      <c r="H135" s="251"/>
      <c r="I135" s="15"/>
      <c r="J135" s="15"/>
      <c r="K135" s="15"/>
      <c r="L135" s="15"/>
      <c r="M135" s="301"/>
      <c r="N135" s="305" t="str">
        <f t="shared" si="17"/>
        <v/>
      </c>
      <c r="O135" s="453" t="str">
        <f t="shared" si="18"/>
        <v/>
      </c>
      <c r="P135" s="68"/>
      <c r="X135" s="226"/>
      <c r="Y135" s="226"/>
      <c r="AA135" s="226"/>
      <c r="AB135" s="226"/>
      <c r="AC135" s="221"/>
      <c r="AD135" s="221"/>
      <c r="AE135" s="226"/>
      <c r="AF135" s="221"/>
    </row>
    <row r="136" spans="1:32">
      <c r="A136" s="95" t="s">
        <v>152</v>
      </c>
      <c r="B136" s="99" t="s">
        <v>261</v>
      </c>
      <c r="C136" s="324" t="s">
        <v>147</v>
      </c>
      <c r="D136" s="34" t="s">
        <v>147</v>
      </c>
      <c r="E136" s="686" t="s">
        <v>158</v>
      </c>
      <c r="F136" s="690">
        <v>1</v>
      </c>
      <c r="G136" s="99"/>
      <c r="H136" s="253"/>
      <c r="I136" s="13"/>
      <c r="J136" s="13"/>
      <c r="K136" s="13"/>
      <c r="L136" s="13"/>
      <c r="M136" s="297"/>
      <c r="N136" s="302" t="s">
        <v>262</v>
      </c>
      <c r="O136" s="453" t="s">
        <v>262</v>
      </c>
      <c r="P136" s="34" t="s">
        <v>263</v>
      </c>
      <c r="X136" s="226"/>
      <c r="Y136" s="226"/>
      <c r="AA136" s="226"/>
      <c r="AB136" s="226"/>
      <c r="AC136" s="221"/>
      <c r="AD136" s="221"/>
      <c r="AE136" s="226"/>
      <c r="AF136" s="221"/>
    </row>
    <row r="137" spans="1:32">
      <c r="A137" s="68" t="s">
        <v>152</v>
      </c>
      <c r="B137" s="63" t="s">
        <v>264</v>
      </c>
      <c r="C137" s="40" t="s">
        <v>147</v>
      </c>
      <c r="D137" s="34" t="s">
        <v>147</v>
      </c>
      <c r="E137" s="687">
        <f>(1-0.004)*0.02/100</f>
        <v>1.9919999999999999E-4</v>
      </c>
      <c r="F137" s="691">
        <v>2</v>
      </c>
      <c r="G137" s="665" t="s">
        <v>265</v>
      </c>
      <c r="H137" s="15">
        <v>2</v>
      </c>
      <c r="I137" s="15">
        <v>1</v>
      </c>
      <c r="J137" s="15">
        <v>2</v>
      </c>
      <c r="K137" s="15">
        <v>3</v>
      </c>
      <c r="L137" s="15">
        <v>3</v>
      </c>
      <c r="M137" s="15">
        <v>1</v>
      </c>
      <c r="N137" s="303">
        <v>0.60108474454521421</v>
      </c>
      <c r="O137" s="453">
        <v>0.60108474454521421</v>
      </c>
      <c r="P137" s="34"/>
    </row>
    <row r="138" spans="1:32">
      <c r="A138" s="68" t="s">
        <v>152</v>
      </c>
      <c r="B138" s="63" t="s">
        <v>264</v>
      </c>
      <c r="C138" s="40" t="s">
        <v>147</v>
      </c>
      <c r="D138" s="34" t="s">
        <v>147</v>
      </c>
      <c r="E138" s="687">
        <f>(1-0.004)*0.06/100</f>
        <v>5.976E-4</v>
      </c>
      <c r="F138" s="691">
        <v>2</v>
      </c>
      <c r="G138" s="665" t="s">
        <v>265</v>
      </c>
      <c r="H138" s="71">
        <v>2</v>
      </c>
      <c r="I138" s="71">
        <v>1</v>
      </c>
      <c r="J138" s="71">
        <v>2</v>
      </c>
      <c r="K138" s="71">
        <v>3</v>
      </c>
      <c r="L138" s="71">
        <v>3</v>
      </c>
      <c r="M138" s="71">
        <v>1</v>
      </c>
      <c r="N138" s="303">
        <v>0.60108474454521421</v>
      </c>
      <c r="O138" s="453">
        <v>0.60108474454521421</v>
      </c>
      <c r="P138" s="34"/>
    </row>
    <row r="139" spans="1:32">
      <c r="A139" s="68" t="s">
        <v>152</v>
      </c>
      <c r="B139" s="100" t="s">
        <v>192</v>
      </c>
      <c r="C139" s="40" t="s">
        <v>147</v>
      </c>
      <c r="D139" s="34" t="s">
        <v>147</v>
      </c>
      <c r="E139" s="688">
        <v>0</v>
      </c>
      <c r="F139" s="692">
        <v>1</v>
      </c>
      <c r="G139" s="100" t="s">
        <v>266</v>
      </c>
      <c r="H139" s="252"/>
      <c r="I139" s="10"/>
      <c r="J139" s="10"/>
      <c r="K139" s="10"/>
      <c r="L139" s="10"/>
      <c r="M139" s="298"/>
      <c r="N139" s="303" t="s">
        <v>262</v>
      </c>
      <c r="O139" s="453" t="s">
        <v>262</v>
      </c>
      <c r="P139" s="34"/>
    </row>
    <row r="140" spans="1:32" ht="15.75" thickBot="1">
      <c r="A140" s="68" t="s">
        <v>152</v>
      </c>
      <c r="B140" s="63" t="s">
        <v>267</v>
      </c>
      <c r="C140" s="40" t="s">
        <v>147</v>
      </c>
      <c r="D140" s="34" t="s">
        <v>147</v>
      </c>
      <c r="E140" s="687">
        <f>0.004*0.02/100</f>
        <v>8.0000000000000007E-7</v>
      </c>
      <c r="F140" s="691">
        <v>2</v>
      </c>
      <c r="G140" s="665" t="s">
        <v>265</v>
      </c>
      <c r="H140" s="15">
        <v>2</v>
      </c>
      <c r="I140" s="15">
        <v>1</v>
      </c>
      <c r="J140" s="15">
        <v>2</v>
      </c>
      <c r="K140" s="15">
        <v>3</v>
      </c>
      <c r="L140" s="15">
        <v>3</v>
      </c>
      <c r="M140" s="15">
        <v>1</v>
      </c>
      <c r="N140" s="303">
        <v>0.60108474454521421</v>
      </c>
      <c r="O140" s="453">
        <v>0.60108474454521421</v>
      </c>
      <c r="P140" s="34"/>
    </row>
    <row r="141" spans="1:32">
      <c r="A141" s="68" t="s">
        <v>152</v>
      </c>
      <c r="B141" s="63" t="s">
        <v>267</v>
      </c>
      <c r="C141" s="40" t="s">
        <v>147</v>
      </c>
      <c r="D141" s="34" t="s">
        <v>147</v>
      </c>
      <c r="E141" s="687">
        <f>0.004*0.06/100</f>
        <v>2.3999999999999999E-6</v>
      </c>
      <c r="F141" s="691">
        <v>2</v>
      </c>
      <c r="G141" s="665" t="s">
        <v>265</v>
      </c>
      <c r="H141" s="13">
        <v>2</v>
      </c>
      <c r="I141" s="13">
        <v>1</v>
      </c>
      <c r="J141" s="13">
        <v>2</v>
      </c>
      <c r="K141" s="13">
        <v>3</v>
      </c>
      <c r="L141" s="13">
        <v>3</v>
      </c>
      <c r="M141" s="13">
        <v>1</v>
      </c>
      <c r="N141" s="303">
        <v>0.60108474454521421</v>
      </c>
      <c r="O141" s="453">
        <v>0.60108474454521421</v>
      </c>
      <c r="P141" s="34"/>
    </row>
    <row r="142" spans="1:32" ht="15.75" thickBot="1">
      <c r="A142" s="72" t="s">
        <v>152</v>
      </c>
      <c r="B142" s="669" t="s">
        <v>187</v>
      </c>
      <c r="C142" s="40" t="s">
        <v>147</v>
      </c>
      <c r="D142" s="34" t="s">
        <v>147</v>
      </c>
      <c r="E142" s="689">
        <v>0.1</v>
      </c>
      <c r="F142" s="693">
        <v>1</v>
      </c>
      <c r="G142" s="331" t="s">
        <v>268</v>
      </c>
      <c r="H142" s="251">
        <v>2</v>
      </c>
      <c r="I142" s="15">
        <v>2</v>
      </c>
      <c r="J142" s="15">
        <v>2</v>
      </c>
      <c r="K142" s="15">
        <v>3</v>
      </c>
      <c r="L142" s="15">
        <v>1</v>
      </c>
      <c r="M142" s="301">
        <v>1</v>
      </c>
      <c r="N142" s="305">
        <v>0.38795788889711302</v>
      </c>
      <c r="O142" s="453">
        <v>0.38795788889711302</v>
      </c>
      <c r="P142" s="34"/>
    </row>
    <row r="143" spans="1:32">
      <c r="A143" s="233" t="s">
        <v>173</v>
      </c>
      <c r="B143" s="33" t="s">
        <v>184</v>
      </c>
      <c r="C143" s="39" t="s">
        <v>147</v>
      </c>
      <c r="D143" s="33" t="s">
        <v>147</v>
      </c>
      <c r="E143" s="242">
        <v>1E-4</v>
      </c>
      <c r="F143" s="234">
        <v>2</v>
      </c>
      <c r="G143" s="39" t="s">
        <v>165</v>
      </c>
      <c r="H143" s="253">
        <v>1</v>
      </c>
      <c r="I143" s="13">
        <v>2</v>
      </c>
      <c r="J143" s="13">
        <v>1</v>
      </c>
      <c r="K143" s="13">
        <v>1</v>
      </c>
      <c r="L143" s="13">
        <v>1</v>
      </c>
      <c r="M143" s="297">
        <v>4</v>
      </c>
      <c r="N143" s="302">
        <v>1.0141150152164344</v>
      </c>
      <c r="O143" s="453">
        <v>1.0195048044558224</v>
      </c>
      <c r="P143" s="34"/>
    </row>
    <row r="144" spans="1:32">
      <c r="A144" s="152" t="s">
        <v>173</v>
      </c>
      <c r="B144" s="34" t="s">
        <v>192</v>
      </c>
      <c r="C144" s="40" t="s">
        <v>147</v>
      </c>
      <c r="D144" s="34" t="s">
        <v>147</v>
      </c>
      <c r="E144" s="243">
        <v>0</v>
      </c>
      <c r="F144" s="235">
        <v>1</v>
      </c>
      <c r="G144" s="40"/>
      <c r="H144" s="252"/>
      <c r="I144" s="10"/>
      <c r="J144" s="10"/>
      <c r="K144" s="10"/>
      <c r="L144" s="10"/>
      <c r="M144" s="298"/>
      <c r="N144" s="303" t="s">
        <v>262</v>
      </c>
      <c r="O144" s="453" t="s">
        <v>262</v>
      </c>
      <c r="P144" s="34"/>
    </row>
    <row r="145" spans="1:24">
      <c r="A145" s="152" t="s">
        <v>173</v>
      </c>
      <c r="B145" s="34" t="s">
        <v>187</v>
      </c>
      <c r="C145" s="40" t="s">
        <v>147</v>
      </c>
      <c r="D145" s="34" t="s">
        <v>147</v>
      </c>
      <c r="E145" s="243" t="s">
        <v>158</v>
      </c>
      <c r="F145" s="235">
        <v>1</v>
      </c>
      <c r="G145" s="40"/>
      <c r="H145" s="252"/>
      <c r="I145" s="10"/>
      <c r="J145" s="10"/>
      <c r="K145" s="10"/>
      <c r="L145" s="10"/>
      <c r="M145" s="298"/>
      <c r="N145" s="303" t="s">
        <v>262</v>
      </c>
      <c r="O145" s="453" t="s">
        <v>262</v>
      </c>
      <c r="P145" s="34"/>
    </row>
    <row r="146" spans="1:24">
      <c r="A146" s="152" t="s">
        <v>173</v>
      </c>
      <c r="B146" s="34" t="s">
        <v>152</v>
      </c>
      <c r="C146" s="40" t="s">
        <v>147</v>
      </c>
      <c r="D146" s="34" t="s">
        <v>147</v>
      </c>
      <c r="E146" s="243">
        <v>0.12</v>
      </c>
      <c r="F146" s="235">
        <v>1</v>
      </c>
      <c r="G146" s="40" t="s">
        <v>153</v>
      </c>
      <c r="H146" s="252">
        <v>2</v>
      </c>
      <c r="I146" s="10">
        <v>2</v>
      </c>
      <c r="J146" s="10">
        <v>2</v>
      </c>
      <c r="K146" s="10">
        <v>3</v>
      </c>
      <c r="L146" s="10">
        <v>1</v>
      </c>
      <c r="M146" s="298">
        <v>2</v>
      </c>
      <c r="N146" s="303">
        <v>0.48935255543384243</v>
      </c>
      <c r="O146" s="453" t="s">
        <v>262</v>
      </c>
      <c r="P146" s="34"/>
    </row>
    <row r="147" spans="1:24">
      <c r="A147" s="152" t="s">
        <v>173</v>
      </c>
      <c r="B147" s="34" t="s">
        <v>152</v>
      </c>
      <c r="C147" s="40" t="s">
        <v>147</v>
      </c>
      <c r="D147" s="34" t="s">
        <v>147</v>
      </c>
      <c r="E147" s="243">
        <v>0.1333</v>
      </c>
      <c r="F147" s="235">
        <v>1</v>
      </c>
      <c r="G147" s="40" t="s">
        <v>288</v>
      </c>
      <c r="H147" s="252">
        <v>2</v>
      </c>
      <c r="I147" s="10">
        <v>2</v>
      </c>
      <c r="J147" s="10">
        <v>2</v>
      </c>
      <c r="K147" s="10">
        <v>3</v>
      </c>
      <c r="L147" s="10">
        <v>1</v>
      </c>
      <c r="M147" s="298">
        <v>2</v>
      </c>
      <c r="N147" s="303">
        <v>0.48935255543384243</v>
      </c>
      <c r="O147" s="453" t="s">
        <v>262</v>
      </c>
      <c r="P147" s="34"/>
      <c r="Q147" s="224"/>
      <c r="R147" s="224"/>
      <c r="S147" s="224"/>
      <c r="T147" s="224"/>
      <c r="U147" s="224"/>
      <c r="V147" s="224"/>
      <c r="W147" s="224"/>
    </row>
    <row r="148" spans="1:24">
      <c r="A148" s="152" t="s">
        <v>173</v>
      </c>
      <c r="B148" s="34" t="s">
        <v>152</v>
      </c>
      <c r="C148" s="40" t="s">
        <v>147</v>
      </c>
      <c r="D148" s="34" t="s">
        <v>147</v>
      </c>
      <c r="E148" s="243">
        <v>0.26669999999999999</v>
      </c>
      <c r="F148" s="235">
        <v>1</v>
      </c>
      <c r="G148" s="40" t="s">
        <v>288</v>
      </c>
      <c r="H148" s="252">
        <v>2</v>
      </c>
      <c r="I148" s="10">
        <v>2</v>
      </c>
      <c r="J148" s="10">
        <v>2</v>
      </c>
      <c r="K148" s="10">
        <v>3</v>
      </c>
      <c r="L148" s="10">
        <v>1</v>
      </c>
      <c r="M148" s="298">
        <v>2</v>
      </c>
      <c r="N148" s="303">
        <v>0.48935255543384243</v>
      </c>
      <c r="O148" s="453" t="s">
        <v>262</v>
      </c>
      <c r="P148" s="34"/>
    </row>
    <row r="149" spans="1:24" ht="15.75" thickBot="1">
      <c r="A149" s="153" t="s">
        <v>173</v>
      </c>
      <c r="B149" s="35" t="s">
        <v>152</v>
      </c>
      <c r="C149" s="41" t="s">
        <v>147</v>
      </c>
      <c r="D149" s="35" t="s">
        <v>147</v>
      </c>
      <c r="E149" s="578">
        <v>0.2</v>
      </c>
      <c r="F149" s="236">
        <v>1</v>
      </c>
      <c r="G149" s="41" t="s">
        <v>289</v>
      </c>
      <c r="H149" s="255">
        <v>2</v>
      </c>
      <c r="I149" s="14">
        <v>2</v>
      </c>
      <c r="J149" s="14">
        <v>2</v>
      </c>
      <c r="K149" s="14">
        <v>3</v>
      </c>
      <c r="L149" s="14">
        <v>1</v>
      </c>
      <c r="M149" s="299">
        <v>2</v>
      </c>
      <c r="N149" s="304">
        <v>0.48935255543384243</v>
      </c>
      <c r="O149" s="454" t="s">
        <v>262</v>
      </c>
      <c r="P149" s="35" t="s">
        <v>290</v>
      </c>
    </row>
    <row r="151" spans="1:24" s="224" customFormat="1" ht="26.25">
      <c r="A151" s="477" t="s">
        <v>21</v>
      </c>
    </row>
    <row r="152" spans="1:24">
      <c r="B152" s="225"/>
    </row>
    <row r="153" spans="1:24">
      <c r="A153" s="316" t="s">
        <v>1054</v>
      </c>
      <c r="B153" s="316" t="s">
        <v>1055</v>
      </c>
      <c r="C153" s="316" t="s">
        <v>112</v>
      </c>
      <c r="D153" s="316" t="s">
        <v>1056</v>
      </c>
      <c r="E153" s="515" t="s">
        <v>1057</v>
      </c>
    </row>
    <row r="154" spans="1:24">
      <c r="A154" s="483" t="s">
        <v>1058</v>
      </c>
      <c r="B154" s="485">
        <v>80</v>
      </c>
      <c r="C154" s="516" t="s">
        <v>1059</v>
      </c>
      <c r="D154" t="s">
        <v>1060</v>
      </c>
      <c r="E154" t="s">
        <v>1061</v>
      </c>
    </row>
    <row r="155" spans="1:24">
      <c r="A155" s="483" t="s">
        <v>1062</v>
      </c>
      <c r="B155" s="485">
        <v>80</v>
      </c>
      <c r="C155" s="516" t="s">
        <v>1059</v>
      </c>
      <c r="D155" t="s">
        <v>1060</v>
      </c>
      <c r="E155" t="s">
        <v>1061</v>
      </c>
    </row>
    <row r="156" spans="1:24">
      <c r="A156" s="483" t="s">
        <v>1063</v>
      </c>
      <c r="B156" s="493">
        <f>45/12</f>
        <v>3.75</v>
      </c>
      <c r="C156" s="516" t="s">
        <v>1059</v>
      </c>
      <c r="D156" t="s">
        <v>1060</v>
      </c>
      <c r="E156" t="s">
        <v>1061</v>
      </c>
    </row>
    <row r="157" spans="1:24">
      <c r="A157" s="483" t="s">
        <v>1064</v>
      </c>
      <c r="B157" s="493">
        <f>45/12</f>
        <v>3.75</v>
      </c>
      <c r="C157" s="516" t="s">
        <v>1059</v>
      </c>
      <c r="D157" t="s">
        <v>1060</v>
      </c>
      <c r="E157" t="s">
        <v>1061</v>
      </c>
    </row>
    <row r="159" spans="1:24" ht="26.25">
      <c r="A159" s="477" t="s">
        <v>1065</v>
      </c>
      <c r="B159" s="224"/>
      <c r="C159" s="224"/>
      <c r="D159" s="224"/>
      <c r="E159" s="224"/>
      <c r="F159" s="224"/>
      <c r="G159" s="224"/>
      <c r="H159" s="224"/>
      <c r="I159" s="224"/>
      <c r="J159" s="224"/>
      <c r="K159" s="224"/>
      <c r="L159" s="224"/>
      <c r="M159" s="224"/>
      <c r="N159" s="224"/>
      <c r="O159" s="224"/>
      <c r="P159" s="224"/>
      <c r="Q159" s="224"/>
      <c r="R159" s="224"/>
      <c r="S159" s="224"/>
      <c r="T159" s="224"/>
      <c r="U159" s="224"/>
      <c r="V159" s="224"/>
      <c r="W159" s="224"/>
      <c r="X159" s="224"/>
    </row>
    <row r="160" spans="1:24">
      <c r="A160" s="481" t="s">
        <v>1066</v>
      </c>
      <c r="B160" s="480"/>
      <c r="C160" s="480"/>
      <c r="D160" s="480"/>
      <c r="E160" s="480"/>
      <c r="F160" s="480"/>
      <c r="G160" s="480"/>
      <c r="H160" s="480"/>
      <c r="I160" s="480"/>
      <c r="J160" s="480"/>
      <c r="K160" s="480"/>
      <c r="L160" s="480"/>
      <c r="M160" s="480"/>
      <c r="N160" s="480"/>
      <c r="O160" s="480"/>
      <c r="P160" s="480"/>
      <c r="Q160" s="480"/>
      <c r="R160" s="480"/>
      <c r="S160" s="480"/>
      <c r="T160" s="480"/>
      <c r="U160" s="480"/>
      <c r="V160" s="480"/>
      <c r="W160" s="480"/>
      <c r="X160" s="480"/>
    </row>
    <row r="161" spans="1:27">
      <c r="L161" s="226"/>
    </row>
    <row r="162" spans="1:27">
      <c r="B162" s="218"/>
      <c r="C162" s="218"/>
      <c r="K162" t="s">
        <v>1067</v>
      </c>
      <c r="L162" s="226"/>
    </row>
    <row r="163" spans="1:27">
      <c r="J163" s="225" t="s">
        <v>1068</v>
      </c>
      <c r="K163" s="476">
        <f>D200</f>
        <v>707810</v>
      </c>
      <c r="L163" s="226"/>
      <c r="N163" s="226"/>
      <c r="Q163" s="218"/>
    </row>
    <row r="164" spans="1:27">
      <c r="A164" s="491" t="s">
        <v>697</v>
      </c>
      <c r="B164" s="489" t="s">
        <v>1069</v>
      </c>
      <c r="C164" s="489" t="s">
        <v>1070</v>
      </c>
      <c r="D164" s="489" t="s">
        <v>1071</v>
      </c>
      <c r="E164" s="489" t="s">
        <v>1072</v>
      </c>
      <c r="F164" s="489" t="s">
        <v>1073</v>
      </c>
      <c r="G164" s="489" t="s">
        <v>1074</v>
      </c>
      <c r="H164" s="489" t="s">
        <v>1075</v>
      </c>
      <c r="L164" s="226"/>
      <c r="M164" t="s">
        <v>51</v>
      </c>
      <c r="N164" t="s">
        <v>1076</v>
      </c>
      <c r="O164" t="s">
        <v>1077</v>
      </c>
    </row>
    <row r="165" spans="1:27">
      <c r="A165" s="490" t="s">
        <v>98</v>
      </c>
      <c r="B165" s="479">
        <f>R170+T170+V170+X170</f>
        <v>56385.258999999998</v>
      </c>
      <c r="C165" s="479">
        <f>B165/1000</f>
        <v>56.385258999999998</v>
      </c>
      <c r="D165" s="479">
        <f>$R170/$B165</f>
        <v>0.39542276466265769</v>
      </c>
      <c r="E165" s="479">
        <f>$T170/$B165</f>
        <v>0.18076469241721493</v>
      </c>
      <c r="F165" s="479">
        <f>$V170/$B165</f>
        <v>0.32338771379945241</v>
      </c>
      <c r="G165" s="479">
        <f>$X170/$B165</f>
        <v>0.10042482912067498</v>
      </c>
      <c r="H165" s="496">
        <f>B165/B171</f>
        <v>8.1385971394878576E-2</v>
      </c>
      <c r="I165" s="497">
        <f>SUM(D165:G165)</f>
        <v>1</v>
      </c>
      <c r="K165" t="s">
        <v>1078</v>
      </c>
      <c r="L165" s="226" t="s">
        <v>1079</v>
      </c>
      <c r="N165" s="226" t="s">
        <v>1080</v>
      </c>
      <c r="P165" s="227"/>
      <c r="Q165" s="227"/>
      <c r="R165" s="227" t="s">
        <v>1081</v>
      </c>
      <c r="S165" s="227"/>
      <c r="T165" s="227" t="s">
        <v>1082</v>
      </c>
      <c r="U165" s="227"/>
      <c r="V165" s="227" t="s">
        <v>1083</v>
      </c>
      <c r="W165" s="227"/>
      <c r="X165" s="227" t="s">
        <v>1084</v>
      </c>
    </row>
    <row r="166" spans="1:27">
      <c r="A166" s="490" t="s">
        <v>96</v>
      </c>
      <c r="B166" s="492">
        <f>R171+T171+V171+X171</f>
        <v>3950.7650000000003</v>
      </c>
      <c r="C166" s="479">
        <f>B166/1000</f>
        <v>3.9507650000000005</v>
      </c>
      <c r="D166" s="479">
        <f>$R171/$B166</f>
        <v>0</v>
      </c>
      <c r="E166" s="479">
        <f>$T171/$B166</f>
        <v>0</v>
      </c>
      <c r="F166" s="479">
        <f>$V171/$B166</f>
        <v>1</v>
      </c>
      <c r="G166" s="479">
        <f>$X171/$B166</f>
        <v>0</v>
      </c>
      <c r="H166" s="496">
        <f>B166/B171</f>
        <v>5.702498365359774E-3</v>
      </c>
      <c r="I166" s="497">
        <f>SUM(D166:G166)</f>
        <v>1</v>
      </c>
      <c r="K166" s="474">
        <f>L166/(L166+L168)</f>
        <v>0.79746835443037967</v>
      </c>
      <c r="L166" s="475">
        <v>0.63</v>
      </c>
      <c r="M166" t="s">
        <v>1085</v>
      </c>
      <c r="N166" s="218">
        <f>$K$163*L166</f>
        <v>445920.3</v>
      </c>
      <c r="O166" s="390">
        <f>N166/K163</f>
        <v>0.63</v>
      </c>
      <c r="P166" s="227"/>
      <c r="Q166" s="494"/>
      <c r="R166" s="494">
        <f>O166</f>
        <v>0.63</v>
      </c>
      <c r="S166" s="494"/>
      <c r="T166" s="494">
        <f>O172</f>
        <v>0.06</v>
      </c>
      <c r="U166" s="494"/>
      <c r="V166" s="494">
        <f>O176+O174+O170</f>
        <v>0.12880787216908493</v>
      </c>
      <c r="W166" s="494"/>
      <c r="X166" s="494">
        <f>L168</f>
        <v>0.16</v>
      </c>
    </row>
    <row r="167" spans="1:27">
      <c r="A167" s="490" t="s">
        <v>95</v>
      </c>
      <c r="B167" s="479">
        <f>R172+T172+V172+X172</f>
        <v>3950.7650000000003</v>
      </c>
      <c r="C167" s="479">
        <f>B167/1000</f>
        <v>3.9507650000000005</v>
      </c>
      <c r="D167" s="479">
        <f>$R172/$B167</f>
        <v>0</v>
      </c>
      <c r="E167" s="479">
        <f>$T172/$B167</f>
        <v>0</v>
      </c>
      <c r="F167" s="479">
        <f>$V172/$B167</f>
        <v>1</v>
      </c>
      <c r="G167" s="479">
        <f>$X172/$B167</f>
        <v>0</v>
      </c>
      <c r="H167" s="496">
        <f>B167/B171</f>
        <v>5.702498365359774E-3</v>
      </c>
      <c r="I167" s="497">
        <f>SUM(D167:G167)</f>
        <v>1</v>
      </c>
      <c r="K167" s="474"/>
      <c r="L167" s="226" t="s">
        <v>1086</v>
      </c>
      <c r="N167" t="s">
        <v>1087</v>
      </c>
      <c r="O167" s="390"/>
      <c r="P167" s="227" t="s">
        <v>1088</v>
      </c>
      <c r="Q167" s="227"/>
      <c r="R167" s="496">
        <f>N166</f>
        <v>445920.3</v>
      </c>
      <c r="S167" s="496"/>
      <c r="T167" s="496">
        <f>N172</f>
        <v>42468.6</v>
      </c>
      <c r="U167" s="496"/>
      <c r="V167" s="496">
        <f>N170+N174+N176</f>
        <v>91171.5</v>
      </c>
      <c r="W167" s="496"/>
      <c r="X167" s="496">
        <f>N168</f>
        <v>113249.60000000001</v>
      </c>
    </row>
    <row r="168" spans="1:27">
      <c r="A168" s="490" t="s">
        <v>93</v>
      </c>
      <c r="B168" s="492">
        <f>R173+T173+V173+X173</f>
        <v>622873.70200000005</v>
      </c>
      <c r="C168" s="479">
        <f>B168/1000</f>
        <v>622.87370200000009</v>
      </c>
      <c r="D168" s="479">
        <f>$R173/$B168</f>
        <v>0.68011265147296251</v>
      </c>
      <c r="E168" s="479">
        <f>$T173/$B168</f>
        <v>4.9090838001055938E-2</v>
      </c>
      <c r="F168" s="479">
        <f>$V173/$B168</f>
        <v>9.8069487929673418E-2</v>
      </c>
      <c r="G168" s="479">
        <f>$X173/$B168</f>
        <v>0.17272702259630796</v>
      </c>
      <c r="H168" s="496">
        <f>B168/B171</f>
        <v>0.8990502516552088</v>
      </c>
      <c r="I168" s="497">
        <f>SUM(D168:G168)</f>
        <v>0.99999999999999978</v>
      </c>
      <c r="K168" s="474">
        <f>L168/(L166+L168)</f>
        <v>0.20253164556962025</v>
      </c>
      <c r="L168" s="475">
        <v>0.16</v>
      </c>
      <c r="M168" t="s">
        <v>1089</v>
      </c>
      <c r="N168" s="218">
        <f>$K$163*L168</f>
        <v>113249.60000000001</v>
      </c>
      <c r="O168" s="390">
        <f>N168/K163</f>
        <v>0.16</v>
      </c>
      <c r="P168" s="227"/>
      <c r="Q168" s="227"/>
      <c r="R168" s="227"/>
      <c r="S168" s="227"/>
      <c r="T168" s="227"/>
      <c r="U168" s="227"/>
      <c r="V168" s="227"/>
      <c r="W168" s="227"/>
      <c r="X168" s="227"/>
    </row>
    <row r="169" spans="1:27">
      <c r="A169" s="490" t="s">
        <v>94</v>
      </c>
      <c r="B169" s="479">
        <f>R174+T174+V174+X174</f>
        <v>5649.509</v>
      </c>
      <c r="C169" s="479">
        <f>B169/1000</f>
        <v>5.6495090000000001</v>
      </c>
      <c r="D169" s="479">
        <f>$R174/$B169</f>
        <v>0</v>
      </c>
      <c r="E169" s="479">
        <f>$T174/$B169</f>
        <v>0.3006887855210072</v>
      </c>
      <c r="F169" s="479">
        <f>$V174/$B169</f>
        <v>0.6993112144789928</v>
      </c>
      <c r="G169" s="479">
        <f>$X174/$B169</f>
        <v>0</v>
      </c>
      <c r="H169" s="496">
        <f>B169/B171</f>
        <v>8.1544500464050193E-3</v>
      </c>
      <c r="I169" s="497">
        <f>SUM(D169:G169)</f>
        <v>1</v>
      </c>
      <c r="L169" s="226" t="s">
        <v>1090</v>
      </c>
      <c r="N169" t="s">
        <v>1090</v>
      </c>
      <c r="O169" s="390"/>
      <c r="P169" s="227" t="s">
        <v>1091</v>
      </c>
      <c r="Q169" s="227" t="s">
        <v>1092</v>
      </c>
      <c r="R169" s="227" t="s">
        <v>1085</v>
      </c>
      <c r="S169" s="227" t="s">
        <v>1092</v>
      </c>
      <c r="T169" s="227" t="s">
        <v>1093</v>
      </c>
      <c r="U169" s="227" t="s">
        <v>1094</v>
      </c>
      <c r="V169" s="227" t="s">
        <v>1095</v>
      </c>
      <c r="W169" s="227" t="s">
        <v>1092</v>
      </c>
      <c r="X169" s="227" t="s">
        <v>1089</v>
      </c>
    </row>
    <row r="170" spans="1:27">
      <c r="H170" s="497">
        <f>SUM(H165:H169)</f>
        <v>0.99999566982721189</v>
      </c>
      <c r="L170" s="475">
        <v>0.11</v>
      </c>
      <c r="M170" t="s">
        <v>1095</v>
      </c>
      <c r="N170" s="218">
        <f>$K$163*L170</f>
        <v>77859.100000000006</v>
      </c>
      <c r="O170" s="390">
        <f>N170/K163</f>
        <v>0.11000000000000001</v>
      </c>
      <c r="P170" s="227" t="s">
        <v>98</v>
      </c>
      <c r="Q170" s="494">
        <v>0.05</v>
      </c>
      <c r="R170" s="496">
        <f>Q170*R$167</f>
        <v>22296.014999999999</v>
      </c>
      <c r="S170" s="494">
        <v>0.24</v>
      </c>
      <c r="T170" s="496">
        <f>S170*T$167</f>
        <v>10192.464</v>
      </c>
      <c r="U170" s="494">
        <v>0.2</v>
      </c>
      <c r="V170" s="496">
        <f>U170*V$167</f>
        <v>18234.3</v>
      </c>
      <c r="W170" s="494">
        <v>0.05</v>
      </c>
      <c r="X170" s="496">
        <f>W170*X$167</f>
        <v>5662.4800000000005</v>
      </c>
      <c r="AA170" s="226"/>
    </row>
    <row r="171" spans="1:27">
      <c r="B171" s="497">
        <f>SUM(R176:X176)</f>
        <v>692812.99999999988</v>
      </c>
      <c r="C171" s="218"/>
      <c r="L171" s="226" t="s">
        <v>1096</v>
      </c>
      <c r="N171" s="226" t="s">
        <v>1096</v>
      </c>
      <c r="O171" s="390"/>
      <c r="P171" s="227" t="s">
        <v>96</v>
      </c>
      <c r="Q171" s="494"/>
      <c r="R171" s="496">
        <f>Q171*R$167</f>
        <v>0</v>
      </c>
      <c r="S171" s="494"/>
      <c r="T171" s="496">
        <f>S171*T$167</f>
        <v>0</v>
      </c>
      <c r="U171" s="494">
        <f>U174</f>
        <v>4.3333333333333335E-2</v>
      </c>
      <c r="V171" s="496">
        <f>U171*V$167</f>
        <v>3950.7650000000003</v>
      </c>
      <c r="W171" s="494"/>
      <c r="X171" s="496">
        <f>W171*X$167</f>
        <v>0</v>
      </c>
    </row>
    <row r="172" spans="1:27">
      <c r="L172" s="475">
        <v>0.06</v>
      </c>
      <c r="M172" t="s">
        <v>1093</v>
      </c>
      <c r="N172" s="218">
        <f>$K$163*L172</f>
        <v>42468.6</v>
      </c>
      <c r="O172" s="390">
        <f>N172/K163</f>
        <v>0.06</v>
      </c>
      <c r="P172" s="227" t="s">
        <v>95</v>
      </c>
      <c r="Q172" s="494"/>
      <c r="R172" s="496">
        <f>Q172*R$167</f>
        <v>0</v>
      </c>
      <c r="S172" s="494"/>
      <c r="T172" s="496">
        <f>S172*T$167</f>
        <v>0</v>
      </c>
      <c r="U172" s="494">
        <f>U171</f>
        <v>4.3333333333333335E-2</v>
      </c>
      <c r="V172" s="496">
        <f>U172*V$167</f>
        <v>3950.7650000000003</v>
      </c>
      <c r="W172" s="494"/>
      <c r="X172" s="496">
        <f>W172*X$167</f>
        <v>0</v>
      </c>
    </row>
    <row r="173" spans="1:27">
      <c r="L173" s="226" t="s">
        <v>1097</v>
      </c>
      <c r="N173" t="s">
        <v>1097</v>
      </c>
      <c r="O173" s="390"/>
      <c r="P173" s="227" t="s">
        <v>93</v>
      </c>
      <c r="Q173" s="494">
        <v>0.95</v>
      </c>
      <c r="R173" s="496">
        <f>Q173*R$167</f>
        <v>423624.28499999997</v>
      </c>
      <c r="S173" s="494">
        <v>0.72</v>
      </c>
      <c r="T173" s="496">
        <f>S173*T$167</f>
        <v>30577.391999999996</v>
      </c>
      <c r="U173" s="494">
        <v>0.67</v>
      </c>
      <c r="V173" s="496">
        <f>U173*V$167</f>
        <v>61084.905000000006</v>
      </c>
      <c r="W173" s="494">
        <v>0.95</v>
      </c>
      <c r="X173" s="496">
        <f>W173*X$167</f>
        <v>107587.12</v>
      </c>
    </row>
    <row r="174" spans="1:27">
      <c r="L174" s="475">
        <v>0.01</v>
      </c>
      <c r="M174" t="s">
        <v>1095</v>
      </c>
      <c r="N174" s="218">
        <f>$K$163*L174</f>
        <v>7078.1</v>
      </c>
      <c r="O174" s="390">
        <f>N174/K163</f>
        <v>0.01</v>
      </c>
      <c r="P174" s="227" t="s">
        <v>94</v>
      </c>
      <c r="Q174" s="494"/>
      <c r="R174" s="496">
        <f>Q174*R$167</f>
        <v>0</v>
      </c>
      <c r="S174" s="494">
        <v>0.04</v>
      </c>
      <c r="T174" s="496">
        <f>S174*T$167</f>
        <v>1698.7439999999999</v>
      </c>
      <c r="U174" s="494">
        <f>(1-U170-U173)/3</f>
        <v>4.3333333333333335E-2</v>
      </c>
      <c r="V174" s="496">
        <f>U174*V$167</f>
        <v>3950.7650000000003</v>
      </c>
      <c r="W174" s="494"/>
      <c r="X174" s="496">
        <f>W174*X$167</f>
        <v>0</v>
      </c>
    </row>
    <row r="175" spans="1:27">
      <c r="L175" s="226" t="s">
        <v>1095</v>
      </c>
      <c r="N175" s="4" t="s">
        <v>1095</v>
      </c>
      <c r="O175" s="390"/>
      <c r="P175" s="227"/>
      <c r="Q175" s="494"/>
      <c r="R175" s="227"/>
      <c r="S175" s="494"/>
      <c r="T175" s="227"/>
      <c r="U175" s="494" t="s">
        <v>1098</v>
      </c>
      <c r="V175" s="227"/>
      <c r="W175" s="494"/>
      <c r="X175" s="227"/>
    </row>
    <row r="176" spans="1:27">
      <c r="L176" s="475">
        <f>1-L166-L168-L170-L172-L174</f>
        <v>2.9999999999999992E-2</v>
      </c>
      <c r="M176" t="s">
        <v>1095</v>
      </c>
      <c r="N176" s="218">
        <f>$K$163*L176-(B232*1000)</f>
        <v>6234.2999999999956</v>
      </c>
      <c r="O176" s="390">
        <f>N176/K163</f>
        <v>8.8078721690849175E-3</v>
      </c>
      <c r="Q176" s="390">
        <f t="shared" ref="Q176:X176" si="28">SUM(Q170:Q174)</f>
        <v>1</v>
      </c>
      <c r="R176" s="218">
        <f t="shared" si="28"/>
        <v>445920.3</v>
      </c>
      <c r="S176" s="390">
        <f t="shared" si="28"/>
        <v>1</v>
      </c>
      <c r="T176" s="218">
        <f t="shared" si="28"/>
        <v>42468.6</v>
      </c>
      <c r="U176" s="390">
        <f t="shared" si="28"/>
        <v>1</v>
      </c>
      <c r="V176" s="218">
        <f t="shared" si="28"/>
        <v>91171.5</v>
      </c>
      <c r="W176" s="390">
        <f t="shared" si="28"/>
        <v>1</v>
      </c>
      <c r="X176" s="218">
        <f t="shared" si="28"/>
        <v>113249.59999999999</v>
      </c>
      <c r="Y176" s="218">
        <f>SUM(R176,T176,V176,X176)</f>
        <v>692809.99999999988</v>
      </c>
    </row>
    <row r="177" spans="1:24">
      <c r="L177" s="226"/>
      <c r="N177" s="497">
        <f>SUM(N166:N176)</f>
        <v>692810</v>
      </c>
    </row>
    <row r="178" spans="1:24">
      <c r="A178" s="481" t="s">
        <v>1099</v>
      </c>
      <c r="B178" s="480"/>
      <c r="C178" s="480"/>
      <c r="D178" s="480"/>
      <c r="E178" s="480"/>
      <c r="F178" s="480"/>
      <c r="G178" s="480"/>
      <c r="H178" s="480"/>
      <c r="I178" s="480"/>
      <c r="J178" s="480"/>
      <c r="K178" s="480"/>
      <c r="L178" s="480"/>
      <c r="M178" s="480"/>
      <c r="N178" s="480"/>
      <c r="O178" s="480"/>
      <c r="P178" s="480"/>
      <c r="Q178" s="480"/>
      <c r="R178" s="480"/>
      <c r="S178" s="480"/>
      <c r="T178" s="480"/>
      <c r="U178" s="480"/>
      <c r="V178" s="480"/>
      <c r="W178" s="480"/>
      <c r="X178" s="480"/>
    </row>
    <row r="180" spans="1:24">
      <c r="Q180" t="s">
        <v>1100</v>
      </c>
    </row>
    <row r="181" spans="1:24">
      <c r="K181" t="s">
        <v>1067</v>
      </c>
    </row>
    <row r="182" spans="1:24">
      <c r="A182" s="491" t="s">
        <v>697</v>
      </c>
      <c r="B182" s="489" t="s">
        <v>1069</v>
      </c>
      <c r="C182" s="489" t="s">
        <v>1070</v>
      </c>
      <c r="D182" s="489" t="s">
        <v>1071</v>
      </c>
      <c r="E182" s="489" t="s">
        <v>1072</v>
      </c>
      <c r="F182" s="489" t="s">
        <v>1073</v>
      </c>
      <c r="G182" s="489" t="s">
        <v>1074</v>
      </c>
      <c r="H182" s="489" t="s">
        <v>1075</v>
      </c>
      <c r="J182" s="225" t="s">
        <v>1101</v>
      </c>
      <c r="K182" s="476">
        <f>D200*C222</f>
        <v>23782.415999999997</v>
      </c>
      <c r="L182" s="221"/>
      <c r="M182" t="s">
        <v>51</v>
      </c>
      <c r="N182" t="s">
        <v>1076</v>
      </c>
      <c r="O182" t="s">
        <v>1077</v>
      </c>
    </row>
    <row r="183" spans="1:24">
      <c r="A183" s="490" t="s">
        <v>98</v>
      </c>
      <c r="B183" s="479">
        <f>R188+T188+V188+X188</f>
        <v>2336.215468776636</v>
      </c>
      <c r="C183" s="479">
        <f>B183/1000</f>
        <v>2.3362154687766359</v>
      </c>
      <c r="D183" s="479">
        <f>$R188/$B183</f>
        <v>0.27195768865502412</v>
      </c>
      <c r="E183" s="479">
        <f>$T188/$B183</f>
        <v>0.43977123896795367</v>
      </c>
      <c r="F183" s="479">
        <f>$V188/$B183</f>
        <v>0.2192024530360637</v>
      </c>
      <c r="G183" s="479">
        <f>$X188/$B183</f>
        <v>6.9068619340958509E-2</v>
      </c>
      <c r="H183" s="496">
        <f>B183/B189</f>
        <v>0.10257547963172402</v>
      </c>
      <c r="I183" s="497">
        <f>SUM(D183:G183)</f>
        <v>1</v>
      </c>
      <c r="L183" t="s">
        <v>1102</v>
      </c>
      <c r="M183" s="221" t="s">
        <v>1085</v>
      </c>
      <c r="N183" t="s">
        <v>1085</v>
      </c>
      <c r="P183" s="227"/>
      <c r="Q183" s="227"/>
      <c r="R183" s="227" t="s">
        <v>1081</v>
      </c>
      <c r="S183" s="227"/>
      <c r="T183" s="227" t="s">
        <v>1082</v>
      </c>
      <c r="U183" s="227"/>
      <c r="V183" s="227" t="s">
        <v>1083</v>
      </c>
      <c r="W183" s="227"/>
      <c r="X183" s="227" t="s">
        <v>1084</v>
      </c>
    </row>
    <row r="184" spans="1:24">
      <c r="A184" s="490" t="s">
        <v>96</v>
      </c>
      <c r="B184" s="492">
        <f>R189+T189+V189+X189</f>
        <v>110.95590167493783</v>
      </c>
      <c r="C184" s="479">
        <f>B184/1000</f>
        <v>0.11095590167493784</v>
      </c>
      <c r="D184" s="479">
        <f>$R189/$B184</f>
        <v>0</v>
      </c>
      <c r="E184" s="479">
        <f>$T189/$B184</f>
        <v>0</v>
      </c>
      <c r="F184" s="479">
        <f>$V189/$B184</f>
        <v>1</v>
      </c>
      <c r="G184" s="479">
        <f>$X189/$B184</f>
        <v>0</v>
      </c>
      <c r="H184" s="496">
        <f>B184/B189</f>
        <v>4.8717059639353504E-3</v>
      </c>
      <c r="I184" s="497">
        <f>SUM(D184:G184)</f>
        <v>1</v>
      </c>
      <c r="L184" s="475">
        <f>C215</f>
        <v>0.67</v>
      </c>
      <c r="M184" s="226">
        <f>L184*K166</f>
        <v>0.53430379746835444</v>
      </c>
      <c r="N184" s="218">
        <f>M184*K182</f>
        <v>12707.035181772151</v>
      </c>
      <c r="O184" s="390">
        <f>N184/K182</f>
        <v>0.53430379746835444</v>
      </c>
      <c r="P184" s="227"/>
      <c r="Q184" s="227"/>
      <c r="R184" s="494">
        <f>O184</f>
        <v>0.53430379746835444</v>
      </c>
      <c r="S184" s="494"/>
      <c r="T184" s="494">
        <f>O190</f>
        <v>0.18</v>
      </c>
      <c r="U184" s="494"/>
      <c r="V184" s="494">
        <f>O188</f>
        <v>0.1076644529253538</v>
      </c>
      <c r="W184" s="494"/>
      <c r="X184" s="494">
        <f>O186</f>
        <v>0.13569620253164558</v>
      </c>
    </row>
    <row r="185" spans="1:24">
      <c r="A185" s="490" t="s">
        <v>95</v>
      </c>
      <c r="B185" s="479">
        <f>R190+T190+V190+X190</f>
        <v>110.95590167493783</v>
      </c>
      <c r="C185" s="479">
        <f>B185/1000</f>
        <v>0.11095590167493784</v>
      </c>
      <c r="D185" s="479">
        <f>$R190/$B185</f>
        <v>0</v>
      </c>
      <c r="E185" s="479">
        <f>$T190/$B185</f>
        <v>0</v>
      </c>
      <c r="F185" s="479">
        <f>$V190/$B185</f>
        <v>1</v>
      </c>
      <c r="G185" s="479">
        <f>$X190/$B185</f>
        <v>0</v>
      </c>
      <c r="H185" s="496">
        <f>B185/B189</f>
        <v>4.8717059639353504E-3</v>
      </c>
      <c r="I185" s="497">
        <f>SUM(D185:G185)</f>
        <v>1</v>
      </c>
      <c r="M185" s="226" t="s">
        <v>1089</v>
      </c>
      <c r="N185" t="s">
        <v>1087</v>
      </c>
      <c r="O185" s="390"/>
      <c r="P185" s="227" t="s">
        <v>1088</v>
      </c>
      <c r="Q185" s="227"/>
      <c r="R185" s="496">
        <f>R184*$K$182</f>
        <v>12707.035181772151</v>
      </c>
      <c r="S185" s="227"/>
      <c r="T185" s="496">
        <f>T184*$K$182</f>
        <v>4280.8348799999994</v>
      </c>
      <c r="U185" s="227"/>
      <c r="V185" s="496">
        <f>V184*$K$182</f>
        <v>2560.5208078831806</v>
      </c>
      <c r="W185" s="227"/>
      <c r="X185" s="496">
        <f>X184*$K$182</f>
        <v>3227.1835382278477</v>
      </c>
    </row>
    <row r="186" spans="1:24">
      <c r="A186" s="490" t="s">
        <v>93</v>
      </c>
      <c r="B186" s="492">
        <f>R191+T191+V191+X191</f>
        <v>19935.257838881731</v>
      </c>
      <c r="C186" s="479">
        <f>B186/1000</f>
        <v>19.935257838881732</v>
      </c>
      <c r="D186" s="479">
        <f>$R191/$B186</f>
        <v>0.60554438373698527</v>
      </c>
      <c r="E186" s="479">
        <f>$T191/$B186</f>
        <v>0.15461054672633698</v>
      </c>
      <c r="F186" s="479">
        <f>$V191/$B186</f>
        <v>8.6056019698713113E-2</v>
      </c>
      <c r="G186" s="479">
        <f>$X191/$B186</f>
        <v>0.15378904983796449</v>
      </c>
      <c r="H186" s="496">
        <f>B186/B189</f>
        <v>0.87529111151557404</v>
      </c>
      <c r="I186" s="497">
        <f>SUM(D186:G186)</f>
        <v>0.99999999999999989</v>
      </c>
      <c r="K186" s="218"/>
      <c r="M186" s="226">
        <f>L184*K168</f>
        <v>0.13569620253164558</v>
      </c>
      <c r="N186" s="218">
        <f>M186*K182</f>
        <v>3227.1835382278477</v>
      </c>
      <c r="O186" s="390">
        <f>N186/K182</f>
        <v>0.13569620253164558</v>
      </c>
      <c r="P186" s="227"/>
      <c r="Q186" s="227"/>
      <c r="R186" s="496"/>
      <c r="S186" s="227"/>
      <c r="T186" s="496"/>
      <c r="U186" s="227"/>
      <c r="V186" s="496"/>
      <c r="W186" s="227"/>
      <c r="X186" s="496"/>
    </row>
    <row r="187" spans="1:24" ht="60">
      <c r="A187" s="490" t="s">
        <v>94</v>
      </c>
      <c r="B187" s="479">
        <f>R192+T192+V192+X192</f>
        <v>282.18929687493784</v>
      </c>
      <c r="C187" s="479">
        <f>B187/1000</f>
        <v>0.28218929687493782</v>
      </c>
      <c r="D187" s="479">
        <f>$R192/$B187</f>
        <v>0</v>
      </c>
      <c r="E187" s="479">
        <f>$T192/$B187</f>
        <v>0.60680329515080123</v>
      </c>
      <c r="F187" s="479">
        <f>$V192/$B187</f>
        <v>0.39319670484919866</v>
      </c>
      <c r="G187" s="479">
        <f>$X192/$B187</f>
        <v>0</v>
      </c>
      <c r="H187" s="496">
        <f>B187/B189</f>
        <v>1.2389996924831247E-2</v>
      </c>
      <c r="I187" s="497">
        <f>SUM(D187:G187)</f>
        <v>0.99999999999999989</v>
      </c>
      <c r="K187" s="218"/>
      <c r="L187" t="s">
        <v>1095</v>
      </c>
      <c r="N187" s="4" t="s">
        <v>1103</v>
      </c>
      <c r="O187" s="390"/>
      <c r="P187" s="227" t="s">
        <v>1091</v>
      </c>
      <c r="Q187" s="227" t="s">
        <v>1092</v>
      </c>
      <c r="R187" s="496" t="s">
        <v>1085</v>
      </c>
      <c r="S187" s="227" t="s">
        <v>1092</v>
      </c>
      <c r="T187" s="496" t="s">
        <v>1093</v>
      </c>
      <c r="U187" s="227" t="s">
        <v>1094</v>
      </c>
      <c r="V187" s="496" t="s">
        <v>1095</v>
      </c>
      <c r="W187" s="227" t="s">
        <v>1092</v>
      </c>
      <c r="X187" s="496" t="s">
        <v>1089</v>
      </c>
    </row>
    <row r="188" spans="1:24">
      <c r="H188" s="497">
        <f>SUM(H183:H187)</f>
        <v>1</v>
      </c>
      <c r="K188" s="218"/>
      <c r="L188" s="475">
        <f>C216</f>
        <v>0.15</v>
      </c>
      <c r="N188" s="218">
        <f>L188*K182-(C232*1000)</f>
        <v>2560.5208078831806</v>
      </c>
      <c r="O188" s="390">
        <f>N188/K182</f>
        <v>0.1076644529253538</v>
      </c>
      <c r="P188" s="227" t="s">
        <v>98</v>
      </c>
      <c r="Q188" s="494">
        <v>0.05</v>
      </c>
      <c r="R188" s="496">
        <f>Q188*R$185</f>
        <v>635.35175908860765</v>
      </c>
      <c r="S188" s="494">
        <v>0.24</v>
      </c>
      <c r="T188" s="496">
        <f>S188*T$185</f>
        <v>1027.4003711999999</v>
      </c>
      <c r="U188" s="494">
        <v>0.2</v>
      </c>
      <c r="V188" s="496">
        <f>U188*V$185</f>
        <v>512.1041615766361</v>
      </c>
      <c r="W188" s="494">
        <v>0.05</v>
      </c>
      <c r="X188" s="496">
        <f>W188*X$185</f>
        <v>161.35917691139241</v>
      </c>
    </row>
    <row r="189" spans="1:24">
      <c r="B189" s="497">
        <f>SUM(B183:B187)</f>
        <v>22775.574407883181</v>
      </c>
      <c r="K189" s="218"/>
      <c r="L189" s="221" t="s">
        <v>1104</v>
      </c>
      <c r="N189" t="s">
        <v>1093</v>
      </c>
      <c r="O189" s="390"/>
      <c r="P189" s="227" t="s">
        <v>96</v>
      </c>
      <c r="Q189" s="494"/>
      <c r="R189" s="496">
        <f>Q189*R$185</f>
        <v>0</v>
      </c>
      <c r="S189" s="494"/>
      <c r="T189" s="496">
        <f>S189*T$185</f>
        <v>0</v>
      </c>
      <c r="U189" s="494">
        <f>U192</f>
        <v>4.3333333333333335E-2</v>
      </c>
      <c r="V189" s="496">
        <f>U189*V$185</f>
        <v>110.95590167493783</v>
      </c>
      <c r="W189" s="494"/>
      <c r="X189" s="496">
        <f>W189*X$185</f>
        <v>0</v>
      </c>
    </row>
    <row r="190" spans="1:24">
      <c r="K190" s="218"/>
      <c r="L190" s="475">
        <f>C217</f>
        <v>0.18</v>
      </c>
      <c r="N190" s="218">
        <f>L190*K182</f>
        <v>4280.8348799999994</v>
      </c>
      <c r="O190" s="390">
        <f>N190/K182</f>
        <v>0.18</v>
      </c>
      <c r="P190" s="227" t="s">
        <v>95</v>
      </c>
      <c r="Q190" s="494"/>
      <c r="R190" s="496">
        <f>Q190*R$185</f>
        <v>0</v>
      </c>
      <c r="S190" s="494"/>
      <c r="T190" s="496">
        <f>S190*T$185</f>
        <v>0</v>
      </c>
      <c r="U190" s="494">
        <f>U189</f>
        <v>4.3333333333333335E-2</v>
      </c>
      <c r="V190" s="496">
        <f>U190*V$185</f>
        <v>110.95590167493783</v>
      </c>
      <c r="W190" s="494"/>
      <c r="X190" s="496">
        <f>W190*X$185</f>
        <v>0</v>
      </c>
    </row>
    <row r="191" spans="1:24">
      <c r="K191" s="218"/>
      <c r="N191" s="497">
        <f>SUM(N184:N190)</f>
        <v>22775.574407883178</v>
      </c>
      <c r="P191" s="227" t="s">
        <v>93</v>
      </c>
      <c r="Q191" s="494">
        <v>0.95</v>
      </c>
      <c r="R191" s="496">
        <f>Q191*R$185</f>
        <v>12071.683422683544</v>
      </c>
      <c r="S191" s="494">
        <v>0.72</v>
      </c>
      <c r="T191" s="496">
        <f>S191*T$185</f>
        <v>3082.2011135999996</v>
      </c>
      <c r="U191" s="494">
        <v>0.67</v>
      </c>
      <c r="V191" s="496">
        <f>U191*V$185</f>
        <v>1715.5489412817312</v>
      </c>
      <c r="W191" s="494">
        <v>0.95</v>
      </c>
      <c r="X191" s="496">
        <f>W191*X$185</f>
        <v>3065.824361316455</v>
      </c>
    </row>
    <row r="192" spans="1:24">
      <c r="P192" s="227" t="s">
        <v>94</v>
      </c>
      <c r="Q192" s="494"/>
      <c r="R192" s="496">
        <f>Q192*R$185</f>
        <v>0</v>
      </c>
      <c r="S192" s="494">
        <v>0.04</v>
      </c>
      <c r="T192" s="496">
        <f>S192*T$185</f>
        <v>171.23339519999999</v>
      </c>
      <c r="U192" s="494">
        <f>(1-U188-U191)/3</f>
        <v>4.3333333333333335E-2</v>
      </c>
      <c r="V192" s="496">
        <f>U192*V$185</f>
        <v>110.95590167493783</v>
      </c>
      <c r="W192" s="494"/>
      <c r="X192" s="496">
        <f>W192*X$185</f>
        <v>0</v>
      </c>
    </row>
    <row r="193" spans="1:25">
      <c r="P193" s="227"/>
      <c r="Q193" s="494"/>
      <c r="R193" s="496"/>
      <c r="S193" s="494"/>
      <c r="T193" s="496"/>
      <c r="U193" s="494" t="s">
        <v>1098</v>
      </c>
      <c r="V193" s="496"/>
      <c r="W193" s="494"/>
      <c r="X193" s="496"/>
    </row>
    <row r="194" spans="1:25">
      <c r="P194" s="227"/>
      <c r="Q194" s="494">
        <f t="shared" ref="Q194:X194" si="29">SUM(Q188:Q192)</f>
        <v>1</v>
      </c>
      <c r="R194" s="496">
        <f t="shared" si="29"/>
        <v>12707.035181772151</v>
      </c>
      <c r="S194" s="494">
        <f t="shared" si="29"/>
        <v>1</v>
      </c>
      <c r="T194" s="496">
        <f t="shared" si="29"/>
        <v>4280.8348799999994</v>
      </c>
      <c r="U194" s="494">
        <f t="shared" si="29"/>
        <v>1</v>
      </c>
      <c r="V194" s="496">
        <f t="shared" si="29"/>
        <v>2560.5208078831806</v>
      </c>
      <c r="W194" s="494">
        <f t="shared" si="29"/>
        <v>1</v>
      </c>
      <c r="X194" s="496">
        <f t="shared" si="29"/>
        <v>3227.1835382278473</v>
      </c>
      <c r="Y194" s="218">
        <f>R194+T194+V194+X194</f>
        <v>22775.574407883181</v>
      </c>
    </row>
    <row r="195" spans="1:25">
      <c r="R195" s="390"/>
    </row>
    <row r="197" spans="1:25">
      <c r="A197" s="481" t="s">
        <v>1105</v>
      </c>
      <c r="B197" s="480"/>
      <c r="C197" s="480"/>
      <c r="D197" s="480"/>
      <c r="E197" s="480"/>
      <c r="F197" s="480"/>
      <c r="G197" s="480"/>
      <c r="H197" s="480"/>
      <c r="I197" s="480"/>
      <c r="J197" s="480"/>
      <c r="K197" s="480"/>
      <c r="L197" s="480"/>
      <c r="M197" s="480"/>
      <c r="N197" s="480"/>
      <c r="O197" s="480"/>
      <c r="P197" s="480"/>
      <c r="Q197" s="480"/>
      <c r="R197" s="480"/>
      <c r="S197" s="480"/>
      <c r="T197" s="480"/>
      <c r="U197" s="480"/>
      <c r="V197" s="480"/>
      <c r="W197" s="480"/>
      <c r="X197" s="480"/>
    </row>
    <row r="198" spans="1:25">
      <c r="A198" t="s">
        <v>635</v>
      </c>
    </row>
    <row r="199" spans="1:25">
      <c r="A199" s="316" t="s">
        <v>1106</v>
      </c>
      <c r="B199" s="316" t="s">
        <v>1107</v>
      </c>
      <c r="C199" s="316" t="s">
        <v>109</v>
      </c>
      <c r="D199" s="316" t="s">
        <v>1108</v>
      </c>
      <c r="E199" s="316" t="s">
        <v>112</v>
      </c>
    </row>
    <row r="200" spans="1:25">
      <c r="A200" s="483" t="s">
        <v>190</v>
      </c>
      <c r="B200" s="227" t="s">
        <v>1109</v>
      </c>
      <c r="C200" s="227">
        <v>2018</v>
      </c>
      <c r="D200" s="227">
        <v>707810</v>
      </c>
      <c r="E200" s="227" t="s">
        <v>1110</v>
      </c>
    </row>
    <row r="201" spans="1:25">
      <c r="A201" s="483" t="s">
        <v>190</v>
      </c>
      <c r="B201" s="227" t="s">
        <v>1111</v>
      </c>
      <c r="C201" s="227">
        <v>2018</v>
      </c>
      <c r="D201" s="227">
        <v>310960</v>
      </c>
      <c r="E201" s="227" t="s">
        <v>1110</v>
      </c>
    </row>
    <row r="202" spans="1:25">
      <c r="A202" s="483" t="s">
        <v>190</v>
      </c>
      <c r="B202" s="227" t="s">
        <v>1112</v>
      </c>
      <c r="C202" s="227">
        <v>2018</v>
      </c>
      <c r="D202" s="227">
        <v>396850</v>
      </c>
      <c r="E202" s="227" t="s">
        <v>1110</v>
      </c>
    </row>
    <row r="203" spans="1:25">
      <c r="A203" s="483" t="s">
        <v>190</v>
      </c>
      <c r="B203" s="227" t="s">
        <v>1109</v>
      </c>
      <c r="C203" s="227">
        <v>2019</v>
      </c>
      <c r="D203" s="227">
        <v>710500</v>
      </c>
      <c r="E203" s="227" t="s">
        <v>1110</v>
      </c>
    </row>
    <row r="204" spans="1:25">
      <c r="A204" s="483" t="s">
        <v>190</v>
      </c>
      <c r="B204" s="227" t="s">
        <v>1111</v>
      </c>
      <c r="C204" s="227">
        <v>2019</v>
      </c>
      <c r="D204" s="227">
        <v>324500</v>
      </c>
      <c r="E204" s="227" t="s">
        <v>1110</v>
      </c>
    </row>
    <row r="205" spans="1:25">
      <c r="A205" s="483" t="s">
        <v>190</v>
      </c>
      <c r="B205" s="227" t="s">
        <v>1112</v>
      </c>
      <c r="C205" s="227">
        <v>2019</v>
      </c>
      <c r="D205" s="227">
        <v>397000</v>
      </c>
      <c r="E205" s="227" t="s">
        <v>1110</v>
      </c>
    </row>
    <row r="207" spans="1:25">
      <c r="A207" t="s">
        <v>1113</v>
      </c>
    </row>
    <row r="208" spans="1:25">
      <c r="A208" s="482" t="s">
        <v>51</v>
      </c>
      <c r="B208" s="482" t="s">
        <v>1106</v>
      </c>
      <c r="C208" s="482" t="s">
        <v>1114</v>
      </c>
      <c r="D208" s="482" t="s">
        <v>112</v>
      </c>
    </row>
    <row r="209" spans="1:4">
      <c r="A209" s="483" t="s">
        <v>1115</v>
      </c>
      <c r="B209" s="485" t="s">
        <v>190</v>
      </c>
      <c r="C209" s="494">
        <v>0.63</v>
      </c>
      <c r="D209" s="227" t="s">
        <v>1116</v>
      </c>
    </row>
    <row r="210" spans="1:4">
      <c r="A210" s="483" t="s">
        <v>1089</v>
      </c>
      <c r="B210" s="485" t="s">
        <v>190</v>
      </c>
      <c r="C210" s="494">
        <v>0.16</v>
      </c>
      <c r="D210" s="227" t="s">
        <v>1116</v>
      </c>
    </row>
    <row r="211" spans="1:4">
      <c r="A211" s="483" t="s">
        <v>1090</v>
      </c>
      <c r="B211" s="485" t="s">
        <v>190</v>
      </c>
      <c r="C211" s="494">
        <v>0.11</v>
      </c>
      <c r="D211" s="227" t="s">
        <v>1116</v>
      </c>
    </row>
    <row r="212" spans="1:4">
      <c r="A212" s="483" t="s">
        <v>1096</v>
      </c>
      <c r="B212" s="485" t="s">
        <v>190</v>
      </c>
      <c r="C212" s="494">
        <v>0.06</v>
      </c>
      <c r="D212" s="227" t="s">
        <v>1116</v>
      </c>
    </row>
    <row r="213" spans="1:4">
      <c r="A213" s="483" t="s">
        <v>1097</v>
      </c>
      <c r="B213" s="485" t="s">
        <v>190</v>
      </c>
      <c r="C213" s="494">
        <v>0.01</v>
      </c>
      <c r="D213" s="227" t="s">
        <v>1116</v>
      </c>
    </row>
    <row r="214" spans="1:4">
      <c r="A214" s="483" t="s">
        <v>1095</v>
      </c>
      <c r="B214" s="485" t="s">
        <v>190</v>
      </c>
      <c r="C214" s="495">
        <f>1-SUM(C209:C213)</f>
        <v>3.0000000000000027E-2</v>
      </c>
      <c r="D214" s="227" t="s">
        <v>1116</v>
      </c>
    </row>
    <row r="215" spans="1:4">
      <c r="A215" s="483" t="s">
        <v>1102</v>
      </c>
      <c r="B215" s="485" t="s">
        <v>188</v>
      </c>
      <c r="C215" s="494">
        <v>0.67</v>
      </c>
      <c r="D215" s="227" t="s">
        <v>1117</v>
      </c>
    </row>
    <row r="216" spans="1:4">
      <c r="A216" s="483" t="s">
        <v>1095</v>
      </c>
      <c r="B216" s="485" t="s">
        <v>188</v>
      </c>
      <c r="C216" s="494">
        <v>0.15</v>
      </c>
      <c r="D216" s="227" t="s">
        <v>1117</v>
      </c>
    </row>
    <row r="217" spans="1:4">
      <c r="A217" s="483" t="s">
        <v>1093</v>
      </c>
      <c r="B217" s="485" t="s">
        <v>188</v>
      </c>
      <c r="C217" s="494">
        <v>0.18</v>
      </c>
      <c r="D217" s="227" t="s">
        <v>1117</v>
      </c>
    </row>
    <row r="219" spans="1:4">
      <c r="A219" t="s">
        <v>1118</v>
      </c>
    </row>
    <row r="220" spans="1:4">
      <c r="A220" s="316" t="s">
        <v>1119</v>
      </c>
      <c r="B220" s="316" t="s">
        <v>109</v>
      </c>
      <c r="C220" s="484" t="s">
        <v>1108</v>
      </c>
      <c r="D220" s="316" t="s">
        <v>112</v>
      </c>
    </row>
    <row r="221" spans="1:4">
      <c r="A221" s="483" t="s">
        <v>1120</v>
      </c>
      <c r="B221" s="485">
        <v>2022</v>
      </c>
      <c r="C221" s="487">
        <f>84/1947</f>
        <v>4.3143297380585519E-2</v>
      </c>
      <c r="D221" s="485" t="s">
        <v>1121</v>
      </c>
    </row>
    <row r="222" spans="1:4">
      <c r="A222" s="483" t="s">
        <v>1122</v>
      </c>
      <c r="B222" s="485">
        <v>2022</v>
      </c>
      <c r="C222" s="486">
        <f>84/2500</f>
        <v>3.3599999999999998E-2</v>
      </c>
      <c r="D222" s="485" t="s">
        <v>1121</v>
      </c>
    </row>
    <row r="223" spans="1:4">
      <c r="A223" s="483" t="s">
        <v>1123</v>
      </c>
      <c r="B223" s="485">
        <v>2022</v>
      </c>
      <c r="C223" s="486">
        <f>1947/53300</f>
        <v>3.652908067542214E-2</v>
      </c>
      <c r="D223" s="485" t="s">
        <v>1121</v>
      </c>
    </row>
    <row r="224" spans="1:4">
      <c r="A224" s="483" t="s">
        <v>1124</v>
      </c>
      <c r="B224" s="485">
        <v>2022</v>
      </c>
      <c r="C224" s="488">
        <f>Intentionally_produced_MPs!D64/Intentionally_produced_MPs!D63</f>
        <v>6.7122772807787931E-2</v>
      </c>
      <c r="D224" s="630" t="s">
        <v>1125</v>
      </c>
    </row>
    <row r="226" spans="1:16">
      <c r="A226" t="s">
        <v>1126</v>
      </c>
    </row>
    <row r="227" spans="1:16">
      <c r="A227" s="316" t="s">
        <v>108</v>
      </c>
      <c r="B227" s="316" t="s">
        <v>1127</v>
      </c>
      <c r="C227" s="316" t="s">
        <v>1128</v>
      </c>
    </row>
    <row r="228" spans="1:16">
      <c r="A228" s="483" t="str">
        <f>Intentionally_produced_MPs!A32</f>
        <v>Controlled release fertilizer</v>
      </c>
      <c r="B228" s="485">
        <f>(Intentionally_produced_MPs!E32)/1000</f>
        <v>10</v>
      </c>
      <c r="C228" s="485">
        <f>(Intentionally_produced_MPs!E72)/1000</f>
        <v>0.67122772807787934</v>
      </c>
    </row>
    <row r="229" spans="1:16">
      <c r="A229" s="483" t="str">
        <f>Intentionally_produced_MPs!A33</f>
        <v>Fertilizer additives</v>
      </c>
      <c r="B229" s="485">
        <f>(Intentionally_produced_MPs!E33)/1000</f>
        <v>4</v>
      </c>
      <c r="C229" s="485">
        <f>(Intentionally_produced_MPs!E73)/1000</f>
        <v>0.26849109123115172</v>
      </c>
    </row>
    <row r="230" spans="1:16">
      <c r="A230" s="483" t="str">
        <f>Intentionally_produced_MPs!A34</f>
        <v>Plant protection products</v>
      </c>
      <c r="B230" s="485">
        <f>(Intentionally_produced_MPs!E34)/1000</f>
        <v>0.5</v>
      </c>
      <c r="C230" s="485">
        <f>(Intentionally_produced_MPs!E74)/1000</f>
        <v>3.3561386403893965E-2</v>
      </c>
    </row>
    <row r="231" spans="1:16">
      <c r="A231" s="483" t="str">
        <f>Intentionally_produced_MPs!A35</f>
        <v>Seed coating</v>
      </c>
      <c r="B231" s="485">
        <f>(Intentionally_produced_MPs!E35)/1000</f>
        <v>0.5</v>
      </c>
      <c r="C231" s="485">
        <f>(Intentionally_produced_MPs!E75)/1000</f>
        <v>3.3561386403893965E-2</v>
      </c>
    </row>
    <row r="232" spans="1:16">
      <c r="A232" s="316" t="s">
        <v>1129</v>
      </c>
      <c r="B232" s="316">
        <f>SUM(B228:B231)</f>
        <v>15</v>
      </c>
      <c r="C232" s="316">
        <f>SUM(C228:C231)</f>
        <v>1.006841592116819</v>
      </c>
    </row>
    <row r="234" spans="1:16" ht="15.75" thickBot="1">
      <c r="A234" s="481" t="s">
        <v>1130</v>
      </c>
      <c r="B234" s="480"/>
      <c r="C234" s="480"/>
      <c r="D234" s="480"/>
      <c r="E234" s="480"/>
      <c r="F234" s="480"/>
      <c r="G234" s="480"/>
      <c r="H234" s="480"/>
      <c r="I234" s="480"/>
      <c r="J234" s="480"/>
      <c r="K234" s="480"/>
      <c r="L234" s="480"/>
      <c r="M234" s="480"/>
      <c r="N234" s="480"/>
      <c r="O234" s="480"/>
      <c r="P234" s="480"/>
    </row>
    <row r="235" spans="1:16" ht="15.75" thickBot="1">
      <c r="A235" s="65" t="s">
        <v>137</v>
      </c>
      <c r="B235" s="107" t="s">
        <v>138</v>
      </c>
      <c r="C235" s="108" t="s">
        <v>139</v>
      </c>
      <c r="D235" s="109" t="s">
        <v>110</v>
      </c>
      <c r="E235" s="125" t="s">
        <v>140</v>
      </c>
      <c r="F235" s="108" t="s">
        <v>141</v>
      </c>
      <c r="G235" s="110" t="s">
        <v>112</v>
      </c>
      <c r="H235" s="111" t="s">
        <v>142</v>
      </c>
      <c r="I235" s="112" t="s">
        <v>143</v>
      </c>
      <c r="J235" s="112" t="s">
        <v>69</v>
      </c>
      <c r="K235" s="112" t="s">
        <v>75</v>
      </c>
      <c r="L235" s="112" t="s">
        <v>81</v>
      </c>
      <c r="M235" s="113" t="s">
        <v>87</v>
      </c>
      <c r="N235" s="114" t="s">
        <v>144</v>
      </c>
      <c r="O235" s="114" t="s">
        <v>145</v>
      </c>
      <c r="P235" s="115" t="s">
        <v>132</v>
      </c>
    </row>
    <row r="236" spans="1:16" ht="15.75" thickBot="1">
      <c r="A236" s="151" t="s">
        <v>1131</v>
      </c>
      <c r="B236" s="151" t="s">
        <v>217</v>
      </c>
      <c r="C236" s="151" t="s">
        <v>147</v>
      </c>
      <c r="D236" s="151" t="s">
        <v>147</v>
      </c>
      <c r="E236" s="680">
        <v>2.7E-4</v>
      </c>
      <c r="F236" s="352">
        <v>2</v>
      </c>
      <c r="G236" s="151"/>
      <c r="H236" s="253">
        <v>1</v>
      </c>
      <c r="I236" s="13"/>
      <c r="J236" s="13">
        <v>1</v>
      </c>
      <c r="K236" s="13">
        <v>3</v>
      </c>
      <c r="L236" s="13">
        <v>3</v>
      </c>
      <c r="M236" s="322">
        <v>3</v>
      </c>
      <c r="N236" s="411">
        <v>1.1181151966036349</v>
      </c>
      <c r="O236" t="s">
        <v>262</v>
      </c>
      <c r="P236" s="33"/>
    </row>
    <row r="237" spans="1:16" ht="15.75" thickBot="1">
      <c r="A237" s="152" t="s">
        <v>1131</v>
      </c>
      <c r="B237" s="152" t="s">
        <v>173</v>
      </c>
      <c r="C237" s="152" t="s">
        <v>147</v>
      </c>
      <c r="D237" s="152" t="s">
        <v>147</v>
      </c>
      <c r="E237" s="681">
        <f>1-E236-E238-E239-E240-E241</f>
        <v>0.90772999999999993</v>
      </c>
      <c r="F237" s="172">
        <v>1</v>
      </c>
      <c r="G237" s="152"/>
      <c r="H237" s="252"/>
      <c r="I237" s="10"/>
      <c r="J237" s="10"/>
      <c r="K237" s="10"/>
      <c r="L237" s="10"/>
      <c r="M237" s="323"/>
      <c r="N237" s="411" t="s">
        <v>262</v>
      </c>
      <c r="O237" s="355" t="s">
        <v>262</v>
      </c>
      <c r="P237" s="34"/>
    </row>
    <row r="238" spans="1:16" ht="15.75" thickBot="1">
      <c r="A238" s="152" t="s">
        <v>1131</v>
      </c>
      <c r="B238" s="152" t="s">
        <v>163</v>
      </c>
      <c r="C238" s="152" t="s">
        <v>147</v>
      </c>
      <c r="D238" s="152" t="s">
        <v>147</v>
      </c>
      <c r="E238" s="682">
        <v>0.02</v>
      </c>
      <c r="F238" s="172">
        <v>2</v>
      </c>
      <c r="G238" s="152" t="s">
        <v>1132</v>
      </c>
      <c r="H238" s="252">
        <v>1</v>
      </c>
      <c r="I238" s="10"/>
      <c r="J238" s="10">
        <v>1</v>
      </c>
      <c r="K238" s="10">
        <v>1</v>
      </c>
      <c r="L238" s="10">
        <v>1</v>
      </c>
      <c r="M238" s="323">
        <v>3</v>
      </c>
      <c r="N238" s="411">
        <v>1.0141150152164344</v>
      </c>
      <c r="O238" s="355" t="s">
        <v>262</v>
      </c>
      <c r="P238" s="34" t="s">
        <v>1052</v>
      </c>
    </row>
    <row r="239" spans="1:16" ht="15.75" thickBot="1">
      <c r="A239" s="152" t="s">
        <v>1131</v>
      </c>
      <c r="B239" s="152" t="s">
        <v>154</v>
      </c>
      <c r="C239" s="152" t="s">
        <v>147</v>
      </c>
      <c r="D239" s="152" t="s">
        <v>147</v>
      </c>
      <c r="E239" s="682">
        <v>0</v>
      </c>
      <c r="F239" s="172">
        <v>2</v>
      </c>
      <c r="G239" s="152" t="s">
        <v>155</v>
      </c>
      <c r="H239" s="252"/>
      <c r="I239" s="10"/>
      <c r="J239" s="10"/>
      <c r="K239" s="10"/>
      <c r="L239" s="10"/>
      <c r="M239" s="323"/>
      <c r="N239" s="411" t="s">
        <v>262</v>
      </c>
      <c r="O239" s="355" t="s">
        <v>262</v>
      </c>
      <c r="P239" s="34"/>
    </row>
    <row r="240" spans="1:16" ht="15.75" thickBot="1">
      <c r="A240" s="152" t="s">
        <v>1131</v>
      </c>
      <c r="B240" s="152" t="s">
        <v>154</v>
      </c>
      <c r="C240" s="152" t="s">
        <v>147</v>
      </c>
      <c r="D240" s="152" t="s">
        <v>147</v>
      </c>
      <c r="E240" s="682">
        <v>3.6999999999999998E-2</v>
      </c>
      <c r="F240" s="172">
        <v>2</v>
      </c>
      <c r="G240" s="152" t="s">
        <v>156</v>
      </c>
      <c r="H240" s="252">
        <v>1</v>
      </c>
      <c r="I240" s="10"/>
      <c r="J240" s="10">
        <v>1</v>
      </c>
      <c r="K240" s="10">
        <v>1</v>
      </c>
      <c r="L240" s="10">
        <v>1</v>
      </c>
      <c r="M240" s="323">
        <v>3</v>
      </c>
      <c r="N240" s="411">
        <v>1.0141150152164344</v>
      </c>
      <c r="O240" s="355" t="s">
        <v>262</v>
      </c>
      <c r="P240" s="34"/>
    </row>
    <row r="241" spans="1:16" ht="15.75" thickBot="1">
      <c r="A241" s="345" t="s">
        <v>1131</v>
      </c>
      <c r="B241" s="345" t="s">
        <v>175</v>
      </c>
      <c r="C241" s="345" t="s">
        <v>147</v>
      </c>
      <c r="D241" s="345" t="s">
        <v>147</v>
      </c>
      <c r="E241" s="683">
        <v>3.5000000000000003E-2</v>
      </c>
      <c r="F241" s="353">
        <v>2</v>
      </c>
      <c r="G241" s="345" t="s">
        <v>212</v>
      </c>
      <c r="H241" s="349">
        <v>1</v>
      </c>
      <c r="I241" s="350"/>
      <c r="J241" s="350">
        <v>3</v>
      </c>
      <c r="K241" s="350">
        <v>3</v>
      </c>
      <c r="L241" s="350">
        <v>3</v>
      </c>
      <c r="M241" s="354">
        <v>2</v>
      </c>
      <c r="N241" s="411">
        <v>0.67101227267249941</v>
      </c>
      <c r="O241" s="355" t="s">
        <v>262</v>
      </c>
      <c r="P241" s="346"/>
    </row>
    <row r="242" spans="1:16" ht="15.75" thickBot="1">
      <c r="A242" s="233" t="s">
        <v>1046</v>
      </c>
      <c r="B242" s="60" t="s">
        <v>217</v>
      </c>
      <c r="C242" s="162" t="s">
        <v>147</v>
      </c>
      <c r="D242" s="60" t="s">
        <v>147</v>
      </c>
      <c r="E242" s="579">
        <v>2.7E-4</v>
      </c>
      <c r="F242" s="237">
        <v>2</v>
      </c>
      <c r="G242" s="162" t="s">
        <v>218</v>
      </c>
      <c r="H242" s="254">
        <v>1</v>
      </c>
      <c r="I242" s="66"/>
      <c r="J242" s="66">
        <v>1</v>
      </c>
      <c r="K242" s="66">
        <v>3</v>
      </c>
      <c r="L242" s="66">
        <v>3</v>
      </c>
      <c r="M242" s="300">
        <v>3</v>
      </c>
      <c r="N242" s="411">
        <v>1.1181151966036349</v>
      </c>
      <c r="O242" s="355" t="s">
        <v>262</v>
      </c>
      <c r="P242" s="60"/>
    </row>
    <row r="243" spans="1:16" ht="15.75" thickBot="1">
      <c r="A243" s="152" t="s">
        <v>1046</v>
      </c>
      <c r="B243" s="34" t="s">
        <v>173</v>
      </c>
      <c r="C243" s="40" t="s">
        <v>147</v>
      </c>
      <c r="D243" s="34" t="s">
        <v>147</v>
      </c>
      <c r="E243" s="243" t="s">
        <v>158</v>
      </c>
      <c r="F243" s="235">
        <v>1</v>
      </c>
      <c r="G243" s="40"/>
      <c r="H243" s="252"/>
      <c r="I243" s="10"/>
      <c r="J243" s="10"/>
      <c r="K243" s="10"/>
      <c r="L243" s="10"/>
      <c r="M243" s="298"/>
      <c r="N243" s="411" t="s">
        <v>262</v>
      </c>
      <c r="O243" s="355" t="s">
        <v>262</v>
      </c>
      <c r="P243" s="34"/>
    </row>
    <row r="244" spans="1:16" ht="15.75" thickBot="1">
      <c r="A244" s="152" t="s">
        <v>1046</v>
      </c>
      <c r="B244" s="34" t="s">
        <v>163</v>
      </c>
      <c r="C244" s="40" t="s">
        <v>147</v>
      </c>
      <c r="D244" s="34" t="s">
        <v>147</v>
      </c>
      <c r="E244" s="243">
        <v>1E-3</v>
      </c>
      <c r="F244" s="235">
        <v>2</v>
      </c>
      <c r="G244" s="40" t="s">
        <v>165</v>
      </c>
      <c r="H244" s="252">
        <v>1</v>
      </c>
      <c r="I244" s="10"/>
      <c r="J244" s="10">
        <v>1</v>
      </c>
      <c r="K244" s="10">
        <v>1</v>
      </c>
      <c r="L244" s="10">
        <v>1</v>
      </c>
      <c r="M244" s="298">
        <v>3</v>
      </c>
      <c r="N244" s="411">
        <v>1.0141150152164344</v>
      </c>
      <c r="O244" s="355" t="s">
        <v>262</v>
      </c>
      <c r="P244" s="34"/>
    </row>
    <row r="245" spans="1:16" ht="15.75" thickBot="1">
      <c r="A245" s="152" t="s">
        <v>1046</v>
      </c>
      <c r="B245" s="34" t="s">
        <v>154</v>
      </c>
      <c r="C245" s="40" t="s">
        <v>147</v>
      </c>
      <c r="D245" s="34" t="s">
        <v>147</v>
      </c>
      <c r="E245" s="243">
        <v>0</v>
      </c>
      <c r="F245" s="235">
        <v>2</v>
      </c>
      <c r="G245" s="40" t="s">
        <v>155</v>
      </c>
      <c r="H245" s="252"/>
      <c r="I245" s="10"/>
      <c r="J245" s="10"/>
      <c r="K245" s="10"/>
      <c r="L245" s="10"/>
      <c r="M245" s="298"/>
      <c r="N245" s="411" t="s">
        <v>262</v>
      </c>
      <c r="O245" s="355" t="s">
        <v>262</v>
      </c>
      <c r="P245" s="34"/>
    </row>
    <row r="246" spans="1:16" ht="15.75" thickBot="1">
      <c r="A246" s="230" t="s">
        <v>1046</v>
      </c>
      <c r="B246" s="150" t="s">
        <v>154</v>
      </c>
      <c r="C246" s="154" t="s">
        <v>147</v>
      </c>
      <c r="D246" s="150" t="s">
        <v>147</v>
      </c>
      <c r="E246" s="580">
        <v>3.7999999999999999E-2</v>
      </c>
      <c r="F246" s="238">
        <v>2</v>
      </c>
      <c r="G246" s="154" t="s">
        <v>156</v>
      </c>
      <c r="H246" s="251">
        <v>1</v>
      </c>
      <c r="I246" s="15"/>
      <c r="J246" s="15">
        <v>1</v>
      </c>
      <c r="K246" s="15">
        <v>1</v>
      </c>
      <c r="L246" s="15">
        <v>1</v>
      </c>
      <c r="M246" s="301">
        <v>3</v>
      </c>
      <c r="N246" s="411">
        <v>1.0141150152164344</v>
      </c>
      <c r="O246" s="355" t="s">
        <v>262</v>
      </c>
      <c r="P246" s="150"/>
    </row>
    <row r="247" spans="1:16" ht="15.75" thickBot="1">
      <c r="A247" s="345" t="s">
        <v>1046</v>
      </c>
      <c r="B247" s="346" t="s">
        <v>175</v>
      </c>
      <c r="C247" s="347" t="s">
        <v>147</v>
      </c>
      <c r="D247" s="346" t="s">
        <v>147</v>
      </c>
      <c r="E247" s="683">
        <v>3.5000000000000003E-2</v>
      </c>
      <c r="F247" s="348">
        <v>2</v>
      </c>
      <c r="G247" s="345" t="s">
        <v>212</v>
      </c>
      <c r="H247" s="349">
        <v>1</v>
      </c>
      <c r="I247" s="350"/>
      <c r="J247" s="350">
        <v>3</v>
      </c>
      <c r="K247" s="350">
        <v>3</v>
      </c>
      <c r="L247" s="350">
        <v>3</v>
      </c>
      <c r="M247" s="354">
        <v>2</v>
      </c>
      <c r="N247" s="411">
        <v>0.67101227267249941</v>
      </c>
      <c r="O247" s="355" t="s">
        <v>262</v>
      </c>
      <c r="P247" s="346"/>
    </row>
    <row r="248" spans="1:16" ht="15.75" thickBot="1">
      <c r="A248" s="151" t="s">
        <v>1133</v>
      </c>
      <c r="B248" s="33" t="s">
        <v>217</v>
      </c>
      <c r="C248" s="39" t="s">
        <v>147</v>
      </c>
      <c r="D248" s="33" t="s">
        <v>147</v>
      </c>
      <c r="E248" s="242">
        <v>2.7E-4</v>
      </c>
      <c r="F248" s="234">
        <v>2</v>
      </c>
      <c r="G248" s="39" t="s">
        <v>218</v>
      </c>
      <c r="H248" s="253">
        <v>1</v>
      </c>
      <c r="I248" s="13"/>
      <c r="J248" s="13">
        <v>1</v>
      </c>
      <c r="K248" s="13">
        <v>3</v>
      </c>
      <c r="L248" s="13">
        <v>3</v>
      </c>
      <c r="M248" s="322">
        <v>3</v>
      </c>
      <c r="N248" s="411">
        <v>1.1181151966036349</v>
      </c>
      <c r="O248" s="355" t="s">
        <v>262</v>
      </c>
      <c r="P248" s="33"/>
    </row>
    <row r="249" spans="1:16" ht="15.75" thickBot="1">
      <c r="A249" s="152" t="s">
        <v>1133</v>
      </c>
      <c r="B249" s="34" t="s">
        <v>173</v>
      </c>
      <c r="C249" s="40" t="s">
        <v>147</v>
      </c>
      <c r="D249" s="34" t="s">
        <v>147</v>
      </c>
      <c r="E249" s="684">
        <f>1-SUM(E250:E253,E248)</f>
        <v>0.92572999999999994</v>
      </c>
      <c r="F249" s="235">
        <v>1</v>
      </c>
      <c r="G249" s="40"/>
      <c r="H249" s="252"/>
      <c r="I249" s="10"/>
      <c r="J249" s="10"/>
      <c r="K249" s="10"/>
      <c r="L249" s="10"/>
      <c r="M249" s="323"/>
      <c r="N249" s="411" t="s">
        <v>262</v>
      </c>
      <c r="O249" s="355" t="s">
        <v>262</v>
      </c>
      <c r="P249" s="34"/>
    </row>
    <row r="250" spans="1:16" ht="15.75" thickBot="1">
      <c r="A250" s="152" t="s">
        <v>1133</v>
      </c>
      <c r="B250" s="34" t="s">
        <v>163</v>
      </c>
      <c r="C250" s="40" t="s">
        <v>147</v>
      </c>
      <c r="D250" s="34" t="s">
        <v>147</v>
      </c>
      <c r="E250" s="243">
        <v>1E-3</v>
      </c>
      <c r="F250" s="235">
        <v>2</v>
      </c>
      <c r="G250" s="40" t="s">
        <v>165</v>
      </c>
      <c r="H250" s="252">
        <v>1</v>
      </c>
      <c r="I250" s="10"/>
      <c r="J250" s="10">
        <v>1</v>
      </c>
      <c r="K250" s="10">
        <v>1</v>
      </c>
      <c r="L250" s="10">
        <v>1</v>
      </c>
      <c r="M250" s="323">
        <v>3</v>
      </c>
      <c r="N250" s="411">
        <v>1.0141150152164344</v>
      </c>
      <c r="O250" s="355" t="s">
        <v>262</v>
      </c>
      <c r="P250" s="34"/>
    </row>
    <row r="251" spans="1:16" ht="15.75" thickBot="1">
      <c r="A251" s="152" t="s">
        <v>1133</v>
      </c>
      <c r="B251" s="34" t="s">
        <v>154</v>
      </c>
      <c r="C251" s="40" t="s">
        <v>147</v>
      </c>
      <c r="D251" s="34" t="s">
        <v>147</v>
      </c>
      <c r="E251" s="243">
        <v>0</v>
      </c>
      <c r="F251" s="235">
        <v>2</v>
      </c>
      <c r="G251" s="40" t="s">
        <v>155</v>
      </c>
      <c r="H251" s="252"/>
      <c r="I251" s="10"/>
      <c r="J251" s="10"/>
      <c r="K251" s="10"/>
      <c r="L251" s="10"/>
      <c r="M251" s="323"/>
      <c r="N251" s="411" t="s">
        <v>262</v>
      </c>
      <c r="O251" s="355" t="s">
        <v>262</v>
      </c>
      <c r="P251" s="34"/>
    </row>
    <row r="252" spans="1:16" ht="15.75" thickBot="1">
      <c r="A252" s="152" t="s">
        <v>1133</v>
      </c>
      <c r="B252" s="34" t="s">
        <v>154</v>
      </c>
      <c r="C252" s="40" t="s">
        <v>147</v>
      </c>
      <c r="D252" s="34" t="s">
        <v>147</v>
      </c>
      <c r="E252" s="243">
        <v>3.7999999999999999E-2</v>
      </c>
      <c r="F252" s="235">
        <v>2</v>
      </c>
      <c r="G252" s="40" t="s">
        <v>156</v>
      </c>
      <c r="H252" s="252">
        <v>1</v>
      </c>
      <c r="I252" s="10"/>
      <c r="J252" s="10">
        <v>1</v>
      </c>
      <c r="K252" s="10">
        <v>1</v>
      </c>
      <c r="L252" s="10">
        <v>1</v>
      </c>
      <c r="M252" s="323">
        <v>3</v>
      </c>
      <c r="N252" s="411">
        <v>1.0141150152164344</v>
      </c>
      <c r="O252" s="355" t="s">
        <v>262</v>
      </c>
      <c r="P252" s="34"/>
    </row>
    <row r="253" spans="1:16" ht="15.75" thickBot="1">
      <c r="A253" s="345" t="s">
        <v>1133</v>
      </c>
      <c r="B253" s="346" t="s">
        <v>175</v>
      </c>
      <c r="C253" s="347" t="s">
        <v>147</v>
      </c>
      <c r="D253" s="346" t="s">
        <v>147</v>
      </c>
      <c r="E253" s="683">
        <v>3.5000000000000003E-2</v>
      </c>
      <c r="F253" s="348">
        <v>2</v>
      </c>
      <c r="G253" s="345" t="s">
        <v>212</v>
      </c>
      <c r="H253" s="349">
        <v>1</v>
      </c>
      <c r="I253" s="350"/>
      <c r="J253" s="350">
        <v>3</v>
      </c>
      <c r="K253" s="350">
        <v>3</v>
      </c>
      <c r="L253" s="350">
        <v>3</v>
      </c>
      <c r="M253" s="354">
        <v>2</v>
      </c>
      <c r="N253" s="411">
        <v>0.67101227267249941</v>
      </c>
      <c r="O253" s="355" t="s">
        <v>262</v>
      </c>
      <c r="P253" s="346"/>
    </row>
    <row r="376" spans="16:17" ht="18.75">
      <c r="P376" s="469"/>
      <c r="Q376" s="470"/>
    </row>
    <row r="377" spans="16:17">
      <c r="P377" s="471"/>
      <c r="Q377" s="472"/>
    </row>
    <row r="378" spans="16:17">
      <c r="P378" s="6"/>
      <c r="Q378" s="6"/>
    </row>
    <row r="379" spans="16:17">
      <c r="P379" s="6"/>
      <c r="Q379" s="6"/>
    </row>
    <row r="380" spans="16:17">
      <c r="P380" s="6"/>
      <c r="Q380" s="6"/>
    </row>
    <row r="381" spans="16:17">
      <c r="P381" s="6"/>
      <c r="Q381" s="6"/>
    </row>
    <row r="382" spans="16:17">
      <c r="P382" s="6"/>
      <c r="Q382" s="6"/>
    </row>
    <row r="383" spans="16:17">
      <c r="P383" s="6"/>
      <c r="Q383" s="6"/>
    </row>
    <row r="384" spans="16:17">
      <c r="P384" s="6"/>
      <c r="Q384" s="6"/>
    </row>
    <row r="385" spans="16:17">
      <c r="P385" s="6"/>
      <c r="Q385" s="6"/>
    </row>
    <row r="386" spans="16:17">
      <c r="P386" s="6"/>
      <c r="Q386" s="6"/>
    </row>
    <row r="387" spans="16:17">
      <c r="P387" s="6"/>
      <c r="Q387" s="6"/>
    </row>
    <row r="388" spans="16:17">
      <c r="P388" s="6"/>
      <c r="Q388" s="6"/>
    </row>
    <row r="389" spans="16:17">
      <c r="P389" s="6"/>
      <c r="Q389" s="6"/>
    </row>
    <row r="390" spans="16:17">
      <c r="P390" s="6"/>
      <c r="Q390" s="6"/>
    </row>
    <row r="391" spans="16:17">
      <c r="P391" s="6"/>
      <c r="Q391" s="6"/>
    </row>
    <row r="392" spans="16:17">
      <c r="P392" s="6"/>
      <c r="Q392" s="6"/>
    </row>
    <row r="393" spans="16:17">
      <c r="P393" s="6"/>
      <c r="Q393" s="6"/>
    </row>
    <row r="394" spans="16:17">
      <c r="P394" s="6"/>
      <c r="Q394" s="6"/>
    </row>
    <row r="395" spans="16:17">
      <c r="P395" s="6"/>
      <c r="Q395" s="6"/>
    </row>
    <row r="396" spans="16:17">
      <c r="P396" s="6"/>
      <c r="Q396" s="6"/>
    </row>
    <row r="397" spans="16:17">
      <c r="P397" s="6"/>
      <c r="Q397" s="6"/>
    </row>
    <row r="398" spans="16:17">
      <c r="P398" s="6"/>
      <c r="Q398" s="6"/>
    </row>
    <row r="399" spans="16:17">
      <c r="P399" s="6"/>
      <c r="Q399" s="6"/>
    </row>
    <row r="400" spans="16:17">
      <c r="P400" s="6"/>
      <c r="Q400" s="6"/>
    </row>
    <row r="401" spans="16:17">
      <c r="P401" s="6"/>
      <c r="Q401" s="6"/>
    </row>
    <row r="402" spans="16:17">
      <c r="P402" s="6"/>
      <c r="Q402" s="6"/>
    </row>
    <row r="403" spans="16:17">
      <c r="P403" s="6"/>
      <c r="Q403" s="6"/>
    </row>
    <row r="404" spans="16:17">
      <c r="P404" s="6"/>
      <c r="Q404" s="6"/>
    </row>
    <row r="405" spans="16:17">
      <c r="P405" s="6"/>
      <c r="Q405" s="6"/>
    </row>
    <row r="406" spans="16:17">
      <c r="P406" s="6"/>
      <c r="Q406" s="6"/>
    </row>
    <row r="407" spans="16:17">
      <c r="P407" s="6"/>
      <c r="Q407" s="6"/>
    </row>
    <row r="408" spans="16:17">
      <c r="P408" s="6"/>
      <c r="Q408" s="6"/>
    </row>
  </sheetData>
  <phoneticPr fontId="22" type="noConversion"/>
  <conditionalFormatting sqref="E235">
    <cfRule type="cellIs" dxfId="74" priority="40" operator="equal">
      <formula>1</formula>
    </cfRule>
    <cfRule type="cellIs" dxfId="73" priority="41" operator="equal">
      <formula>0</formula>
    </cfRule>
    <cfRule type="containsText" dxfId="72" priority="42" operator="containsText" text="rest">
      <formula>NOT(ISERROR(SEARCH("rest",E235)))</formula>
    </cfRule>
  </conditionalFormatting>
  <conditionalFormatting sqref="G9:K18">
    <cfRule type="cellIs" dxfId="71" priority="130" stopIfTrue="1" operator="notBetween">
      <formula>1</formula>
      <formula>4</formula>
    </cfRule>
    <cfRule type="dataBar" priority="131">
      <dataBar>
        <cfvo type="min"/>
        <cfvo type="num" val="4"/>
        <color rgb="FFFFC000"/>
      </dataBar>
      <extLst>
        <ext xmlns:x14="http://schemas.microsoft.com/office/spreadsheetml/2009/9/main" uri="{B025F937-C7B1-47D3-B67F-A62EFF666E3E}">
          <x14:id>{62E9FF6B-7CF9-48F4-8540-C7B62384D8C1}</x14:id>
        </ext>
      </extLst>
    </cfRule>
  </conditionalFormatting>
  <conditionalFormatting sqref="G29:K48">
    <cfRule type="cellIs" dxfId="70" priority="175" stopIfTrue="1" operator="notBetween">
      <formula>1</formula>
      <formula>4</formula>
    </cfRule>
    <cfRule type="dataBar" priority="6341">
      <dataBar>
        <cfvo type="min"/>
        <cfvo type="num" val="4"/>
        <color rgb="FFFFC000"/>
      </dataBar>
      <extLst>
        <ext xmlns:x14="http://schemas.microsoft.com/office/spreadsheetml/2009/9/main" uri="{B025F937-C7B1-47D3-B67F-A62EFF666E3E}">
          <x14:id>{38BB98F9-DAB9-4A34-A762-F3BDC089FF97}</x14:id>
        </ext>
      </extLst>
    </cfRule>
  </conditionalFormatting>
  <conditionalFormatting sqref="G9:L18">
    <cfRule type="containsBlanks" dxfId="69" priority="124">
      <formula>LEN(TRIM(G9))=0</formula>
    </cfRule>
  </conditionalFormatting>
  <conditionalFormatting sqref="H137:H138">
    <cfRule type="dataBar" priority="6">
      <dataBar>
        <cfvo type="min"/>
        <cfvo type="num" val="4"/>
        <color rgb="FFFFC000"/>
      </dataBar>
      <extLst>
        <ext xmlns:x14="http://schemas.microsoft.com/office/spreadsheetml/2009/9/main" uri="{B025F937-C7B1-47D3-B67F-A62EFF666E3E}">
          <x14:id>{4EF5BCAA-CC28-4140-B356-313A9B23B574}</x14:id>
        </ext>
      </extLst>
    </cfRule>
  </conditionalFormatting>
  <conditionalFormatting sqref="H140:H141">
    <cfRule type="dataBar" priority="24">
      <dataBar>
        <cfvo type="min"/>
        <cfvo type="num" val="4"/>
        <color rgb="FFFFC000"/>
      </dataBar>
      <extLst>
        <ext xmlns:x14="http://schemas.microsoft.com/office/spreadsheetml/2009/9/main" uri="{B025F937-C7B1-47D3-B67F-A62EFF666E3E}">
          <x14:id>{587DF8F8-2411-4FC8-A35D-42E00E24165F}</x14:id>
        </ext>
      </extLst>
    </cfRule>
  </conditionalFormatting>
  <conditionalFormatting sqref="H82:I91 K82:L91">
    <cfRule type="dataBar" priority="105">
      <dataBar>
        <cfvo type="min"/>
        <cfvo type="num" val="4"/>
        <color rgb="FFFFC000"/>
      </dataBar>
      <extLst>
        <ext xmlns:x14="http://schemas.microsoft.com/office/spreadsheetml/2009/9/main" uri="{B025F937-C7B1-47D3-B67F-A62EFF666E3E}">
          <x14:id>{BDB2F237-6848-40BF-A3FD-38ECF93F6C36}</x14:id>
        </ext>
      </extLst>
    </cfRule>
  </conditionalFormatting>
  <conditionalFormatting sqref="H92:I101 K92:L101">
    <cfRule type="dataBar" priority="101">
      <dataBar>
        <cfvo type="min"/>
        <cfvo type="num" val="4"/>
        <color rgb="FFFFC000"/>
      </dataBar>
      <extLst>
        <ext xmlns:x14="http://schemas.microsoft.com/office/spreadsheetml/2009/9/main" uri="{B025F937-C7B1-47D3-B67F-A62EFF666E3E}">
          <x14:id>{37D86314-E276-45A4-98E0-8CE151473E7B}</x14:id>
        </ext>
      </extLst>
    </cfRule>
  </conditionalFormatting>
  <conditionalFormatting sqref="H102:I111 K102:L111">
    <cfRule type="dataBar" priority="97">
      <dataBar>
        <cfvo type="min"/>
        <cfvo type="num" val="4"/>
        <color rgb="FFFFC000"/>
      </dataBar>
      <extLst>
        <ext xmlns:x14="http://schemas.microsoft.com/office/spreadsheetml/2009/9/main" uri="{B025F937-C7B1-47D3-B67F-A62EFF666E3E}">
          <x14:id>{06A48991-7EC4-43EA-BBEE-42AD58B1C52E}</x14:id>
        </ext>
      </extLst>
    </cfRule>
  </conditionalFormatting>
  <conditionalFormatting sqref="H52:M56 M72:M111 K72:L81 H57:I81 K57:M71 J57:J111">
    <cfRule type="dataBar" priority="112">
      <dataBar>
        <cfvo type="min"/>
        <cfvo type="num" val="4"/>
        <color rgb="FFFFC000"/>
      </dataBar>
      <extLst>
        <ext xmlns:x14="http://schemas.microsoft.com/office/spreadsheetml/2009/9/main" uri="{B025F937-C7B1-47D3-B67F-A62EFF666E3E}">
          <x14:id>{3AA19560-A59B-4184-8DF5-7381841414A9}</x14:id>
        </ext>
      </extLst>
    </cfRule>
  </conditionalFormatting>
  <conditionalFormatting sqref="H52:M149">
    <cfRule type="cellIs" dxfId="68" priority="2" stopIfTrue="1" operator="notBetween">
      <formula>1</formula>
      <formula>4</formula>
    </cfRule>
  </conditionalFormatting>
  <conditionalFormatting sqref="H112:M117">
    <cfRule type="dataBar" priority="85">
      <dataBar>
        <cfvo type="min"/>
        <cfvo type="num" val="4"/>
        <color rgb="FFFFC000"/>
      </dataBar>
      <extLst>
        <ext xmlns:x14="http://schemas.microsoft.com/office/spreadsheetml/2009/9/main" uri="{B025F937-C7B1-47D3-B67F-A62EFF666E3E}">
          <x14:id>{FCC2A88E-7158-4AED-AD2C-CD6E508F8E5E}</x14:id>
        </ext>
      </extLst>
    </cfRule>
  </conditionalFormatting>
  <conditionalFormatting sqref="H118:M123">
    <cfRule type="dataBar" priority="78">
      <dataBar>
        <cfvo type="min"/>
        <cfvo type="num" val="4"/>
        <color rgb="FFFFC000"/>
      </dataBar>
      <extLst>
        <ext xmlns:x14="http://schemas.microsoft.com/office/spreadsheetml/2009/9/main" uri="{B025F937-C7B1-47D3-B67F-A62EFF666E3E}">
          <x14:id>{51D38709-C750-4C80-87E9-F2EDFE52D62C}</x14:id>
        </ext>
      </extLst>
    </cfRule>
  </conditionalFormatting>
  <conditionalFormatting sqref="H124:M127">
    <cfRule type="dataBar" priority="61">
      <dataBar>
        <cfvo type="min"/>
        <cfvo type="num" val="4"/>
        <color rgb="FFFFC000"/>
      </dataBar>
      <extLst>
        <ext xmlns:x14="http://schemas.microsoft.com/office/spreadsheetml/2009/9/main" uri="{B025F937-C7B1-47D3-B67F-A62EFF666E3E}">
          <x14:id>{97F7280C-8152-4681-8522-433221E054E3}</x14:id>
        </ext>
      </extLst>
    </cfRule>
  </conditionalFormatting>
  <conditionalFormatting sqref="H128:M131">
    <cfRule type="dataBar" priority="64">
      <dataBar>
        <cfvo type="min"/>
        <cfvo type="num" val="4"/>
        <color rgb="FFFFC000"/>
      </dataBar>
      <extLst>
        <ext xmlns:x14="http://schemas.microsoft.com/office/spreadsheetml/2009/9/main" uri="{B025F937-C7B1-47D3-B67F-A62EFF666E3E}">
          <x14:id>{9824012E-933C-4569-B23F-DBF8C63874AA}</x14:id>
        </ext>
      </extLst>
    </cfRule>
  </conditionalFormatting>
  <conditionalFormatting sqref="H132:M133">
    <cfRule type="dataBar" priority="58">
      <dataBar>
        <cfvo type="min"/>
        <cfvo type="num" val="4"/>
        <color rgb="FFFFC000"/>
      </dataBar>
      <extLst>
        <ext xmlns:x14="http://schemas.microsoft.com/office/spreadsheetml/2009/9/main" uri="{B025F937-C7B1-47D3-B67F-A62EFF666E3E}">
          <x14:id>{47992DAE-33A3-48DB-8D15-6EDF6BC67A1B}</x14:id>
        </ext>
      </extLst>
    </cfRule>
  </conditionalFormatting>
  <conditionalFormatting sqref="H134:M135">
    <cfRule type="dataBar" priority="55">
      <dataBar>
        <cfvo type="min"/>
        <cfvo type="num" val="4"/>
        <color rgb="FFFFC000"/>
      </dataBar>
      <extLst>
        <ext xmlns:x14="http://schemas.microsoft.com/office/spreadsheetml/2009/9/main" uri="{B025F937-C7B1-47D3-B67F-A62EFF666E3E}">
          <x14:id>{B2B4F89C-9E79-4009-AF2C-16B13319B971}</x14:id>
        </ext>
      </extLst>
    </cfRule>
  </conditionalFormatting>
  <conditionalFormatting sqref="H142:M149 H136:M136 H139:M139">
    <cfRule type="dataBar" priority="52">
      <dataBar>
        <cfvo type="min"/>
        <cfvo type="num" val="4"/>
        <color rgb="FFFFC000"/>
      </dataBar>
      <extLst>
        <ext xmlns:x14="http://schemas.microsoft.com/office/spreadsheetml/2009/9/main" uri="{B025F937-C7B1-47D3-B67F-A62EFF666E3E}">
          <x14:id>{503F7DE9-B4E7-4D39-9C1A-42805FC5671F}</x14:id>
        </ext>
      </extLst>
    </cfRule>
  </conditionalFormatting>
  <conditionalFormatting sqref="H236:M253">
    <cfRule type="cellIs" dxfId="67" priority="92" stopIfTrue="1" operator="notBetween">
      <formula>1</formula>
      <formula>4</formula>
    </cfRule>
    <cfRule type="dataBar" priority="7618">
      <dataBar>
        <cfvo type="min"/>
        <cfvo type="num" val="4"/>
        <color rgb="FFFFC000"/>
      </dataBar>
      <extLst>
        <ext xmlns:x14="http://schemas.microsoft.com/office/spreadsheetml/2009/9/main" uri="{B025F937-C7B1-47D3-B67F-A62EFF666E3E}">
          <x14:id>{1DB1F7E5-1B76-4469-AF28-1F59C90FCDE7}</x14:id>
        </ext>
      </extLst>
    </cfRule>
  </conditionalFormatting>
  <conditionalFormatting sqref="H52:O149">
    <cfRule type="containsBlanks" dxfId="66" priority="1">
      <formula>LEN(TRIM(H52))=0</formula>
    </cfRule>
  </conditionalFormatting>
  <conditionalFormatting sqref="H236:O253">
    <cfRule type="containsBlanks" dxfId="65" priority="87">
      <formula>LEN(TRIM(H236))=0</formula>
    </cfRule>
  </conditionalFormatting>
  <conditionalFormatting sqref="I137:I138">
    <cfRule type="dataBar" priority="9">
      <dataBar>
        <cfvo type="min"/>
        <cfvo type="num" val="4"/>
        <color rgb="FFFFC000"/>
      </dataBar>
      <extLst>
        <ext xmlns:x14="http://schemas.microsoft.com/office/spreadsheetml/2009/9/main" uri="{B025F937-C7B1-47D3-B67F-A62EFF666E3E}">
          <x14:id>{13078C8B-BF01-4200-B1AB-B8D1BD61354E}</x14:id>
        </ext>
      </extLst>
    </cfRule>
  </conditionalFormatting>
  <conditionalFormatting sqref="I140:I141">
    <cfRule type="dataBar" priority="27">
      <dataBar>
        <cfvo type="min"/>
        <cfvo type="num" val="4"/>
        <color rgb="FFFFC000"/>
      </dataBar>
      <extLst>
        <ext xmlns:x14="http://schemas.microsoft.com/office/spreadsheetml/2009/9/main" uri="{B025F937-C7B1-47D3-B67F-A62EFF666E3E}">
          <x14:id>{815A4913-A24E-4273-B763-41C62CF7B400}</x14:id>
        </ext>
      </extLst>
    </cfRule>
  </conditionalFormatting>
  <conditionalFormatting sqref="J137:J138">
    <cfRule type="dataBar" priority="3">
      <dataBar>
        <cfvo type="min"/>
        <cfvo type="num" val="4"/>
        <color rgb="FFFFC000"/>
      </dataBar>
      <extLst>
        <ext xmlns:x14="http://schemas.microsoft.com/office/spreadsheetml/2009/9/main" uri="{B025F937-C7B1-47D3-B67F-A62EFF666E3E}">
          <x14:id>{94EF0653-39E0-4293-9312-A66C20AB7E98}</x14:id>
        </ext>
      </extLst>
    </cfRule>
  </conditionalFormatting>
  <conditionalFormatting sqref="J140:J141">
    <cfRule type="dataBar" priority="21">
      <dataBar>
        <cfvo type="min"/>
        <cfvo type="num" val="4"/>
        <color rgb="FFFFC000"/>
      </dataBar>
      <extLst>
        <ext xmlns:x14="http://schemas.microsoft.com/office/spreadsheetml/2009/9/main" uri="{B025F937-C7B1-47D3-B67F-A62EFF666E3E}">
          <x14:id>{7C8448E1-1E3E-4105-9E4E-23C51661BA30}</x14:id>
        </ext>
      </extLst>
    </cfRule>
  </conditionalFormatting>
  <conditionalFormatting sqref="K137:K138">
    <cfRule type="dataBar" priority="18">
      <dataBar>
        <cfvo type="min"/>
        <cfvo type="num" val="4"/>
        <color rgb="FFFFC000"/>
      </dataBar>
      <extLst>
        <ext xmlns:x14="http://schemas.microsoft.com/office/spreadsheetml/2009/9/main" uri="{B025F937-C7B1-47D3-B67F-A62EFF666E3E}">
          <x14:id>{D9B0D3FA-AEAD-47ED-BE9A-C695C87A9F7C}</x14:id>
        </ext>
      </extLst>
    </cfRule>
  </conditionalFormatting>
  <conditionalFormatting sqref="K140:K141">
    <cfRule type="dataBar" priority="36">
      <dataBar>
        <cfvo type="min"/>
        <cfvo type="num" val="4"/>
        <color rgb="FFFFC000"/>
      </dataBar>
      <extLst>
        <ext xmlns:x14="http://schemas.microsoft.com/office/spreadsheetml/2009/9/main" uri="{B025F937-C7B1-47D3-B67F-A62EFF666E3E}">
          <x14:id>{C72AAD87-3C77-4826-A5AC-B3A5425797C8}</x14:id>
        </ext>
      </extLst>
    </cfRule>
  </conditionalFormatting>
  <conditionalFormatting sqref="L9 L14">
    <cfRule type="dataBar" priority="129">
      <dataBar>
        <cfvo type="min"/>
        <cfvo type="max"/>
        <color rgb="FF3FCDFF"/>
      </dataBar>
      <extLst>
        <ext xmlns:x14="http://schemas.microsoft.com/office/spreadsheetml/2009/9/main" uri="{B025F937-C7B1-47D3-B67F-A62EFF666E3E}">
          <x14:id>{044E6AFD-5884-4730-8F9B-D1FED7638C58}</x14:id>
        </ext>
      </extLst>
    </cfRule>
  </conditionalFormatting>
  <conditionalFormatting sqref="L10 L15">
    <cfRule type="dataBar" priority="128">
      <dataBar>
        <cfvo type="min"/>
        <cfvo type="max"/>
        <color rgb="FF3FCDFF"/>
      </dataBar>
      <extLst>
        <ext xmlns:x14="http://schemas.microsoft.com/office/spreadsheetml/2009/9/main" uri="{B025F937-C7B1-47D3-B67F-A62EFF666E3E}">
          <x14:id>{4184BAEB-7C7D-45D5-8AE5-091882005915}</x14:id>
        </ext>
      </extLst>
    </cfRule>
  </conditionalFormatting>
  <conditionalFormatting sqref="L11 L16">
    <cfRule type="dataBar" priority="127">
      <dataBar>
        <cfvo type="min"/>
        <cfvo type="max"/>
        <color rgb="FF3FCDFF"/>
      </dataBar>
      <extLst>
        <ext xmlns:x14="http://schemas.microsoft.com/office/spreadsheetml/2009/9/main" uri="{B025F937-C7B1-47D3-B67F-A62EFF666E3E}">
          <x14:id>{2CCB765B-BDB5-4CD2-A151-ECEC43AAA02E}</x14:id>
        </ext>
      </extLst>
    </cfRule>
  </conditionalFormatting>
  <conditionalFormatting sqref="L12 L17">
    <cfRule type="dataBar" priority="126">
      <dataBar>
        <cfvo type="min"/>
        <cfvo type="max"/>
        <color rgb="FF3FCDFF"/>
      </dataBar>
      <extLst>
        <ext xmlns:x14="http://schemas.microsoft.com/office/spreadsheetml/2009/9/main" uri="{B025F937-C7B1-47D3-B67F-A62EFF666E3E}">
          <x14:id>{E6CA4EA7-1277-4529-BAE5-E027076BED09}</x14:id>
        </ext>
      </extLst>
    </cfRule>
  </conditionalFormatting>
  <conditionalFormatting sqref="L13 L18">
    <cfRule type="dataBar" priority="125">
      <dataBar>
        <cfvo type="min"/>
        <cfvo type="max"/>
        <color rgb="FF3FCDFF"/>
      </dataBar>
      <extLst>
        <ext xmlns:x14="http://schemas.microsoft.com/office/spreadsheetml/2009/9/main" uri="{B025F937-C7B1-47D3-B67F-A62EFF666E3E}">
          <x14:id>{B0E58DDB-B93B-469D-83F7-0C2B5A3CB48D}</x14:id>
        </ext>
      </extLst>
    </cfRule>
  </conditionalFormatting>
  <conditionalFormatting sqref="L29 L39 L34 L44">
    <cfRule type="dataBar" priority="121">
      <dataBar>
        <cfvo type="min"/>
        <cfvo type="max"/>
        <color rgb="FF3FCDFF"/>
      </dataBar>
      <extLst>
        <ext xmlns:x14="http://schemas.microsoft.com/office/spreadsheetml/2009/9/main" uri="{B025F937-C7B1-47D3-B67F-A62EFF666E3E}">
          <x14:id>{532D4628-7402-4936-8CF5-18DCA0889570}</x14:id>
        </ext>
      </extLst>
    </cfRule>
  </conditionalFormatting>
  <conditionalFormatting sqref="L30 L40 L35 L45">
    <cfRule type="dataBar" priority="120">
      <dataBar>
        <cfvo type="min"/>
        <cfvo type="max"/>
        <color rgb="FF3FCDFF"/>
      </dataBar>
      <extLst>
        <ext xmlns:x14="http://schemas.microsoft.com/office/spreadsheetml/2009/9/main" uri="{B025F937-C7B1-47D3-B67F-A62EFF666E3E}">
          <x14:id>{9579316F-07BA-41EA-9D16-2117F5379859}</x14:id>
        </ext>
      </extLst>
    </cfRule>
  </conditionalFormatting>
  <conditionalFormatting sqref="L31 L41 L36 L46">
    <cfRule type="dataBar" priority="119">
      <dataBar>
        <cfvo type="min"/>
        <cfvo type="max"/>
        <color rgb="FF3FCDFF"/>
      </dataBar>
      <extLst>
        <ext xmlns:x14="http://schemas.microsoft.com/office/spreadsheetml/2009/9/main" uri="{B025F937-C7B1-47D3-B67F-A62EFF666E3E}">
          <x14:id>{4112D8BB-EA2C-4153-B98D-3F072BBE47C6}</x14:id>
        </ext>
      </extLst>
    </cfRule>
  </conditionalFormatting>
  <conditionalFormatting sqref="L32 L42 L37 L47">
    <cfRule type="dataBar" priority="118">
      <dataBar>
        <cfvo type="min"/>
        <cfvo type="max"/>
        <color rgb="FF3FCDFF"/>
      </dataBar>
      <extLst>
        <ext xmlns:x14="http://schemas.microsoft.com/office/spreadsheetml/2009/9/main" uri="{B025F937-C7B1-47D3-B67F-A62EFF666E3E}">
          <x14:id>{CCB09693-BFF1-4E71-855C-1AE120A41457}</x14:id>
        </ext>
      </extLst>
    </cfRule>
  </conditionalFormatting>
  <conditionalFormatting sqref="L33 L43 L38 L48">
    <cfRule type="dataBar" priority="117">
      <dataBar>
        <cfvo type="min"/>
        <cfvo type="max"/>
        <color rgb="FF3FCDFF"/>
      </dataBar>
      <extLst>
        <ext xmlns:x14="http://schemas.microsoft.com/office/spreadsheetml/2009/9/main" uri="{B025F937-C7B1-47D3-B67F-A62EFF666E3E}">
          <x14:id>{3DD80B76-9152-4DE8-8550-8424654C2349}</x14:id>
        </ext>
      </extLst>
    </cfRule>
  </conditionalFormatting>
  <conditionalFormatting sqref="L137:L138">
    <cfRule type="dataBar" priority="15">
      <dataBar>
        <cfvo type="min"/>
        <cfvo type="num" val="4"/>
        <color rgb="FFFFC000"/>
      </dataBar>
      <extLst>
        <ext xmlns:x14="http://schemas.microsoft.com/office/spreadsheetml/2009/9/main" uri="{B025F937-C7B1-47D3-B67F-A62EFF666E3E}">
          <x14:id>{2D9908F9-0B2B-46B9-8D15-1A25F27574D4}</x14:id>
        </ext>
      </extLst>
    </cfRule>
  </conditionalFormatting>
  <conditionalFormatting sqref="L140:L141">
    <cfRule type="dataBar" priority="33">
      <dataBar>
        <cfvo type="min"/>
        <cfvo type="num" val="4"/>
        <color rgb="FFFFC000"/>
      </dataBar>
      <extLst>
        <ext xmlns:x14="http://schemas.microsoft.com/office/spreadsheetml/2009/9/main" uri="{B025F937-C7B1-47D3-B67F-A62EFF666E3E}">
          <x14:id>{F26C3E51-45A6-4FDB-A93F-C42718E41EFE}</x14:id>
        </ext>
      </extLst>
    </cfRule>
  </conditionalFormatting>
  <conditionalFormatting sqref="M137:M138">
    <cfRule type="dataBar" priority="12">
      <dataBar>
        <cfvo type="min"/>
        <cfvo type="num" val="4"/>
        <color rgb="FFFFC000"/>
      </dataBar>
      <extLst>
        <ext xmlns:x14="http://schemas.microsoft.com/office/spreadsheetml/2009/9/main" uri="{B025F937-C7B1-47D3-B67F-A62EFF666E3E}">
          <x14:id>{6BF08E2B-AD37-4044-991B-0CA550689FB1}</x14:id>
        </ext>
      </extLst>
    </cfRule>
  </conditionalFormatting>
  <conditionalFormatting sqref="M140:M141">
    <cfRule type="dataBar" priority="30">
      <dataBar>
        <cfvo type="min"/>
        <cfvo type="num" val="4"/>
        <color rgb="FFFFC000"/>
      </dataBar>
      <extLst>
        <ext xmlns:x14="http://schemas.microsoft.com/office/spreadsheetml/2009/9/main" uri="{B025F937-C7B1-47D3-B67F-A62EFF666E3E}">
          <x14:id>{4699F706-80CC-434B-8686-F6C92A94EB75}</x14:id>
        </ext>
      </extLst>
    </cfRule>
  </conditionalFormatting>
  <conditionalFormatting sqref="N52:N135">
    <cfRule type="dataBar" priority="6342">
      <dataBar>
        <cfvo type="min"/>
        <cfvo type="max"/>
        <color rgb="FF3FCDFF"/>
      </dataBar>
      <extLst>
        <ext xmlns:x14="http://schemas.microsoft.com/office/spreadsheetml/2009/9/main" uri="{B025F937-C7B1-47D3-B67F-A62EFF666E3E}">
          <x14:id>{413D993E-6473-4125-9F1E-007ED25FA0E5}</x14:id>
        </ext>
      </extLst>
    </cfRule>
  </conditionalFormatting>
  <conditionalFormatting sqref="N136:N149">
    <cfRule type="dataBar" priority="47">
      <dataBar>
        <cfvo type="min"/>
        <cfvo type="max"/>
        <color rgb="FF3FCDFF"/>
      </dataBar>
      <extLst>
        <ext xmlns:x14="http://schemas.microsoft.com/office/spreadsheetml/2009/9/main" uri="{B025F937-C7B1-47D3-B67F-A62EFF666E3E}">
          <x14:id>{AE781AFE-1F2C-41CD-9A35-52D4128544AB}</x14:id>
        </ext>
      </extLst>
    </cfRule>
  </conditionalFormatting>
  <conditionalFormatting sqref="N236:N253">
    <cfRule type="dataBar" priority="7619">
      <dataBar>
        <cfvo type="min"/>
        <cfvo type="max"/>
        <color rgb="FF3FCDFF"/>
      </dataBar>
      <extLst>
        <ext xmlns:x14="http://schemas.microsoft.com/office/spreadsheetml/2009/9/main" uri="{B025F937-C7B1-47D3-B67F-A62EFF666E3E}">
          <x14:id>{8F136090-05E9-4BFE-9915-7472FA976C62}</x14:id>
        </ext>
      </extLst>
    </cfRule>
  </conditionalFormatting>
  <conditionalFormatting sqref="O8">
    <cfRule type="dataBar" priority="147">
      <dataBar>
        <cfvo type="min"/>
        <cfvo type="max"/>
        <color rgb="FF3FCDFF"/>
      </dataBar>
      <extLst>
        <ext xmlns:x14="http://schemas.microsoft.com/office/spreadsheetml/2009/9/main" uri="{B025F937-C7B1-47D3-B67F-A62EFF666E3E}">
          <x14:id>{77F46D7A-D3C0-464F-B4B8-4DD98E1D8531}</x14:id>
        </ext>
      </extLst>
    </cfRule>
  </conditionalFormatting>
  <conditionalFormatting sqref="O8:O12 G29:L48">
    <cfRule type="containsBlanks" dxfId="64" priority="138">
      <formula>LEN(TRIM(G8))=0</formula>
    </cfRule>
  </conditionalFormatting>
  <conditionalFormatting sqref="O9">
    <cfRule type="dataBar" priority="145">
      <dataBar>
        <cfvo type="min"/>
        <cfvo type="max"/>
        <color rgb="FF3FCDFF"/>
      </dataBar>
      <extLst>
        <ext xmlns:x14="http://schemas.microsoft.com/office/spreadsheetml/2009/9/main" uri="{B025F937-C7B1-47D3-B67F-A62EFF666E3E}">
          <x14:id>{BC556352-4E74-4E62-9109-E28D996E445F}</x14:id>
        </ext>
      </extLst>
    </cfRule>
  </conditionalFormatting>
  <conditionalFormatting sqref="O10">
    <cfRule type="dataBar" priority="143">
      <dataBar>
        <cfvo type="min"/>
        <cfvo type="max"/>
        <color rgb="FF3FCDFF"/>
      </dataBar>
      <extLst>
        <ext xmlns:x14="http://schemas.microsoft.com/office/spreadsheetml/2009/9/main" uri="{B025F937-C7B1-47D3-B67F-A62EFF666E3E}">
          <x14:id>{F42FDA4B-0BC5-4C08-A7D4-E0C62CFB8228}</x14:id>
        </ext>
      </extLst>
    </cfRule>
  </conditionalFormatting>
  <conditionalFormatting sqref="O11">
    <cfRule type="dataBar" priority="141">
      <dataBar>
        <cfvo type="min"/>
        <cfvo type="max"/>
        <color rgb="FF3FCDFF"/>
      </dataBar>
      <extLst>
        <ext xmlns:x14="http://schemas.microsoft.com/office/spreadsheetml/2009/9/main" uri="{B025F937-C7B1-47D3-B67F-A62EFF666E3E}">
          <x14:id>{A17CC17F-7983-4168-B1F0-14A78A381BE8}</x14:id>
        </ext>
      </extLst>
    </cfRule>
  </conditionalFormatting>
  <conditionalFormatting sqref="O12">
    <cfRule type="dataBar" priority="139">
      <dataBar>
        <cfvo type="min"/>
        <cfvo type="max"/>
        <color rgb="FF3FCDFF"/>
      </dataBar>
      <extLst>
        <ext xmlns:x14="http://schemas.microsoft.com/office/spreadsheetml/2009/9/main" uri="{B025F937-C7B1-47D3-B67F-A62EFF666E3E}">
          <x14:id>{2EA17CFE-D0B3-48D7-97DD-B4721411EDDB}</x14:id>
        </ext>
      </extLst>
    </cfRule>
  </conditionalFormatting>
  <conditionalFormatting sqref="O19:O23">
    <cfRule type="containsBlanks" dxfId="63" priority="156">
      <formula>LEN(TRIM(O19))=0</formula>
    </cfRule>
    <cfRule type="dataBar" priority="157">
      <dataBar>
        <cfvo type="min"/>
        <cfvo type="max"/>
        <color rgb="FF3FCDFF"/>
      </dataBar>
      <extLst>
        <ext xmlns:x14="http://schemas.microsoft.com/office/spreadsheetml/2009/9/main" uri="{B025F937-C7B1-47D3-B67F-A62EFF666E3E}">
          <x14:id>{E3CDCA83-FFF2-4477-BE3A-A6896D88673B}</x14:id>
        </ext>
      </extLst>
    </cfRule>
  </conditionalFormatting>
  <conditionalFormatting sqref="O52:O135">
    <cfRule type="dataBar" priority="6344">
      <dataBar>
        <cfvo type="min"/>
        <cfvo type="max"/>
        <color rgb="FF3FCDFF"/>
      </dataBar>
      <extLst>
        <ext xmlns:x14="http://schemas.microsoft.com/office/spreadsheetml/2009/9/main" uri="{B025F937-C7B1-47D3-B67F-A62EFF666E3E}">
          <x14:id>{240C1EB0-A950-4C5C-BBC7-0F4E6502BF83}</x14:id>
        </ext>
      </extLst>
    </cfRule>
  </conditionalFormatting>
  <conditionalFormatting sqref="O136:O149">
    <cfRule type="dataBar" priority="48">
      <dataBar>
        <cfvo type="min"/>
        <cfvo type="max"/>
        <color rgb="FF3FCDFF"/>
      </dataBar>
      <extLst>
        <ext xmlns:x14="http://schemas.microsoft.com/office/spreadsheetml/2009/9/main" uri="{B025F937-C7B1-47D3-B67F-A62EFF666E3E}">
          <x14:id>{7130BCB1-A014-4EDA-8A28-10A79FF71292}</x14:id>
        </ext>
      </extLst>
    </cfRule>
  </conditionalFormatting>
  <conditionalFormatting sqref="O236:O253">
    <cfRule type="dataBar" priority="7620">
      <dataBar>
        <cfvo type="min"/>
        <cfvo type="max"/>
        <color rgb="FF3FCDFF"/>
      </dataBar>
      <extLst>
        <ext xmlns:x14="http://schemas.microsoft.com/office/spreadsheetml/2009/9/main" uri="{B025F937-C7B1-47D3-B67F-A62EFF666E3E}">
          <x14:id>{AF836228-A7FA-4A92-A993-106CE664609D}</x14:id>
        </ext>
      </extLst>
    </cfRule>
  </conditionalFormatting>
  <conditionalFormatting sqref="P114">
    <cfRule type="containsText" dxfId="62" priority="79" operator="containsText" text="Actual TC">
      <formula>NOT(ISERROR(SEARCH("Actual TC",P114)))</formula>
    </cfRule>
  </conditionalFormatting>
  <conditionalFormatting sqref="P118:P149">
    <cfRule type="containsText" dxfId="61" priority="50" operator="containsText" text="Actual TC">
      <formula>NOT(ISERROR(SEARCH("Actual TC",P118)))</formula>
    </cfRule>
  </conditionalFormatting>
  <conditionalFormatting sqref="P236:P253">
    <cfRule type="containsText" dxfId="60" priority="91" operator="containsText" text="Actual TC">
      <formula>NOT(ISERROR(SEARCH("Actual TC",P236)))</formula>
    </cfRule>
  </conditionalFormatting>
  <hyperlinks>
    <hyperlink ref="F4" r:id="rId1" display="https://web.archive.org/web/20230930160250/https:/apeeurope.eu/statistics/" xr:uid="{7DE040F0-3F27-4CB5-8A55-6263402F0C26}"/>
    <hyperlink ref="F5" r:id="rId2" display="https://web.archive.org/web/20230930160250/https:/apeeurope.eu/statistics/" xr:uid="{3D134E28-EB05-417B-9E8D-60FB22D5F083}"/>
    <hyperlink ref="F9" r:id="rId3" display="https://web.archive.org/web/20230930160250/https:/apeeurope.eu/statistics/" xr:uid="{9026BB22-68C1-4FE0-B4E9-6E3F84B15491}"/>
    <hyperlink ref="F10:F18" r:id="rId4" display="https://web.archive.org/web/20230930160250/https:/apeeurope.eu/statistics/" xr:uid="{D333CF03-45F5-42EA-AE9A-1C6647CA1B93}"/>
    <hyperlink ref="F22" r:id="rId5" display="https://web.archive.org/web/20230930160250/https:/apeeurope.eu/statistics/" xr:uid="{2EB8F6D5-4000-445D-BF36-5931C0FE4B8A}"/>
    <hyperlink ref="F23" r:id="rId6" display="https://web.archive.org/web/20230930160250/https:/apeeurope.eu/statistics/" xr:uid="{AA0E9160-BA04-4B16-B21B-DB6A525E0E16}"/>
    <hyperlink ref="F24" r:id="rId7" display="https://web.archive.org/web/20230930160250/https:/apeeurope.eu/statistics/" xr:uid="{5BBEF317-69BA-4F5D-AF19-3BFE96F20298}"/>
    <hyperlink ref="F25" r:id="rId8" display="https://web.archive.org/web/20230930160250/https:/apeeurope.eu/statistics/" xr:uid="{40157213-AECB-4431-959B-6BACB543B632}"/>
    <hyperlink ref="F29" r:id="rId9" display="https://web.archive.org/web/20230930160250/https:/apeeurope.eu/statistics/" xr:uid="{F2042F78-3200-4045-8273-C4D8D2A7C115}"/>
    <hyperlink ref="F30" r:id="rId10" display="https://web.archive.org/web/20230930160250/https:/apeeurope.eu/statistics/" xr:uid="{34A17C65-BC7B-4343-AD37-C5159429F8C1}"/>
    <hyperlink ref="F31" r:id="rId11" display="https://web.archive.org/web/20230930160250/https:/apeeurope.eu/statistics/" xr:uid="{C1655A2F-6A2B-43E9-B88A-DC78486D0652}"/>
    <hyperlink ref="F32" r:id="rId12" display="https://web.archive.org/web/20230930160250/https:/apeeurope.eu/statistics/" xr:uid="{C8D656CF-9F38-4EA5-8FB7-91FA4EB36F02}"/>
    <hyperlink ref="F33" r:id="rId13" display="https://web.archive.org/web/20230930160250/https:/apeeurope.eu/statistics/" xr:uid="{9E836A76-B254-4805-8A90-720D42515096}"/>
    <hyperlink ref="F39" r:id="rId14" display="https://web.archive.org/web/20230930160250/https:/apeeurope.eu/statistics/" xr:uid="{3379147D-166F-4CB2-A0DA-D2C5D7BEEA4C}"/>
    <hyperlink ref="F40" r:id="rId15" display="https://web.archive.org/web/20230930160250/https:/apeeurope.eu/statistics/" xr:uid="{54A4B260-B3B9-4C81-96B6-2EBF1920DE72}"/>
    <hyperlink ref="F41" r:id="rId16" display="https://web.archive.org/web/20230930160250/https:/apeeurope.eu/statistics/" xr:uid="{DA006BC8-B206-4613-B321-C6AF048F5303}"/>
    <hyperlink ref="F42" r:id="rId17" display="https://web.archive.org/web/20230930160250/https:/apeeurope.eu/statistics/" xr:uid="{F21E6193-965D-47A0-A813-F27C2B6F90FF}"/>
    <hyperlink ref="F43" r:id="rId18" display="https://web.archive.org/web/20230930160250/https:/apeeurope.eu/statistics/" xr:uid="{49045764-41E6-4B11-9D64-7320C1FE9683}"/>
    <hyperlink ref="D224" r:id="rId19" xr:uid="{C2EFE451-E627-41F9-BADF-3163BA11ACA5}"/>
  </hyperlinks>
  <pageMargins left="0.7" right="0.7" top="0.75" bottom="0.75" header="0.3" footer="0.3"/>
  <pageSetup orientation="portrait" r:id="rId20"/>
  <extLst>
    <ext xmlns:x14="http://schemas.microsoft.com/office/spreadsheetml/2009/9/main" uri="{78C0D931-6437-407d-A8EE-F0AAD7539E65}">
      <x14:conditionalFormattings>
        <x14:conditionalFormatting xmlns:xm="http://schemas.microsoft.com/office/excel/2006/main">
          <x14:cfRule type="dataBar" id="{62E9FF6B-7CF9-48F4-8540-C7B62384D8C1}">
            <x14:dataBar minLength="0" maxLength="100" gradient="0">
              <x14:cfvo type="autoMin"/>
              <x14:cfvo type="num">
                <xm:f>4</xm:f>
              </x14:cfvo>
              <x14:negativeFillColor rgb="FFFF0000"/>
              <x14:axisColor rgb="FF000000"/>
            </x14:dataBar>
          </x14:cfRule>
          <xm:sqref>G9:K18</xm:sqref>
        </x14:conditionalFormatting>
        <x14:conditionalFormatting xmlns:xm="http://schemas.microsoft.com/office/excel/2006/main">
          <x14:cfRule type="dataBar" id="{38BB98F9-DAB9-4A34-A762-F3BDC089FF97}">
            <x14:dataBar minLength="0" maxLength="100" gradient="0">
              <x14:cfvo type="autoMin"/>
              <x14:cfvo type="num">
                <xm:f>4</xm:f>
              </x14:cfvo>
              <x14:negativeFillColor rgb="FFFF0000"/>
              <x14:axisColor rgb="FF000000"/>
            </x14:dataBar>
          </x14:cfRule>
          <xm:sqref>G29:K48</xm:sqref>
        </x14:conditionalFormatting>
        <x14:conditionalFormatting xmlns:xm="http://schemas.microsoft.com/office/excel/2006/main">
          <x14:cfRule type="dataBar" id="{4EF5BCAA-CC28-4140-B356-313A9B23B574}">
            <x14:dataBar minLength="0" maxLength="100" gradient="0">
              <x14:cfvo type="autoMin"/>
              <x14:cfvo type="num">
                <xm:f>4</xm:f>
              </x14:cfvo>
              <x14:negativeFillColor rgb="FFFF0000"/>
              <x14:axisColor rgb="FF000000"/>
            </x14:dataBar>
          </x14:cfRule>
          <xm:sqref>H137:H138</xm:sqref>
        </x14:conditionalFormatting>
        <x14:conditionalFormatting xmlns:xm="http://schemas.microsoft.com/office/excel/2006/main">
          <x14:cfRule type="dataBar" id="{587DF8F8-2411-4FC8-A35D-42E00E24165F}">
            <x14:dataBar minLength="0" maxLength="100" gradient="0">
              <x14:cfvo type="autoMin"/>
              <x14:cfvo type="num">
                <xm:f>4</xm:f>
              </x14:cfvo>
              <x14:negativeFillColor rgb="FFFF0000"/>
              <x14:axisColor rgb="FF000000"/>
            </x14:dataBar>
          </x14:cfRule>
          <xm:sqref>H140:H141</xm:sqref>
        </x14:conditionalFormatting>
        <x14:conditionalFormatting xmlns:xm="http://schemas.microsoft.com/office/excel/2006/main">
          <x14:cfRule type="dataBar" id="{BDB2F237-6848-40BF-A3FD-38ECF93F6C36}">
            <x14:dataBar minLength="0" maxLength="100" gradient="0">
              <x14:cfvo type="autoMin"/>
              <x14:cfvo type="num">
                <xm:f>4</xm:f>
              </x14:cfvo>
              <x14:negativeFillColor rgb="FFFF0000"/>
              <x14:axisColor rgb="FF000000"/>
            </x14:dataBar>
          </x14:cfRule>
          <xm:sqref>H82:I91 K82:L91</xm:sqref>
        </x14:conditionalFormatting>
        <x14:conditionalFormatting xmlns:xm="http://schemas.microsoft.com/office/excel/2006/main">
          <x14:cfRule type="dataBar" id="{37D86314-E276-45A4-98E0-8CE151473E7B}">
            <x14:dataBar minLength="0" maxLength="100" gradient="0">
              <x14:cfvo type="autoMin"/>
              <x14:cfvo type="num">
                <xm:f>4</xm:f>
              </x14:cfvo>
              <x14:negativeFillColor rgb="FFFF0000"/>
              <x14:axisColor rgb="FF000000"/>
            </x14:dataBar>
          </x14:cfRule>
          <xm:sqref>H92:I101 K92:L101</xm:sqref>
        </x14:conditionalFormatting>
        <x14:conditionalFormatting xmlns:xm="http://schemas.microsoft.com/office/excel/2006/main">
          <x14:cfRule type="dataBar" id="{06A48991-7EC4-43EA-BBEE-42AD58B1C52E}">
            <x14:dataBar minLength="0" maxLength="100" gradient="0">
              <x14:cfvo type="autoMin"/>
              <x14:cfvo type="num">
                <xm:f>4</xm:f>
              </x14:cfvo>
              <x14:negativeFillColor rgb="FFFF0000"/>
              <x14:axisColor rgb="FF000000"/>
            </x14:dataBar>
          </x14:cfRule>
          <xm:sqref>H102:I111 K102:L111</xm:sqref>
        </x14:conditionalFormatting>
        <x14:conditionalFormatting xmlns:xm="http://schemas.microsoft.com/office/excel/2006/main">
          <x14:cfRule type="dataBar" id="{3AA19560-A59B-4184-8DF5-7381841414A9}">
            <x14:dataBar minLength="0" maxLength="100" gradient="0">
              <x14:cfvo type="autoMin"/>
              <x14:cfvo type="num">
                <xm:f>4</xm:f>
              </x14:cfvo>
              <x14:negativeFillColor rgb="FFFF0000"/>
              <x14:axisColor rgb="FF000000"/>
            </x14:dataBar>
          </x14:cfRule>
          <xm:sqref>H52:M56 M72:M111 K72:L81 H57:I81 K57:M71 J57:J111</xm:sqref>
        </x14:conditionalFormatting>
        <x14:conditionalFormatting xmlns:xm="http://schemas.microsoft.com/office/excel/2006/main">
          <x14:cfRule type="dataBar" id="{FCC2A88E-7158-4AED-AD2C-CD6E508F8E5E}">
            <x14:dataBar minLength="0" maxLength="100" gradient="0">
              <x14:cfvo type="autoMin"/>
              <x14:cfvo type="num">
                <xm:f>4</xm:f>
              </x14:cfvo>
              <x14:negativeFillColor rgb="FFFF0000"/>
              <x14:axisColor rgb="FF000000"/>
            </x14:dataBar>
          </x14:cfRule>
          <xm:sqref>H112:M117</xm:sqref>
        </x14:conditionalFormatting>
        <x14:conditionalFormatting xmlns:xm="http://schemas.microsoft.com/office/excel/2006/main">
          <x14:cfRule type="dataBar" id="{51D38709-C750-4C80-87E9-F2EDFE52D62C}">
            <x14:dataBar minLength="0" maxLength="100" gradient="0">
              <x14:cfvo type="autoMin"/>
              <x14:cfvo type="num">
                <xm:f>4</xm:f>
              </x14:cfvo>
              <x14:negativeFillColor rgb="FFFF0000"/>
              <x14:axisColor rgb="FF000000"/>
            </x14:dataBar>
          </x14:cfRule>
          <xm:sqref>H118:M123</xm:sqref>
        </x14:conditionalFormatting>
        <x14:conditionalFormatting xmlns:xm="http://schemas.microsoft.com/office/excel/2006/main">
          <x14:cfRule type="dataBar" id="{97F7280C-8152-4681-8522-433221E054E3}">
            <x14:dataBar minLength="0" maxLength="100" gradient="0">
              <x14:cfvo type="autoMin"/>
              <x14:cfvo type="num">
                <xm:f>4</xm:f>
              </x14:cfvo>
              <x14:negativeFillColor rgb="FFFF0000"/>
              <x14:axisColor rgb="FF000000"/>
            </x14:dataBar>
          </x14:cfRule>
          <xm:sqref>H124:M127</xm:sqref>
        </x14:conditionalFormatting>
        <x14:conditionalFormatting xmlns:xm="http://schemas.microsoft.com/office/excel/2006/main">
          <x14:cfRule type="dataBar" id="{9824012E-933C-4569-B23F-DBF8C63874AA}">
            <x14:dataBar minLength="0" maxLength="100" gradient="0">
              <x14:cfvo type="autoMin"/>
              <x14:cfvo type="num">
                <xm:f>4</xm:f>
              </x14:cfvo>
              <x14:negativeFillColor rgb="FFFF0000"/>
              <x14:axisColor rgb="FF000000"/>
            </x14:dataBar>
          </x14:cfRule>
          <xm:sqref>H128:M131</xm:sqref>
        </x14:conditionalFormatting>
        <x14:conditionalFormatting xmlns:xm="http://schemas.microsoft.com/office/excel/2006/main">
          <x14:cfRule type="dataBar" id="{47992DAE-33A3-48DB-8D15-6EDF6BC67A1B}">
            <x14:dataBar minLength="0" maxLength="100" gradient="0">
              <x14:cfvo type="autoMin"/>
              <x14:cfvo type="num">
                <xm:f>4</xm:f>
              </x14:cfvo>
              <x14:negativeFillColor rgb="FFFF0000"/>
              <x14:axisColor rgb="FF000000"/>
            </x14:dataBar>
          </x14:cfRule>
          <xm:sqref>H132:M133</xm:sqref>
        </x14:conditionalFormatting>
        <x14:conditionalFormatting xmlns:xm="http://schemas.microsoft.com/office/excel/2006/main">
          <x14:cfRule type="dataBar" id="{B2B4F89C-9E79-4009-AF2C-16B13319B971}">
            <x14:dataBar minLength="0" maxLength="100" gradient="0">
              <x14:cfvo type="autoMin"/>
              <x14:cfvo type="num">
                <xm:f>4</xm:f>
              </x14:cfvo>
              <x14:negativeFillColor rgb="FFFF0000"/>
              <x14:axisColor rgb="FF000000"/>
            </x14:dataBar>
          </x14:cfRule>
          <xm:sqref>H134:M135</xm:sqref>
        </x14:conditionalFormatting>
        <x14:conditionalFormatting xmlns:xm="http://schemas.microsoft.com/office/excel/2006/main">
          <x14:cfRule type="dataBar" id="{503F7DE9-B4E7-4D39-9C1A-42805FC5671F}">
            <x14:dataBar minLength="0" maxLength="100" gradient="0">
              <x14:cfvo type="autoMin"/>
              <x14:cfvo type="num">
                <xm:f>4</xm:f>
              </x14:cfvo>
              <x14:negativeFillColor rgb="FFFF0000"/>
              <x14:axisColor rgb="FF000000"/>
            </x14:dataBar>
          </x14:cfRule>
          <xm:sqref>H142:M149 H136:M136 H139:M139</xm:sqref>
        </x14:conditionalFormatting>
        <x14:conditionalFormatting xmlns:xm="http://schemas.microsoft.com/office/excel/2006/main">
          <x14:cfRule type="dataBar" id="{1DB1F7E5-1B76-4469-AF28-1F59C90FCDE7}">
            <x14:dataBar minLength="0" maxLength="100" gradient="0">
              <x14:cfvo type="autoMin"/>
              <x14:cfvo type="num">
                <xm:f>4</xm:f>
              </x14:cfvo>
              <x14:negativeFillColor rgb="FFFF0000"/>
              <x14:axisColor rgb="FF000000"/>
            </x14:dataBar>
          </x14:cfRule>
          <xm:sqref>H236:M253</xm:sqref>
        </x14:conditionalFormatting>
        <x14:conditionalFormatting xmlns:xm="http://schemas.microsoft.com/office/excel/2006/main">
          <x14:cfRule type="dataBar" id="{13078C8B-BF01-4200-B1AB-B8D1BD61354E}">
            <x14:dataBar minLength="0" maxLength="100" gradient="0">
              <x14:cfvo type="autoMin"/>
              <x14:cfvo type="num">
                <xm:f>4</xm:f>
              </x14:cfvo>
              <x14:negativeFillColor rgb="FFFF0000"/>
              <x14:axisColor rgb="FF000000"/>
            </x14:dataBar>
          </x14:cfRule>
          <xm:sqref>I137:I138</xm:sqref>
        </x14:conditionalFormatting>
        <x14:conditionalFormatting xmlns:xm="http://schemas.microsoft.com/office/excel/2006/main">
          <x14:cfRule type="dataBar" id="{815A4913-A24E-4273-B763-41C62CF7B400}">
            <x14:dataBar minLength="0" maxLength="100" gradient="0">
              <x14:cfvo type="autoMin"/>
              <x14:cfvo type="num">
                <xm:f>4</xm:f>
              </x14:cfvo>
              <x14:negativeFillColor rgb="FFFF0000"/>
              <x14:axisColor rgb="FF000000"/>
            </x14:dataBar>
          </x14:cfRule>
          <xm:sqref>I140:I141</xm:sqref>
        </x14:conditionalFormatting>
        <x14:conditionalFormatting xmlns:xm="http://schemas.microsoft.com/office/excel/2006/main">
          <x14:cfRule type="dataBar" id="{94EF0653-39E0-4293-9312-A66C20AB7E98}">
            <x14:dataBar minLength="0" maxLength="100" gradient="0">
              <x14:cfvo type="autoMin"/>
              <x14:cfvo type="num">
                <xm:f>4</xm:f>
              </x14:cfvo>
              <x14:negativeFillColor rgb="FFFF0000"/>
              <x14:axisColor rgb="FF000000"/>
            </x14:dataBar>
          </x14:cfRule>
          <xm:sqref>J137:J138</xm:sqref>
        </x14:conditionalFormatting>
        <x14:conditionalFormatting xmlns:xm="http://schemas.microsoft.com/office/excel/2006/main">
          <x14:cfRule type="dataBar" id="{7C8448E1-1E3E-4105-9E4E-23C51661BA30}">
            <x14:dataBar minLength="0" maxLength="100" gradient="0">
              <x14:cfvo type="autoMin"/>
              <x14:cfvo type="num">
                <xm:f>4</xm:f>
              </x14:cfvo>
              <x14:negativeFillColor rgb="FFFF0000"/>
              <x14:axisColor rgb="FF000000"/>
            </x14:dataBar>
          </x14:cfRule>
          <xm:sqref>J140:J141</xm:sqref>
        </x14:conditionalFormatting>
        <x14:conditionalFormatting xmlns:xm="http://schemas.microsoft.com/office/excel/2006/main">
          <x14:cfRule type="dataBar" id="{D9B0D3FA-AEAD-47ED-BE9A-C695C87A9F7C}">
            <x14:dataBar minLength="0" maxLength="100" gradient="0">
              <x14:cfvo type="autoMin"/>
              <x14:cfvo type="num">
                <xm:f>4</xm:f>
              </x14:cfvo>
              <x14:negativeFillColor rgb="FFFF0000"/>
              <x14:axisColor rgb="FF000000"/>
            </x14:dataBar>
          </x14:cfRule>
          <xm:sqref>K137:K138</xm:sqref>
        </x14:conditionalFormatting>
        <x14:conditionalFormatting xmlns:xm="http://schemas.microsoft.com/office/excel/2006/main">
          <x14:cfRule type="dataBar" id="{C72AAD87-3C77-4826-A5AC-B3A5425797C8}">
            <x14:dataBar minLength="0" maxLength="100" gradient="0">
              <x14:cfvo type="autoMin"/>
              <x14:cfvo type="num">
                <xm:f>4</xm:f>
              </x14:cfvo>
              <x14:negativeFillColor rgb="FFFF0000"/>
              <x14:axisColor rgb="FF000000"/>
            </x14:dataBar>
          </x14:cfRule>
          <xm:sqref>K140:K141</xm:sqref>
        </x14:conditionalFormatting>
        <x14:conditionalFormatting xmlns:xm="http://schemas.microsoft.com/office/excel/2006/main">
          <x14:cfRule type="dataBar" id="{044E6AFD-5884-4730-8F9B-D1FED7638C58}">
            <x14:dataBar minLength="0" maxLength="100" gradient="0">
              <x14:cfvo type="autoMin"/>
              <x14:cfvo type="autoMax"/>
              <x14:negativeFillColor rgb="FFFF0000"/>
              <x14:axisColor rgb="FF000000"/>
            </x14:dataBar>
          </x14:cfRule>
          <xm:sqref>L9 L14</xm:sqref>
        </x14:conditionalFormatting>
        <x14:conditionalFormatting xmlns:xm="http://schemas.microsoft.com/office/excel/2006/main">
          <x14:cfRule type="dataBar" id="{4184BAEB-7C7D-45D5-8AE5-091882005915}">
            <x14:dataBar minLength="0" maxLength="100" gradient="0">
              <x14:cfvo type="autoMin"/>
              <x14:cfvo type="autoMax"/>
              <x14:negativeFillColor rgb="FFFF0000"/>
              <x14:axisColor rgb="FF000000"/>
            </x14:dataBar>
          </x14:cfRule>
          <xm:sqref>L10 L15</xm:sqref>
        </x14:conditionalFormatting>
        <x14:conditionalFormatting xmlns:xm="http://schemas.microsoft.com/office/excel/2006/main">
          <x14:cfRule type="dataBar" id="{2CCB765B-BDB5-4CD2-A151-ECEC43AAA02E}">
            <x14:dataBar minLength="0" maxLength="100" gradient="0">
              <x14:cfvo type="autoMin"/>
              <x14:cfvo type="autoMax"/>
              <x14:negativeFillColor rgb="FFFF0000"/>
              <x14:axisColor rgb="FF000000"/>
            </x14:dataBar>
          </x14:cfRule>
          <xm:sqref>L11 L16</xm:sqref>
        </x14:conditionalFormatting>
        <x14:conditionalFormatting xmlns:xm="http://schemas.microsoft.com/office/excel/2006/main">
          <x14:cfRule type="dataBar" id="{E6CA4EA7-1277-4529-BAE5-E027076BED09}">
            <x14:dataBar minLength="0" maxLength="100" gradient="0">
              <x14:cfvo type="autoMin"/>
              <x14:cfvo type="autoMax"/>
              <x14:negativeFillColor rgb="FFFF0000"/>
              <x14:axisColor rgb="FF000000"/>
            </x14:dataBar>
          </x14:cfRule>
          <xm:sqref>L12 L17</xm:sqref>
        </x14:conditionalFormatting>
        <x14:conditionalFormatting xmlns:xm="http://schemas.microsoft.com/office/excel/2006/main">
          <x14:cfRule type="dataBar" id="{B0E58DDB-B93B-469D-83F7-0C2B5A3CB48D}">
            <x14:dataBar minLength="0" maxLength="100" gradient="0">
              <x14:cfvo type="autoMin"/>
              <x14:cfvo type="autoMax"/>
              <x14:negativeFillColor rgb="FFFF0000"/>
              <x14:axisColor rgb="FF000000"/>
            </x14:dataBar>
          </x14:cfRule>
          <xm:sqref>L13 L18</xm:sqref>
        </x14:conditionalFormatting>
        <x14:conditionalFormatting xmlns:xm="http://schemas.microsoft.com/office/excel/2006/main">
          <x14:cfRule type="dataBar" id="{532D4628-7402-4936-8CF5-18DCA0889570}">
            <x14:dataBar minLength="0" maxLength="100" gradient="0">
              <x14:cfvo type="autoMin"/>
              <x14:cfvo type="autoMax"/>
              <x14:negativeFillColor rgb="FFFF0000"/>
              <x14:axisColor rgb="FF000000"/>
            </x14:dataBar>
          </x14:cfRule>
          <xm:sqref>L29 L39 L34 L44</xm:sqref>
        </x14:conditionalFormatting>
        <x14:conditionalFormatting xmlns:xm="http://schemas.microsoft.com/office/excel/2006/main">
          <x14:cfRule type="dataBar" id="{9579316F-07BA-41EA-9D16-2117F5379859}">
            <x14:dataBar minLength="0" maxLength="100" gradient="0">
              <x14:cfvo type="autoMin"/>
              <x14:cfvo type="autoMax"/>
              <x14:negativeFillColor rgb="FFFF0000"/>
              <x14:axisColor rgb="FF000000"/>
            </x14:dataBar>
          </x14:cfRule>
          <xm:sqref>L30 L40 L35 L45</xm:sqref>
        </x14:conditionalFormatting>
        <x14:conditionalFormatting xmlns:xm="http://schemas.microsoft.com/office/excel/2006/main">
          <x14:cfRule type="dataBar" id="{4112D8BB-EA2C-4153-B98D-3F072BBE47C6}">
            <x14:dataBar minLength="0" maxLength="100" gradient="0">
              <x14:cfvo type="autoMin"/>
              <x14:cfvo type="autoMax"/>
              <x14:negativeFillColor rgb="FFFF0000"/>
              <x14:axisColor rgb="FF000000"/>
            </x14:dataBar>
          </x14:cfRule>
          <xm:sqref>L31 L41 L36 L46</xm:sqref>
        </x14:conditionalFormatting>
        <x14:conditionalFormatting xmlns:xm="http://schemas.microsoft.com/office/excel/2006/main">
          <x14:cfRule type="dataBar" id="{CCB09693-BFF1-4E71-855C-1AE120A41457}">
            <x14:dataBar minLength="0" maxLength="100" gradient="0">
              <x14:cfvo type="autoMin"/>
              <x14:cfvo type="autoMax"/>
              <x14:negativeFillColor rgb="FFFF0000"/>
              <x14:axisColor rgb="FF000000"/>
            </x14:dataBar>
          </x14:cfRule>
          <xm:sqref>L32 L42 L37 L47</xm:sqref>
        </x14:conditionalFormatting>
        <x14:conditionalFormatting xmlns:xm="http://schemas.microsoft.com/office/excel/2006/main">
          <x14:cfRule type="dataBar" id="{3DD80B76-9152-4DE8-8550-8424654C2349}">
            <x14:dataBar minLength="0" maxLength="100" gradient="0">
              <x14:cfvo type="autoMin"/>
              <x14:cfvo type="autoMax"/>
              <x14:negativeFillColor rgb="FFFF0000"/>
              <x14:axisColor rgb="FF000000"/>
            </x14:dataBar>
          </x14:cfRule>
          <xm:sqref>L33 L43 L38 L48</xm:sqref>
        </x14:conditionalFormatting>
        <x14:conditionalFormatting xmlns:xm="http://schemas.microsoft.com/office/excel/2006/main">
          <x14:cfRule type="dataBar" id="{2D9908F9-0B2B-46B9-8D15-1A25F27574D4}">
            <x14:dataBar minLength="0" maxLength="100" gradient="0">
              <x14:cfvo type="autoMin"/>
              <x14:cfvo type="num">
                <xm:f>4</xm:f>
              </x14:cfvo>
              <x14:negativeFillColor rgb="FFFF0000"/>
              <x14:axisColor rgb="FF000000"/>
            </x14:dataBar>
          </x14:cfRule>
          <xm:sqref>L137:L138</xm:sqref>
        </x14:conditionalFormatting>
        <x14:conditionalFormatting xmlns:xm="http://schemas.microsoft.com/office/excel/2006/main">
          <x14:cfRule type="dataBar" id="{F26C3E51-45A6-4FDB-A93F-C42718E41EFE}">
            <x14:dataBar minLength="0" maxLength="100" gradient="0">
              <x14:cfvo type="autoMin"/>
              <x14:cfvo type="num">
                <xm:f>4</xm:f>
              </x14:cfvo>
              <x14:negativeFillColor rgb="FFFF0000"/>
              <x14:axisColor rgb="FF000000"/>
            </x14:dataBar>
          </x14:cfRule>
          <xm:sqref>L140:L141</xm:sqref>
        </x14:conditionalFormatting>
        <x14:conditionalFormatting xmlns:xm="http://schemas.microsoft.com/office/excel/2006/main">
          <x14:cfRule type="dataBar" id="{6BF08E2B-AD37-4044-991B-0CA550689FB1}">
            <x14:dataBar minLength="0" maxLength="100" gradient="0">
              <x14:cfvo type="autoMin"/>
              <x14:cfvo type="num">
                <xm:f>4</xm:f>
              </x14:cfvo>
              <x14:negativeFillColor rgb="FFFF0000"/>
              <x14:axisColor rgb="FF000000"/>
            </x14:dataBar>
          </x14:cfRule>
          <xm:sqref>M137:M138</xm:sqref>
        </x14:conditionalFormatting>
        <x14:conditionalFormatting xmlns:xm="http://schemas.microsoft.com/office/excel/2006/main">
          <x14:cfRule type="dataBar" id="{4699F706-80CC-434B-8686-F6C92A94EB75}">
            <x14:dataBar minLength="0" maxLength="100" gradient="0">
              <x14:cfvo type="autoMin"/>
              <x14:cfvo type="num">
                <xm:f>4</xm:f>
              </x14:cfvo>
              <x14:negativeFillColor rgb="FFFF0000"/>
              <x14:axisColor rgb="FF000000"/>
            </x14:dataBar>
          </x14:cfRule>
          <xm:sqref>M140:M141</xm:sqref>
        </x14:conditionalFormatting>
        <x14:conditionalFormatting xmlns:xm="http://schemas.microsoft.com/office/excel/2006/main">
          <x14:cfRule type="dataBar" id="{413D993E-6473-4125-9F1E-007ED25FA0E5}">
            <x14:dataBar minLength="0" maxLength="100" gradient="0">
              <x14:cfvo type="autoMin"/>
              <x14:cfvo type="autoMax"/>
              <x14:negativeFillColor rgb="FFFF0000"/>
              <x14:axisColor rgb="FF000000"/>
            </x14:dataBar>
          </x14:cfRule>
          <xm:sqref>N52:N135</xm:sqref>
        </x14:conditionalFormatting>
        <x14:conditionalFormatting xmlns:xm="http://schemas.microsoft.com/office/excel/2006/main">
          <x14:cfRule type="dataBar" id="{AE781AFE-1F2C-41CD-9A35-52D4128544AB}">
            <x14:dataBar minLength="0" maxLength="100" gradient="0">
              <x14:cfvo type="autoMin"/>
              <x14:cfvo type="autoMax"/>
              <x14:negativeFillColor rgb="FFFF0000"/>
              <x14:axisColor rgb="FF000000"/>
            </x14:dataBar>
          </x14:cfRule>
          <xm:sqref>N136:N149</xm:sqref>
        </x14:conditionalFormatting>
        <x14:conditionalFormatting xmlns:xm="http://schemas.microsoft.com/office/excel/2006/main">
          <x14:cfRule type="dataBar" id="{8F136090-05E9-4BFE-9915-7472FA976C62}">
            <x14:dataBar minLength="0" maxLength="100" gradient="0">
              <x14:cfvo type="autoMin"/>
              <x14:cfvo type="autoMax"/>
              <x14:negativeFillColor rgb="FFFF0000"/>
              <x14:axisColor rgb="FF000000"/>
            </x14:dataBar>
          </x14:cfRule>
          <xm:sqref>N236:N253</xm:sqref>
        </x14:conditionalFormatting>
        <x14:conditionalFormatting xmlns:xm="http://schemas.microsoft.com/office/excel/2006/main">
          <x14:cfRule type="dataBar" id="{77F46D7A-D3C0-464F-B4B8-4DD98E1D8531}">
            <x14:dataBar minLength="0" maxLength="100" gradient="0">
              <x14:cfvo type="autoMin"/>
              <x14:cfvo type="autoMax"/>
              <x14:negativeFillColor rgb="FFFF0000"/>
              <x14:axisColor rgb="FF000000"/>
            </x14:dataBar>
          </x14:cfRule>
          <xm:sqref>O8</xm:sqref>
        </x14:conditionalFormatting>
        <x14:conditionalFormatting xmlns:xm="http://schemas.microsoft.com/office/excel/2006/main">
          <x14:cfRule type="dataBar" id="{BC556352-4E74-4E62-9109-E28D996E445F}">
            <x14:dataBar minLength="0" maxLength="100" gradient="0">
              <x14:cfvo type="autoMin"/>
              <x14:cfvo type="autoMax"/>
              <x14:negativeFillColor rgb="FFFF0000"/>
              <x14:axisColor rgb="FF000000"/>
            </x14:dataBar>
          </x14:cfRule>
          <xm:sqref>O9</xm:sqref>
        </x14:conditionalFormatting>
        <x14:conditionalFormatting xmlns:xm="http://schemas.microsoft.com/office/excel/2006/main">
          <x14:cfRule type="dataBar" id="{F42FDA4B-0BC5-4C08-A7D4-E0C62CFB8228}">
            <x14:dataBar minLength="0" maxLength="100" gradient="0">
              <x14:cfvo type="autoMin"/>
              <x14:cfvo type="autoMax"/>
              <x14:negativeFillColor rgb="FFFF0000"/>
              <x14:axisColor rgb="FF000000"/>
            </x14:dataBar>
          </x14:cfRule>
          <xm:sqref>O10</xm:sqref>
        </x14:conditionalFormatting>
        <x14:conditionalFormatting xmlns:xm="http://schemas.microsoft.com/office/excel/2006/main">
          <x14:cfRule type="dataBar" id="{A17CC17F-7983-4168-B1F0-14A78A381BE8}">
            <x14:dataBar minLength="0" maxLength="100" gradient="0">
              <x14:cfvo type="autoMin"/>
              <x14:cfvo type="autoMax"/>
              <x14:negativeFillColor rgb="FFFF0000"/>
              <x14:axisColor rgb="FF000000"/>
            </x14:dataBar>
          </x14:cfRule>
          <xm:sqref>O11</xm:sqref>
        </x14:conditionalFormatting>
        <x14:conditionalFormatting xmlns:xm="http://schemas.microsoft.com/office/excel/2006/main">
          <x14:cfRule type="dataBar" id="{2EA17CFE-D0B3-48D7-97DD-B4721411EDDB}">
            <x14:dataBar minLength="0" maxLength="100" gradient="0">
              <x14:cfvo type="autoMin"/>
              <x14:cfvo type="autoMax"/>
              <x14:negativeFillColor rgb="FFFF0000"/>
              <x14:axisColor rgb="FF000000"/>
            </x14:dataBar>
          </x14:cfRule>
          <xm:sqref>O12</xm:sqref>
        </x14:conditionalFormatting>
        <x14:conditionalFormatting xmlns:xm="http://schemas.microsoft.com/office/excel/2006/main">
          <x14:cfRule type="dataBar" id="{E3CDCA83-FFF2-4477-BE3A-A6896D88673B}">
            <x14:dataBar minLength="0" maxLength="100" gradient="0">
              <x14:cfvo type="autoMin"/>
              <x14:cfvo type="autoMax"/>
              <x14:negativeFillColor rgb="FFFF0000"/>
              <x14:axisColor rgb="FF000000"/>
            </x14:dataBar>
          </x14:cfRule>
          <xm:sqref>O19:O23</xm:sqref>
        </x14:conditionalFormatting>
        <x14:conditionalFormatting xmlns:xm="http://schemas.microsoft.com/office/excel/2006/main">
          <x14:cfRule type="dataBar" id="{240C1EB0-A950-4C5C-BBC7-0F4E6502BF83}">
            <x14:dataBar minLength="0" maxLength="100" gradient="0">
              <x14:cfvo type="autoMin"/>
              <x14:cfvo type="autoMax"/>
              <x14:negativeFillColor rgb="FFFF0000"/>
              <x14:axisColor rgb="FF000000"/>
            </x14:dataBar>
          </x14:cfRule>
          <xm:sqref>O52:O135</xm:sqref>
        </x14:conditionalFormatting>
        <x14:conditionalFormatting xmlns:xm="http://schemas.microsoft.com/office/excel/2006/main">
          <x14:cfRule type="dataBar" id="{7130BCB1-A014-4EDA-8A28-10A79FF71292}">
            <x14:dataBar minLength="0" maxLength="100" gradient="0">
              <x14:cfvo type="autoMin"/>
              <x14:cfvo type="autoMax"/>
              <x14:negativeFillColor rgb="FFFF0000"/>
              <x14:axisColor rgb="FF000000"/>
            </x14:dataBar>
          </x14:cfRule>
          <xm:sqref>O136:O149</xm:sqref>
        </x14:conditionalFormatting>
        <x14:conditionalFormatting xmlns:xm="http://schemas.microsoft.com/office/excel/2006/main">
          <x14:cfRule type="dataBar" id="{AF836228-A7FA-4A92-A993-106CE664609D}">
            <x14:dataBar minLength="0" maxLength="100" gradient="0">
              <x14:cfvo type="autoMin"/>
              <x14:cfvo type="autoMax"/>
              <x14:negativeFillColor rgb="FFFF0000"/>
              <x14:axisColor rgb="FF000000"/>
            </x14:dataBar>
          </x14:cfRule>
          <xm:sqref>O236:O253</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4AA15-C4DC-4BB9-8468-17C8EF90DC4C}">
  <sheetPr>
    <tabColor theme="8"/>
  </sheetPr>
  <dimension ref="A1:AF158"/>
  <sheetViews>
    <sheetView topLeftCell="A124" zoomScale="85" zoomScaleNormal="85" workbookViewId="0">
      <selection activeCell="B161" sqref="B161"/>
    </sheetView>
  </sheetViews>
  <sheetFormatPr defaultColWidth="8.85546875" defaultRowHeight="15"/>
  <cols>
    <col min="1" max="1" width="50.7109375" style="6" customWidth="1"/>
    <col min="2" max="2" width="24.140625" style="6" customWidth="1"/>
    <col min="3" max="32" width="20.7109375" style="6" customWidth="1"/>
    <col min="33" max="16384" width="8.85546875" style="6"/>
  </cols>
  <sheetData>
    <row r="1" spans="1:32" ht="30" customHeight="1">
      <c r="A1" s="966" t="s">
        <v>960</v>
      </c>
      <c r="B1" s="966"/>
      <c r="C1" s="966"/>
      <c r="D1" s="966"/>
      <c r="E1" s="966"/>
      <c r="F1" s="966"/>
      <c r="G1" s="966"/>
      <c r="H1" s="966"/>
      <c r="I1" s="966"/>
      <c r="J1" s="966"/>
      <c r="K1" s="966"/>
      <c r="L1" s="966"/>
      <c r="M1" s="966"/>
      <c r="N1" s="966"/>
      <c r="O1" s="966"/>
      <c r="P1" s="966"/>
      <c r="Q1" s="966"/>
      <c r="R1" s="966"/>
      <c r="S1" s="966"/>
      <c r="T1" s="966"/>
      <c r="U1" s="966"/>
      <c r="V1" s="966"/>
      <c r="W1" s="966"/>
      <c r="X1" s="966"/>
      <c r="Y1" s="966"/>
      <c r="Z1" s="966"/>
      <c r="AA1" s="966"/>
      <c r="AB1" s="966"/>
      <c r="AC1" s="966"/>
      <c r="AD1" s="966"/>
      <c r="AE1" s="966"/>
      <c r="AF1" s="966"/>
    </row>
    <row r="2" spans="1:32" ht="30" customHeight="1">
      <c r="A2" s="139" t="s">
        <v>108</v>
      </c>
      <c r="B2" s="139" t="s">
        <v>109</v>
      </c>
      <c r="C2" s="139" t="s">
        <v>139</v>
      </c>
      <c r="D2" s="188" t="s">
        <v>93</v>
      </c>
      <c r="E2" s="188" t="s">
        <v>94</v>
      </c>
      <c r="F2" s="188" t="s">
        <v>95</v>
      </c>
      <c r="G2" s="188" t="s">
        <v>96</v>
      </c>
      <c r="H2" s="188" t="s">
        <v>97</v>
      </c>
      <c r="I2" s="188" t="s">
        <v>98</v>
      </c>
      <c r="J2" s="188" t="s">
        <v>99</v>
      </c>
      <c r="K2" s="188" t="s">
        <v>100</v>
      </c>
      <c r="L2" s="188" t="s">
        <v>101</v>
      </c>
      <c r="M2" s="188" t="s">
        <v>102</v>
      </c>
      <c r="N2" s="188" t="s">
        <v>103</v>
      </c>
      <c r="O2" s="188" t="s">
        <v>104</v>
      </c>
      <c r="P2" s="188" t="s">
        <v>105</v>
      </c>
      <c r="Q2" s="188" t="s">
        <v>1095</v>
      </c>
      <c r="R2" s="1024" t="s">
        <v>132</v>
      </c>
      <c r="S2" s="1024"/>
      <c r="T2" s="1024"/>
      <c r="U2" s="996" t="s">
        <v>112</v>
      </c>
      <c r="V2" s="996"/>
      <c r="W2" s="996"/>
      <c r="X2" s="996"/>
      <c r="Y2" s="996"/>
      <c r="Z2" s="996"/>
      <c r="AA2" s="996"/>
      <c r="AB2" s="996"/>
      <c r="AC2" s="996"/>
      <c r="AD2" s="996"/>
      <c r="AE2" s="996"/>
      <c r="AF2" s="996"/>
    </row>
    <row r="3" spans="1:32" s="7" customFormat="1">
      <c r="A3" s="143" t="s">
        <v>1134</v>
      </c>
      <c r="B3" s="9" t="s">
        <v>963</v>
      </c>
      <c r="C3" s="9" t="s">
        <v>963</v>
      </c>
      <c r="D3" s="189">
        <v>0</v>
      </c>
      <c r="E3" s="376">
        <f>126.1+72.95+42.1+11.6+9.34+1.01+0.046+7.02</f>
        <v>270.16599999999994</v>
      </c>
      <c r="F3" s="189">
        <v>0</v>
      </c>
      <c r="G3" s="189">
        <v>0</v>
      </c>
      <c r="H3" s="189">
        <v>0</v>
      </c>
      <c r="I3" s="189">
        <v>0</v>
      </c>
      <c r="J3" s="189">
        <v>0</v>
      </c>
      <c r="K3" s="189">
        <v>0</v>
      </c>
      <c r="L3" s="189">
        <v>440.07</v>
      </c>
      <c r="M3" s="189">
        <v>0</v>
      </c>
      <c r="N3" s="376">
        <v>1.1299999999999999</v>
      </c>
      <c r="O3" s="189">
        <v>0</v>
      </c>
      <c r="P3" s="376">
        <v>0</v>
      </c>
      <c r="Q3" s="377">
        <f>0.7+0.1+0.485+1.33</f>
        <v>2.6150000000000002</v>
      </c>
      <c r="R3" s="1039" t="s">
        <v>1135</v>
      </c>
      <c r="S3" s="1039"/>
      <c r="T3" s="1039"/>
      <c r="U3" s="1042" t="s">
        <v>1136</v>
      </c>
      <c r="V3" s="1044"/>
      <c r="W3" s="1042" t="s">
        <v>1137</v>
      </c>
      <c r="X3" s="1043"/>
      <c r="Y3" s="1043"/>
      <c r="Z3" s="1043"/>
      <c r="AA3" s="1043"/>
      <c r="AB3" s="1043"/>
      <c r="AC3" s="1043"/>
      <c r="AD3" s="1043"/>
      <c r="AE3" s="1043"/>
      <c r="AF3" s="1044"/>
    </row>
    <row r="4" spans="1:32" s="7" customFormat="1">
      <c r="A4" s="143" t="s">
        <v>240</v>
      </c>
      <c r="B4" s="9" t="s">
        <v>963</v>
      </c>
      <c r="C4" s="9" t="s">
        <v>963</v>
      </c>
      <c r="D4" s="189">
        <v>0</v>
      </c>
      <c r="E4" s="189">
        <v>0</v>
      </c>
      <c r="F4" s="189">
        <v>0</v>
      </c>
      <c r="G4" s="189">
        <v>0</v>
      </c>
      <c r="H4" s="189">
        <v>0</v>
      </c>
      <c r="I4" s="189">
        <v>0</v>
      </c>
      <c r="J4" s="189">
        <f>12/3</f>
        <v>4</v>
      </c>
      <c r="K4" s="189">
        <v>0</v>
      </c>
      <c r="L4" s="189">
        <f>126+3.5</f>
        <v>129.5</v>
      </c>
      <c r="M4" s="189">
        <v>0</v>
      </c>
      <c r="N4" s="189">
        <f>12/3</f>
        <v>4</v>
      </c>
      <c r="O4" s="189">
        <v>0</v>
      </c>
      <c r="P4" s="189">
        <f>12/3</f>
        <v>4</v>
      </c>
      <c r="Q4" s="189">
        <v>0.05</v>
      </c>
      <c r="R4" s="1039" t="s">
        <v>1135</v>
      </c>
      <c r="S4" s="1039"/>
      <c r="T4" s="1039"/>
      <c r="U4" s="1045" t="s">
        <v>1138</v>
      </c>
      <c r="V4" s="1041"/>
      <c r="W4" s="1042" t="s">
        <v>1137</v>
      </c>
      <c r="X4" s="1043"/>
      <c r="Y4" s="1043"/>
      <c r="Z4" s="1043"/>
      <c r="AA4" s="1043"/>
      <c r="AB4" s="1043"/>
      <c r="AC4" s="1043"/>
      <c r="AD4" s="1043"/>
      <c r="AE4" s="1043"/>
      <c r="AF4" s="1044"/>
    </row>
    <row r="5" spans="1:32" s="7" customFormat="1">
      <c r="A5" s="143" t="s">
        <v>164</v>
      </c>
      <c r="B5" s="9" t="s">
        <v>963</v>
      </c>
      <c r="C5" s="9" t="s">
        <v>963</v>
      </c>
      <c r="D5" s="189">
        <v>1</v>
      </c>
      <c r="E5" s="189">
        <v>1</v>
      </c>
      <c r="F5" s="189">
        <v>1</v>
      </c>
      <c r="G5" s="189">
        <v>0</v>
      </c>
      <c r="H5" s="189">
        <v>0</v>
      </c>
      <c r="I5" s="189">
        <v>1</v>
      </c>
      <c r="J5" s="189">
        <v>0</v>
      </c>
      <c r="K5" s="189">
        <v>0</v>
      </c>
      <c r="L5" s="189">
        <v>1</v>
      </c>
      <c r="M5" s="189">
        <v>0</v>
      </c>
      <c r="N5" s="189">
        <v>1</v>
      </c>
      <c r="O5" s="189">
        <v>0</v>
      </c>
      <c r="P5" s="189">
        <v>1</v>
      </c>
      <c r="Q5" s="189">
        <v>3</v>
      </c>
      <c r="R5" s="1039" t="s">
        <v>1139</v>
      </c>
      <c r="S5" s="1039"/>
      <c r="T5" s="1039"/>
      <c r="U5" s="1040" t="s">
        <v>1140</v>
      </c>
      <c r="V5" s="1041"/>
      <c r="W5" s="1042"/>
      <c r="X5" s="1043"/>
      <c r="Y5" s="1043"/>
      <c r="Z5" s="1043"/>
      <c r="AA5" s="1043"/>
      <c r="AB5" s="1043"/>
      <c r="AC5" s="1043"/>
      <c r="AD5" s="1043"/>
      <c r="AE5" s="1043"/>
      <c r="AF5" s="1044"/>
    </row>
    <row r="6" spans="1:32" s="7" customFormat="1">
      <c r="A6" s="143" t="s">
        <v>167</v>
      </c>
      <c r="B6" s="9" t="s">
        <v>963</v>
      </c>
      <c r="C6" s="9" t="s">
        <v>963</v>
      </c>
      <c r="D6" s="189">
        <v>0</v>
      </c>
      <c r="E6" s="189">
        <v>1</v>
      </c>
      <c r="F6" s="189">
        <v>0</v>
      </c>
      <c r="G6" s="189">
        <v>0</v>
      </c>
      <c r="H6" s="189">
        <v>0</v>
      </c>
      <c r="I6" s="189">
        <v>0</v>
      </c>
      <c r="J6" s="189">
        <v>0</v>
      </c>
      <c r="K6" s="189">
        <v>0</v>
      </c>
      <c r="L6" s="189">
        <v>0</v>
      </c>
      <c r="M6" s="189">
        <v>0</v>
      </c>
      <c r="N6" s="189">
        <v>0</v>
      </c>
      <c r="O6" s="189">
        <v>0</v>
      </c>
      <c r="P6" s="189">
        <v>0</v>
      </c>
      <c r="Q6" s="189">
        <v>0</v>
      </c>
      <c r="R6" s="1039" t="s">
        <v>1139</v>
      </c>
      <c r="S6" s="1039"/>
      <c r="T6" s="1039"/>
      <c r="U6" s="1040" t="s">
        <v>1140</v>
      </c>
      <c r="V6" s="1041"/>
      <c r="W6" s="1042"/>
      <c r="X6" s="1043"/>
      <c r="Y6" s="1043"/>
      <c r="Z6" s="1043"/>
      <c r="AA6" s="1043"/>
      <c r="AB6" s="1043"/>
      <c r="AC6" s="1043"/>
      <c r="AD6" s="1043"/>
      <c r="AE6" s="1043"/>
      <c r="AF6" s="1044"/>
    </row>
    <row r="7" spans="1:32" s="7" customFormat="1">
      <c r="A7" s="143" t="s">
        <v>168</v>
      </c>
      <c r="B7" s="9" t="s">
        <v>963</v>
      </c>
      <c r="C7" s="9" t="s">
        <v>963</v>
      </c>
      <c r="D7" s="189">
        <v>1</v>
      </c>
      <c r="E7" s="189">
        <v>1</v>
      </c>
      <c r="F7" s="189">
        <v>0</v>
      </c>
      <c r="G7" s="189">
        <v>0</v>
      </c>
      <c r="H7" s="189">
        <v>0</v>
      </c>
      <c r="I7" s="189">
        <v>1</v>
      </c>
      <c r="J7" s="189">
        <v>1</v>
      </c>
      <c r="K7" s="189">
        <v>0</v>
      </c>
      <c r="L7" s="189">
        <v>1</v>
      </c>
      <c r="M7" s="189">
        <v>0</v>
      </c>
      <c r="N7" s="189">
        <v>1</v>
      </c>
      <c r="O7" s="189">
        <v>0</v>
      </c>
      <c r="P7" s="189">
        <v>1</v>
      </c>
      <c r="Q7" s="189">
        <v>1</v>
      </c>
      <c r="R7" s="1039" t="s">
        <v>1139</v>
      </c>
      <c r="S7" s="1039"/>
      <c r="T7" s="1039"/>
      <c r="U7" s="1040" t="s">
        <v>1140</v>
      </c>
      <c r="V7" s="1041"/>
      <c r="W7" s="1042"/>
      <c r="X7" s="1043"/>
      <c r="Y7" s="1043"/>
      <c r="Z7" s="1043"/>
      <c r="AA7" s="1043"/>
      <c r="AB7" s="1043"/>
      <c r="AC7" s="1043"/>
      <c r="AD7" s="1043"/>
      <c r="AE7" s="1043"/>
      <c r="AF7" s="1044"/>
    </row>
    <row r="8" spans="1:32" s="7" customFormat="1">
      <c r="A8" s="143" t="s">
        <v>169</v>
      </c>
      <c r="B8" s="9" t="s">
        <v>963</v>
      </c>
      <c r="C8" s="9" t="s">
        <v>963</v>
      </c>
      <c r="D8" s="189">
        <v>1</v>
      </c>
      <c r="E8" s="189">
        <v>1</v>
      </c>
      <c r="F8" s="189">
        <v>0</v>
      </c>
      <c r="G8" s="189">
        <v>0</v>
      </c>
      <c r="H8" s="189">
        <v>0</v>
      </c>
      <c r="I8" s="189">
        <v>1</v>
      </c>
      <c r="J8" s="189">
        <v>1</v>
      </c>
      <c r="K8" s="189">
        <v>0</v>
      </c>
      <c r="L8" s="189">
        <v>1</v>
      </c>
      <c r="M8" s="189">
        <v>0</v>
      </c>
      <c r="N8" s="189">
        <v>1</v>
      </c>
      <c r="O8" s="189">
        <v>0</v>
      </c>
      <c r="P8" s="189">
        <v>1</v>
      </c>
      <c r="Q8" s="189">
        <v>1</v>
      </c>
      <c r="R8" s="1039" t="s">
        <v>1139</v>
      </c>
      <c r="S8" s="1039"/>
      <c r="T8" s="1039"/>
      <c r="U8" s="1040" t="s">
        <v>1140</v>
      </c>
      <c r="V8" s="1041"/>
      <c r="W8" s="1042"/>
      <c r="X8" s="1043"/>
      <c r="Y8" s="1043"/>
      <c r="Z8" s="1043"/>
      <c r="AA8" s="1043"/>
      <c r="AB8" s="1043"/>
      <c r="AC8" s="1043"/>
      <c r="AD8" s="1043"/>
      <c r="AE8" s="1043"/>
      <c r="AF8" s="1044"/>
    </row>
    <row r="9" spans="1:32" s="7" customFormat="1">
      <c r="A9" s="143" t="s">
        <v>324</v>
      </c>
      <c r="B9" s="9" t="s">
        <v>963</v>
      </c>
      <c r="C9" s="9" t="s">
        <v>963</v>
      </c>
      <c r="D9" s="189">
        <v>0</v>
      </c>
      <c r="E9" s="189">
        <v>0</v>
      </c>
      <c r="F9" s="189">
        <v>0</v>
      </c>
      <c r="G9" s="189">
        <v>0</v>
      </c>
      <c r="H9" s="189">
        <v>0</v>
      </c>
      <c r="I9" s="189">
        <v>0</v>
      </c>
      <c r="J9" s="189">
        <v>0</v>
      </c>
      <c r="K9" s="189">
        <v>0</v>
      </c>
      <c r="L9" s="189">
        <v>0</v>
      </c>
      <c r="M9" s="189">
        <v>0</v>
      </c>
      <c r="N9" s="189">
        <v>0</v>
      </c>
      <c r="O9" s="189">
        <v>0</v>
      </c>
      <c r="P9" s="189">
        <v>0</v>
      </c>
      <c r="Q9" s="189">
        <v>1</v>
      </c>
      <c r="R9" s="1039" t="s">
        <v>1139</v>
      </c>
      <c r="S9" s="1039"/>
      <c r="T9" s="1039"/>
      <c r="U9" s="1040" t="s">
        <v>1140</v>
      </c>
      <c r="V9" s="1041"/>
      <c r="W9" s="1042"/>
      <c r="X9" s="1043"/>
      <c r="Y9" s="1043"/>
      <c r="Z9" s="1043"/>
      <c r="AA9" s="1043"/>
      <c r="AB9" s="1043"/>
      <c r="AC9" s="1043"/>
      <c r="AD9" s="1043"/>
      <c r="AE9" s="1043"/>
      <c r="AF9" s="1044"/>
    </row>
    <row r="10" spans="1:32" s="7" customFormat="1">
      <c r="A10" s="143" t="s">
        <v>348</v>
      </c>
      <c r="B10" s="9" t="s">
        <v>963</v>
      </c>
      <c r="C10" s="9" t="s">
        <v>963</v>
      </c>
      <c r="D10" s="189">
        <v>0</v>
      </c>
      <c r="E10" s="189">
        <v>0</v>
      </c>
      <c r="F10" s="189">
        <v>0</v>
      </c>
      <c r="G10" s="189">
        <v>0</v>
      </c>
      <c r="H10" s="189">
        <v>0</v>
      </c>
      <c r="I10" s="189">
        <v>0</v>
      </c>
      <c r="J10" s="189">
        <v>0</v>
      </c>
      <c r="K10" s="189">
        <v>0</v>
      </c>
      <c r="L10" s="189">
        <v>0</v>
      </c>
      <c r="M10" s="189">
        <v>0</v>
      </c>
      <c r="N10" s="189">
        <v>0</v>
      </c>
      <c r="O10" s="189">
        <v>0</v>
      </c>
      <c r="P10" s="189">
        <v>0</v>
      </c>
      <c r="Q10" s="189">
        <v>1</v>
      </c>
      <c r="R10" s="1039" t="s">
        <v>1139</v>
      </c>
      <c r="S10" s="1039"/>
      <c r="T10" s="1039"/>
      <c r="U10" s="1040" t="s">
        <v>1140</v>
      </c>
      <c r="V10" s="1041"/>
      <c r="W10" s="1042"/>
      <c r="X10" s="1043"/>
      <c r="Y10" s="1043"/>
      <c r="Z10" s="1043"/>
      <c r="AA10" s="1043"/>
      <c r="AB10" s="1043"/>
      <c r="AC10" s="1043"/>
      <c r="AD10" s="1043"/>
      <c r="AE10" s="1043"/>
      <c r="AF10" s="1044"/>
    </row>
    <row r="11" spans="1:32" s="7" customFormat="1">
      <c r="A11" s="143" t="s">
        <v>278</v>
      </c>
      <c r="B11" s="9" t="s">
        <v>963</v>
      </c>
      <c r="C11" s="9" t="s">
        <v>963</v>
      </c>
      <c r="D11" s="189">
        <v>0</v>
      </c>
      <c r="E11" s="189">
        <v>0</v>
      </c>
      <c r="F11" s="189">
        <v>0</v>
      </c>
      <c r="G11" s="189">
        <v>0</v>
      </c>
      <c r="H11" s="189">
        <v>0</v>
      </c>
      <c r="I11" s="189">
        <v>0</v>
      </c>
      <c r="J11" s="189">
        <v>0</v>
      </c>
      <c r="K11" s="189">
        <v>0</v>
      </c>
      <c r="L11" s="189">
        <v>0</v>
      </c>
      <c r="M11" s="189">
        <v>0</v>
      </c>
      <c r="N11" s="189">
        <v>0</v>
      </c>
      <c r="O11" s="189">
        <v>0</v>
      </c>
      <c r="P11" s="189">
        <v>0</v>
      </c>
      <c r="Q11" s="189">
        <v>1</v>
      </c>
      <c r="R11" s="1039" t="s">
        <v>1139</v>
      </c>
      <c r="S11" s="1039"/>
      <c r="T11" s="1039"/>
      <c r="U11" s="1040" t="s">
        <v>1140</v>
      </c>
      <c r="V11" s="1041"/>
      <c r="W11" s="1042"/>
      <c r="X11" s="1043"/>
      <c r="Y11" s="1043"/>
      <c r="Z11" s="1043"/>
      <c r="AA11" s="1043"/>
      <c r="AB11" s="1043"/>
      <c r="AC11" s="1043"/>
      <c r="AD11" s="1043"/>
      <c r="AE11" s="1043"/>
      <c r="AF11" s="1044"/>
    </row>
    <row r="12" spans="1:32" s="7" customFormat="1">
      <c r="A12" s="143" t="s">
        <v>372</v>
      </c>
      <c r="B12" s="9" t="s">
        <v>963</v>
      </c>
      <c r="C12" s="9" t="s">
        <v>963</v>
      </c>
      <c r="D12" s="189">
        <v>0</v>
      </c>
      <c r="E12" s="189">
        <v>0</v>
      </c>
      <c r="F12" s="189">
        <v>0</v>
      </c>
      <c r="G12" s="189">
        <v>0</v>
      </c>
      <c r="H12" s="189">
        <v>0</v>
      </c>
      <c r="I12" s="189">
        <v>0</v>
      </c>
      <c r="J12" s="189">
        <v>0</v>
      </c>
      <c r="K12" s="189">
        <v>0</v>
      </c>
      <c r="L12" s="189">
        <v>0</v>
      </c>
      <c r="M12" s="189">
        <v>0</v>
      </c>
      <c r="N12" s="189">
        <v>0</v>
      </c>
      <c r="O12" s="189">
        <v>0</v>
      </c>
      <c r="P12" s="189">
        <v>0</v>
      </c>
      <c r="Q12" s="189">
        <v>1</v>
      </c>
      <c r="R12" s="1039" t="s">
        <v>1139</v>
      </c>
      <c r="S12" s="1039"/>
      <c r="T12" s="1039"/>
      <c r="U12" s="1040" t="s">
        <v>1140</v>
      </c>
      <c r="V12" s="1041"/>
      <c r="W12" s="1042"/>
      <c r="X12" s="1043"/>
      <c r="Y12" s="1043"/>
      <c r="Z12" s="1043"/>
      <c r="AA12" s="1043"/>
      <c r="AB12" s="1043"/>
      <c r="AC12" s="1043"/>
      <c r="AD12" s="1043"/>
      <c r="AE12" s="1043"/>
      <c r="AF12" s="1044"/>
    </row>
    <row r="13" spans="1:32" s="7" customFormat="1">
      <c r="A13" s="143" t="s">
        <v>319</v>
      </c>
      <c r="B13" s="9" t="s">
        <v>963</v>
      </c>
      <c r="C13" s="9" t="s">
        <v>963</v>
      </c>
      <c r="D13" s="189">
        <v>0</v>
      </c>
      <c r="E13" s="189">
        <v>0</v>
      </c>
      <c r="F13" s="189">
        <v>0</v>
      </c>
      <c r="G13" s="189">
        <v>0</v>
      </c>
      <c r="H13" s="189">
        <v>0</v>
      </c>
      <c r="I13" s="189">
        <v>0</v>
      </c>
      <c r="J13" s="189">
        <v>0</v>
      </c>
      <c r="K13" s="189">
        <v>1</v>
      </c>
      <c r="L13" s="189">
        <v>0</v>
      </c>
      <c r="M13" s="189">
        <v>0</v>
      </c>
      <c r="N13" s="189">
        <v>0</v>
      </c>
      <c r="O13" s="189">
        <v>0</v>
      </c>
      <c r="P13" s="189">
        <v>0</v>
      </c>
      <c r="Q13" s="189">
        <v>0</v>
      </c>
      <c r="R13" s="1039" t="s">
        <v>1139</v>
      </c>
      <c r="S13" s="1039"/>
      <c r="T13" s="1039"/>
      <c r="U13" s="1040" t="s">
        <v>1140</v>
      </c>
      <c r="V13" s="1041"/>
      <c r="W13" s="1042"/>
      <c r="X13" s="1043"/>
      <c r="Y13" s="1043"/>
      <c r="Z13" s="1043"/>
      <c r="AA13" s="1043"/>
      <c r="AB13" s="1043"/>
      <c r="AC13" s="1043"/>
      <c r="AD13" s="1043"/>
      <c r="AE13" s="1043"/>
      <c r="AF13" s="1044"/>
    </row>
    <row r="15" spans="1:32" ht="30" customHeight="1">
      <c r="A15" s="140" t="s">
        <v>108</v>
      </c>
      <c r="B15" s="140" t="s">
        <v>109</v>
      </c>
      <c r="C15" s="140" t="s">
        <v>139</v>
      </c>
      <c r="D15" s="190" t="s">
        <v>93</v>
      </c>
      <c r="E15" s="190" t="s">
        <v>94</v>
      </c>
      <c r="F15" s="190" t="s">
        <v>95</v>
      </c>
      <c r="G15" s="190" t="s">
        <v>96</v>
      </c>
      <c r="H15" s="190" t="s">
        <v>97</v>
      </c>
      <c r="I15" s="190" t="s">
        <v>98</v>
      </c>
      <c r="J15" s="190" t="s">
        <v>99</v>
      </c>
      <c r="K15" s="190" t="s">
        <v>100</v>
      </c>
      <c r="L15" s="190" t="s">
        <v>101</v>
      </c>
      <c r="M15" s="190" t="s">
        <v>102</v>
      </c>
      <c r="N15" s="190" t="s">
        <v>103</v>
      </c>
      <c r="O15" s="190" t="s">
        <v>104</v>
      </c>
      <c r="P15" s="190" t="s">
        <v>105</v>
      </c>
      <c r="Q15" s="190" t="s">
        <v>1095</v>
      </c>
      <c r="R15" s="996" t="s">
        <v>132</v>
      </c>
      <c r="S15" s="996"/>
      <c r="T15" s="996"/>
      <c r="U15" s="996"/>
      <c r="V15" s="996"/>
      <c r="W15" s="996"/>
      <c r="X15" s="996"/>
      <c r="Y15" s="996"/>
      <c r="Z15" s="996"/>
      <c r="AA15" s="996"/>
      <c r="AB15" s="996"/>
      <c r="AC15" s="996"/>
      <c r="AD15" s="996"/>
      <c r="AE15" s="996"/>
      <c r="AF15" s="996"/>
    </row>
    <row r="16" spans="1:32">
      <c r="A16" s="142" t="s">
        <v>1134</v>
      </c>
      <c r="B16" s="117" t="s">
        <v>963</v>
      </c>
      <c r="C16" s="117" t="s">
        <v>963</v>
      </c>
      <c r="D16" s="130">
        <f t="shared" ref="D16:Q16" si="0">D3/SUM($D3:$Q3)</f>
        <v>0</v>
      </c>
      <c r="E16" s="130">
        <f t="shared" si="0"/>
        <v>0.37839382280480849</v>
      </c>
      <c r="F16" s="130">
        <f t="shared" si="0"/>
        <v>0</v>
      </c>
      <c r="G16" s="130">
        <f t="shared" si="0"/>
        <v>0</v>
      </c>
      <c r="H16" s="130">
        <f t="shared" si="0"/>
        <v>0</v>
      </c>
      <c r="I16" s="130">
        <f t="shared" si="0"/>
        <v>0</v>
      </c>
      <c r="J16" s="130">
        <f t="shared" si="0"/>
        <v>0</v>
      </c>
      <c r="K16" s="130">
        <f t="shared" si="0"/>
        <v>0</v>
      </c>
      <c r="L16" s="130">
        <f t="shared" si="0"/>
        <v>0.61636093957682359</v>
      </c>
      <c r="M16" s="130">
        <f t="shared" si="0"/>
        <v>0</v>
      </c>
      <c r="N16" s="130">
        <f t="shared" si="0"/>
        <v>1.5826751692271923E-3</v>
      </c>
      <c r="O16" s="130">
        <f t="shared" si="0"/>
        <v>0</v>
      </c>
      <c r="P16" s="130">
        <f t="shared" si="0"/>
        <v>0</v>
      </c>
      <c r="Q16" s="130">
        <f t="shared" si="0"/>
        <v>3.6625624491408043E-3</v>
      </c>
      <c r="R16" s="998" t="s">
        <v>1141</v>
      </c>
      <c r="S16" s="998"/>
      <c r="T16" s="998"/>
      <c r="U16" s="998"/>
      <c r="V16" s="998"/>
      <c r="W16" s="998"/>
      <c r="X16" s="998"/>
      <c r="Y16" s="998"/>
      <c r="Z16" s="998"/>
      <c r="AA16" s="998"/>
      <c r="AB16" s="998"/>
      <c r="AC16" s="998"/>
      <c r="AD16" s="998"/>
      <c r="AE16" s="998"/>
      <c r="AF16" s="998"/>
    </row>
    <row r="17" spans="1:32">
      <c r="A17" s="142" t="s">
        <v>240</v>
      </c>
      <c r="B17" s="117" t="s">
        <v>963</v>
      </c>
      <c r="C17" s="117" t="s">
        <v>963</v>
      </c>
      <c r="D17" s="130">
        <f t="shared" ref="D17:Q17" si="1">D4/SUM($D4:$Q4)</f>
        <v>0</v>
      </c>
      <c r="E17" s="130">
        <f t="shared" si="1"/>
        <v>0</v>
      </c>
      <c r="F17" s="130">
        <f t="shared" si="1"/>
        <v>0</v>
      </c>
      <c r="G17" s="130">
        <f t="shared" si="1"/>
        <v>0</v>
      </c>
      <c r="H17" s="130">
        <f t="shared" si="1"/>
        <v>0</v>
      </c>
      <c r="I17" s="130">
        <f t="shared" si="1"/>
        <v>0</v>
      </c>
      <c r="J17" s="130">
        <f t="shared" si="1"/>
        <v>2.8258565877781701E-2</v>
      </c>
      <c r="K17" s="130">
        <f t="shared" si="1"/>
        <v>0</v>
      </c>
      <c r="L17" s="130">
        <f t="shared" si="1"/>
        <v>0.9148710702931826</v>
      </c>
      <c r="M17" s="130">
        <f t="shared" si="1"/>
        <v>0</v>
      </c>
      <c r="N17" s="130">
        <f t="shared" si="1"/>
        <v>2.8258565877781701E-2</v>
      </c>
      <c r="O17" s="130">
        <f t="shared" si="1"/>
        <v>0</v>
      </c>
      <c r="P17" s="130">
        <f t="shared" si="1"/>
        <v>2.8258565877781701E-2</v>
      </c>
      <c r="Q17" s="130">
        <f t="shared" si="1"/>
        <v>3.5323207347227127E-4</v>
      </c>
      <c r="R17" s="998" t="s">
        <v>1141</v>
      </c>
      <c r="S17" s="998"/>
      <c r="T17" s="998"/>
      <c r="U17" s="998"/>
      <c r="V17" s="998"/>
      <c r="W17" s="998"/>
      <c r="X17" s="998"/>
      <c r="Y17" s="998"/>
      <c r="Z17" s="998"/>
      <c r="AA17" s="998"/>
      <c r="AB17" s="998"/>
      <c r="AC17" s="998"/>
      <c r="AD17" s="998"/>
      <c r="AE17" s="998"/>
      <c r="AF17" s="998"/>
    </row>
    <row r="18" spans="1:32">
      <c r="A18" s="142" t="s">
        <v>164</v>
      </c>
      <c r="B18" s="117" t="s">
        <v>963</v>
      </c>
      <c r="C18" s="117" t="s">
        <v>963</v>
      </c>
      <c r="D18" s="130">
        <f t="shared" ref="D18:Q18" si="2">D5/SUM($D5:$Q5)</f>
        <v>0.1</v>
      </c>
      <c r="E18" s="130">
        <f t="shared" si="2"/>
        <v>0.1</v>
      </c>
      <c r="F18" s="130">
        <f t="shared" si="2"/>
        <v>0.1</v>
      </c>
      <c r="G18" s="130">
        <f t="shared" si="2"/>
        <v>0</v>
      </c>
      <c r="H18" s="130">
        <f t="shared" si="2"/>
        <v>0</v>
      </c>
      <c r="I18" s="130">
        <f t="shared" si="2"/>
        <v>0.1</v>
      </c>
      <c r="J18" s="130">
        <f t="shared" si="2"/>
        <v>0</v>
      </c>
      <c r="K18" s="130">
        <f t="shared" si="2"/>
        <v>0</v>
      </c>
      <c r="L18" s="130">
        <f t="shared" si="2"/>
        <v>0.1</v>
      </c>
      <c r="M18" s="130">
        <f t="shared" si="2"/>
        <v>0</v>
      </c>
      <c r="N18" s="130">
        <f t="shared" si="2"/>
        <v>0.1</v>
      </c>
      <c r="O18" s="130">
        <f t="shared" si="2"/>
        <v>0</v>
      </c>
      <c r="P18" s="130">
        <f t="shared" si="2"/>
        <v>0.1</v>
      </c>
      <c r="Q18" s="130">
        <f t="shared" si="2"/>
        <v>0.3</v>
      </c>
      <c r="R18" s="998" t="s">
        <v>1141</v>
      </c>
      <c r="S18" s="998"/>
      <c r="T18" s="998"/>
      <c r="U18" s="998"/>
      <c r="V18" s="998"/>
      <c r="W18" s="998"/>
      <c r="X18" s="998"/>
      <c r="Y18" s="998"/>
      <c r="Z18" s="998"/>
      <c r="AA18" s="998"/>
      <c r="AB18" s="998"/>
      <c r="AC18" s="998"/>
      <c r="AD18" s="998"/>
      <c r="AE18" s="998"/>
      <c r="AF18" s="998"/>
    </row>
    <row r="19" spans="1:32">
      <c r="A19" s="142" t="s">
        <v>167</v>
      </c>
      <c r="B19" s="117" t="s">
        <v>963</v>
      </c>
      <c r="C19" s="117" t="s">
        <v>963</v>
      </c>
      <c r="D19" s="130">
        <f t="shared" ref="D19:Q19" si="3">D6/SUM($D6:$Q6)</f>
        <v>0</v>
      </c>
      <c r="E19" s="130">
        <f t="shared" si="3"/>
        <v>1</v>
      </c>
      <c r="F19" s="130">
        <f t="shared" si="3"/>
        <v>0</v>
      </c>
      <c r="G19" s="130">
        <f t="shared" si="3"/>
        <v>0</v>
      </c>
      <c r="H19" s="130">
        <f t="shared" si="3"/>
        <v>0</v>
      </c>
      <c r="I19" s="130">
        <f t="shared" si="3"/>
        <v>0</v>
      </c>
      <c r="J19" s="130">
        <f t="shared" si="3"/>
        <v>0</v>
      </c>
      <c r="K19" s="130">
        <f t="shared" si="3"/>
        <v>0</v>
      </c>
      <c r="L19" s="130">
        <f t="shared" si="3"/>
        <v>0</v>
      </c>
      <c r="M19" s="130">
        <f t="shared" si="3"/>
        <v>0</v>
      </c>
      <c r="N19" s="130">
        <f t="shared" si="3"/>
        <v>0</v>
      </c>
      <c r="O19" s="130">
        <f t="shared" si="3"/>
        <v>0</v>
      </c>
      <c r="P19" s="130">
        <f t="shared" si="3"/>
        <v>0</v>
      </c>
      <c r="Q19" s="130">
        <f t="shared" si="3"/>
        <v>0</v>
      </c>
      <c r="R19" s="998" t="s">
        <v>1141</v>
      </c>
      <c r="S19" s="998"/>
      <c r="T19" s="998"/>
      <c r="U19" s="998"/>
      <c r="V19" s="998"/>
      <c r="W19" s="998"/>
      <c r="X19" s="998"/>
      <c r="Y19" s="998"/>
      <c r="Z19" s="998"/>
      <c r="AA19" s="998"/>
      <c r="AB19" s="998"/>
      <c r="AC19" s="998"/>
      <c r="AD19" s="998"/>
      <c r="AE19" s="998"/>
      <c r="AF19" s="998"/>
    </row>
    <row r="20" spans="1:32">
      <c r="A20" s="142" t="s">
        <v>168</v>
      </c>
      <c r="B20" s="117" t="s">
        <v>963</v>
      </c>
      <c r="C20" s="117" t="s">
        <v>963</v>
      </c>
      <c r="D20" s="130">
        <f t="shared" ref="D20:Q20" si="4">D7/SUM($D7:$Q7)</f>
        <v>0.125</v>
      </c>
      <c r="E20" s="130">
        <f t="shared" si="4"/>
        <v>0.125</v>
      </c>
      <c r="F20" s="130">
        <f t="shared" si="4"/>
        <v>0</v>
      </c>
      <c r="G20" s="130">
        <f t="shared" si="4"/>
        <v>0</v>
      </c>
      <c r="H20" s="130">
        <f t="shared" si="4"/>
        <v>0</v>
      </c>
      <c r="I20" s="130">
        <f t="shared" si="4"/>
        <v>0.125</v>
      </c>
      <c r="J20" s="130">
        <f t="shared" si="4"/>
        <v>0.125</v>
      </c>
      <c r="K20" s="130">
        <f t="shared" si="4"/>
        <v>0</v>
      </c>
      <c r="L20" s="130">
        <f t="shared" si="4"/>
        <v>0.125</v>
      </c>
      <c r="M20" s="130">
        <f t="shared" si="4"/>
        <v>0</v>
      </c>
      <c r="N20" s="130">
        <f t="shared" si="4"/>
        <v>0.125</v>
      </c>
      <c r="O20" s="130">
        <f t="shared" si="4"/>
        <v>0</v>
      </c>
      <c r="P20" s="130">
        <f t="shared" si="4"/>
        <v>0.125</v>
      </c>
      <c r="Q20" s="130">
        <f t="shared" si="4"/>
        <v>0.125</v>
      </c>
      <c r="R20" s="998" t="s">
        <v>1141</v>
      </c>
      <c r="S20" s="998"/>
      <c r="T20" s="998"/>
      <c r="U20" s="998"/>
      <c r="V20" s="998"/>
      <c r="W20" s="998"/>
      <c r="X20" s="998"/>
      <c r="Y20" s="998"/>
      <c r="Z20" s="998"/>
      <c r="AA20" s="998"/>
      <c r="AB20" s="998"/>
      <c r="AC20" s="998"/>
      <c r="AD20" s="998"/>
      <c r="AE20" s="998"/>
      <c r="AF20" s="998"/>
    </row>
    <row r="21" spans="1:32">
      <c r="A21" s="142" t="s">
        <v>169</v>
      </c>
      <c r="B21" s="117" t="s">
        <v>963</v>
      </c>
      <c r="C21" s="117" t="s">
        <v>963</v>
      </c>
      <c r="D21" s="130">
        <f t="shared" ref="D21:Q21" si="5">D8/SUM($D8:$Q8)</f>
        <v>0.125</v>
      </c>
      <c r="E21" s="130">
        <f t="shared" si="5"/>
        <v>0.125</v>
      </c>
      <c r="F21" s="130">
        <f t="shared" si="5"/>
        <v>0</v>
      </c>
      <c r="G21" s="130">
        <f t="shared" si="5"/>
        <v>0</v>
      </c>
      <c r="H21" s="130">
        <f t="shared" si="5"/>
        <v>0</v>
      </c>
      <c r="I21" s="130">
        <f t="shared" si="5"/>
        <v>0.125</v>
      </c>
      <c r="J21" s="130">
        <f t="shared" si="5"/>
        <v>0.125</v>
      </c>
      <c r="K21" s="130">
        <f t="shared" si="5"/>
        <v>0</v>
      </c>
      <c r="L21" s="130">
        <f t="shared" si="5"/>
        <v>0.125</v>
      </c>
      <c r="M21" s="130">
        <f t="shared" si="5"/>
        <v>0</v>
      </c>
      <c r="N21" s="130">
        <f t="shared" si="5"/>
        <v>0.125</v>
      </c>
      <c r="O21" s="130">
        <f t="shared" si="5"/>
        <v>0</v>
      </c>
      <c r="P21" s="130">
        <f t="shared" si="5"/>
        <v>0.125</v>
      </c>
      <c r="Q21" s="130">
        <f t="shared" si="5"/>
        <v>0.125</v>
      </c>
      <c r="R21" s="998" t="s">
        <v>1141</v>
      </c>
      <c r="S21" s="998"/>
      <c r="T21" s="998"/>
      <c r="U21" s="998"/>
      <c r="V21" s="998"/>
      <c r="W21" s="998"/>
      <c r="X21" s="998"/>
      <c r="Y21" s="998"/>
      <c r="Z21" s="998"/>
      <c r="AA21" s="998"/>
      <c r="AB21" s="998"/>
      <c r="AC21" s="998"/>
      <c r="AD21" s="998"/>
      <c r="AE21" s="998"/>
      <c r="AF21" s="998"/>
    </row>
    <row r="22" spans="1:32">
      <c r="A22" s="142" t="s">
        <v>324</v>
      </c>
      <c r="B22" s="117" t="s">
        <v>963</v>
      </c>
      <c r="C22" s="117" t="s">
        <v>963</v>
      </c>
      <c r="D22" s="130">
        <f t="shared" ref="D22:Q22" si="6">D9/SUM($D9:$Q9)</f>
        <v>0</v>
      </c>
      <c r="E22" s="130">
        <f t="shared" si="6"/>
        <v>0</v>
      </c>
      <c r="F22" s="130">
        <f t="shared" si="6"/>
        <v>0</v>
      </c>
      <c r="G22" s="130">
        <f t="shared" si="6"/>
        <v>0</v>
      </c>
      <c r="H22" s="130">
        <f t="shared" si="6"/>
        <v>0</v>
      </c>
      <c r="I22" s="130">
        <f t="shared" si="6"/>
        <v>0</v>
      </c>
      <c r="J22" s="130">
        <f t="shared" si="6"/>
        <v>0</v>
      </c>
      <c r="K22" s="130">
        <f t="shared" si="6"/>
        <v>0</v>
      </c>
      <c r="L22" s="130">
        <f t="shared" si="6"/>
        <v>0</v>
      </c>
      <c r="M22" s="130">
        <f t="shared" si="6"/>
        <v>0</v>
      </c>
      <c r="N22" s="130">
        <f t="shared" si="6"/>
        <v>0</v>
      </c>
      <c r="O22" s="130">
        <f t="shared" si="6"/>
        <v>0</v>
      </c>
      <c r="P22" s="130">
        <f t="shared" si="6"/>
        <v>0</v>
      </c>
      <c r="Q22" s="130">
        <f t="shared" si="6"/>
        <v>1</v>
      </c>
      <c r="R22" s="998" t="s">
        <v>1141</v>
      </c>
      <c r="S22" s="998"/>
      <c r="T22" s="998"/>
      <c r="U22" s="998"/>
      <c r="V22" s="998"/>
      <c r="W22" s="998"/>
      <c r="X22" s="998"/>
      <c r="Y22" s="998"/>
      <c r="Z22" s="998"/>
      <c r="AA22" s="998"/>
      <c r="AB22" s="998"/>
      <c r="AC22" s="998"/>
      <c r="AD22" s="998"/>
      <c r="AE22" s="998"/>
      <c r="AF22" s="998"/>
    </row>
    <row r="23" spans="1:32">
      <c r="A23" s="142" t="s">
        <v>348</v>
      </c>
      <c r="B23" s="117" t="s">
        <v>963</v>
      </c>
      <c r="C23" s="117" t="s">
        <v>963</v>
      </c>
      <c r="D23" s="130">
        <f t="shared" ref="D23:Q23" si="7">D10/SUM($D10:$Q10)</f>
        <v>0</v>
      </c>
      <c r="E23" s="130">
        <f t="shared" si="7"/>
        <v>0</v>
      </c>
      <c r="F23" s="130">
        <f t="shared" si="7"/>
        <v>0</v>
      </c>
      <c r="G23" s="130">
        <f t="shared" si="7"/>
        <v>0</v>
      </c>
      <c r="H23" s="130">
        <f t="shared" si="7"/>
        <v>0</v>
      </c>
      <c r="I23" s="130">
        <f t="shared" si="7"/>
        <v>0</v>
      </c>
      <c r="J23" s="130">
        <f t="shared" si="7"/>
        <v>0</v>
      </c>
      <c r="K23" s="130">
        <f t="shared" si="7"/>
        <v>0</v>
      </c>
      <c r="L23" s="130">
        <f t="shared" si="7"/>
        <v>0</v>
      </c>
      <c r="M23" s="130">
        <f t="shared" si="7"/>
        <v>0</v>
      </c>
      <c r="N23" s="130">
        <f t="shared" si="7"/>
        <v>0</v>
      </c>
      <c r="O23" s="130">
        <f t="shared" si="7"/>
        <v>0</v>
      </c>
      <c r="P23" s="130">
        <f t="shared" si="7"/>
        <v>0</v>
      </c>
      <c r="Q23" s="130">
        <f t="shared" si="7"/>
        <v>1</v>
      </c>
      <c r="R23" s="998" t="s">
        <v>1141</v>
      </c>
      <c r="S23" s="998"/>
      <c r="T23" s="998"/>
      <c r="U23" s="998"/>
      <c r="V23" s="998"/>
      <c r="W23" s="998"/>
      <c r="X23" s="998"/>
      <c r="Y23" s="998"/>
      <c r="Z23" s="998"/>
      <c r="AA23" s="998"/>
      <c r="AB23" s="998"/>
      <c r="AC23" s="998"/>
      <c r="AD23" s="998"/>
      <c r="AE23" s="998"/>
      <c r="AF23" s="998"/>
    </row>
    <row r="24" spans="1:32">
      <c r="A24" s="142" t="s">
        <v>278</v>
      </c>
      <c r="B24" s="117" t="s">
        <v>963</v>
      </c>
      <c r="C24" s="117" t="s">
        <v>963</v>
      </c>
      <c r="D24" s="130">
        <f t="shared" ref="D24:Q24" si="8">D11/SUM($D11:$Q11)</f>
        <v>0</v>
      </c>
      <c r="E24" s="130">
        <f t="shared" si="8"/>
        <v>0</v>
      </c>
      <c r="F24" s="130">
        <f t="shared" si="8"/>
        <v>0</v>
      </c>
      <c r="G24" s="130">
        <f t="shared" si="8"/>
        <v>0</v>
      </c>
      <c r="H24" s="130">
        <f t="shared" si="8"/>
        <v>0</v>
      </c>
      <c r="I24" s="130">
        <f t="shared" si="8"/>
        <v>0</v>
      </c>
      <c r="J24" s="130">
        <f t="shared" si="8"/>
        <v>0</v>
      </c>
      <c r="K24" s="130">
        <f t="shared" si="8"/>
        <v>0</v>
      </c>
      <c r="L24" s="130">
        <f t="shared" si="8"/>
        <v>0</v>
      </c>
      <c r="M24" s="130">
        <f t="shared" si="8"/>
        <v>0</v>
      </c>
      <c r="N24" s="130">
        <f t="shared" si="8"/>
        <v>0</v>
      </c>
      <c r="O24" s="130">
        <f t="shared" si="8"/>
        <v>0</v>
      </c>
      <c r="P24" s="130">
        <f t="shared" si="8"/>
        <v>0</v>
      </c>
      <c r="Q24" s="130">
        <f t="shared" si="8"/>
        <v>1</v>
      </c>
      <c r="R24" s="998" t="s">
        <v>1141</v>
      </c>
      <c r="S24" s="998"/>
      <c r="T24" s="998"/>
      <c r="U24" s="998"/>
      <c r="V24" s="998"/>
      <c r="W24" s="998"/>
      <c r="X24" s="998"/>
      <c r="Y24" s="998"/>
      <c r="Z24" s="998"/>
      <c r="AA24" s="998"/>
      <c r="AB24" s="998"/>
      <c r="AC24" s="998"/>
      <c r="AD24" s="998"/>
      <c r="AE24" s="998"/>
      <c r="AF24" s="998"/>
    </row>
    <row r="25" spans="1:32">
      <c r="A25" s="142" t="s">
        <v>372</v>
      </c>
      <c r="B25" s="117" t="s">
        <v>963</v>
      </c>
      <c r="C25" s="117" t="s">
        <v>963</v>
      </c>
      <c r="D25" s="130">
        <f t="shared" ref="D25:Q25" si="9">D12/SUM($D12:$Q12)</f>
        <v>0</v>
      </c>
      <c r="E25" s="130">
        <f t="shared" si="9"/>
        <v>0</v>
      </c>
      <c r="F25" s="130">
        <f t="shared" si="9"/>
        <v>0</v>
      </c>
      <c r="G25" s="130">
        <f t="shared" si="9"/>
        <v>0</v>
      </c>
      <c r="H25" s="130">
        <f t="shared" si="9"/>
        <v>0</v>
      </c>
      <c r="I25" s="130">
        <f t="shared" si="9"/>
        <v>0</v>
      </c>
      <c r="J25" s="130">
        <f t="shared" si="9"/>
        <v>0</v>
      </c>
      <c r="K25" s="130">
        <f t="shared" si="9"/>
        <v>0</v>
      </c>
      <c r="L25" s="130">
        <f t="shared" si="9"/>
        <v>0</v>
      </c>
      <c r="M25" s="130">
        <f t="shared" si="9"/>
        <v>0</v>
      </c>
      <c r="N25" s="130">
        <f t="shared" si="9"/>
        <v>0</v>
      </c>
      <c r="O25" s="130">
        <f t="shared" si="9"/>
        <v>0</v>
      </c>
      <c r="P25" s="130">
        <f t="shared" si="9"/>
        <v>0</v>
      </c>
      <c r="Q25" s="130">
        <f t="shared" si="9"/>
        <v>1</v>
      </c>
      <c r="R25" s="998" t="s">
        <v>1141</v>
      </c>
      <c r="S25" s="998"/>
      <c r="T25" s="998"/>
      <c r="U25" s="998"/>
      <c r="V25" s="998"/>
      <c r="W25" s="998"/>
      <c r="X25" s="998"/>
      <c r="Y25" s="998"/>
      <c r="Z25" s="998"/>
      <c r="AA25" s="998"/>
      <c r="AB25" s="998"/>
      <c r="AC25" s="998"/>
      <c r="AD25" s="998"/>
      <c r="AE25" s="998"/>
      <c r="AF25" s="998"/>
    </row>
    <row r="26" spans="1:32">
      <c r="A26" s="142" t="s">
        <v>319</v>
      </c>
      <c r="B26" s="117" t="s">
        <v>963</v>
      </c>
      <c r="C26" s="117" t="s">
        <v>963</v>
      </c>
      <c r="D26" s="130">
        <f t="shared" ref="D26:Q26" si="10">D13/SUM($D13:$Q13)</f>
        <v>0</v>
      </c>
      <c r="E26" s="130">
        <f t="shared" si="10"/>
        <v>0</v>
      </c>
      <c r="F26" s="130">
        <f t="shared" si="10"/>
        <v>0</v>
      </c>
      <c r="G26" s="130">
        <f t="shared" si="10"/>
        <v>0</v>
      </c>
      <c r="H26" s="130">
        <f t="shared" si="10"/>
        <v>0</v>
      </c>
      <c r="I26" s="130">
        <f t="shared" si="10"/>
        <v>0</v>
      </c>
      <c r="J26" s="130">
        <f t="shared" si="10"/>
        <v>0</v>
      </c>
      <c r="K26" s="130">
        <f t="shared" si="10"/>
        <v>1</v>
      </c>
      <c r="L26" s="130">
        <f t="shared" si="10"/>
        <v>0</v>
      </c>
      <c r="M26" s="130">
        <f t="shared" si="10"/>
        <v>0</v>
      </c>
      <c r="N26" s="130">
        <f t="shared" si="10"/>
        <v>0</v>
      </c>
      <c r="O26" s="130">
        <f t="shared" si="10"/>
        <v>0</v>
      </c>
      <c r="P26" s="130">
        <f t="shared" si="10"/>
        <v>0</v>
      </c>
      <c r="Q26" s="130">
        <f t="shared" si="10"/>
        <v>0</v>
      </c>
      <c r="R26" s="998" t="s">
        <v>1141</v>
      </c>
      <c r="S26" s="998"/>
      <c r="T26" s="998"/>
      <c r="U26" s="998"/>
      <c r="V26" s="998"/>
      <c r="W26" s="998"/>
      <c r="X26" s="998"/>
      <c r="Y26" s="998"/>
      <c r="Z26" s="998"/>
      <c r="AA26" s="998"/>
      <c r="AB26" s="998"/>
      <c r="AC26" s="998"/>
      <c r="AD26" s="998"/>
      <c r="AE26" s="998"/>
      <c r="AF26" s="998"/>
    </row>
    <row r="28" spans="1:32" ht="30" customHeight="1">
      <c r="A28" s="966" t="s">
        <v>884</v>
      </c>
      <c r="B28" s="966"/>
      <c r="C28" s="966"/>
      <c r="D28" s="966"/>
      <c r="E28" s="966"/>
      <c r="F28" s="966"/>
      <c r="G28" s="966"/>
      <c r="H28" s="966"/>
      <c r="I28" s="966"/>
      <c r="J28" s="966"/>
      <c r="K28" s="966"/>
      <c r="L28" s="966"/>
      <c r="M28" s="966"/>
      <c r="N28" s="966"/>
      <c r="O28" s="966"/>
      <c r="P28" s="966"/>
      <c r="Q28" s="966"/>
      <c r="R28" s="966"/>
      <c r="S28" s="966"/>
      <c r="T28" s="966"/>
      <c r="U28" s="966"/>
      <c r="V28" s="966"/>
      <c r="W28" s="966"/>
      <c r="X28" s="966"/>
      <c r="Y28" s="966"/>
      <c r="Z28" s="966"/>
      <c r="AA28" s="966"/>
      <c r="AB28" s="966"/>
      <c r="AC28" s="966"/>
      <c r="AD28" s="966"/>
      <c r="AE28" s="966"/>
      <c r="AF28" s="966"/>
    </row>
    <row r="29" spans="1:32" ht="30" customHeight="1">
      <c r="A29" s="139" t="s">
        <v>108</v>
      </c>
      <c r="B29" s="139" t="s">
        <v>109</v>
      </c>
      <c r="C29" s="139" t="s">
        <v>139</v>
      </c>
      <c r="D29" s="139" t="s">
        <v>1142</v>
      </c>
      <c r="E29" s="139" t="s">
        <v>1143</v>
      </c>
      <c r="F29" s="139" t="s">
        <v>1144</v>
      </c>
      <c r="G29" s="1021" t="s">
        <v>112</v>
      </c>
      <c r="H29" s="1022"/>
      <c r="I29" s="1022"/>
      <c r="J29" s="1022"/>
      <c r="K29" s="1022"/>
      <c r="L29" s="1023"/>
      <c r="M29" s="996" t="s">
        <v>975</v>
      </c>
      <c r="N29" s="996"/>
      <c r="O29" s="996"/>
      <c r="P29" s="996"/>
      <c r="Q29" s="996"/>
      <c r="R29" s="996" t="s">
        <v>132</v>
      </c>
      <c r="S29" s="996"/>
      <c r="T29" s="996"/>
      <c r="U29" s="996"/>
      <c r="V29" s="996"/>
      <c r="W29" s="996"/>
      <c r="X29" s="996"/>
      <c r="Y29" s="996"/>
      <c r="Z29" s="996"/>
      <c r="AA29" s="996"/>
      <c r="AB29" s="996"/>
      <c r="AC29" s="996"/>
      <c r="AD29" s="996"/>
      <c r="AE29" s="996"/>
      <c r="AF29" s="996"/>
    </row>
    <row r="30" spans="1:32">
      <c r="A30" s="142" t="s">
        <v>1134</v>
      </c>
      <c r="B30" s="117">
        <v>2020</v>
      </c>
      <c r="C30" s="117" t="s">
        <v>190</v>
      </c>
      <c r="D30" s="130">
        <v>4000</v>
      </c>
      <c r="E30" s="130">
        <v>8700</v>
      </c>
      <c r="F30" s="130">
        <v>13400</v>
      </c>
      <c r="G30" s="998" t="s">
        <v>1145</v>
      </c>
      <c r="H30" s="998"/>
      <c r="I30" s="998"/>
      <c r="J30" s="965" t="s">
        <v>1146</v>
      </c>
      <c r="K30" s="965"/>
      <c r="L30" s="965"/>
      <c r="M30" s="998" t="s">
        <v>1147</v>
      </c>
      <c r="N30" s="998"/>
      <c r="O30" s="998"/>
      <c r="P30" s="998"/>
      <c r="Q30" s="998"/>
      <c r="R30" s="998"/>
      <c r="S30" s="998"/>
      <c r="T30" s="998"/>
      <c r="U30" s="998"/>
      <c r="V30" s="998"/>
      <c r="W30" s="998"/>
      <c r="X30" s="998"/>
      <c r="Y30" s="998"/>
      <c r="Z30" s="998"/>
      <c r="AA30" s="998"/>
      <c r="AB30" s="998"/>
      <c r="AC30" s="998"/>
      <c r="AD30" s="998"/>
      <c r="AE30" s="998"/>
      <c r="AF30" s="998"/>
    </row>
    <row r="31" spans="1:32">
      <c r="A31" s="142" t="s">
        <v>240</v>
      </c>
      <c r="B31" s="117">
        <v>2020</v>
      </c>
      <c r="C31" s="117" t="s">
        <v>190</v>
      </c>
      <c r="D31" s="130">
        <v>11200</v>
      </c>
      <c r="E31" s="130">
        <v>16900</v>
      </c>
      <c r="F31" s="130">
        <v>22800</v>
      </c>
      <c r="G31" s="998" t="s">
        <v>1148</v>
      </c>
      <c r="H31" s="998"/>
      <c r="I31" s="998"/>
      <c r="J31" s="965" t="s">
        <v>1146</v>
      </c>
      <c r="K31" s="965"/>
      <c r="L31" s="965"/>
      <c r="M31" s="998" t="s">
        <v>1147</v>
      </c>
      <c r="N31" s="998"/>
      <c r="O31" s="998"/>
      <c r="P31" s="998"/>
      <c r="Q31" s="998"/>
      <c r="R31" s="998"/>
      <c r="S31" s="998"/>
      <c r="T31" s="998"/>
      <c r="U31" s="998"/>
      <c r="V31" s="998"/>
      <c r="W31" s="998"/>
      <c r="X31" s="998"/>
      <c r="Y31" s="998"/>
      <c r="Z31" s="998"/>
      <c r="AA31" s="998"/>
      <c r="AB31" s="998"/>
      <c r="AC31" s="998"/>
      <c r="AD31" s="998"/>
      <c r="AE31" s="998"/>
      <c r="AF31" s="998"/>
    </row>
    <row r="32" spans="1:32">
      <c r="A32" s="142" t="s">
        <v>164</v>
      </c>
      <c r="B32" s="117">
        <v>2020</v>
      </c>
      <c r="C32" s="117" t="s">
        <v>190</v>
      </c>
      <c r="D32" s="130">
        <v>1000</v>
      </c>
      <c r="E32" s="130">
        <v>10000</v>
      </c>
      <c r="F32" s="130">
        <v>17000</v>
      </c>
      <c r="G32" s="998" t="s">
        <v>1149</v>
      </c>
      <c r="H32" s="998"/>
      <c r="I32" s="998"/>
      <c r="J32" s="965" t="s">
        <v>1146</v>
      </c>
      <c r="K32" s="965"/>
      <c r="L32" s="965"/>
      <c r="M32" s="998" t="s">
        <v>1150</v>
      </c>
      <c r="N32" s="998"/>
      <c r="O32" s="998"/>
      <c r="P32" s="998"/>
      <c r="Q32" s="998"/>
      <c r="R32" s="998"/>
      <c r="S32" s="998"/>
      <c r="T32" s="998"/>
      <c r="U32" s="998"/>
      <c r="V32" s="998"/>
      <c r="W32" s="998"/>
      <c r="X32" s="998"/>
      <c r="Y32" s="998"/>
      <c r="Z32" s="998"/>
      <c r="AA32" s="998"/>
      <c r="AB32" s="998"/>
      <c r="AC32" s="998"/>
      <c r="AD32" s="998"/>
      <c r="AE32" s="998"/>
      <c r="AF32" s="998"/>
    </row>
    <row r="33" spans="1:32">
      <c r="A33" s="142" t="s">
        <v>167</v>
      </c>
      <c r="B33" s="117">
        <v>2020</v>
      </c>
      <c r="C33" s="117" t="s">
        <v>190</v>
      </c>
      <c r="D33" s="130">
        <v>2000</v>
      </c>
      <c r="E33" s="130">
        <v>4000</v>
      </c>
      <c r="F33" s="130">
        <v>6000</v>
      </c>
      <c r="G33" s="998" t="s">
        <v>1151</v>
      </c>
      <c r="H33" s="998"/>
      <c r="I33" s="998"/>
      <c r="J33" s="965" t="s">
        <v>1146</v>
      </c>
      <c r="K33" s="965"/>
      <c r="L33" s="965"/>
      <c r="M33" s="998" t="s">
        <v>1150</v>
      </c>
      <c r="N33" s="998"/>
      <c r="O33" s="998"/>
      <c r="P33" s="998"/>
      <c r="Q33" s="998"/>
      <c r="R33" s="998"/>
      <c r="S33" s="998"/>
      <c r="T33" s="998"/>
      <c r="U33" s="998"/>
      <c r="V33" s="998"/>
      <c r="W33" s="998"/>
      <c r="X33" s="998"/>
      <c r="Y33" s="998"/>
      <c r="Z33" s="998"/>
      <c r="AA33" s="998"/>
      <c r="AB33" s="998"/>
      <c r="AC33" s="998"/>
      <c r="AD33" s="998"/>
      <c r="AE33" s="998"/>
      <c r="AF33" s="998"/>
    </row>
    <row r="34" spans="1:32">
      <c r="A34" s="142" t="s">
        <v>168</v>
      </c>
      <c r="B34" s="117">
        <v>2020</v>
      </c>
      <c r="C34" s="117" t="s">
        <v>190</v>
      </c>
      <c r="D34" s="130">
        <v>100</v>
      </c>
      <c r="E34" s="130">
        <v>500</v>
      </c>
      <c r="F34" s="130">
        <v>700</v>
      </c>
      <c r="G34" s="998" t="s">
        <v>1152</v>
      </c>
      <c r="H34" s="998"/>
      <c r="I34" s="998"/>
      <c r="J34" s="965" t="s">
        <v>1146</v>
      </c>
      <c r="K34" s="965"/>
      <c r="L34" s="965"/>
      <c r="M34" s="998" t="s">
        <v>1150</v>
      </c>
      <c r="N34" s="998"/>
      <c r="O34" s="998"/>
      <c r="P34" s="998"/>
      <c r="Q34" s="998"/>
      <c r="R34" s="998"/>
      <c r="S34" s="998"/>
      <c r="T34" s="998"/>
      <c r="U34" s="998"/>
      <c r="V34" s="998"/>
      <c r="W34" s="998"/>
      <c r="X34" s="998"/>
      <c r="Y34" s="998"/>
      <c r="Z34" s="998"/>
      <c r="AA34" s="998"/>
      <c r="AB34" s="998"/>
      <c r="AC34" s="998"/>
      <c r="AD34" s="998"/>
      <c r="AE34" s="998"/>
      <c r="AF34" s="998"/>
    </row>
    <row r="35" spans="1:32">
      <c r="A35" s="142" t="s">
        <v>169</v>
      </c>
      <c r="B35" s="117">
        <v>2020</v>
      </c>
      <c r="C35" s="117" t="s">
        <v>190</v>
      </c>
      <c r="D35" s="130">
        <v>250</v>
      </c>
      <c r="E35" s="130">
        <v>500</v>
      </c>
      <c r="F35" s="130">
        <v>1000</v>
      </c>
      <c r="G35" s="998" t="s">
        <v>1153</v>
      </c>
      <c r="H35" s="998"/>
      <c r="I35" s="998"/>
      <c r="J35" s="965" t="s">
        <v>1146</v>
      </c>
      <c r="K35" s="965"/>
      <c r="L35" s="965"/>
      <c r="M35" s="998" t="s">
        <v>1150</v>
      </c>
      <c r="N35" s="998"/>
      <c r="O35" s="998"/>
      <c r="P35" s="998"/>
      <c r="Q35" s="998"/>
      <c r="R35" s="998"/>
      <c r="S35" s="998"/>
      <c r="T35" s="998"/>
      <c r="U35" s="998"/>
      <c r="V35" s="998"/>
      <c r="W35" s="998"/>
      <c r="X35" s="998"/>
      <c r="Y35" s="998"/>
      <c r="Z35" s="998"/>
      <c r="AA35" s="998"/>
      <c r="AB35" s="998"/>
      <c r="AC35" s="998"/>
      <c r="AD35" s="998"/>
      <c r="AE35" s="998"/>
      <c r="AF35" s="998"/>
    </row>
    <row r="36" spans="1:32">
      <c r="A36" s="142" t="s">
        <v>324</v>
      </c>
      <c r="B36" s="117">
        <v>2020</v>
      </c>
      <c r="C36" s="117" t="s">
        <v>190</v>
      </c>
      <c r="D36" s="130">
        <f>E36/2</f>
        <v>52.502499999999998</v>
      </c>
      <c r="E36" s="130">
        <f>100+5+0.005</f>
        <v>105.005</v>
      </c>
      <c r="F36" s="130">
        <f>E36*2</f>
        <v>210.01</v>
      </c>
      <c r="G36" s="1033" t="s">
        <v>1154</v>
      </c>
      <c r="H36" s="1033"/>
      <c r="I36" s="1033"/>
      <c r="J36" s="965" t="s">
        <v>1146</v>
      </c>
      <c r="K36" s="965"/>
      <c r="L36" s="965"/>
      <c r="M36" s="998" t="s">
        <v>1155</v>
      </c>
      <c r="N36" s="998"/>
      <c r="O36" s="998"/>
      <c r="P36" s="998"/>
      <c r="Q36" s="998"/>
      <c r="R36" s="998"/>
      <c r="S36" s="998"/>
      <c r="T36" s="998"/>
      <c r="U36" s="998"/>
      <c r="V36" s="998"/>
      <c r="W36" s="998"/>
      <c r="X36" s="998"/>
      <c r="Y36" s="998"/>
      <c r="Z36" s="998"/>
      <c r="AA36" s="998"/>
      <c r="AB36" s="998"/>
      <c r="AC36" s="998"/>
      <c r="AD36" s="998"/>
      <c r="AE36" s="998"/>
      <c r="AF36" s="998"/>
    </row>
    <row r="37" spans="1:32">
      <c r="A37" s="142" t="s">
        <v>348</v>
      </c>
      <c r="B37" s="117">
        <v>2020</v>
      </c>
      <c r="C37" s="117" t="s">
        <v>190</v>
      </c>
      <c r="D37" s="130">
        <v>800</v>
      </c>
      <c r="E37" s="130">
        <f>1600+700</f>
        <v>2300</v>
      </c>
      <c r="F37" s="130">
        <v>3700</v>
      </c>
      <c r="G37" s="1033" t="s">
        <v>1156</v>
      </c>
      <c r="H37" s="1033"/>
      <c r="I37" s="1033"/>
      <c r="J37" s="965" t="s">
        <v>1146</v>
      </c>
      <c r="K37" s="965"/>
      <c r="L37" s="965"/>
      <c r="M37" s="998" t="s">
        <v>1155</v>
      </c>
      <c r="N37" s="998"/>
      <c r="O37" s="998"/>
      <c r="P37" s="998"/>
      <c r="Q37" s="998"/>
      <c r="R37" s="998"/>
      <c r="S37" s="998"/>
      <c r="T37" s="998"/>
      <c r="U37" s="998"/>
      <c r="V37" s="998"/>
      <c r="W37" s="998"/>
      <c r="X37" s="998"/>
      <c r="Y37" s="998"/>
      <c r="Z37" s="998"/>
      <c r="AA37" s="998"/>
      <c r="AB37" s="998"/>
      <c r="AC37" s="998"/>
      <c r="AD37" s="998"/>
      <c r="AE37" s="998"/>
      <c r="AF37" s="998"/>
    </row>
    <row r="38" spans="1:32">
      <c r="A38" s="142" t="s">
        <v>278</v>
      </c>
      <c r="B38" s="117">
        <v>2020</v>
      </c>
      <c r="C38" s="117" t="s">
        <v>190</v>
      </c>
      <c r="D38" s="130">
        <f>D37</f>
        <v>800</v>
      </c>
      <c r="E38" s="130">
        <f>E37</f>
        <v>2300</v>
      </c>
      <c r="F38" s="130">
        <f>F37</f>
        <v>3700</v>
      </c>
      <c r="G38" s="1031" t="s">
        <v>1157</v>
      </c>
      <c r="H38" s="1031"/>
      <c r="I38" s="1031"/>
      <c r="J38" s="965" t="s">
        <v>1146</v>
      </c>
      <c r="K38" s="965"/>
      <c r="L38" s="965"/>
      <c r="M38" s="998" t="s">
        <v>1155</v>
      </c>
      <c r="N38" s="998"/>
      <c r="O38" s="998"/>
      <c r="P38" s="998"/>
      <c r="Q38" s="998"/>
      <c r="R38" s="998"/>
      <c r="S38" s="998"/>
      <c r="T38" s="998"/>
      <c r="U38" s="998"/>
      <c r="V38" s="998"/>
      <c r="W38" s="998"/>
      <c r="X38" s="998"/>
      <c r="Y38" s="998"/>
      <c r="Z38" s="998"/>
      <c r="AA38" s="998"/>
      <c r="AB38" s="998"/>
      <c r="AC38" s="998"/>
      <c r="AD38" s="998"/>
      <c r="AE38" s="998"/>
      <c r="AF38" s="998"/>
    </row>
    <row r="39" spans="1:32">
      <c r="A39" s="142" t="s">
        <v>372</v>
      </c>
      <c r="B39" s="117">
        <v>2020</v>
      </c>
      <c r="C39" s="117" t="s">
        <v>190</v>
      </c>
      <c r="D39" s="130">
        <f>E39/2</f>
        <v>897.5</v>
      </c>
      <c r="E39" s="130">
        <v>1795</v>
      </c>
      <c r="F39" s="130">
        <f>E39*2</f>
        <v>3590</v>
      </c>
      <c r="G39" s="998" t="s">
        <v>1158</v>
      </c>
      <c r="H39" s="998"/>
      <c r="I39" s="998"/>
      <c r="J39" s="965" t="s">
        <v>1146</v>
      </c>
      <c r="K39" s="965"/>
      <c r="L39" s="965"/>
      <c r="M39" s="998" t="s">
        <v>1159</v>
      </c>
      <c r="N39" s="998"/>
      <c r="O39" s="998"/>
      <c r="P39" s="998"/>
      <c r="Q39" s="998"/>
      <c r="R39" s="998"/>
      <c r="S39" s="998"/>
      <c r="T39" s="998"/>
      <c r="U39" s="998"/>
      <c r="V39" s="998"/>
      <c r="W39" s="998"/>
      <c r="X39" s="998"/>
      <c r="Y39" s="998"/>
      <c r="Z39" s="998"/>
      <c r="AA39" s="998"/>
      <c r="AB39" s="998"/>
      <c r="AC39" s="998"/>
      <c r="AD39" s="998"/>
      <c r="AE39" s="998"/>
      <c r="AF39" s="998"/>
    </row>
    <row r="40" spans="1:32">
      <c r="A40" s="142" t="s">
        <v>319</v>
      </c>
      <c r="B40" s="117">
        <v>2020</v>
      </c>
      <c r="C40" s="117" t="s">
        <v>190</v>
      </c>
      <c r="D40" s="380">
        <v>46000</v>
      </c>
      <c r="E40" s="380">
        <f>AVERAGE(D40,F40)</f>
        <v>115500</v>
      </c>
      <c r="F40" s="380">
        <v>185000</v>
      </c>
      <c r="G40" s="1031" t="s">
        <v>1160</v>
      </c>
      <c r="H40" s="1031"/>
      <c r="I40" s="1031"/>
      <c r="J40" s="965" t="s">
        <v>1146</v>
      </c>
      <c r="K40" s="965"/>
      <c r="L40" s="965"/>
      <c r="M40" s="998" t="s">
        <v>1161</v>
      </c>
      <c r="N40" s="998"/>
      <c r="O40" s="998"/>
      <c r="P40" s="998"/>
      <c r="Q40" s="998"/>
      <c r="R40" s="998"/>
      <c r="S40" s="998"/>
      <c r="T40" s="998"/>
      <c r="U40" s="998"/>
      <c r="V40" s="998"/>
      <c r="W40" s="998"/>
      <c r="X40" s="998"/>
      <c r="Y40" s="998"/>
      <c r="Z40" s="998"/>
      <c r="AA40" s="998"/>
      <c r="AB40" s="998"/>
      <c r="AC40" s="998"/>
      <c r="AD40" s="998"/>
      <c r="AE40" s="998"/>
      <c r="AF40" s="998"/>
    </row>
    <row r="41" spans="1:32">
      <c r="A41" s="138" t="s">
        <v>1162</v>
      </c>
      <c r="B41" s="127">
        <v>2020</v>
      </c>
      <c r="C41" s="127" t="s">
        <v>190</v>
      </c>
      <c r="D41" s="137">
        <f>SUM(D30:D40)</f>
        <v>67100.002500000002</v>
      </c>
      <c r="E41" s="137">
        <f>SUM(E30:E40)</f>
        <v>162600.005</v>
      </c>
      <c r="F41" s="137">
        <f>SUM(F30:F40)</f>
        <v>257100.01</v>
      </c>
      <c r="G41" s="1032"/>
      <c r="H41" s="1032"/>
      <c r="I41" s="1032"/>
      <c r="J41" s="998"/>
      <c r="K41" s="998"/>
      <c r="L41" s="998"/>
      <c r="M41" s="998"/>
      <c r="N41" s="998"/>
      <c r="O41" s="998"/>
      <c r="P41" s="998"/>
      <c r="Q41" s="998"/>
      <c r="R41" s="1032"/>
      <c r="S41" s="1032"/>
      <c r="T41" s="1032"/>
      <c r="U41" s="1032"/>
      <c r="V41" s="1032"/>
      <c r="W41" s="1032"/>
      <c r="X41" s="1032"/>
      <c r="Y41" s="1032"/>
      <c r="Z41" s="1032"/>
      <c r="AA41" s="1032"/>
      <c r="AB41" s="1032"/>
      <c r="AC41" s="1032"/>
      <c r="AD41" s="1032"/>
      <c r="AE41" s="1032"/>
      <c r="AF41" s="1032"/>
    </row>
    <row r="43" spans="1:32" ht="30" customHeight="1">
      <c r="A43" s="140" t="s">
        <v>108</v>
      </c>
      <c r="B43" s="140" t="s">
        <v>109</v>
      </c>
      <c r="C43" s="140" t="s">
        <v>139</v>
      </c>
      <c r="D43" s="190" t="s">
        <v>1163</v>
      </c>
      <c r="E43" s="190" t="s">
        <v>1164</v>
      </c>
      <c r="F43" s="190" t="s">
        <v>1165</v>
      </c>
      <c r="G43" s="190" t="s">
        <v>1166</v>
      </c>
      <c r="H43" s="190" t="s">
        <v>1167</v>
      </c>
      <c r="I43" s="190" t="s">
        <v>1168</v>
      </c>
      <c r="J43" s="190" t="s">
        <v>1169</v>
      </c>
      <c r="K43" s="190" t="s">
        <v>1170</v>
      </c>
      <c r="L43" s="190" t="s">
        <v>1171</v>
      </c>
      <c r="M43" s="190" t="s">
        <v>1172</v>
      </c>
      <c r="N43" s="190" t="s">
        <v>1173</v>
      </c>
      <c r="O43" s="190" t="s">
        <v>1174</v>
      </c>
      <c r="P43" s="190" t="s">
        <v>1175</v>
      </c>
      <c r="Q43" s="190" t="s">
        <v>1176</v>
      </c>
      <c r="R43" s="996" t="s">
        <v>132</v>
      </c>
      <c r="S43" s="996"/>
      <c r="T43" s="996"/>
      <c r="U43" s="996"/>
      <c r="V43" s="996"/>
      <c r="W43" s="996"/>
      <c r="X43" s="996"/>
      <c r="Y43" s="996"/>
      <c r="Z43" s="996"/>
      <c r="AA43" s="996"/>
      <c r="AB43" s="996"/>
      <c r="AC43" s="996"/>
      <c r="AD43" s="996"/>
      <c r="AE43" s="996"/>
      <c r="AF43" s="996"/>
    </row>
    <row r="44" spans="1:32">
      <c r="A44" s="142" t="s">
        <v>1134</v>
      </c>
      <c r="B44" s="117">
        <v>2020</v>
      </c>
      <c r="C44" s="117" t="s">
        <v>190</v>
      </c>
      <c r="D44" s="130">
        <f t="shared" ref="D44:Q44" si="11">$E30*D16</f>
        <v>0</v>
      </c>
      <c r="E44" s="130">
        <f t="shared" si="11"/>
        <v>3292.0262584018337</v>
      </c>
      <c r="F44" s="130">
        <f t="shared" si="11"/>
        <v>0</v>
      </c>
      <c r="G44" s="130">
        <f t="shared" si="11"/>
        <v>0</v>
      </c>
      <c r="H44" s="130">
        <f t="shared" si="11"/>
        <v>0</v>
      </c>
      <c r="I44" s="130">
        <f t="shared" si="11"/>
        <v>0</v>
      </c>
      <c r="J44" s="130">
        <f t="shared" si="11"/>
        <v>0</v>
      </c>
      <c r="K44" s="130">
        <f t="shared" si="11"/>
        <v>0</v>
      </c>
      <c r="L44" s="130">
        <f t="shared" si="11"/>
        <v>5362.3401743183649</v>
      </c>
      <c r="M44" s="130">
        <f t="shared" si="11"/>
        <v>0</v>
      </c>
      <c r="N44" s="130">
        <f t="shared" si="11"/>
        <v>13.769273972276574</v>
      </c>
      <c r="O44" s="130">
        <f t="shared" si="11"/>
        <v>0</v>
      </c>
      <c r="P44" s="130">
        <f t="shared" si="11"/>
        <v>0</v>
      </c>
      <c r="Q44" s="130">
        <f t="shared" si="11"/>
        <v>31.864293307524996</v>
      </c>
      <c r="R44" s="998"/>
      <c r="S44" s="998"/>
      <c r="T44" s="998"/>
      <c r="U44" s="998"/>
      <c r="V44" s="998"/>
      <c r="W44" s="998"/>
      <c r="X44" s="998"/>
      <c r="Y44" s="998"/>
      <c r="Z44" s="998"/>
      <c r="AA44" s="998"/>
      <c r="AB44" s="998"/>
      <c r="AC44" s="998"/>
      <c r="AD44" s="998"/>
      <c r="AE44" s="998"/>
      <c r="AF44" s="998"/>
    </row>
    <row r="45" spans="1:32">
      <c r="A45" s="142" t="s">
        <v>240</v>
      </c>
      <c r="B45" s="117">
        <v>2020</v>
      </c>
      <c r="C45" s="117" t="s">
        <v>190</v>
      </c>
      <c r="D45" s="130">
        <f t="shared" ref="D45:Q45" si="12">$E31*D17</f>
        <v>0</v>
      </c>
      <c r="E45" s="130">
        <f t="shared" si="12"/>
        <v>0</v>
      </c>
      <c r="F45" s="130">
        <f t="shared" si="12"/>
        <v>0</v>
      </c>
      <c r="G45" s="130">
        <f t="shared" si="12"/>
        <v>0</v>
      </c>
      <c r="H45" s="130">
        <f t="shared" si="12"/>
        <v>0</v>
      </c>
      <c r="I45" s="130">
        <f t="shared" si="12"/>
        <v>0</v>
      </c>
      <c r="J45" s="130">
        <f t="shared" si="12"/>
        <v>477.56976333451075</v>
      </c>
      <c r="K45" s="130">
        <f t="shared" si="12"/>
        <v>0</v>
      </c>
      <c r="L45" s="130">
        <f t="shared" si="12"/>
        <v>15461.321087954786</v>
      </c>
      <c r="M45" s="130">
        <f t="shared" si="12"/>
        <v>0</v>
      </c>
      <c r="N45" s="130">
        <f t="shared" si="12"/>
        <v>477.56976333451075</v>
      </c>
      <c r="O45" s="130">
        <f t="shared" si="12"/>
        <v>0</v>
      </c>
      <c r="P45" s="130">
        <f t="shared" si="12"/>
        <v>477.56976333451075</v>
      </c>
      <c r="Q45" s="130">
        <f t="shared" si="12"/>
        <v>5.9696220416813848</v>
      </c>
      <c r="R45" s="998"/>
      <c r="S45" s="998"/>
      <c r="T45" s="998"/>
      <c r="U45" s="998"/>
      <c r="V45" s="998"/>
      <c r="W45" s="998"/>
      <c r="X45" s="998"/>
      <c r="Y45" s="998"/>
      <c r="Z45" s="998"/>
      <c r="AA45" s="998"/>
      <c r="AB45" s="998"/>
      <c r="AC45" s="998"/>
      <c r="AD45" s="998"/>
      <c r="AE45" s="998"/>
      <c r="AF45" s="998"/>
    </row>
    <row r="46" spans="1:32">
      <c r="A46" s="142" t="s">
        <v>164</v>
      </c>
      <c r="B46" s="117">
        <v>2020</v>
      </c>
      <c r="C46" s="117" t="s">
        <v>190</v>
      </c>
      <c r="D46" s="130">
        <f t="shared" ref="D46:Q46" si="13">$E32*D18</f>
        <v>1000</v>
      </c>
      <c r="E46" s="130">
        <f t="shared" si="13"/>
        <v>1000</v>
      </c>
      <c r="F46" s="130">
        <f t="shared" si="13"/>
        <v>1000</v>
      </c>
      <c r="G46" s="130">
        <f t="shared" si="13"/>
        <v>0</v>
      </c>
      <c r="H46" s="130">
        <f t="shared" si="13"/>
        <v>0</v>
      </c>
      <c r="I46" s="130">
        <f t="shared" si="13"/>
        <v>1000</v>
      </c>
      <c r="J46" s="130">
        <f t="shared" si="13"/>
        <v>0</v>
      </c>
      <c r="K46" s="130">
        <f t="shared" si="13"/>
        <v>0</v>
      </c>
      <c r="L46" s="130">
        <f t="shared" si="13"/>
        <v>1000</v>
      </c>
      <c r="M46" s="130">
        <f t="shared" si="13"/>
        <v>0</v>
      </c>
      <c r="N46" s="130">
        <f t="shared" si="13"/>
        <v>1000</v>
      </c>
      <c r="O46" s="130">
        <f t="shared" si="13"/>
        <v>0</v>
      </c>
      <c r="P46" s="130">
        <f t="shared" si="13"/>
        <v>1000</v>
      </c>
      <c r="Q46" s="130">
        <f t="shared" si="13"/>
        <v>3000</v>
      </c>
      <c r="R46" s="998"/>
      <c r="S46" s="998"/>
      <c r="T46" s="998"/>
      <c r="U46" s="998"/>
      <c r="V46" s="998"/>
      <c r="W46" s="998"/>
      <c r="X46" s="998"/>
      <c r="Y46" s="998"/>
      <c r="Z46" s="998"/>
      <c r="AA46" s="998"/>
      <c r="AB46" s="998"/>
      <c r="AC46" s="998"/>
      <c r="AD46" s="998"/>
      <c r="AE46" s="998"/>
      <c r="AF46" s="998"/>
    </row>
    <row r="47" spans="1:32">
      <c r="A47" s="142" t="s">
        <v>167</v>
      </c>
      <c r="B47" s="117">
        <v>2020</v>
      </c>
      <c r="C47" s="117" t="s">
        <v>190</v>
      </c>
      <c r="D47" s="130">
        <f t="shared" ref="D47:Q47" si="14">$E33*D19</f>
        <v>0</v>
      </c>
      <c r="E47" s="130">
        <f t="shared" si="14"/>
        <v>4000</v>
      </c>
      <c r="F47" s="130">
        <f t="shared" si="14"/>
        <v>0</v>
      </c>
      <c r="G47" s="130">
        <f t="shared" si="14"/>
        <v>0</v>
      </c>
      <c r="H47" s="130">
        <f t="shared" si="14"/>
        <v>0</v>
      </c>
      <c r="I47" s="130">
        <f t="shared" si="14"/>
        <v>0</v>
      </c>
      <c r="J47" s="130">
        <f t="shared" si="14"/>
        <v>0</v>
      </c>
      <c r="K47" s="130">
        <f t="shared" si="14"/>
        <v>0</v>
      </c>
      <c r="L47" s="130">
        <f t="shared" si="14"/>
        <v>0</v>
      </c>
      <c r="M47" s="130">
        <f t="shared" si="14"/>
        <v>0</v>
      </c>
      <c r="N47" s="130">
        <f t="shared" si="14"/>
        <v>0</v>
      </c>
      <c r="O47" s="130">
        <f t="shared" si="14"/>
        <v>0</v>
      </c>
      <c r="P47" s="130">
        <f t="shared" si="14"/>
        <v>0</v>
      </c>
      <c r="Q47" s="130">
        <f t="shared" si="14"/>
        <v>0</v>
      </c>
      <c r="R47" s="998"/>
      <c r="S47" s="998"/>
      <c r="T47" s="998"/>
      <c r="U47" s="998"/>
      <c r="V47" s="998"/>
      <c r="W47" s="998"/>
      <c r="X47" s="998"/>
      <c r="Y47" s="998"/>
      <c r="Z47" s="998"/>
      <c r="AA47" s="998"/>
      <c r="AB47" s="998"/>
      <c r="AC47" s="998"/>
      <c r="AD47" s="998"/>
      <c r="AE47" s="998"/>
      <c r="AF47" s="998"/>
    </row>
    <row r="48" spans="1:32">
      <c r="A48" s="142" t="s">
        <v>168</v>
      </c>
      <c r="B48" s="117">
        <v>2020</v>
      </c>
      <c r="C48" s="117" t="s">
        <v>190</v>
      </c>
      <c r="D48" s="130">
        <f t="shared" ref="D48:Q48" si="15">$E34*D20</f>
        <v>62.5</v>
      </c>
      <c r="E48" s="130">
        <f t="shared" si="15"/>
        <v>62.5</v>
      </c>
      <c r="F48" s="130">
        <f t="shared" si="15"/>
        <v>0</v>
      </c>
      <c r="G48" s="130">
        <f t="shared" si="15"/>
        <v>0</v>
      </c>
      <c r="H48" s="130">
        <f t="shared" si="15"/>
        <v>0</v>
      </c>
      <c r="I48" s="130">
        <f t="shared" si="15"/>
        <v>62.5</v>
      </c>
      <c r="J48" s="130">
        <f t="shared" si="15"/>
        <v>62.5</v>
      </c>
      <c r="K48" s="130">
        <f t="shared" si="15"/>
        <v>0</v>
      </c>
      <c r="L48" s="130">
        <f t="shared" si="15"/>
        <v>62.5</v>
      </c>
      <c r="M48" s="130">
        <f t="shared" si="15"/>
        <v>0</v>
      </c>
      <c r="N48" s="130">
        <f t="shared" si="15"/>
        <v>62.5</v>
      </c>
      <c r="O48" s="130">
        <f t="shared" si="15"/>
        <v>0</v>
      </c>
      <c r="P48" s="130">
        <f t="shared" si="15"/>
        <v>62.5</v>
      </c>
      <c r="Q48" s="130">
        <f t="shared" si="15"/>
        <v>62.5</v>
      </c>
      <c r="R48" s="998"/>
      <c r="S48" s="998"/>
      <c r="T48" s="998"/>
      <c r="U48" s="998"/>
      <c r="V48" s="998"/>
      <c r="W48" s="998"/>
      <c r="X48" s="998"/>
      <c r="Y48" s="998"/>
      <c r="Z48" s="998"/>
      <c r="AA48" s="998"/>
      <c r="AB48" s="998"/>
      <c r="AC48" s="998"/>
      <c r="AD48" s="998"/>
      <c r="AE48" s="998"/>
      <c r="AF48" s="998"/>
    </row>
    <row r="49" spans="1:32">
      <c r="A49" s="142" t="s">
        <v>169</v>
      </c>
      <c r="B49" s="117">
        <v>2020</v>
      </c>
      <c r="C49" s="117" t="s">
        <v>190</v>
      </c>
      <c r="D49" s="130">
        <f t="shared" ref="D49:Q49" si="16">$E35*D21</f>
        <v>62.5</v>
      </c>
      <c r="E49" s="130">
        <f t="shared" si="16"/>
        <v>62.5</v>
      </c>
      <c r="F49" s="130">
        <f t="shared" si="16"/>
        <v>0</v>
      </c>
      <c r="G49" s="130">
        <f t="shared" si="16"/>
        <v>0</v>
      </c>
      <c r="H49" s="130">
        <f t="shared" si="16"/>
        <v>0</v>
      </c>
      <c r="I49" s="130">
        <f t="shared" si="16"/>
        <v>62.5</v>
      </c>
      <c r="J49" s="130">
        <f t="shared" si="16"/>
        <v>62.5</v>
      </c>
      <c r="K49" s="130">
        <f t="shared" si="16"/>
        <v>0</v>
      </c>
      <c r="L49" s="130">
        <f t="shared" si="16"/>
        <v>62.5</v>
      </c>
      <c r="M49" s="130">
        <f t="shared" si="16"/>
        <v>0</v>
      </c>
      <c r="N49" s="130">
        <f t="shared" si="16"/>
        <v>62.5</v>
      </c>
      <c r="O49" s="130">
        <f t="shared" si="16"/>
        <v>0</v>
      </c>
      <c r="P49" s="130">
        <f t="shared" si="16"/>
        <v>62.5</v>
      </c>
      <c r="Q49" s="130">
        <f t="shared" si="16"/>
        <v>62.5</v>
      </c>
      <c r="R49" s="998"/>
      <c r="S49" s="998"/>
      <c r="T49" s="998"/>
      <c r="U49" s="998"/>
      <c r="V49" s="998"/>
      <c r="W49" s="998"/>
      <c r="X49" s="998"/>
      <c r="Y49" s="998"/>
      <c r="Z49" s="998"/>
      <c r="AA49" s="998"/>
      <c r="AB49" s="998"/>
      <c r="AC49" s="998"/>
      <c r="AD49" s="998"/>
      <c r="AE49" s="998"/>
      <c r="AF49" s="998"/>
    </row>
    <row r="50" spans="1:32">
      <c r="A50" s="142" t="s">
        <v>324</v>
      </c>
      <c r="B50" s="117">
        <v>2020</v>
      </c>
      <c r="C50" s="117" t="s">
        <v>190</v>
      </c>
      <c r="D50" s="130">
        <f t="shared" ref="D50:Q50" si="17">$E36*D22</f>
        <v>0</v>
      </c>
      <c r="E50" s="130">
        <f t="shared" si="17"/>
        <v>0</v>
      </c>
      <c r="F50" s="130">
        <f t="shared" si="17"/>
        <v>0</v>
      </c>
      <c r="G50" s="130">
        <f t="shared" si="17"/>
        <v>0</v>
      </c>
      <c r="H50" s="130">
        <f t="shared" si="17"/>
        <v>0</v>
      </c>
      <c r="I50" s="130">
        <f t="shared" si="17"/>
        <v>0</v>
      </c>
      <c r="J50" s="130">
        <f t="shared" si="17"/>
        <v>0</v>
      </c>
      <c r="K50" s="130">
        <f t="shared" si="17"/>
        <v>0</v>
      </c>
      <c r="L50" s="130">
        <f t="shared" si="17"/>
        <v>0</v>
      </c>
      <c r="M50" s="130">
        <f t="shared" si="17"/>
        <v>0</v>
      </c>
      <c r="N50" s="130">
        <f t="shared" si="17"/>
        <v>0</v>
      </c>
      <c r="O50" s="130">
        <f t="shared" si="17"/>
        <v>0</v>
      </c>
      <c r="P50" s="130">
        <f t="shared" si="17"/>
        <v>0</v>
      </c>
      <c r="Q50" s="130">
        <f t="shared" si="17"/>
        <v>105.005</v>
      </c>
      <c r="R50" s="998"/>
      <c r="S50" s="998"/>
      <c r="T50" s="998"/>
      <c r="U50" s="998"/>
      <c r="V50" s="998"/>
      <c r="W50" s="998"/>
      <c r="X50" s="998"/>
      <c r="Y50" s="998"/>
      <c r="Z50" s="998"/>
      <c r="AA50" s="998"/>
      <c r="AB50" s="998"/>
      <c r="AC50" s="998"/>
      <c r="AD50" s="998"/>
      <c r="AE50" s="998"/>
      <c r="AF50" s="998"/>
    </row>
    <row r="51" spans="1:32">
      <c r="A51" s="142" t="s">
        <v>348</v>
      </c>
      <c r="B51" s="117">
        <v>2020</v>
      </c>
      <c r="C51" s="117" t="s">
        <v>190</v>
      </c>
      <c r="D51" s="130">
        <f t="shared" ref="D51:Q51" si="18">$E37*D23</f>
        <v>0</v>
      </c>
      <c r="E51" s="130">
        <f t="shared" si="18"/>
        <v>0</v>
      </c>
      <c r="F51" s="130">
        <f t="shared" si="18"/>
        <v>0</v>
      </c>
      <c r="G51" s="130">
        <f t="shared" si="18"/>
        <v>0</v>
      </c>
      <c r="H51" s="130">
        <f t="shared" si="18"/>
        <v>0</v>
      </c>
      <c r="I51" s="130">
        <f t="shared" si="18"/>
        <v>0</v>
      </c>
      <c r="J51" s="130">
        <f t="shared" si="18"/>
        <v>0</v>
      </c>
      <c r="K51" s="130">
        <f t="shared" si="18"/>
        <v>0</v>
      </c>
      <c r="L51" s="130">
        <f t="shared" si="18"/>
        <v>0</v>
      </c>
      <c r="M51" s="130">
        <f t="shared" si="18"/>
        <v>0</v>
      </c>
      <c r="N51" s="130">
        <f t="shared" si="18"/>
        <v>0</v>
      </c>
      <c r="O51" s="130">
        <f t="shared" si="18"/>
        <v>0</v>
      </c>
      <c r="P51" s="130">
        <f t="shared" si="18"/>
        <v>0</v>
      </c>
      <c r="Q51" s="130">
        <f t="shared" si="18"/>
        <v>2300</v>
      </c>
      <c r="R51" s="998"/>
      <c r="S51" s="998"/>
      <c r="T51" s="998"/>
      <c r="U51" s="998"/>
      <c r="V51" s="998"/>
      <c r="W51" s="998"/>
      <c r="X51" s="998"/>
      <c r="Y51" s="998"/>
      <c r="Z51" s="998"/>
      <c r="AA51" s="998"/>
      <c r="AB51" s="998"/>
      <c r="AC51" s="998"/>
      <c r="AD51" s="998"/>
      <c r="AE51" s="998"/>
      <c r="AF51" s="998"/>
    </row>
    <row r="52" spans="1:32">
      <c r="A52" s="142" t="s">
        <v>278</v>
      </c>
      <c r="B52" s="117">
        <v>2020</v>
      </c>
      <c r="C52" s="117" t="s">
        <v>190</v>
      </c>
      <c r="D52" s="130">
        <f t="shared" ref="D52:Q52" si="19">$E38*D24</f>
        <v>0</v>
      </c>
      <c r="E52" s="130">
        <f t="shared" si="19"/>
        <v>0</v>
      </c>
      <c r="F52" s="130">
        <f t="shared" si="19"/>
        <v>0</v>
      </c>
      <c r="G52" s="130">
        <f t="shared" si="19"/>
        <v>0</v>
      </c>
      <c r="H52" s="130">
        <f t="shared" si="19"/>
        <v>0</v>
      </c>
      <c r="I52" s="130">
        <f t="shared" si="19"/>
        <v>0</v>
      </c>
      <c r="J52" s="130">
        <f t="shared" si="19"/>
        <v>0</v>
      </c>
      <c r="K52" s="130">
        <f t="shared" si="19"/>
        <v>0</v>
      </c>
      <c r="L52" s="130">
        <f t="shared" si="19"/>
        <v>0</v>
      </c>
      <c r="M52" s="130">
        <f t="shared" si="19"/>
        <v>0</v>
      </c>
      <c r="N52" s="130">
        <f t="shared" si="19"/>
        <v>0</v>
      </c>
      <c r="O52" s="130">
        <f t="shared" si="19"/>
        <v>0</v>
      </c>
      <c r="P52" s="130">
        <f t="shared" si="19"/>
        <v>0</v>
      </c>
      <c r="Q52" s="130">
        <f t="shared" si="19"/>
        <v>2300</v>
      </c>
      <c r="R52" s="998"/>
      <c r="S52" s="998"/>
      <c r="T52" s="998"/>
      <c r="U52" s="998"/>
      <c r="V52" s="998"/>
      <c r="W52" s="998"/>
      <c r="X52" s="998"/>
      <c r="Y52" s="998"/>
      <c r="Z52" s="998"/>
      <c r="AA52" s="998"/>
      <c r="AB52" s="998"/>
      <c r="AC52" s="998"/>
      <c r="AD52" s="998"/>
      <c r="AE52" s="998"/>
      <c r="AF52" s="998"/>
    </row>
    <row r="53" spans="1:32">
      <c r="A53" s="142" t="s">
        <v>372</v>
      </c>
      <c r="B53" s="117">
        <v>2020</v>
      </c>
      <c r="C53" s="117" t="s">
        <v>190</v>
      </c>
      <c r="D53" s="130">
        <f t="shared" ref="D53:Q53" si="20">$E39*D25</f>
        <v>0</v>
      </c>
      <c r="E53" s="130">
        <f t="shared" si="20"/>
        <v>0</v>
      </c>
      <c r="F53" s="130">
        <f t="shared" si="20"/>
        <v>0</v>
      </c>
      <c r="G53" s="130">
        <f t="shared" si="20"/>
        <v>0</v>
      </c>
      <c r="H53" s="130">
        <f t="shared" si="20"/>
        <v>0</v>
      </c>
      <c r="I53" s="130">
        <f t="shared" si="20"/>
        <v>0</v>
      </c>
      <c r="J53" s="130">
        <f t="shared" si="20"/>
        <v>0</v>
      </c>
      <c r="K53" s="130">
        <f t="shared" si="20"/>
        <v>0</v>
      </c>
      <c r="L53" s="130">
        <f t="shared" si="20"/>
        <v>0</v>
      </c>
      <c r="M53" s="130">
        <f t="shared" si="20"/>
        <v>0</v>
      </c>
      <c r="N53" s="130">
        <f t="shared" si="20"/>
        <v>0</v>
      </c>
      <c r="O53" s="130">
        <f t="shared" si="20"/>
        <v>0</v>
      </c>
      <c r="P53" s="130">
        <f t="shared" si="20"/>
        <v>0</v>
      </c>
      <c r="Q53" s="130">
        <f t="shared" si="20"/>
        <v>1795</v>
      </c>
      <c r="R53" s="998"/>
      <c r="S53" s="998"/>
      <c r="T53" s="998"/>
      <c r="U53" s="998"/>
      <c r="V53" s="998"/>
      <c r="W53" s="998"/>
      <c r="X53" s="998"/>
      <c r="Y53" s="998"/>
      <c r="Z53" s="998"/>
      <c r="AA53" s="998"/>
      <c r="AB53" s="998"/>
      <c r="AC53" s="998"/>
      <c r="AD53" s="998"/>
      <c r="AE53" s="998"/>
      <c r="AF53" s="998"/>
    </row>
    <row r="54" spans="1:32">
      <c r="A54" s="142" t="s">
        <v>319</v>
      </c>
      <c r="B54" s="117">
        <v>2020</v>
      </c>
      <c r="C54" s="117" t="s">
        <v>190</v>
      </c>
      <c r="D54" s="130">
        <f t="shared" ref="D54:Q54" si="21">$E40*D26</f>
        <v>0</v>
      </c>
      <c r="E54" s="130">
        <f t="shared" si="21"/>
        <v>0</v>
      </c>
      <c r="F54" s="130">
        <f t="shared" si="21"/>
        <v>0</v>
      </c>
      <c r="G54" s="130">
        <f t="shared" si="21"/>
        <v>0</v>
      </c>
      <c r="H54" s="130">
        <f t="shared" si="21"/>
        <v>0</v>
      </c>
      <c r="I54" s="130">
        <f t="shared" si="21"/>
        <v>0</v>
      </c>
      <c r="J54" s="130">
        <f t="shared" si="21"/>
        <v>0</v>
      </c>
      <c r="K54" s="130">
        <f t="shared" si="21"/>
        <v>115500</v>
      </c>
      <c r="L54" s="130">
        <f t="shared" si="21"/>
        <v>0</v>
      </c>
      <c r="M54" s="130">
        <f t="shared" si="21"/>
        <v>0</v>
      </c>
      <c r="N54" s="130">
        <f t="shared" si="21"/>
        <v>0</v>
      </c>
      <c r="O54" s="130">
        <f t="shared" si="21"/>
        <v>0</v>
      </c>
      <c r="P54" s="130">
        <f t="shared" si="21"/>
        <v>0</v>
      </c>
      <c r="Q54" s="130">
        <f t="shared" si="21"/>
        <v>0</v>
      </c>
      <c r="R54" s="998"/>
      <c r="S54" s="998"/>
      <c r="T54" s="998"/>
      <c r="U54" s="998"/>
      <c r="V54" s="998"/>
      <c r="W54" s="998"/>
      <c r="X54" s="998"/>
      <c r="Y54" s="998"/>
      <c r="Z54" s="998"/>
      <c r="AA54" s="998"/>
      <c r="AB54" s="998"/>
      <c r="AC54" s="998"/>
      <c r="AD54" s="998"/>
      <c r="AE54" s="998"/>
      <c r="AF54" s="998"/>
    </row>
    <row r="55" spans="1:32">
      <c r="A55" s="138" t="s">
        <v>1162</v>
      </c>
      <c r="B55" s="127">
        <v>2020</v>
      </c>
      <c r="C55" s="127" t="s">
        <v>190</v>
      </c>
      <c r="D55" s="137">
        <f>SUM(D44:D54)</f>
        <v>1125</v>
      </c>
      <c r="E55" s="137">
        <f t="shared" ref="E55:Q55" si="22">SUM(E44:E54)</f>
        <v>8417.0262584018346</v>
      </c>
      <c r="F55" s="137">
        <f t="shared" si="22"/>
        <v>1000</v>
      </c>
      <c r="G55" s="137">
        <f t="shared" si="22"/>
        <v>0</v>
      </c>
      <c r="H55" s="137">
        <f t="shared" si="22"/>
        <v>0</v>
      </c>
      <c r="I55" s="137">
        <f t="shared" si="22"/>
        <v>1125</v>
      </c>
      <c r="J55" s="137">
        <f t="shared" si="22"/>
        <v>602.56976333451075</v>
      </c>
      <c r="K55" s="137">
        <f t="shared" si="22"/>
        <v>115500</v>
      </c>
      <c r="L55" s="137">
        <f t="shared" si="22"/>
        <v>21948.661262273152</v>
      </c>
      <c r="M55" s="137">
        <f t="shared" si="22"/>
        <v>0</v>
      </c>
      <c r="N55" s="137">
        <f t="shared" si="22"/>
        <v>1616.3390373067873</v>
      </c>
      <c r="O55" s="137">
        <f t="shared" si="22"/>
        <v>0</v>
      </c>
      <c r="P55" s="137">
        <f t="shared" si="22"/>
        <v>1602.5697633345108</v>
      </c>
      <c r="Q55" s="137">
        <f t="shared" si="22"/>
        <v>9662.8389153492062</v>
      </c>
      <c r="R55" s="998"/>
      <c r="S55" s="998"/>
      <c r="T55" s="998"/>
      <c r="U55" s="998"/>
      <c r="V55" s="998"/>
      <c r="W55" s="998"/>
      <c r="X55" s="998"/>
      <c r="Y55" s="998"/>
      <c r="Z55" s="998"/>
      <c r="AA55" s="998"/>
      <c r="AB55" s="998"/>
      <c r="AC55" s="998"/>
      <c r="AD55" s="998"/>
      <c r="AE55" s="998"/>
      <c r="AF55" s="998"/>
    </row>
    <row r="56" spans="1:32" ht="30" customHeight="1">
      <c r="A56" s="140" t="s">
        <v>108</v>
      </c>
      <c r="B56" s="140" t="s">
        <v>109</v>
      </c>
      <c r="C56" s="140" t="s">
        <v>139</v>
      </c>
      <c r="D56" s="190" t="s">
        <v>981</v>
      </c>
      <c r="E56" s="190" t="s">
        <v>982</v>
      </c>
      <c r="F56" s="190" t="s">
        <v>983</v>
      </c>
      <c r="G56" s="190" t="s">
        <v>984</v>
      </c>
      <c r="H56" s="190" t="s">
        <v>985</v>
      </c>
      <c r="I56" s="190" t="s">
        <v>986</v>
      </c>
      <c r="J56" s="190" t="s">
        <v>987</v>
      </c>
      <c r="K56" s="190" t="s">
        <v>1177</v>
      </c>
      <c r="L56" s="190" t="s">
        <v>1178</v>
      </c>
      <c r="M56" s="190" t="s">
        <v>1179</v>
      </c>
      <c r="N56" s="190" t="s">
        <v>988</v>
      </c>
      <c r="O56" s="190" t="s">
        <v>1180</v>
      </c>
      <c r="P56" s="190" t="s">
        <v>1181</v>
      </c>
      <c r="Q56" s="190" t="s">
        <v>1182</v>
      </c>
      <c r="R56" s="996" t="s">
        <v>132</v>
      </c>
      <c r="S56" s="996"/>
      <c r="T56" s="996"/>
      <c r="U56" s="996"/>
      <c r="V56" s="996"/>
      <c r="W56" s="996"/>
      <c r="X56" s="996"/>
      <c r="Y56" s="996"/>
      <c r="Z56" s="996"/>
      <c r="AA56" s="996"/>
      <c r="AB56" s="996"/>
      <c r="AC56" s="996"/>
      <c r="AD56" s="996"/>
      <c r="AE56" s="996"/>
      <c r="AF56" s="996"/>
    </row>
    <row r="57" spans="1:32">
      <c r="A57" s="138" t="s">
        <v>1183</v>
      </c>
      <c r="B57" s="117">
        <v>2020</v>
      </c>
      <c r="C57" s="117" t="s">
        <v>190</v>
      </c>
      <c r="D57" s="191">
        <f>D55/1000</f>
        <v>1.125</v>
      </c>
      <c r="E57" s="191">
        <f t="shared" ref="E57:Q57" si="23">E55/1000</f>
        <v>8.4170262584018349</v>
      </c>
      <c r="F57" s="191">
        <f t="shared" si="23"/>
        <v>1</v>
      </c>
      <c r="G57" s="191">
        <f t="shared" si="23"/>
        <v>0</v>
      </c>
      <c r="H57" s="191">
        <f t="shared" si="23"/>
        <v>0</v>
      </c>
      <c r="I57" s="191">
        <f t="shared" si="23"/>
        <v>1.125</v>
      </c>
      <c r="J57" s="191">
        <f t="shared" si="23"/>
        <v>0.60256976333451073</v>
      </c>
      <c r="K57" s="191">
        <f t="shared" si="23"/>
        <v>115.5</v>
      </c>
      <c r="L57" s="191">
        <f t="shared" si="23"/>
        <v>21.948661262273152</v>
      </c>
      <c r="M57" s="191">
        <f t="shared" si="23"/>
        <v>0</v>
      </c>
      <c r="N57" s="191">
        <f t="shared" si="23"/>
        <v>1.6163390373067874</v>
      </c>
      <c r="O57" s="191">
        <f t="shared" si="23"/>
        <v>0</v>
      </c>
      <c r="P57" s="191">
        <f t="shared" si="23"/>
        <v>1.6025697633345108</v>
      </c>
      <c r="Q57" s="191">
        <f t="shared" si="23"/>
        <v>9.6628389153492069</v>
      </c>
      <c r="R57" s="998" t="s">
        <v>1184</v>
      </c>
      <c r="S57" s="998"/>
      <c r="T57" s="998"/>
      <c r="U57" s="998"/>
      <c r="V57" s="998"/>
      <c r="W57" s="998"/>
      <c r="X57" s="998"/>
      <c r="Y57" s="998"/>
      <c r="Z57" s="998"/>
      <c r="AA57" s="998"/>
      <c r="AB57" s="998"/>
      <c r="AC57" s="998"/>
      <c r="AD57" s="998"/>
      <c r="AE57" s="998"/>
      <c r="AF57" s="998"/>
    </row>
    <row r="59" spans="1:32" s="194" customFormat="1" ht="30" customHeight="1">
      <c r="A59" s="1029" t="s">
        <v>1185</v>
      </c>
      <c r="B59" s="961"/>
      <c r="C59" s="961"/>
      <c r="D59" s="961"/>
      <c r="E59" s="961"/>
      <c r="F59" s="961"/>
      <c r="G59" s="961"/>
      <c r="H59" s="961"/>
      <c r="I59" s="961"/>
      <c r="J59" s="961"/>
      <c r="K59" s="961"/>
      <c r="L59" s="961"/>
      <c r="M59" s="961"/>
      <c r="N59" s="961"/>
      <c r="O59" s="961"/>
      <c r="P59" s="961"/>
      <c r="Q59" s="961"/>
      <c r="R59" s="961"/>
      <c r="S59" s="961"/>
      <c r="T59" s="961"/>
      <c r="U59" s="961"/>
      <c r="V59" s="961"/>
      <c r="W59" s="961"/>
      <c r="X59" s="961"/>
      <c r="Y59" s="961"/>
      <c r="Z59" s="961"/>
      <c r="AA59" s="961"/>
      <c r="AB59" s="961"/>
      <c r="AC59" s="961"/>
      <c r="AD59" s="961"/>
      <c r="AE59" s="961"/>
      <c r="AF59" s="961"/>
    </row>
    <row r="60" spans="1:32" ht="30" customHeight="1">
      <c r="A60" s="140" t="s">
        <v>1186</v>
      </c>
      <c r="B60" s="140" t="s">
        <v>109</v>
      </c>
      <c r="C60" s="140" t="s">
        <v>139</v>
      </c>
      <c r="D60" s="140" t="s">
        <v>1108</v>
      </c>
      <c r="E60" s="140" t="s">
        <v>1187</v>
      </c>
      <c r="F60" s="1005" t="s">
        <v>112</v>
      </c>
      <c r="G60" s="1011"/>
      <c r="H60" s="1011"/>
      <c r="I60" s="1006"/>
      <c r="J60" s="996" t="s">
        <v>1188</v>
      </c>
      <c r="K60" s="996"/>
    </row>
    <row r="61" spans="1:32">
      <c r="A61" s="1061" t="s">
        <v>1189</v>
      </c>
      <c r="B61" s="1046">
        <v>2020</v>
      </c>
      <c r="C61" s="117" t="s">
        <v>190</v>
      </c>
      <c r="D61" s="117">
        <v>447485231</v>
      </c>
      <c r="E61" s="1046" t="s">
        <v>1190</v>
      </c>
      <c r="F61" s="1048" t="s">
        <v>1191</v>
      </c>
      <c r="G61" s="1049"/>
      <c r="H61" s="1049"/>
      <c r="I61" s="1050"/>
      <c r="J61" s="1060">
        <f>D62/D61</f>
        <v>3.8900915145510133E-2</v>
      </c>
      <c r="K61" s="1060"/>
    </row>
    <row r="62" spans="1:32">
      <c r="A62" s="1062"/>
      <c r="B62" s="1047"/>
      <c r="C62" s="117" t="s">
        <v>188</v>
      </c>
      <c r="D62" s="117">
        <v>17407585</v>
      </c>
      <c r="E62" s="1047"/>
      <c r="F62" s="1051"/>
      <c r="G62" s="1052"/>
      <c r="H62" s="1052"/>
      <c r="I62" s="1053"/>
      <c r="J62" s="1060"/>
      <c r="K62" s="1060"/>
    </row>
    <row r="63" spans="1:32">
      <c r="A63" s="1061" t="s">
        <v>1192</v>
      </c>
      <c r="B63" s="1046">
        <v>2022</v>
      </c>
      <c r="C63" s="117" t="s">
        <v>190</v>
      </c>
      <c r="D63" s="117">
        <v>537.44799999999998</v>
      </c>
      <c r="E63" s="1046" t="s">
        <v>1193</v>
      </c>
      <c r="F63" s="1048" t="s">
        <v>1125</v>
      </c>
      <c r="G63" s="1049"/>
      <c r="H63" s="1049"/>
      <c r="I63" s="1050"/>
      <c r="J63" s="1060">
        <f>D64/D63</f>
        <v>6.7122772807787931E-2</v>
      </c>
      <c r="K63" s="1060"/>
    </row>
    <row r="64" spans="1:32">
      <c r="A64" s="1062"/>
      <c r="B64" s="1047"/>
      <c r="C64" s="117" t="s">
        <v>188</v>
      </c>
      <c r="D64" s="117">
        <v>36.075000000000003</v>
      </c>
      <c r="E64" s="1047"/>
      <c r="F64" s="1051"/>
      <c r="G64" s="1052"/>
      <c r="H64" s="1052"/>
      <c r="I64" s="1053"/>
      <c r="J64" s="1060"/>
      <c r="K64" s="1060"/>
    </row>
    <row r="65" spans="1:32">
      <c r="A65" s="1061" t="s">
        <v>1194</v>
      </c>
      <c r="B65" s="1046">
        <v>2019</v>
      </c>
      <c r="C65" s="117" t="s">
        <v>190</v>
      </c>
      <c r="D65" s="117">
        <v>72.855500000000006</v>
      </c>
      <c r="E65" s="1046" t="s">
        <v>1193</v>
      </c>
      <c r="F65" s="1054" t="s">
        <v>1195</v>
      </c>
      <c r="G65" s="1055"/>
      <c r="H65" s="1055"/>
      <c r="I65" s="1056"/>
      <c r="J65" s="1060">
        <f>D66/D65</f>
        <v>0.12239432849956419</v>
      </c>
      <c r="K65" s="1060"/>
    </row>
    <row r="66" spans="1:32">
      <c r="A66" s="1062"/>
      <c r="B66" s="1047"/>
      <c r="C66" s="117" t="s">
        <v>188</v>
      </c>
      <c r="D66" s="117">
        <v>8.9170999999999996</v>
      </c>
      <c r="E66" s="1047"/>
      <c r="F66" s="1057"/>
      <c r="G66" s="1058"/>
      <c r="H66" s="1058"/>
      <c r="I66" s="1059"/>
      <c r="J66" s="1060"/>
      <c r="K66" s="1060"/>
    </row>
    <row r="67" spans="1:32">
      <c r="T67" s="195"/>
      <c r="AA67" s="25"/>
    </row>
    <row r="68" spans="1:32" ht="30" customHeight="1">
      <c r="A68" s="966" t="s">
        <v>879</v>
      </c>
      <c r="B68" s="966"/>
      <c r="C68" s="966"/>
      <c r="D68" s="966"/>
      <c r="E68" s="966"/>
      <c r="F68" s="966"/>
      <c r="G68" s="966"/>
      <c r="H68" s="966"/>
      <c r="I68" s="966"/>
      <c r="J68" s="966"/>
      <c r="K68" s="966"/>
      <c r="L68" s="966"/>
      <c r="M68" s="966"/>
      <c r="N68" s="966"/>
      <c r="O68" s="966"/>
      <c r="P68" s="966"/>
      <c r="Q68" s="966"/>
      <c r="R68" s="966"/>
      <c r="S68" s="966"/>
      <c r="T68" s="966"/>
      <c r="U68" s="966"/>
      <c r="V68" s="966"/>
      <c r="W68" s="966"/>
      <c r="X68" s="966"/>
      <c r="Y68" s="966"/>
      <c r="Z68" s="966"/>
      <c r="AA68" s="966"/>
      <c r="AB68" s="966"/>
      <c r="AC68" s="966"/>
      <c r="AD68" s="966"/>
      <c r="AE68" s="966"/>
      <c r="AF68" s="966"/>
    </row>
    <row r="69" spans="1:32" ht="30" customHeight="1">
      <c r="A69" s="139" t="s">
        <v>108</v>
      </c>
      <c r="B69" s="139" t="s">
        <v>109</v>
      </c>
      <c r="C69" s="139" t="s">
        <v>139</v>
      </c>
      <c r="D69" s="139" t="s">
        <v>1142</v>
      </c>
      <c r="E69" s="139" t="s">
        <v>1143</v>
      </c>
      <c r="F69" s="139" t="s">
        <v>1144</v>
      </c>
      <c r="G69" s="1021" t="s">
        <v>112</v>
      </c>
      <c r="H69" s="1022"/>
      <c r="I69" s="1022"/>
      <c r="J69" s="1022"/>
      <c r="K69" s="1022"/>
      <c r="L69" s="1023"/>
      <c r="M69" s="996" t="s">
        <v>975</v>
      </c>
      <c r="N69" s="996"/>
      <c r="O69" s="996"/>
      <c r="P69" s="996"/>
      <c r="Q69" s="996"/>
      <c r="R69" s="996" t="s">
        <v>132</v>
      </c>
      <c r="S69" s="996"/>
      <c r="T69" s="996"/>
      <c r="U69" s="996"/>
      <c r="V69" s="996"/>
      <c r="W69" s="996"/>
      <c r="X69" s="996"/>
      <c r="Y69" s="996"/>
      <c r="Z69" s="996"/>
      <c r="AA69" s="996"/>
      <c r="AB69" s="996"/>
      <c r="AC69" s="996"/>
      <c r="AD69" s="996"/>
      <c r="AE69" s="996"/>
      <c r="AF69" s="996"/>
    </row>
    <row r="70" spans="1:32">
      <c r="A70" s="142" t="s">
        <v>1134</v>
      </c>
      <c r="B70" s="117">
        <v>2020</v>
      </c>
      <c r="C70" s="126" t="s">
        <v>188</v>
      </c>
      <c r="D70" s="186">
        <f t="shared" ref="D70:F71" si="24">D30*POP_coef_2020</f>
        <v>155.60366058204053</v>
      </c>
      <c r="E70" s="186">
        <f t="shared" si="24"/>
        <v>338.43796176593816</v>
      </c>
      <c r="F70" s="186">
        <f t="shared" si="24"/>
        <v>521.27226294983575</v>
      </c>
      <c r="G70" s="1034" t="s">
        <v>1196</v>
      </c>
      <c r="H70" s="1035"/>
      <c r="I70" s="1035"/>
      <c r="J70" s="1035"/>
      <c r="K70" s="1035"/>
      <c r="L70" s="1036"/>
      <c r="M70" s="998" t="s">
        <v>1147</v>
      </c>
      <c r="N70" s="998"/>
      <c r="O70" s="998"/>
      <c r="P70" s="998"/>
      <c r="Q70" s="998"/>
      <c r="R70" s="998"/>
      <c r="S70" s="998"/>
      <c r="T70" s="998"/>
      <c r="U70" s="998"/>
      <c r="V70" s="998"/>
      <c r="W70" s="998"/>
      <c r="X70" s="998"/>
      <c r="Y70" s="998"/>
      <c r="Z70" s="998"/>
      <c r="AA70" s="998"/>
      <c r="AB70" s="998"/>
      <c r="AC70" s="998"/>
      <c r="AD70" s="998"/>
      <c r="AE70" s="998"/>
      <c r="AF70" s="998"/>
    </row>
    <row r="71" spans="1:32">
      <c r="A71" s="142" t="s">
        <v>240</v>
      </c>
      <c r="B71" s="117">
        <v>2020</v>
      </c>
      <c r="C71" s="126" t="s">
        <v>188</v>
      </c>
      <c r="D71" s="186">
        <f t="shared" si="24"/>
        <v>435.69024962971349</v>
      </c>
      <c r="E71" s="186">
        <f t="shared" si="24"/>
        <v>657.4254659591212</v>
      </c>
      <c r="F71" s="186">
        <f t="shared" si="24"/>
        <v>886.94086531763105</v>
      </c>
      <c r="G71" s="1034" t="s">
        <v>1196</v>
      </c>
      <c r="H71" s="1035"/>
      <c r="I71" s="1035"/>
      <c r="J71" s="1035"/>
      <c r="K71" s="1035"/>
      <c r="L71" s="1036"/>
      <c r="M71" s="998" t="s">
        <v>1147</v>
      </c>
      <c r="N71" s="998"/>
      <c r="O71" s="998"/>
      <c r="P71" s="998"/>
      <c r="Q71" s="998"/>
      <c r="R71" s="998"/>
      <c r="S71" s="998"/>
      <c r="T71" s="998"/>
      <c r="U71" s="998"/>
      <c r="V71" s="998"/>
      <c r="W71" s="998"/>
      <c r="X71" s="998"/>
      <c r="Y71" s="998"/>
      <c r="Z71" s="998"/>
      <c r="AA71" s="998"/>
      <c r="AB71" s="998"/>
      <c r="AC71" s="998"/>
      <c r="AD71" s="998"/>
      <c r="AE71" s="998"/>
      <c r="AF71" s="998"/>
    </row>
    <row r="72" spans="1:32" ht="14.45" customHeight="1">
      <c r="A72" s="142" t="s">
        <v>164</v>
      </c>
      <c r="B72" s="117">
        <v>2020</v>
      </c>
      <c r="C72" s="126" t="s">
        <v>188</v>
      </c>
      <c r="D72" s="186">
        <f t="shared" ref="D72:F75" si="25">D32*Aggr_2021</f>
        <v>67.122772807787925</v>
      </c>
      <c r="E72" s="186">
        <f t="shared" si="25"/>
        <v>671.22772807787931</v>
      </c>
      <c r="F72" s="186">
        <f t="shared" si="25"/>
        <v>1141.0871377323949</v>
      </c>
      <c r="G72" s="1034" t="s">
        <v>1197</v>
      </c>
      <c r="H72" s="1035"/>
      <c r="I72" s="1035"/>
      <c r="J72" s="1035"/>
      <c r="K72" s="1035"/>
      <c r="L72" s="1036"/>
      <c r="M72" s="998" t="s">
        <v>1150</v>
      </c>
      <c r="N72" s="998"/>
      <c r="O72" s="998"/>
      <c r="P72" s="998"/>
      <c r="Q72" s="998"/>
      <c r="R72" s="998"/>
      <c r="S72" s="998"/>
      <c r="T72" s="998"/>
      <c r="U72" s="998"/>
      <c r="V72" s="998"/>
      <c r="W72" s="998"/>
      <c r="X72" s="998"/>
      <c r="Y72" s="998"/>
      <c r="Z72" s="998"/>
      <c r="AA72" s="998"/>
      <c r="AB72" s="998"/>
      <c r="AC72" s="998"/>
      <c r="AD72" s="998"/>
      <c r="AE72" s="998"/>
      <c r="AF72" s="998"/>
    </row>
    <row r="73" spans="1:32">
      <c r="A73" s="142" t="s">
        <v>167</v>
      </c>
      <c r="B73" s="117">
        <v>2020</v>
      </c>
      <c r="C73" s="126" t="s">
        <v>188</v>
      </c>
      <c r="D73" s="186">
        <f t="shared" si="25"/>
        <v>134.24554561557585</v>
      </c>
      <c r="E73" s="186">
        <f t="shared" si="25"/>
        <v>268.4910912311517</v>
      </c>
      <c r="F73" s="186">
        <f t="shared" si="25"/>
        <v>402.73663684672761</v>
      </c>
      <c r="G73" s="1034" t="s">
        <v>1197</v>
      </c>
      <c r="H73" s="1035"/>
      <c r="I73" s="1035"/>
      <c r="J73" s="1035"/>
      <c r="K73" s="1035"/>
      <c r="L73" s="1036"/>
      <c r="M73" s="998" t="s">
        <v>1150</v>
      </c>
      <c r="N73" s="998"/>
      <c r="O73" s="998"/>
      <c r="P73" s="998"/>
      <c r="Q73" s="998"/>
      <c r="R73" s="998"/>
      <c r="S73" s="998"/>
      <c r="T73" s="998"/>
      <c r="U73" s="998"/>
      <c r="V73" s="998"/>
      <c r="W73" s="998"/>
      <c r="X73" s="998"/>
      <c r="Y73" s="998"/>
      <c r="Z73" s="998"/>
      <c r="AA73" s="998"/>
      <c r="AB73" s="998"/>
      <c r="AC73" s="998"/>
      <c r="AD73" s="998"/>
      <c r="AE73" s="998"/>
      <c r="AF73" s="998"/>
    </row>
    <row r="74" spans="1:32">
      <c r="A74" s="142" t="s">
        <v>168</v>
      </c>
      <c r="B74" s="117">
        <v>2020</v>
      </c>
      <c r="C74" s="126" t="s">
        <v>188</v>
      </c>
      <c r="D74" s="186">
        <f t="shared" si="25"/>
        <v>6.7122772807787934</v>
      </c>
      <c r="E74" s="186">
        <f t="shared" si="25"/>
        <v>33.561386403893962</v>
      </c>
      <c r="F74" s="186">
        <f t="shared" si="25"/>
        <v>46.985940965451555</v>
      </c>
      <c r="G74" s="1034" t="s">
        <v>1197</v>
      </c>
      <c r="H74" s="1035"/>
      <c r="I74" s="1035"/>
      <c r="J74" s="1035"/>
      <c r="K74" s="1035"/>
      <c r="L74" s="1036"/>
      <c r="M74" s="998" t="s">
        <v>1150</v>
      </c>
      <c r="N74" s="998"/>
      <c r="O74" s="998"/>
      <c r="P74" s="998"/>
      <c r="Q74" s="998"/>
      <c r="R74" s="998"/>
      <c r="S74" s="998"/>
      <c r="T74" s="998"/>
      <c r="U74" s="998"/>
      <c r="V74" s="998"/>
      <c r="W74" s="998"/>
      <c r="X74" s="998"/>
      <c r="Y74" s="998"/>
      <c r="Z74" s="998"/>
      <c r="AA74" s="998"/>
      <c r="AB74" s="998"/>
      <c r="AC74" s="998"/>
      <c r="AD74" s="998"/>
      <c r="AE74" s="998"/>
      <c r="AF74" s="998"/>
    </row>
    <row r="75" spans="1:32">
      <c r="A75" s="142" t="s">
        <v>169</v>
      </c>
      <c r="B75" s="117">
        <v>2020</v>
      </c>
      <c r="C75" s="126" t="s">
        <v>188</v>
      </c>
      <c r="D75" s="186">
        <f t="shared" si="25"/>
        <v>16.780693201946981</v>
      </c>
      <c r="E75" s="186">
        <f t="shared" si="25"/>
        <v>33.561386403893962</v>
      </c>
      <c r="F75" s="186">
        <f t="shared" si="25"/>
        <v>67.122772807787925</v>
      </c>
      <c r="G75" s="1034" t="s">
        <v>1197</v>
      </c>
      <c r="H75" s="1035"/>
      <c r="I75" s="1035"/>
      <c r="J75" s="1035"/>
      <c r="K75" s="1035"/>
      <c r="L75" s="1036"/>
      <c r="M75" s="998" t="s">
        <v>1150</v>
      </c>
      <c r="N75" s="998"/>
      <c r="O75" s="998"/>
      <c r="P75" s="998"/>
      <c r="Q75" s="998"/>
      <c r="R75" s="998"/>
      <c r="S75" s="998"/>
      <c r="T75" s="998"/>
      <c r="U75" s="998"/>
      <c r="V75" s="998"/>
      <c r="W75" s="998"/>
      <c r="X75" s="998"/>
      <c r="Y75" s="998"/>
      <c r="Z75" s="998"/>
      <c r="AA75" s="998"/>
      <c r="AB75" s="998"/>
      <c r="AC75" s="998"/>
      <c r="AD75" s="998"/>
      <c r="AE75" s="998"/>
      <c r="AF75" s="998"/>
    </row>
    <row r="76" spans="1:32">
      <c r="A76" s="142" t="s">
        <v>324</v>
      </c>
      <c r="B76" s="117">
        <v>2020</v>
      </c>
      <c r="C76" s="126" t="s">
        <v>188</v>
      </c>
      <c r="D76" s="186">
        <f t="shared" ref="D76:F78" si="26">D36*POP_coef_2020</f>
        <v>2.0423952974271455</v>
      </c>
      <c r="E76" s="186">
        <f t="shared" si="26"/>
        <v>4.0847905948542911</v>
      </c>
      <c r="F76" s="186">
        <f t="shared" si="26"/>
        <v>8.1695811897085822</v>
      </c>
      <c r="G76" s="1034" t="s">
        <v>1196</v>
      </c>
      <c r="H76" s="1035"/>
      <c r="I76" s="1035"/>
      <c r="J76" s="1035"/>
      <c r="K76" s="1035"/>
      <c r="L76" s="1036"/>
      <c r="M76" s="998" t="s">
        <v>1155</v>
      </c>
      <c r="N76" s="998"/>
      <c r="O76" s="998"/>
      <c r="P76" s="998"/>
      <c r="Q76" s="998"/>
      <c r="R76" s="998"/>
      <c r="S76" s="998"/>
      <c r="T76" s="998"/>
      <c r="U76" s="998"/>
      <c r="V76" s="998"/>
      <c r="W76" s="998"/>
      <c r="X76" s="998"/>
      <c r="Y76" s="998"/>
      <c r="Z76" s="998"/>
      <c r="AA76" s="998"/>
      <c r="AB76" s="998"/>
      <c r="AC76" s="998"/>
      <c r="AD76" s="998"/>
      <c r="AE76" s="998"/>
      <c r="AF76" s="998"/>
    </row>
    <row r="77" spans="1:32">
      <c r="A77" s="142" t="s">
        <v>348</v>
      </c>
      <c r="B77" s="117">
        <v>2020</v>
      </c>
      <c r="C77" s="126" t="s">
        <v>188</v>
      </c>
      <c r="D77" s="186">
        <f t="shared" si="26"/>
        <v>31.120732116408107</v>
      </c>
      <c r="E77" s="186">
        <f t="shared" si="26"/>
        <v>89.472104834673303</v>
      </c>
      <c r="F77" s="186">
        <f t="shared" si="26"/>
        <v>143.93338603838748</v>
      </c>
      <c r="G77" s="1034" t="s">
        <v>1196</v>
      </c>
      <c r="H77" s="1035"/>
      <c r="I77" s="1035"/>
      <c r="J77" s="1035"/>
      <c r="K77" s="1035"/>
      <c r="L77" s="1036"/>
      <c r="M77" s="998" t="s">
        <v>1155</v>
      </c>
      <c r="N77" s="998"/>
      <c r="O77" s="998"/>
      <c r="P77" s="998"/>
      <c r="Q77" s="998"/>
      <c r="R77" s="998"/>
      <c r="S77" s="998"/>
      <c r="T77" s="998"/>
      <c r="U77" s="998"/>
      <c r="V77" s="998"/>
      <c r="W77" s="998"/>
      <c r="X77" s="998"/>
      <c r="Y77" s="998"/>
      <c r="Z77" s="998"/>
      <c r="AA77" s="998"/>
      <c r="AB77" s="998"/>
      <c r="AC77" s="998"/>
      <c r="AD77" s="998"/>
      <c r="AE77" s="998"/>
      <c r="AF77" s="998"/>
    </row>
    <row r="78" spans="1:32">
      <c r="A78" s="142" t="s">
        <v>278</v>
      </c>
      <c r="B78" s="117">
        <v>2020</v>
      </c>
      <c r="C78" s="126" t="s">
        <v>188</v>
      </c>
      <c r="D78" s="186">
        <f t="shared" si="26"/>
        <v>31.120732116408107</v>
      </c>
      <c r="E78" s="186">
        <f t="shared" si="26"/>
        <v>89.472104834673303</v>
      </c>
      <c r="F78" s="186">
        <f t="shared" si="26"/>
        <v>143.93338603838748</v>
      </c>
      <c r="G78" s="1034" t="s">
        <v>1196</v>
      </c>
      <c r="H78" s="1035"/>
      <c r="I78" s="1035"/>
      <c r="J78" s="1035"/>
      <c r="K78" s="1035"/>
      <c r="L78" s="1036"/>
      <c r="M78" s="998" t="s">
        <v>1155</v>
      </c>
      <c r="N78" s="998"/>
      <c r="O78" s="998"/>
      <c r="P78" s="998"/>
      <c r="Q78" s="998"/>
      <c r="R78" s="998"/>
      <c r="S78" s="998"/>
      <c r="T78" s="998"/>
      <c r="U78" s="998"/>
      <c r="V78" s="998"/>
      <c r="W78" s="998"/>
      <c r="X78" s="998"/>
      <c r="Y78" s="998"/>
      <c r="Z78" s="998"/>
      <c r="AA78" s="998"/>
      <c r="AB78" s="998"/>
      <c r="AC78" s="998"/>
      <c r="AD78" s="998"/>
      <c r="AE78" s="998"/>
      <c r="AF78" s="998"/>
    </row>
    <row r="79" spans="1:32">
      <c r="A79" s="142" t="s">
        <v>372</v>
      </c>
      <c r="B79" s="117">
        <v>2020</v>
      </c>
      <c r="C79" s="126" t="s">
        <v>188</v>
      </c>
      <c r="D79" s="186">
        <f>D39*OIL_GAS_2020</f>
        <v>109.84890982835886</v>
      </c>
      <c r="E79" s="186">
        <f>E39*OIL_GAS_2020</f>
        <v>219.69781965671771</v>
      </c>
      <c r="F79" s="186">
        <f>F39*OIL_GAS_2020</f>
        <v>439.39563931343542</v>
      </c>
      <c r="G79" s="1034" t="s">
        <v>1196</v>
      </c>
      <c r="H79" s="1035"/>
      <c r="I79" s="1035"/>
      <c r="J79" s="1035"/>
      <c r="K79" s="1035"/>
      <c r="L79" s="1036"/>
      <c r="M79" s="998" t="s">
        <v>1159</v>
      </c>
      <c r="N79" s="998"/>
      <c r="O79" s="998"/>
      <c r="P79" s="998"/>
      <c r="Q79" s="998"/>
      <c r="R79" s="998"/>
      <c r="S79" s="998"/>
      <c r="T79" s="998"/>
      <c r="U79" s="998"/>
      <c r="V79" s="998"/>
      <c r="W79" s="998"/>
      <c r="X79" s="998"/>
      <c r="Y79" s="998"/>
      <c r="Z79" s="998"/>
      <c r="AA79" s="998"/>
      <c r="AB79" s="998"/>
      <c r="AC79" s="998"/>
      <c r="AD79" s="998"/>
      <c r="AE79" s="998"/>
      <c r="AF79" s="998"/>
    </row>
    <row r="80" spans="1:32">
      <c r="A80" s="142" t="s">
        <v>319</v>
      </c>
      <c r="B80" s="117">
        <v>2020</v>
      </c>
      <c r="C80" s="126" t="s">
        <v>188</v>
      </c>
      <c r="D80" s="186"/>
      <c r="E80" s="383">
        <v>12105</v>
      </c>
      <c r="F80" s="186"/>
      <c r="G80" s="964" t="s">
        <v>1198</v>
      </c>
      <c r="H80" s="964"/>
      <c r="I80" s="964"/>
      <c r="J80" s="964"/>
      <c r="K80" s="964"/>
      <c r="L80" s="964"/>
      <c r="M80" s="964" t="s">
        <v>1161</v>
      </c>
      <c r="N80" s="964"/>
      <c r="O80" s="964"/>
      <c r="P80" s="964"/>
      <c r="Q80" s="964"/>
      <c r="R80" s="998"/>
      <c r="S80" s="998"/>
      <c r="T80" s="998"/>
      <c r="U80" s="998"/>
      <c r="V80" s="998"/>
      <c r="W80" s="998"/>
      <c r="X80" s="998"/>
      <c r="Y80" s="998"/>
      <c r="Z80" s="998"/>
      <c r="AA80" s="998"/>
      <c r="AB80" s="998"/>
      <c r="AC80" s="998"/>
      <c r="AD80" s="998"/>
      <c r="AE80" s="998"/>
      <c r="AF80" s="998"/>
    </row>
    <row r="81" spans="1:32">
      <c r="A81" s="138" t="s">
        <v>1162</v>
      </c>
      <c r="B81" s="127">
        <v>2020</v>
      </c>
      <c r="C81" s="129" t="s">
        <v>188</v>
      </c>
      <c r="D81" s="185">
        <f>SUM(D70:D80)</f>
        <v>990.28796847644583</v>
      </c>
      <c r="E81" s="185">
        <f>SUM(E70:E80)</f>
        <v>14510.431839762798</v>
      </c>
      <c r="F81" s="185">
        <f>SUM(F70:F80)</f>
        <v>3801.5776091997477</v>
      </c>
      <c r="G81" s="965"/>
      <c r="H81" s="965"/>
      <c r="I81" s="965"/>
      <c r="J81" s="965"/>
      <c r="K81" s="965"/>
      <c r="L81" s="965"/>
      <c r="M81" s="998"/>
      <c r="N81" s="998"/>
      <c r="O81" s="998"/>
      <c r="P81" s="998"/>
      <c r="Q81" s="998"/>
      <c r="R81" s="998"/>
      <c r="S81" s="998"/>
      <c r="T81" s="998"/>
      <c r="U81" s="998"/>
      <c r="V81" s="998"/>
      <c r="W81" s="998"/>
      <c r="X81" s="998"/>
      <c r="Y81" s="998"/>
      <c r="Z81" s="998"/>
      <c r="AA81" s="998"/>
      <c r="AB81" s="998"/>
      <c r="AC81" s="998"/>
      <c r="AD81" s="998"/>
      <c r="AE81" s="998"/>
      <c r="AF81" s="998"/>
    </row>
    <row r="82" spans="1:32">
      <c r="A82" s="894"/>
      <c r="B82" s="25"/>
      <c r="C82" s="25"/>
      <c r="D82" s="381"/>
      <c r="E82" s="381"/>
      <c r="F82" s="381"/>
      <c r="G82" s="382"/>
      <c r="H82" s="382"/>
      <c r="I82" s="382"/>
      <c r="J82" s="382"/>
      <c r="K82" s="382"/>
      <c r="L82" s="382"/>
    </row>
    <row r="83" spans="1:32">
      <c r="A83"/>
      <c r="B83" s="25"/>
      <c r="C83" s="25"/>
      <c r="D83" s="381"/>
      <c r="E83"/>
      <c r="F83"/>
      <c r="G83"/>
      <c r="H83"/>
      <c r="I83"/>
      <c r="J83"/>
      <c r="K83"/>
      <c r="L83" s="382"/>
    </row>
    <row r="84" spans="1:32" s="384" customFormat="1">
      <c r="A84" s="443"/>
      <c r="B84" s="26" t="s">
        <v>109</v>
      </c>
      <c r="C84" s="26" t="s">
        <v>139</v>
      </c>
      <c r="D84" s="381" t="s">
        <v>1199</v>
      </c>
      <c r="E84" s="443"/>
      <c r="F84" s="443"/>
      <c r="G84" s="893" t="s">
        <v>112</v>
      </c>
      <c r="H84" s="386"/>
      <c r="I84" s="386"/>
      <c r="J84" s="386"/>
      <c r="K84" s="386"/>
      <c r="L84" s="387"/>
    </row>
    <row r="85" spans="1:32" s="384" customFormat="1">
      <c r="A85" s="143" t="s">
        <v>319</v>
      </c>
      <c r="B85" s="7">
        <v>2016</v>
      </c>
      <c r="C85" s="7" t="s">
        <v>188</v>
      </c>
      <c r="D85" s="7">
        <v>18000</v>
      </c>
      <c r="E85" s="443"/>
      <c r="F85" s="443"/>
      <c r="G85" s="443" t="s">
        <v>1198</v>
      </c>
      <c r="H85" s="386"/>
      <c r="I85" s="386"/>
      <c r="J85" s="386"/>
      <c r="K85" s="386"/>
      <c r="L85" s="387"/>
    </row>
    <row r="86" spans="1:32" s="384" customFormat="1">
      <c r="A86" s="143" t="s">
        <v>319</v>
      </c>
      <c r="B86" s="7">
        <v>2019</v>
      </c>
      <c r="C86" s="7" t="s">
        <v>188</v>
      </c>
      <c r="D86" s="7">
        <v>11400</v>
      </c>
      <c r="E86" s="443"/>
      <c r="F86" s="443"/>
      <c r="G86" s="443" t="s">
        <v>1198</v>
      </c>
      <c r="H86" s="386"/>
      <c r="I86" s="386"/>
      <c r="J86" s="386"/>
      <c r="K86" s="386"/>
      <c r="L86" s="387"/>
    </row>
    <row r="87" spans="1:32" s="384" customFormat="1">
      <c r="A87" s="143" t="s">
        <v>319</v>
      </c>
      <c r="B87" s="7">
        <v>2020</v>
      </c>
      <c r="C87" s="7" t="s">
        <v>188</v>
      </c>
      <c r="D87" s="7">
        <v>12105</v>
      </c>
      <c r="E87" s="443"/>
      <c r="F87" s="443"/>
      <c r="G87" s="443" t="s">
        <v>1198</v>
      </c>
      <c r="H87" s="386"/>
      <c r="I87" s="386"/>
      <c r="J87" s="386"/>
      <c r="K87" s="386"/>
      <c r="L87" s="387"/>
    </row>
    <row r="88" spans="1:32" s="384" customFormat="1">
      <c r="A88" s="143" t="s">
        <v>319</v>
      </c>
      <c r="B88" s="7">
        <v>2021</v>
      </c>
      <c r="C88" s="7" t="s">
        <v>188</v>
      </c>
      <c r="D88" s="7">
        <v>10331</v>
      </c>
      <c r="E88" s="443"/>
      <c r="F88" s="443"/>
      <c r="G88" s="443" t="s">
        <v>1198</v>
      </c>
      <c r="H88" s="386"/>
      <c r="I88" s="386"/>
      <c r="J88" s="386"/>
      <c r="K88" s="386"/>
      <c r="L88" s="387"/>
    </row>
    <row r="89" spans="1:32" s="384" customFormat="1">
      <c r="A89" s="143" t="s">
        <v>319</v>
      </c>
      <c r="B89" s="7">
        <v>2030</v>
      </c>
      <c r="C89" s="7" t="s">
        <v>188</v>
      </c>
      <c r="D89" s="7">
        <v>100</v>
      </c>
      <c r="E89" s="443"/>
      <c r="F89" s="443"/>
      <c r="G89" s="443" t="s">
        <v>1200</v>
      </c>
      <c r="H89" s="386"/>
      <c r="I89" s="386"/>
      <c r="J89" s="386"/>
      <c r="K89" s="386"/>
      <c r="L89" s="387"/>
    </row>
    <row r="90" spans="1:32" s="384" customFormat="1">
      <c r="A90" s="143" t="s">
        <v>319</v>
      </c>
      <c r="B90" s="7">
        <v>2040</v>
      </c>
      <c r="C90" s="7" t="s">
        <v>188</v>
      </c>
      <c r="D90" s="7">
        <v>0</v>
      </c>
      <c r="E90" s="443"/>
      <c r="F90" s="443"/>
      <c r="G90" s="443" t="s">
        <v>1201</v>
      </c>
      <c r="H90" s="386"/>
      <c r="I90" s="386"/>
      <c r="J90" s="386"/>
      <c r="K90" s="386"/>
      <c r="L90" s="387"/>
    </row>
    <row r="91" spans="1:32">
      <c r="E91"/>
      <c r="F91"/>
      <c r="G91"/>
      <c r="H91"/>
      <c r="I91"/>
      <c r="J91"/>
      <c r="K91"/>
    </row>
    <row r="92" spans="1:32" ht="30" customHeight="1">
      <c r="A92" s="140" t="s">
        <v>108</v>
      </c>
      <c r="B92" s="140" t="s">
        <v>109</v>
      </c>
      <c r="C92" s="140" t="s">
        <v>139</v>
      </c>
      <c r="D92" s="190" t="s">
        <v>1163</v>
      </c>
      <c r="E92" s="190" t="s">
        <v>1164</v>
      </c>
      <c r="F92" s="190" t="s">
        <v>1165</v>
      </c>
      <c r="G92" s="190" t="s">
        <v>1166</v>
      </c>
      <c r="H92" s="190" t="s">
        <v>1167</v>
      </c>
      <c r="I92" s="190" t="s">
        <v>1168</v>
      </c>
      <c r="J92" s="190" t="s">
        <v>1169</v>
      </c>
      <c r="K92" s="190" t="s">
        <v>1170</v>
      </c>
      <c r="L92" s="190" t="s">
        <v>1171</v>
      </c>
      <c r="M92" s="190" t="s">
        <v>1172</v>
      </c>
      <c r="N92" s="190" t="s">
        <v>1173</v>
      </c>
      <c r="O92" s="190" t="s">
        <v>1174</v>
      </c>
      <c r="P92" s="190" t="s">
        <v>1175</v>
      </c>
      <c r="Q92" s="190" t="s">
        <v>1176</v>
      </c>
      <c r="R92" s="996" t="s">
        <v>132</v>
      </c>
      <c r="S92" s="996"/>
      <c r="T92" s="996"/>
      <c r="U92" s="996"/>
      <c r="V92" s="996"/>
      <c r="W92" s="996"/>
      <c r="X92" s="996"/>
      <c r="Y92" s="996"/>
      <c r="Z92" s="996"/>
      <c r="AA92" s="996"/>
      <c r="AB92" s="996"/>
      <c r="AC92" s="996"/>
      <c r="AD92" s="996"/>
      <c r="AE92" s="996"/>
      <c r="AF92" s="996"/>
    </row>
    <row r="93" spans="1:32">
      <c r="A93" s="142" t="s">
        <v>1134</v>
      </c>
      <c r="B93" s="117">
        <v>2020</v>
      </c>
      <c r="C93" s="117" t="s">
        <v>188</v>
      </c>
      <c r="D93" s="192">
        <f t="shared" ref="D93:Q93" si="27">$E70*D16</f>
        <v>0</v>
      </c>
      <c r="E93" s="192">
        <f t="shared" si="27"/>
        <v>128.06283413488094</v>
      </c>
      <c r="F93" s="192">
        <f t="shared" si="27"/>
        <v>0</v>
      </c>
      <c r="G93" s="192">
        <f t="shared" si="27"/>
        <v>0</v>
      </c>
      <c r="H93" s="192">
        <f t="shared" si="27"/>
        <v>0</v>
      </c>
      <c r="I93" s="192">
        <f t="shared" si="27"/>
        <v>0</v>
      </c>
      <c r="J93" s="192">
        <f t="shared" si="27"/>
        <v>0</v>
      </c>
      <c r="K93" s="192">
        <f t="shared" si="27"/>
        <v>0</v>
      </c>
      <c r="L93" s="192">
        <f t="shared" si="27"/>
        <v>208.59994010251873</v>
      </c>
      <c r="M93" s="192">
        <f t="shared" si="27"/>
        <v>0</v>
      </c>
      <c r="N93" s="192">
        <f t="shared" si="27"/>
        <v>0.53563735841081217</v>
      </c>
      <c r="O93" s="192">
        <f t="shared" si="27"/>
        <v>0</v>
      </c>
      <c r="P93" s="192">
        <f t="shared" si="27"/>
        <v>0</v>
      </c>
      <c r="Q93" s="192">
        <f t="shared" si="27"/>
        <v>1.2395501701276763</v>
      </c>
      <c r="R93" s="998"/>
      <c r="S93" s="998"/>
      <c r="T93" s="998"/>
      <c r="U93" s="998"/>
      <c r="V93" s="998"/>
      <c r="W93" s="998"/>
      <c r="X93" s="998"/>
      <c r="Y93" s="998"/>
      <c r="Z93" s="998"/>
      <c r="AA93" s="998"/>
      <c r="AB93" s="998"/>
      <c r="AC93" s="998"/>
      <c r="AD93" s="998"/>
      <c r="AE93" s="998"/>
      <c r="AF93" s="998"/>
    </row>
    <row r="94" spans="1:32">
      <c r="A94" s="142" t="s">
        <v>240</v>
      </c>
      <c r="B94" s="117">
        <v>2020</v>
      </c>
      <c r="C94" s="117" t="s">
        <v>188</v>
      </c>
      <c r="D94" s="192">
        <f t="shared" ref="D94:Q94" si="28">$E71*D17</f>
        <v>0</v>
      </c>
      <c r="E94" s="192">
        <f t="shared" si="28"/>
        <v>0</v>
      </c>
      <c r="F94" s="192">
        <f t="shared" si="28"/>
        <v>0</v>
      </c>
      <c r="G94" s="192">
        <f t="shared" si="28"/>
        <v>0</v>
      </c>
      <c r="H94" s="192">
        <f t="shared" si="28"/>
        <v>0</v>
      </c>
      <c r="I94" s="192">
        <f t="shared" si="28"/>
        <v>0</v>
      </c>
      <c r="J94" s="192">
        <f t="shared" si="28"/>
        <v>18.577900839537158</v>
      </c>
      <c r="K94" s="192">
        <f t="shared" si="28"/>
        <v>0</v>
      </c>
      <c r="L94" s="192">
        <f t="shared" si="28"/>
        <v>601.4595396800155</v>
      </c>
      <c r="M94" s="192">
        <f t="shared" si="28"/>
        <v>0</v>
      </c>
      <c r="N94" s="192">
        <f t="shared" si="28"/>
        <v>18.577900839537158</v>
      </c>
      <c r="O94" s="192">
        <f t="shared" si="28"/>
        <v>0</v>
      </c>
      <c r="P94" s="192">
        <f t="shared" si="28"/>
        <v>18.577900839537158</v>
      </c>
      <c r="Q94" s="192">
        <f t="shared" si="28"/>
        <v>0.23222376049421448</v>
      </c>
      <c r="R94" s="998"/>
      <c r="S94" s="998"/>
      <c r="T94" s="998"/>
      <c r="U94" s="998"/>
      <c r="V94" s="998"/>
      <c r="W94" s="998"/>
      <c r="X94" s="998"/>
      <c r="Y94" s="998"/>
      <c r="Z94" s="998"/>
      <c r="AA94" s="998"/>
      <c r="AB94" s="998"/>
      <c r="AC94" s="998"/>
      <c r="AD94" s="998"/>
      <c r="AE94" s="998"/>
      <c r="AF94" s="998"/>
    </row>
    <row r="95" spans="1:32">
      <c r="A95" s="142" t="s">
        <v>164</v>
      </c>
      <c r="B95" s="117">
        <v>2020</v>
      </c>
      <c r="C95" s="117" t="s">
        <v>188</v>
      </c>
      <c r="D95" s="192">
        <f t="shared" ref="D95:Q95" si="29">$E72*D18</f>
        <v>67.122772807787939</v>
      </c>
      <c r="E95" s="192">
        <f t="shared" si="29"/>
        <v>67.122772807787939</v>
      </c>
      <c r="F95" s="192">
        <f t="shared" si="29"/>
        <v>67.122772807787939</v>
      </c>
      <c r="G95" s="192">
        <f t="shared" si="29"/>
        <v>0</v>
      </c>
      <c r="H95" s="192">
        <f t="shared" si="29"/>
        <v>0</v>
      </c>
      <c r="I95" s="192">
        <f t="shared" si="29"/>
        <v>67.122772807787939</v>
      </c>
      <c r="J95" s="192">
        <f t="shared" si="29"/>
        <v>0</v>
      </c>
      <c r="K95" s="192">
        <f t="shared" si="29"/>
        <v>0</v>
      </c>
      <c r="L95" s="192">
        <f t="shared" si="29"/>
        <v>67.122772807787939</v>
      </c>
      <c r="M95" s="192">
        <f t="shared" si="29"/>
        <v>0</v>
      </c>
      <c r="N95" s="192">
        <f t="shared" si="29"/>
        <v>67.122772807787939</v>
      </c>
      <c r="O95" s="192">
        <f t="shared" si="29"/>
        <v>0</v>
      </c>
      <c r="P95" s="192">
        <f t="shared" si="29"/>
        <v>67.122772807787939</v>
      </c>
      <c r="Q95" s="192">
        <f t="shared" si="29"/>
        <v>201.36831842336377</v>
      </c>
      <c r="R95" s="998"/>
      <c r="S95" s="998"/>
      <c r="T95" s="998"/>
      <c r="U95" s="998"/>
      <c r="V95" s="998"/>
      <c r="W95" s="998"/>
      <c r="X95" s="998"/>
      <c r="Y95" s="998"/>
      <c r="Z95" s="998"/>
      <c r="AA95" s="998"/>
      <c r="AB95" s="998"/>
      <c r="AC95" s="998"/>
      <c r="AD95" s="998"/>
      <c r="AE95" s="998"/>
      <c r="AF95" s="998"/>
    </row>
    <row r="96" spans="1:32">
      <c r="A96" s="142" t="s">
        <v>167</v>
      </c>
      <c r="B96" s="117">
        <v>2020</v>
      </c>
      <c r="C96" s="117" t="s">
        <v>188</v>
      </c>
      <c r="D96" s="192">
        <f t="shared" ref="D96:Q96" si="30">$E73*D19</f>
        <v>0</v>
      </c>
      <c r="E96" s="192">
        <f t="shared" si="30"/>
        <v>268.4910912311517</v>
      </c>
      <c r="F96" s="192">
        <f t="shared" si="30"/>
        <v>0</v>
      </c>
      <c r="G96" s="192">
        <f t="shared" si="30"/>
        <v>0</v>
      </c>
      <c r="H96" s="192">
        <f t="shared" si="30"/>
        <v>0</v>
      </c>
      <c r="I96" s="192">
        <f t="shared" si="30"/>
        <v>0</v>
      </c>
      <c r="J96" s="192">
        <f t="shared" si="30"/>
        <v>0</v>
      </c>
      <c r="K96" s="192">
        <f t="shared" si="30"/>
        <v>0</v>
      </c>
      <c r="L96" s="192">
        <f t="shared" si="30"/>
        <v>0</v>
      </c>
      <c r="M96" s="192">
        <f t="shared" si="30"/>
        <v>0</v>
      </c>
      <c r="N96" s="192">
        <f t="shared" si="30"/>
        <v>0</v>
      </c>
      <c r="O96" s="192">
        <f t="shared" si="30"/>
        <v>0</v>
      </c>
      <c r="P96" s="192">
        <f t="shared" si="30"/>
        <v>0</v>
      </c>
      <c r="Q96" s="192">
        <f t="shared" si="30"/>
        <v>0</v>
      </c>
      <c r="R96" s="998"/>
      <c r="S96" s="998"/>
      <c r="T96" s="998"/>
      <c r="U96" s="998"/>
      <c r="V96" s="998"/>
      <c r="W96" s="998"/>
      <c r="X96" s="998"/>
      <c r="Y96" s="998"/>
      <c r="Z96" s="998"/>
      <c r="AA96" s="998"/>
      <c r="AB96" s="998"/>
      <c r="AC96" s="998"/>
      <c r="AD96" s="998"/>
      <c r="AE96" s="998"/>
      <c r="AF96" s="998"/>
    </row>
    <row r="97" spans="1:32">
      <c r="A97" s="142" t="s">
        <v>168</v>
      </c>
      <c r="B97" s="117">
        <v>2020</v>
      </c>
      <c r="C97" s="117" t="s">
        <v>188</v>
      </c>
      <c r="D97" s="192">
        <f t="shared" ref="D97:Q97" si="31">$E74*D20</f>
        <v>4.1951733004867453</v>
      </c>
      <c r="E97" s="192">
        <f t="shared" si="31"/>
        <v>4.1951733004867453</v>
      </c>
      <c r="F97" s="192">
        <f t="shared" si="31"/>
        <v>0</v>
      </c>
      <c r="G97" s="192">
        <f t="shared" si="31"/>
        <v>0</v>
      </c>
      <c r="H97" s="192">
        <f t="shared" si="31"/>
        <v>0</v>
      </c>
      <c r="I97" s="192">
        <f t="shared" si="31"/>
        <v>4.1951733004867453</v>
      </c>
      <c r="J97" s="192">
        <f t="shared" si="31"/>
        <v>4.1951733004867453</v>
      </c>
      <c r="K97" s="192">
        <f t="shared" si="31"/>
        <v>0</v>
      </c>
      <c r="L97" s="192">
        <f t="shared" si="31"/>
        <v>4.1951733004867453</v>
      </c>
      <c r="M97" s="192">
        <f t="shared" si="31"/>
        <v>0</v>
      </c>
      <c r="N97" s="192">
        <f t="shared" si="31"/>
        <v>4.1951733004867453</v>
      </c>
      <c r="O97" s="192">
        <f t="shared" si="31"/>
        <v>0</v>
      </c>
      <c r="P97" s="192">
        <f t="shared" si="31"/>
        <v>4.1951733004867453</v>
      </c>
      <c r="Q97" s="192">
        <f t="shared" si="31"/>
        <v>4.1951733004867453</v>
      </c>
      <c r="R97" s="998"/>
      <c r="S97" s="998"/>
      <c r="T97" s="998"/>
      <c r="U97" s="998"/>
      <c r="V97" s="998"/>
      <c r="W97" s="998"/>
      <c r="X97" s="998"/>
      <c r="Y97" s="998"/>
      <c r="Z97" s="998"/>
      <c r="AA97" s="998"/>
      <c r="AB97" s="998"/>
      <c r="AC97" s="998"/>
      <c r="AD97" s="998"/>
      <c r="AE97" s="998"/>
      <c r="AF97" s="998"/>
    </row>
    <row r="98" spans="1:32">
      <c r="A98" s="142" t="s">
        <v>169</v>
      </c>
      <c r="B98" s="117">
        <v>2020</v>
      </c>
      <c r="C98" s="117" t="s">
        <v>188</v>
      </c>
      <c r="D98" s="192">
        <f t="shared" ref="D98:Q98" si="32">$E75*D21</f>
        <v>4.1951733004867453</v>
      </c>
      <c r="E98" s="192">
        <f t="shared" si="32"/>
        <v>4.1951733004867453</v>
      </c>
      <c r="F98" s="192">
        <f t="shared" si="32"/>
        <v>0</v>
      </c>
      <c r="G98" s="192">
        <f t="shared" si="32"/>
        <v>0</v>
      </c>
      <c r="H98" s="192">
        <f t="shared" si="32"/>
        <v>0</v>
      </c>
      <c r="I98" s="192">
        <f t="shared" si="32"/>
        <v>4.1951733004867453</v>
      </c>
      <c r="J98" s="192">
        <f t="shared" si="32"/>
        <v>4.1951733004867453</v>
      </c>
      <c r="K98" s="192">
        <f t="shared" si="32"/>
        <v>0</v>
      </c>
      <c r="L98" s="192">
        <f t="shared" si="32"/>
        <v>4.1951733004867453</v>
      </c>
      <c r="M98" s="192">
        <f t="shared" si="32"/>
        <v>0</v>
      </c>
      <c r="N98" s="192">
        <f t="shared" si="32"/>
        <v>4.1951733004867453</v>
      </c>
      <c r="O98" s="192">
        <f t="shared" si="32"/>
        <v>0</v>
      </c>
      <c r="P98" s="192">
        <f t="shared" si="32"/>
        <v>4.1951733004867453</v>
      </c>
      <c r="Q98" s="192">
        <f t="shared" si="32"/>
        <v>4.1951733004867453</v>
      </c>
      <c r="R98" s="998"/>
      <c r="S98" s="998"/>
      <c r="T98" s="998"/>
      <c r="U98" s="998"/>
      <c r="V98" s="998"/>
      <c r="W98" s="998"/>
      <c r="X98" s="998"/>
      <c r="Y98" s="998"/>
      <c r="Z98" s="998"/>
      <c r="AA98" s="998"/>
      <c r="AB98" s="998"/>
      <c r="AC98" s="998"/>
      <c r="AD98" s="998"/>
      <c r="AE98" s="998"/>
      <c r="AF98" s="998"/>
    </row>
    <row r="99" spans="1:32">
      <c r="A99" s="142" t="s">
        <v>324</v>
      </c>
      <c r="B99" s="117">
        <v>2020</v>
      </c>
      <c r="C99" s="117" t="s">
        <v>188</v>
      </c>
      <c r="D99" s="192">
        <f t="shared" ref="D99:Q99" si="33">$E76*D22</f>
        <v>0</v>
      </c>
      <c r="E99" s="192">
        <f t="shared" si="33"/>
        <v>0</v>
      </c>
      <c r="F99" s="192">
        <f t="shared" si="33"/>
        <v>0</v>
      </c>
      <c r="G99" s="192">
        <f t="shared" si="33"/>
        <v>0</v>
      </c>
      <c r="H99" s="192">
        <f t="shared" si="33"/>
        <v>0</v>
      </c>
      <c r="I99" s="192">
        <f t="shared" si="33"/>
        <v>0</v>
      </c>
      <c r="J99" s="192">
        <f t="shared" si="33"/>
        <v>0</v>
      </c>
      <c r="K99" s="192">
        <f t="shared" si="33"/>
        <v>0</v>
      </c>
      <c r="L99" s="192">
        <f t="shared" si="33"/>
        <v>0</v>
      </c>
      <c r="M99" s="192">
        <f t="shared" si="33"/>
        <v>0</v>
      </c>
      <c r="N99" s="192">
        <f t="shared" si="33"/>
        <v>0</v>
      </c>
      <c r="O99" s="192">
        <f t="shared" si="33"/>
        <v>0</v>
      </c>
      <c r="P99" s="192">
        <f t="shared" si="33"/>
        <v>0</v>
      </c>
      <c r="Q99" s="192">
        <f t="shared" si="33"/>
        <v>4.0847905948542911</v>
      </c>
      <c r="R99" s="998"/>
      <c r="S99" s="998"/>
      <c r="T99" s="998"/>
      <c r="U99" s="998"/>
      <c r="V99" s="998"/>
      <c r="W99" s="998"/>
      <c r="X99" s="998"/>
      <c r="Y99" s="998"/>
      <c r="Z99" s="998"/>
      <c r="AA99" s="998"/>
      <c r="AB99" s="998"/>
      <c r="AC99" s="998"/>
      <c r="AD99" s="998"/>
      <c r="AE99" s="998"/>
      <c r="AF99" s="998"/>
    </row>
    <row r="100" spans="1:32">
      <c r="A100" s="142" t="s">
        <v>348</v>
      </c>
      <c r="B100" s="117">
        <v>2020</v>
      </c>
      <c r="C100" s="117" t="s">
        <v>188</v>
      </c>
      <c r="D100" s="192">
        <f t="shared" ref="D100:Q100" si="34">$E77*D23</f>
        <v>0</v>
      </c>
      <c r="E100" s="192">
        <f t="shared" si="34"/>
        <v>0</v>
      </c>
      <c r="F100" s="192">
        <f t="shared" si="34"/>
        <v>0</v>
      </c>
      <c r="G100" s="192">
        <f t="shared" si="34"/>
        <v>0</v>
      </c>
      <c r="H100" s="192">
        <f t="shared" si="34"/>
        <v>0</v>
      </c>
      <c r="I100" s="192">
        <f t="shared" si="34"/>
        <v>0</v>
      </c>
      <c r="J100" s="192">
        <f t="shared" si="34"/>
        <v>0</v>
      </c>
      <c r="K100" s="192">
        <f t="shared" si="34"/>
        <v>0</v>
      </c>
      <c r="L100" s="192">
        <f t="shared" si="34"/>
        <v>0</v>
      </c>
      <c r="M100" s="192">
        <f t="shared" si="34"/>
        <v>0</v>
      </c>
      <c r="N100" s="192">
        <f t="shared" si="34"/>
        <v>0</v>
      </c>
      <c r="O100" s="192">
        <f t="shared" si="34"/>
        <v>0</v>
      </c>
      <c r="P100" s="192">
        <f t="shared" si="34"/>
        <v>0</v>
      </c>
      <c r="Q100" s="192">
        <f t="shared" si="34"/>
        <v>89.472104834673303</v>
      </c>
      <c r="R100" s="998"/>
      <c r="S100" s="998"/>
      <c r="T100" s="998"/>
      <c r="U100" s="998"/>
      <c r="V100" s="998"/>
      <c r="W100" s="998"/>
      <c r="X100" s="998"/>
      <c r="Y100" s="998"/>
      <c r="Z100" s="998"/>
      <c r="AA100" s="998"/>
      <c r="AB100" s="998"/>
      <c r="AC100" s="998"/>
      <c r="AD100" s="998"/>
      <c r="AE100" s="998"/>
      <c r="AF100" s="998"/>
    </row>
    <row r="101" spans="1:32">
      <c r="A101" s="142" t="s">
        <v>278</v>
      </c>
      <c r="B101" s="117">
        <v>2020</v>
      </c>
      <c r="C101" s="117" t="s">
        <v>188</v>
      </c>
      <c r="D101" s="192">
        <f t="shared" ref="D101:Q101" si="35">$E78*D24</f>
        <v>0</v>
      </c>
      <c r="E101" s="192">
        <f t="shared" si="35"/>
        <v>0</v>
      </c>
      <c r="F101" s="192">
        <f t="shared" si="35"/>
        <v>0</v>
      </c>
      <c r="G101" s="192">
        <f t="shared" si="35"/>
        <v>0</v>
      </c>
      <c r="H101" s="192">
        <f t="shared" si="35"/>
        <v>0</v>
      </c>
      <c r="I101" s="192">
        <f t="shared" si="35"/>
        <v>0</v>
      </c>
      <c r="J101" s="192">
        <f t="shared" si="35"/>
        <v>0</v>
      </c>
      <c r="K101" s="192">
        <f t="shared" si="35"/>
        <v>0</v>
      </c>
      <c r="L101" s="192">
        <f t="shared" si="35"/>
        <v>0</v>
      </c>
      <c r="M101" s="192">
        <f t="shared" si="35"/>
        <v>0</v>
      </c>
      <c r="N101" s="192">
        <f t="shared" si="35"/>
        <v>0</v>
      </c>
      <c r="O101" s="192">
        <f t="shared" si="35"/>
        <v>0</v>
      </c>
      <c r="P101" s="192">
        <f t="shared" si="35"/>
        <v>0</v>
      </c>
      <c r="Q101" s="192">
        <f t="shared" si="35"/>
        <v>89.472104834673303</v>
      </c>
      <c r="R101" s="998"/>
      <c r="S101" s="998"/>
      <c r="T101" s="998"/>
      <c r="U101" s="998"/>
      <c r="V101" s="998"/>
      <c r="W101" s="998"/>
      <c r="X101" s="998"/>
      <c r="Y101" s="998"/>
      <c r="Z101" s="998"/>
      <c r="AA101" s="998"/>
      <c r="AB101" s="998"/>
      <c r="AC101" s="998"/>
      <c r="AD101" s="998"/>
      <c r="AE101" s="998"/>
      <c r="AF101" s="998"/>
    </row>
    <row r="102" spans="1:32">
      <c r="A102" s="142" t="s">
        <v>372</v>
      </c>
      <c r="B102" s="117">
        <v>2020</v>
      </c>
      <c r="C102" s="117" t="s">
        <v>188</v>
      </c>
      <c r="D102" s="192">
        <f t="shared" ref="D102:Q102" si="36">$E79*D25</f>
        <v>0</v>
      </c>
      <c r="E102" s="192">
        <f t="shared" si="36"/>
        <v>0</v>
      </c>
      <c r="F102" s="192">
        <f t="shared" si="36"/>
        <v>0</v>
      </c>
      <c r="G102" s="192">
        <f t="shared" si="36"/>
        <v>0</v>
      </c>
      <c r="H102" s="192">
        <f t="shared" si="36"/>
        <v>0</v>
      </c>
      <c r="I102" s="192">
        <f t="shared" si="36"/>
        <v>0</v>
      </c>
      <c r="J102" s="192">
        <f t="shared" si="36"/>
        <v>0</v>
      </c>
      <c r="K102" s="192">
        <f t="shared" si="36"/>
        <v>0</v>
      </c>
      <c r="L102" s="192">
        <f t="shared" si="36"/>
        <v>0</v>
      </c>
      <c r="M102" s="192">
        <f t="shared" si="36"/>
        <v>0</v>
      </c>
      <c r="N102" s="192">
        <f t="shared" si="36"/>
        <v>0</v>
      </c>
      <c r="O102" s="192">
        <f t="shared" si="36"/>
        <v>0</v>
      </c>
      <c r="P102" s="192">
        <f t="shared" si="36"/>
        <v>0</v>
      </c>
      <c r="Q102" s="192">
        <f t="shared" si="36"/>
        <v>219.69781965671771</v>
      </c>
      <c r="R102" s="998"/>
      <c r="S102" s="998"/>
      <c r="T102" s="998"/>
      <c r="U102" s="998"/>
      <c r="V102" s="998"/>
      <c r="W102" s="998"/>
      <c r="X102" s="998"/>
      <c r="Y102" s="998"/>
      <c r="Z102" s="998"/>
      <c r="AA102" s="998"/>
      <c r="AB102" s="998"/>
      <c r="AC102" s="998"/>
      <c r="AD102" s="998"/>
      <c r="AE102" s="998"/>
      <c r="AF102" s="998"/>
    </row>
    <row r="103" spans="1:32">
      <c r="A103" s="142" t="s">
        <v>319</v>
      </c>
      <c r="B103" s="117">
        <v>2020</v>
      </c>
      <c r="C103" s="117" t="s">
        <v>188</v>
      </c>
      <c r="D103" s="192">
        <f t="shared" ref="D103:Q103" si="37">$E80*D26</f>
        <v>0</v>
      </c>
      <c r="E103" s="192">
        <f t="shared" si="37"/>
        <v>0</v>
      </c>
      <c r="F103" s="192">
        <f t="shared" si="37"/>
        <v>0</v>
      </c>
      <c r="G103" s="192">
        <f t="shared" si="37"/>
        <v>0</v>
      </c>
      <c r="H103" s="192">
        <f t="shared" si="37"/>
        <v>0</v>
      </c>
      <c r="I103" s="192">
        <f t="shared" si="37"/>
        <v>0</v>
      </c>
      <c r="J103" s="192">
        <f t="shared" si="37"/>
        <v>0</v>
      </c>
      <c r="K103" s="192">
        <f t="shared" si="37"/>
        <v>12105</v>
      </c>
      <c r="L103" s="192">
        <f t="shared" si="37"/>
        <v>0</v>
      </c>
      <c r="M103" s="192">
        <f t="shared" si="37"/>
        <v>0</v>
      </c>
      <c r="N103" s="192">
        <f t="shared" si="37"/>
        <v>0</v>
      </c>
      <c r="O103" s="192">
        <f t="shared" si="37"/>
        <v>0</v>
      </c>
      <c r="P103" s="192">
        <f t="shared" si="37"/>
        <v>0</v>
      </c>
      <c r="Q103" s="192">
        <f t="shared" si="37"/>
        <v>0</v>
      </c>
      <c r="R103" s="998"/>
      <c r="S103" s="998"/>
      <c r="T103" s="998"/>
      <c r="U103" s="998"/>
      <c r="V103" s="998"/>
      <c r="W103" s="998"/>
      <c r="X103" s="998"/>
      <c r="Y103" s="998"/>
      <c r="Z103" s="998"/>
      <c r="AA103" s="998"/>
      <c r="AB103" s="998"/>
      <c r="AC103" s="998"/>
      <c r="AD103" s="998"/>
      <c r="AE103" s="998"/>
      <c r="AF103" s="998"/>
    </row>
    <row r="104" spans="1:32">
      <c r="A104" s="138" t="s">
        <v>1162</v>
      </c>
      <c r="B104" s="127">
        <v>2020</v>
      </c>
      <c r="C104" s="127" t="s">
        <v>188</v>
      </c>
      <c r="D104" s="193">
        <f>SUM(D93:D103)</f>
        <v>75.513119408761426</v>
      </c>
      <c r="E104" s="193">
        <f t="shared" ref="E104:Q104" si="38">SUM(E93:E103)</f>
        <v>472.06704477479411</v>
      </c>
      <c r="F104" s="193">
        <f t="shared" si="38"/>
        <v>67.122772807787939</v>
      </c>
      <c r="G104" s="193">
        <f t="shared" si="38"/>
        <v>0</v>
      </c>
      <c r="H104" s="193">
        <f t="shared" si="38"/>
        <v>0</v>
      </c>
      <c r="I104" s="193">
        <f t="shared" si="38"/>
        <v>75.513119408761426</v>
      </c>
      <c r="J104" s="193">
        <f t="shared" si="38"/>
        <v>26.968247440510645</v>
      </c>
      <c r="K104" s="193">
        <f t="shared" si="38"/>
        <v>12105</v>
      </c>
      <c r="L104" s="193">
        <f t="shared" si="38"/>
        <v>885.57259919129569</v>
      </c>
      <c r="M104" s="193">
        <f t="shared" si="38"/>
        <v>0</v>
      </c>
      <c r="N104" s="193">
        <f t="shared" si="38"/>
        <v>94.626657606709401</v>
      </c>
      <c r="O104" s="193">
        <f t="shared" si="38"/>
        <v>0</v>
      </c>
      <c r="P104" s="193">
        <f t="shared" si="38"/>
        <v>94.091020248298577</v>
      </c>
      <c r="Q104" s="193">
        <f t="shared" si="38"/>
        <v>613.95725887587776</v>
      </c>
      <c r="R104" s="1032"/>
      <c r="S104" s="1032"/>
      <c r="T104" s="1032"/>
      <c r="U104" s="1032"/>
      <c r="V104" s="1032"/>
      <c r="W104" s="1032"/>
      <c r="X104" s="1032"/>
      <c r="Y104" s="1032"/>
      <c r="Z104" s="1032"/>
      <c r="AA104" s="1032"/>
      <c r="AB104" s="1032"/>
      <c r="AC104" s="1032"/>
      <c r="AD104" s="1032"/>
      <c r="AE104" s="1032"/>
      <c r="AF104" s="1032"/>
    </row>
    <row r="105" spans="1:32" ht="30" customHeight="1">
      <c r="A105" s="140" t="s">
        <v>108</v>
      </c>
      <c r="B105" s="140" t="s">
        <v>109</v>
      </c>
      <c r="C105" s="140" t="s">
        <v>139</v>
      </c>
      <c r="D105" s="190" t="s">
        <v>981</v>
      </c>
      <c r="E105" s="190" t="s">
        <v>982</v>
      </c>
      <c r="F105" s="190" t="s">
        <v>983</v>
      </c>
      <c r="G105" s="190" t="s">
        <v>984</v>
      </c>
      <c r="H105" s="190" t="s">
        <v>985</v>
      </c>
      <c r="I105" s="190" t="s">
        <v>986</v>
      </c>
      <c r="J105" s="190" t="s">
        <v>987</v>
      </c>
      <c r="K105" s="190" t="s">
        <v>1177</v>
      </c>
      <c r="L105" s="190" t="s">
        <v>1178</v>
      </c>
      <c r="M105" s="190" t="s">
        <v>1179</v>
      </c>
      <c r="N105" s="190" t="s">
        <v>988</v>
      </c>
      <c r="O105" s="190" t="s">
        <v>1180</v>
      </c>
      <c r="P105" s="190" t="s">
        <v>1181</v>
      </c>
      <c r="Q105" s="190" t="s">
        <v>1182</v>
      </c>
      <c r="R105" s="996" t="s">
        <v>132</v>
      </c>
      <c r="S105" s="996"/>
      <c r="T105" s="996"/>
      <c r="U105" s="996"/>
      <c r="V105" s="996"/>
      <c r="W105" s="996"/>
      <c r="X105" s="996"/>
      <c r="Y105" s="996"/>
      <c r="Z105" s="996"/>
      <c r="AA105" s="996"/>
      <c r="AB105" s="996"/>
      <c r="AC105" s="996"/>
      <c r="AD105" s="996"/>
      <c r="AE105" s="996"/>
      <c r="AF105" s="996"/>
    </row>
    <row r="106" spans="1:32">
      <c r="A106" s="138" t="s">
        <v>1183</v>
      </c>
      <c r="B106" s="117">
        <v>2020</v>
      </c>
      <c r="C106" s="117" t="s">
        <v>188</v>
      </c>
      <c r="D106" s="191">
        <f>D104/1000</f>
        <v>7.5513119408761431E-2</v>
      </c>
      <c r="E106" s="191">
        <f t="shared" ref="E106:Q106" si="39">E104/1000</f>
        <v>0.47206704477479411</v>
      </c>
      <c r="F106" s="191">
        <f t="shared" si="39"/>
        <v>6.7122772807787945E-2</v>
      </c>
      <c r="G106" s="191">
        <f t="shared" si="39"/>
        <v>0</v>
      </c>
      <c r="H106" s="191">
        <f t="shared" si="39"/>
        <v>0</v>
      </c>
      <c r="I106" s="191">
        <f t="shared" si="39"/>
        <v>7.5513119408761431E-2</v>
      </c>
      <c r="J106" s="191">
        <f t="shared" si="39"/>
        <v>2.6968247440510646E-2</v>
      </c>
      <c r="K106" s="191">
        <f t="shared" si="39"/>
        <v>12.105</v>
      </c>
      <c r="L106" s="191">
        <f t="shared" si="39"/>
        <v>0.88557259919129572</v>
      </c>
      <c r="M106" s="191">
        <f t="shared" si="39"/>
        <v>0</v>
      </c>
      <c r="N106" s="191">
        <f t="shared" si="39"/>
        <v>9.4626657606709394E-2</v>
      </c>
      <c r="O106" s="191">
        <f t="shared" si="39"/>
        <v>0</v>
      </c>
      <c r="P106" s="191">
        <f t="shared" si="39"/>
        <v>9.4091020248298574E-2</v>
      </c>
      <c r="Q106" s="191">
        <f t="shared" si="39"/>
        <v>0.61395725887587771</v>
      </c>
      <c r="R106" s="998" t="s">
        <v>1202</v>
      </c>
      <c r="S106" s="998"/>
      <c r="T106" s="998"/>
      <c r="U106" s="998"/>
      <c r="V106" s="998"/>
      <c r="W106" s="998"/>
      <c r="X106" s="998"/>
      <c r="Y106" s="998"/>
      <c r="Z106" s="998"/>
      <c r="AA106" s="998"/>
      <c r="AB106" s="998"/>
      <c r="AC106" s="998"/>
      <c r="AD106" s="998"/>
      <c r="AE106" s="998"/>
      <c r="AF106" s="998"/>
    </row>
    <row r="107" spans="1:32" s="384" customFormat="1">
      <c r="A107" s="200" t="s">
        <v>1183</v>
      </c>
      <c r="B107" s="7">
        <v>2016</v>
      </c>
      <c r="C107" s="7"/>
      <c r="D107" s="895"/>
      <c r="E107" s="895"/>
      <c r="F107" s="895"/>
      <c r="G107" s="895"/>
      <c r="H107" s="895"/>
      <c r="I107" s="895"/>
      <c r="J107" s="895"/>
      <c r="K107" s="7">
        <v>18</v>
      </c>
      <c r="L107" s="895"/>
      <c r="M107" s="895"/>
      <c r="N107" s="895"/>
      <c r="O107" s="385"/>
      <c r="P107" s="385"/>
      <c r="Q107" s="385"/>
    </row>
    <row r="108" spans="1:32" s="384" customFormat="1">
      <c r="A108" s="200" t="s">
        <v>1183</v>
      </c>
      <c r="B108" s="7">
        <v>2019</v>
      </c>
      <c r="C108" s="7"/>
      <c r="D108" s="895"/>
      <c r="E108" s="895"/>
      <c r="F108" s="895"/>
      <c r="G108" s="895"/>
      <c r="H108" s="895"/>
      <c r="I108" s="895"/>
      <c r="J108" s="895"/>
      <c r="K108" s="7">
        <v>11.4</v>
      </c>
      <c r="L108" s="895"/>
      <c r="M108" s="895"/>
      <c r="N108" s="895"/>
      <c r="O108" s="385"/>
      <c r="P108" s="385"/>
      <c r="Q108" s="385"/>
    </row>
    <row r="109" spans="1:32" s="384" customFormat="1">
      <c r="A109" s="200" t="s">
        <v>1183</v>
      </c>
      <c r="B109" s="7">
        <v>2021</v>
      </c>
      <c r="C109" s="7"/>
      <c r="D109" s="895"/>
      <c r="E109" s="895"/>
      <c r="F109" s="895"/>
      <c r="G109" s="895"/>
      <c r="H109" s="895"/>
      <c r="I109" s="895"/>
      <c r="J109" s="895"/>
      <c r="K109" s="7">
        <v>10.331</v>
      </c>
      <c r="L109" s="895"/>
      <c r="M109" s="895"/>
      <c r="N109" s="895"/>
      <c r="O109" s="385"/>
      <c r="P109" s="385"/>
      <c r="Q109" s="385"/>
    </row>
    <row r="111" spans="1:32" ht="30" customHeight="1">
      <c r="A111" s="966" t="s">
        <v>15</v>
      </c>
      <c r="B111" s="966"/>
      <c r="C111" s="966"/>
      <c r="D111" s="966"/>
      <c r="E111" s="966"/>
      <c r="F111" s="966"/>
      <c r="G111" s="966"/>
      <c r="H111" s="966"/>
      <c r="I111" s="966"/>
      <c r="J111" s="966"/>
      <c r="K111" s="966"/>
      <c r="L111" s="966"/>
      <c r="M111" s="966"/>
      <c r="N111" s="966"/>
      <c r="O111" s="966"/>
      <c r="P111" s="966"/>
      <c r="Q111" s="966"/>
      <c r="R111" s="966"/>
      <c r="S111" s="966"/>
      <c r="T111" s="966"/>
      <c r="U111" s="966"/>
      <c r="V111" s="966"/>
      <c r="W111" s="966"/>
      <c r="X111" s="966"/>
      <c r="Y111" s="966"/>
      <c r="Z111" s="966"/>
      <c r="AA111" s="966"/>
      <c r="AB111" s="966"/>
      <c r="AC111" s="966"/>
      <c r="AD111" s="966"/>
      <c r="AE111" s="966"/>
      <c r="AF111" s="966"/>
    </row>
    <row r="112" spans="1:32" s="25" customFormat="1" ht="30" customHeight="1">
      <c r="A112" s="140" t="s">
        <v>137</v>
      </c>
      <c r="B112" s="1021" t="s">
        <v>138</v>
      </c>
      <c r="C112" s="1023"/>
      <c r="D112" s="140" t="s">
        <v>139</v>
      </c>
      <c r="E112" s="188" t="s">
        <v>93</v>
      </c>
      <c r="F112" s="188" t="s">
        <v>94</v>
      </c>
      <c r="G112" s="188" t="s">
        <v>95</v>
      </c>
      <c r="H112" s="188" t="s">
        <v>96</v>
      </c>
      <c r="I112" s="188" t="s">
        <v>97</v>
      </c>
      <c r="J112" s="188" t="s">
        <v>98</v>
      </c>
      <c r="K112" s="188" t="s">
        <v>99</v>
      </c>
      <c r="L112" s="188" t="s">
        <v>100</v>
      </c>
      <c r="M112" s="188" t="s">
        <v>101</v>
      </c>
      <c r="N112" s="188" t="s">
        <v>102</v>
      </c>
      <c r="O112" s="188" t="s">
        <v>103</v>
      </c>
      <c r="P112" s="188" t="s">
        <v>104</v>
      </c>
      <c r="Q112" s="188" t="s">
        <v>105</v>
      </c>
      <c r="R112" s="188" t="s">
        <v>1095</v>
      </c>
      <c r="S112" s="141" t="s">
        <v>132</v>
      </c>
      <c r="T112" s="141"/>
      <c r="U112" s="141"/>
      <c r="V112" s="141"/>
      <c r="W112" s="141"/>
      <c r="X112" s="141"/>
      <c r="Y112" s="141"/>
      <c r="Z112" s="141"/>
      <c r="AA112" s="141"/>
      <c r="AB112" s="141"/>
      <c r="AC112" s="141"/>
      <c r="AD112" s="141"/>
      <c r="AE112" s="141"/>
      <c r="AF112" s="141"/>
    </row>
    <row r="113" spans="1:32">
      <c r="A113" s="142" t="s">
        <v>1183</v>
      </c>
      <c r="B113" s="1003" t="s">
        <v>1134</v>
      </c>
      <c r="C113" s="1003"/>
      <c r="D113" s="117" t="s">
        <v>999</v>
      </c>
      <c r="E113" s="130">
        <f t="shared" ref="E113:R113" si="40">IF(D$104=0, 0,D93/D$104)</f>
        <v>0</v>
      </c>
      <c r="F113" s="130">
        <f t="shared" si="40"/>
        <v>0.27128102999855674</v>
      </c>
      <c r="G113" s="130">
        <f t="shared" si="40"/>
        <v>0</v>
      </c>
      <c r="H113" s="130">
        <f t="shared" si="40"/>
        <v>0</v>
      </c>
      <c r="I113" s="130">
        <f t="shared" si="40"/>
        <v>0</v>
      </c>
      <c r="J113" s="130">
        <f t="shared" si="40"/>
        <v>0</v>
      </c>
      <c r="K113" s="130">
        <f t="shared" si="40"/>
        <v>0</v>
      </c>
      <c r="L113" s="130">
        <f t="shared" si="40"/>
        <v>0</v>
      </c>
      <c r="M113" s="130">
        <f t="shared" si="40"/>
        <v>0.23555374262145426</v>
      </c>
      <c r="N113" s="130">
        <f t="shared" si="40"/>
        <v>0</v>
      </c>
      <c r="O113" s="130">
        <f t="shared" si="40"/>
        <v>5.6605334263949885E-3</v>
      </c>
      <c r="P113" s="130">
        <f t="shared" si="40"/>
        <v>0</v>
      </c>
      <c r="Q113" s="130">
        <f t="shared" si="40"/>
        <v>0</v>
      </c>
      <c r="R113" s="130">
        <f t="shared" si="40"/>
        <v>2.0189518931614638E-3</v>
      </c>
      <c r="S113" s="187"/>
      <c r="T113" s="187"/>
      <c r="U113" s="187"/>
      <c r="V113" s="187"/>
      <c r="W113" s="187"/>
      <c r="X113" s="187"/>
      <c r="Y113" s="187"/>
      <c r="Z113" s="187"/>
      <c r="AA113" s="187"/>
      <c r="AB113" s="187"/>
      <c r="AC113" s="187"/>
      <c r="AD113" s="187"/>
      <c r="AE113" s="187"/>
      <c r="AF113" s="187"/>
    </row>
    <row r="114" spans="1:32">
      <c r="A114" s="142" t="s">
        <v>1183</v>
      </c>
      <c r="B114" s="1003" t="s">
        <v>240</v>
      </c>
      <c r="C114" s="1003"/>
      <c r="D114" s="117" t="s">
        <v>999</v>
      </c>
      <c r="E114" s="130">
        <f t="shared" ref="E114:R114" si="41">IF(D$104=0, 0,D94/D$104)</f>
        <v>0</v>
      </c>
      <c r="F114" s="130">
        <f t="shared" si="41"/>
        <v>0</v>
      </c>
      <c r="G114" s="130">
        <f t="shared" si="41"/>
        <v>0</v>
      </c>
      <c r="H114" s="130">
        <f t="shared" si="41"/>
        <v>0</v>
      </c>
      <c r="I114" s="130">
        <f t="shared" si="41"/>
        <v>0</v>
      </c>
      <c r="J114" s="130">
        <f t="shared" si="41"/>
        <v>0</v>
      </c>
      <c r="K114" s="130">
        <f t="shared" si="41"/>
        <v>0.68888053925336512</v>
      </c>
      <c r="L114" s="130">
        <f t="shared" si="41"/>
        <v>0</v>
      </c>
      <c r="M114" s="130">
        <f t="shared" si="41"/>
        <v>0.67917586906964822</v>
      </c>
      <c r="N114" s="130">
        <f t="shared" si="41"/>
        <v>0</v>
      </c>
      <c r="O114" s="130">
        <f t="shared" si="41"/>
        <v>0.19632840585737768</v>
      </c>
      <c r="P114" s="130">
        <f t="shared" si="41"/>
        <v>0</v>
      </c>
      <c r="Q114" s="130">
        <f t="shared" si="41"/>
        <v>0.19744605585646305</v>
      </c>
      <c r="R114" s="130">
        <f t="shared" si="41"/>
        <v>3.7824092334929553E-4</v>
      </c>
      <c r="S114" s="187"/>
      <c r="T114" s="187"/>
      <c r="U114" s="187"/>
      <c r="V114" s="187"/>
      <c r="W114" s="187"/>
      <c r="X114" s="187"/>
      <c r="Y114" s="187"/>
      <c r="Z114" s="187"/>
      <c r="AA114" s="187"/>
      <c r="AB114" s="187"/>
      <c r="AC114" s="187"/>
      <c r="AD114" s="187"/>
      <c r="AE114" s="187"/>
      <c r="AF114" s="187"/>
    </row>
    <row r="115" spans="1:32">
      <c r="A115" s="142" t="s">
        <v>1183</v>
      </c>
      <c r="B115" s="1003" t="s">
        <v>164</v>
      </c>
      <c r="C115" s="1003"/>
      <c r="D115" s="117" t="s">
        <v>999</v>
      </c>
      <c r="E115" s="130">
        <f t="shared" ref="E115:R115" si="42">IF(D$104=0, 0,D95/D$104)</f>
        <v>0.88888888888888895</v>
      </c>
      <c r="F115" s="130">
        <f t="shared" si="42"/>
        <v>0.14218906731735478</v>
      </c>
      <c r="G115" s="130">
        <f t="shared" si="42"/>
        <v>1</v>
      </c>
      <c r="H115" s="130">
        <f t="shared" si="42"/>
        <v>0</v>
      </c>
      <c r="I115" s="130">
        <f t="shared" si="42"/>
        <v>0</v>
      </c>
      <c r="J115" s="130">
        <f t="shared" si="42"/>
        <v>0.88888888888888895</v>
      </c>
      <c r="K115" s="130">
        <f t="shared" si="42"/>
        <v>0</v>
      </c>
      <c r="L115" s="130">
        <f t="shared" si="42"/>
        <v>0</v>
      </c>
      <c r="M115" s="130">
        <f t="shared" si="42"/>
        <v>7.5795900719019996E-2</v>
      </c>
      <c r="N115" s="130">
        <f t="shared" si="42"/>
        <v>0</v>
      </c>
      <c r="O115" s="130">
        <f t="shared" si="42"/>
        <v>0.70934316508109096</v>
      </c>
      <c r="P115" s="130">
        <f t="shared" si="42"/>
        <v>0</v>
      </c>
      <c r="Q115" s="130">
        <f t="shared" si="42"/>
        <v>0.71338128368314402</v>
      </c>
      <c r="R115" s="130">
        <f t="shared" si="42"/>
        <v>0.3279842619534431</v>
      </c>
      <c r="S115" s="187"/>
      <c r="T115" s="187"/>
      <c r="U115" s="187"/>
      <c r="V115" s="187"/>
      <c r="W115" s="187"/>
      <c r="X115" s="187"/>
      <c r="Y115" s="187"/>
      <c r="Z115" s="187"/>
      <c r="AA115" s="187"/>
      <c r="AB115" s="187"/>
      <c r="AC115" s="187"/>
      <c r="AD115" s="187"/>
      <c r="AE115" s="187"/>
      <c r="AF115" s="187"/>
    </row>
    <row r="116" spans="1:32">
      <c r="A116" s="142" t="s">
        <v>1183</v>
      </c>
      <c r="B116" s="1003" t="s">
        <v>167</v>
      </c>
      <c r="C116" s="1003"/>
      <c r="D116" s="117" t="s">
        <v>999</v>
      </c>
      <c r="E116" s="130">
        <f t="shared" ref="E116:R116" si="43">IF(D$104=0, 0,D96/D$104)</f>
        <v>0</v>
      </c>
      <c r="F116" s="130">
        <f t="shared" si="43"/>
        <v>0.56875626926941902</v>
      </c>
      <c r="G116" s="130">
        <f t="shared" si="43"/>
        <v>0</v>
      </c>
      <c r="H116" s="130">
        <f t="shared" si="43"/>
        <v>0</v>
      </c>
      <c r="I116" s="130">
        <f t="shared" si="43"/>
        <v>0</v>
      </c>
      <c r="J116" s="130">
        <f t="shared" si="43"/>
        <v>0</v>
      </c>
      <c r="K116" s="130">
        <f t="shared" si="43"/>
        <v>0</v>
      </c>
      <c r="L116" s="130">
        <f t="shared" si="43"/>
        <v>0</v>
      </c>
      <c r="M116" s="130">
        <f t="shared" si="43"/>
        <v>0</v>
      </c>
      <c r="N116" s="130">
        <f t="shared" si="43"/>
        <v>0</v>
      </c>
      <c r="O116" s="130">
        <f t="shared" si="43"/>
        <v>0</v>
      </c>
      <c r="P116" s="130">
        <f t="shared" si="43"/>
        <v>0</v>
      </c>
      <c r="Q116" s="130">
        <f t="shared" si="43"/>
        <v>0</v>
      </c>
      <c r="R116" s="130">
        <f t="shared" si="43"/>
        <v>0</v>
      </c>
      <c r="S116" s="187"/>
      <c r="T116" s="187"/>
      <c r="U116" s="187"/>
      <c r="V116" s="187"/>
      <c r="W116" s="187"/>
      <c r="X116" s="187"/>
      <c r="Y116" s="187"/>
      <c r="Z116" s="187"/>
      <c r="AA116" s="187"/>
      <c r="AB116" s="187"/>
      <c r="AC116" s="187"/>
      <c r="AD116" s="187"/>
      <c r="AE116" s="187"/>
      <c r="AF116" s="187"/>
    </row>
    <row r="117" spans="1:32">
      <c r="A117" s="142" t="s">
        <v>1183</v>
      </c>
      <c r="B117" s="1003" t="s">
        <v>168</v>
      </c>
      <c r="C117" s="1003"/>
      <c r="D117" s="117" t="s">
        <v>999</v>
      </c>
      <c r="E117" s="130">
        <f t="shared" ref="E117:R117" si="44">IF(D$104=0, 0,D97/D$104)</f>
        <v>5.5555555555555546E-2</v>
      </c>
      <c r="F117" s="130">
        <f t="shared" si="44"/>
        <v>8.8868167073346722E-3</v>
      </c>
      <c r="G117" s="130">
        <f t="shared" si="44"/>
        <v>0</v>
      </c>
      <c r="H117" s="130">
        <f t="shared" si="44"/>
        <v>0</v>
      </c>
      <c r="I117" s="130">
        <f t="shared" si="44"/>
        <v>0</v>
      </c>
      <c r="J117" s="130">
        <f t="shared" si="44"/>
        <v>5.5555555555555546E-2</v>
      </c>
      <c r="K117" s="130">
        <f t="shared" si="44"/>
        <v>0.1555597303733175</v>
      </c>
      <c r="L117" s="130">
        <f t="shared" si="44"/>
        <v>0</v>
      </c>
      <c r="M117" s="130">
        <f t="shared" si="44"/>
        <v>4.7372437949387489E-3</v>
      </c>
      <c r="N117" s="130">
        <f t="shared" si="44"/>
        <v>0</v>
      </c>
      <c r="O117" s="130">
        <f t="shared" si="44"/>
        <v>4.4333947817568178E-2</v>
      </c>
      <c r="P117" s="130">
        <f t="shared" si="44"/>
        <v>0</v>
      </c>
      <c r="Q117" s="130">
        <f t="shared" si="44"/>
        <v>4.4586330230196494E-2</v>
      </c>
      <c r="R117" s="130">
        <f t="shared" si="44"/>
        <v>6.8330054573633985E-3</v>
      </c>
      <c r="S117" s="187"/>
      <c r="T117" s="187"/>
      <c r="U117" s="187"/>
      <c r="V117" s="187"/>
      <c r="W117" s="187"/>
      <c r="X117" s="187"/>
      <c r="Y117" s="187"/>
      <c r="Z117" s="187"/>
      <c r="AA117" s="187"/>
      <c r="AB117" s="187"/>
      <c r="AC117" s="187"/>
      <c r="AD117" s="187"/>
      <c r="AE117" s="187"/>
      <c r="AF117" s="187"/>
    </row>
    <row r="118" spans="1:32">
      <c r="A118" s="142" t="s">
        <v>1183</v>
      </c>
      <c r="B118" s="1003" t="s">
        <v>169</v>
      </c>
      <c r="C118" s="1003"/>
      <c r="D118" s="117" t="s">
        <v>999</v>
      </c>
      <c r="E118" s="130">
        <f t="shared" ref="E118:R118" si="45">IF(D$104=0, 0,D98/D$104)</f>
        <v>5.5555555555555546E-2</v>
      </c>
      <c r="F118" s="130">
        <f t="shared" si="45"/>
        <v>8.8868167073346722E-3</v>
      </c>
      <c r="G118" s="130">
        <f t="shared" si="45"/>
        <v>0</v>
      </c>
      <c r="H118" s="130">
        <f t="shared" si="45"/>
        <v>0</v>
      </c>
      <c r="I118" s="130">
        <f t="shared" si="45"/>
        <v>0</v>
      </c>
      <c r="J118" s="130">
        <f t="shared" si="45"/>
        <v>5.5555555555555546E-2</v>
      </c>
      <c r="K118" s="130">
        <f t="shared" si="45"/>
        <v>0.1555597303733175</v>
      </c>
      <c r="L118" s="130">
        <f t="shared" si="45"/>
        <v>0</v>
      </c>
      <c r="M118" s="130">
        <f t="shared" si="45"/>
        <v>4.7372437949387489E-3</v>
      </c>
      <c r="N118" s="130">
        <f t="shared" si="45"/>
        <v>0</v>
      </c>
      <c r="O118" s="130">
        <f t="shared" si="45"/>
        <v>4.4333947817568178E-2</v>
      </c>
      <c r="P118" s="130">
        <f t="shared" si="45"/>
        <v>0</v>
      </c>
      <c r="Q118" s="130">
        <f t="shared" si="45"/>
        <v>4.4586330230196494E-2</v>
      </c>
      <c r="R118" s="130">
        <f t="shared" si="45"/>
        <v>6.8330054573633985E-3</v>
      </c>
      <c r="S118" s="187"/>
      <c r="T118" s="187"/>
      <c r="U118" s="187"/>
      <c r="V118" s="187"/>
      <c r="W118" s="187"/>
      <c r="X118" s="187"/>
      <c r="Y118" s="187"/>
      <c r="Z118" s="187"/>
      <c r="AA118" s="187"/>
      <c r="AB118" s="187"/>
      <c r="AC118" s="187"/>
      <c r="AD118" s="187"/>
      <c r="AE118" s="187"/>
      <c r="AF118" s="187"/>
    </row>
    <row r="119" spans="1:32">
      <c r="A119" s="142" t="s">
        <v>1183</v>
      </c>
      <c r="B119" s="1003" t="s">
        <v>324</v>
      </c>
      <c r="C119" s="1003"/>
      <c r="D119" s="117" t="s">
        <v>999</v>
      </c>
      <c r="E119" s="130">
        <f t="shared" ref="E119:R119" si="46">IF(D$104=0, 0,D99/D$104)</f>
        <v>0</v>
      </c>
      <c r="F119" s="130">
        <f t="shared" si="46"/>
        <v>0</v>
      </c>
      <c r="G119" s="130">
        <f t="shared" si="46"/>
        <v>0</v>
      </c>
      <c r="H119" s="130">
        <f t="shared" si="46"/>
        <v>0</v>
      </c>
      <c r="I119" s="130">
        <f t="shared" si="46"/>
        <v>0</v>
      </c>
      <c r="J119" s="130">
        <f t="shared" si="46"/>
        <v>0</v>
      </c>
      <c r="K119" s="130">
        <f t="shared" si="46"/>
        <v>0</v>
      </c>
      <c r="L119" s="130">
        <f t="shared" si="46"/>
        <v>0</v>
      </c>
      <c r="M119" s="130">
        <f t="shared" si="46"/>
        <v>0</v>
      </c>
      <c r="N119" s="130">
        <f t="shared" si="46"/>
        <v>0</v>
      </c>
      <c r="O119" s="130">
        <f t="shared" si="46"/>
        <v>0</v>
      </c>
      <c r="P119" s="130">
        <f t="shared" si="46"/>
        <v>0</v>
      </c>
      <c r="Q119" s="130">
        <f t="shared" si="46"/>
        <v>0</v>
      </c>
      <c r="R119" s="130">
        <f t="shared" si="46"/>
        <v>6.6532165485482164E-3</v>
      </c>
      <c r="S119" s="187"/>
      <c r="T119" s="187"/>
      <c r="U119" s="187"/>
      <c r="V119" s="187"/>
      <c r="W119" s="187"/>
      <c r="X119" s="187"/>
      <c r="Y119" s="187"/>
      <c r="Z119" s="187"/>
      <c r="AA119" s="187"/>
      <c r="AB119" s="187"/>
      <c r="AC119" s="187"/>
      <c r="AD119" s="187"/>
      <c r="AE119" s="187"/>
      <c r="AF119" s="187"/>
    </row>
    <row r="120" spans="1:32">
      <c r="A120" s="142" t="s">
        <v>1183</v>
      </c>
      <c r="B120" s="1003" t="s">
        <v>348</v>
      </c>
      <c r="C120" s="1003"/>
      <c r="D120" s="117" t="s">
        <v>999</v>
      </c>
      <c r="E120" s="130">
        <f t="shared" ref="E120:R120" si="47">IF(D$104=0, 0,D100/D$104)</f>
        <v>0</v>
      </c>
      <c r="F120" s="130">
        <f t="shared" si="47"/>
        <v>0</v>
      </c>
      <c r="G120" s="130">
        <f t="shared" si="47"/>
        <v>0</v>
      </c>
      <c r="H120" s="130">
        <f t="shared" si="47"/>
        <v>0</v>
      </c>
      <c r="I120" s="130">
        <f t="shared" si="47"/>
        <v>0</v>
      </c>
      <c r="J120" s="130">
        <f t="shared" si="47"/>
        <v>0</v>
      </c>
      <c r="K120" s="130">
        <f t="shared" si="47"/>
        <v>0</v>
      </c>
      <c r="L120" s="130">
        <f t="shared" si="47"/>
        <v>0</v>
      </c>
      <c r="M120" s="130">
        <f t="shared" si="47"/>
        <v>0</v>
      </c>
      <c r="N120" s="130">
        <f t="shared" si="47"/>
        <v>0</v>
      </c>
      <c r="O120" s="130">
        <f t="shared" si="47"/>
        <v>0</v>
      </c>
      <c r="P120" s="130">
        <f t="shared" si="47"/>
        <v>0</v>
      </c>
      <c r="Q120" s="130">
        <f t="shared" si="47"/>
        <v>0</v>
      </c>
      <c r="R120" s="130">
        <f t="shared" si="47"/>
        <v>0.14573018486415787</v>
      </c>
      <c r="S120" s="187"/>
      <c r="T120" s="187"/>
      <c r="U120" s="187"/>
      <c r="V120" s="187"/>
      <c r="W120" s="187"/>
      <c r="X120" s="187"/>
      <c r="Y120" s="187"/>
      <c r="Z120" s="187"/>
      <c r="AA120" s="187"/>
      <c r="AB120" s="187"/>
      <c r="AC120" s="187"/>
      <c r="AD120" s="187"/>
      <c r="AE120" s="187"/>
      <c r="AF120" s="187"/>
    </row>
    <row r="121" spans="1:32">
      <c r="A121" s="142" t="s">
        <v>1183</v>
      </c>
      <c r="B121" s="1003" t="s">
        <v>278</v>
      </c>
      <c r="C121" s="1003"/>
      <c r="D121" s="117" t="s">
        <v>999</v>
      </c>
      <c r="E121" s="130">
        <f t="shared" ref="E121:R121" si="48">IF(D$104=0, 0,D101/D$104)</f>
        <v>0</v>
      </c>
      <c r="F121" s="130">
        <f t="shared" si="48"/>
        <v>0</v>
      </c>
      <c r="G121" s="130">
        <f t="shared" si="48"/>
        <v>0</v>
      </c>
      <c r="H121" s="130">
        <f t="shared" si="48"/>
        <v>0</v>
      </c>
      <c r="I121" s="130">
        <f t="shared" si="48"/>
        <v>0</v>
      </c>
      <c r="J121" s="130">
        <f t="shared" si="48"/>
        <v>0</v>
      </c>
      <c r="K121" s="130">
        <f t="shared" si="48"/>
        <v>0</v>
      </c>
      <c r="L121" s="130">
        <f t="shared" si="48"/>
        <v>0</v>
      </c>
      <c r="M121" s="130">
        <f t="shared" si="48"/>
        <v>0</v>
      </c>
      <c r="N121" s="130">
        <f t="shared" si="48"/>
        <v>0</v>
      </c>
      <c r="O121" s="130">
        <f t="shared" si="48"/>
        <v>0</v>
      </c>
      <c r="P121" s="130">
        <f t="shared" si="48"/>
        <v>0</v>
      </c>
      <c r="Q121" s="130">
        <f t="shared" si="48"/>
        <v>0</v>
      </c>
      <c r="R121" s="130">
        <f t="shared" si="48"/>
        <v>0.14573018486415787</v>
      </c>
      <c r="S121" s="187"/>
      <c r="T121" s="187"/>
      <c r="U121" s="187"/>
      <c r="V121" s="187"/>
      <c r="W121" s="187"/>
      <c r="X121" s="187"/>
      <c r="Y121" s="187"/>
      <c r="Z121" s="187"/>
      <c r="AA121" s="187"/>
      <c r="AB121" s="187"/>
      <c r="AC121" s="187"/>
      <c r="AD121" s="187"/>
      <c r="AE121" s="187"/>
      <c r="AF121" s="187"/>
    </row>
    <row r="122" spans="1:32">
      <c r="A122" s="142" t="s">
        <v>1183</v>
      </c>
      <c r="B122" s="1003" t="s">
        <v>372</v>
      </c>
      <c r="C122" s="1003"/>
      <c r="D122" s="117" t="s">
        <v>999</v>
      </c>
      <c r="E122" s="130">
        <f t="shared" ref="E122:R122" si="49">IF(D$104=0, 0,D102/D$104)</f>
        <v>0</v>
      </c>
      <c r="F122" s="130">
        <f t="shared" si="49"/>
        <v>0</v>
      </c>
      <c r="G122" s="130">
        <f t="shared" si="49"/>
        <v>0</v>
      </c>
      <c r="H122" s="130">
        <f t="shared" si="49"/>
        <v>0</v>
      </c>
      <c r="I122" s="130">
        <f t="shared" si="49"/>
        <v>0</v>
      </c>
      <c r="J122" s="130">
        <f t="shared" si="49"/>
        <v>0</v>
      </c>
      <c r="K122" s="130">
        <f t="shared" si="49"/>
        <v>0</v>
      </c>
      <c r="L122" s="130">
        <f t="shared" si="49"/>
        <v>0</v>
      </c>
      <c r="M122" s="130">
        <f t="shared" si="49"/>
        <v>0</v>
      </c>
      <c r="N122" s="130">
        <f t="shared" si="49"/>
        <v>0</v>
      </c>
      <c r="O122" s="130">
        <f t="shared" si="49"/>
        <v>0</v>
      </c>
      <c r="P122" s="130">
        <f t="shared" si="49"/>
        <v>0</v>
      </c>
      <c r="Q122" s="130">
        <f t="shared" si="49"/>
        <v>0</v>
      </c>
      <c r="R122" s="130">
        <f t="shared" si="49"/>
        <v>0.3578389480384554</v>
      </c>
      <c r="S122" s="187"/>
      <c r="T122" s="187"/>
      <c r="U122" s="187"/>
      <c r="V122" s="187"/>
      <c r="W122" s="187"/>
      <c r="X122" s="187"/>
      <c r="Y122" s="187"/>
      <c r="Z122" s="187"/>
      <c r="AA122" s="187"/>
      <c r="AB122" s="187"/>
      <c r="AC122" s="187"/>
      <c r="AD122" s="187"/>
      <c r="AE122" s="187"/>
      <c r="AF122" s="187"/>
    </row>
    <row r="123" spans="1:32">
      <c r="A123" s="142" t="s">
        <v>1183</v>
      </c>
      <c r="B123" s="1003" t="s">
        <v>319</v>
      </c>
      <c r="C123" s="1003"/>
      <c r="D123" s="117" t="s">
        <v>999</v>
      </c>
      <c r="E123" s="130">
        <f t="shared" ref="E123:R123" si="50">IF(D$104=0, 0,D103/D$104)</f>
        <v>0</v>
      </c>
      <c r="F123" s="130">
        <f t="shared" si="50"/>
        <v>0</v>
      </c>
      <c r="G123" s="130">
        <f t="shared" si="50"/>
        <v>0</v>
      </c>
      <c r="H123" s="130">
        <f t="shared" si="50"/>
        <v>0</v>
      </c>
      <c r="I123" s="130">
        <f t="shared" si="50"/>
        <v>0</v>
      </c>
      <c r="J123" s="130">
        <f t="shared" si="50"/>
        <v>0</v>
      </c>
      <c r="K123" s="130">
        <f t="shared" si="50"/>
        <v>0</v>
      </c>
      <c r="L123" s="130">
        <f t="shared" si="50"/>
        <v>1</v>
      </c>
      <c r="M123" s="130">
        <f t="shared" si="50"/>
        <v>0</v>
      </c>
      <c r="N123" s="130">
        <f t="shared" si="50"/>
        <v>0</v>
      </c>
      <c r="O123" s="130">
        <f t="shared" si="50"/>
        <v>0</v>
      </c>
      <c r="P123" s="130">
        <f t="shared" si="50"/>
        <v>0</v>
      </c>
      <c r="Q123" s="130">
        <f t="shared" si="50"/>
        <v>0</v>
      </c>
      <c r="R123" s="130">
        <f t="shared" si="50"/>
        <v>0</v>
      </c>
      <c r="S123" s="187"/>
      <c r="T123" s="187"/>
      <c r="U123" s="187"/>
      <c r="V123" s="187"/>
      <c r="W123" s="187"/>
      <c r="X123" s="187"/>
      <c r="Y123" s="187"/>
      <c r="Z123" s="187"/>
      <c r="AA123" s="187"/>
      <c r="AB123" s="187"/>
      <c r="AC123" s="187"/>
      <c r="AD123" s="187"/>
      <c r="AE123" s="187"/>
      <c r="AF123" s="187"/>
    </row>
    <row r="124" spans="1:32">
      <c r="A124" s="1063" t="s">
        <v>993</v>
      </c>
      <c r="B124" s="1064"/>
      <c r="C124" s="1064"/>
      <c r="D124" s="1064"/>
      <c r="E124" s="1064"/>
      <c r="F124" s="1064"/>
      <c r="G124" s="1064"/>
      <c r="H124" s="1064"/>
      <c r="I124" s="1064"/>
      <c r="J124" s="1064"/>
      <c r="K124" s="1064"/>
      <c r="L124" s="1064"/>
      <c r="M124" s="1064"/>
      <c r="N124" s="1064"/>
      <c r="O124" s="1064"/>
      <c r="P124" s="1064"/>
      <c r="Q124" s="1064"/>
      <c r="R124" s="1064"/>
      <c r="S124" s="1064"/>
      <c r="T124" s="1064"/>
      <c r="U124" s="1064"/>
      <c r="V124" s="1064"/>
      <c r="W124" s="1064"/>
      <c r="X124" s="1064"/>
      <c r="Y124" s="1064"/>
      <c r="Z124" s="1064"/>
      <c r="AA124" s="1064"/>
      <c r="AB124" s="1064"/>
      <c r="AC124" s="1064"/>
      <c r="AD124" s="1064"/>
      <c r="AE124" s="1064"/>
      <c r="AF124" s="1064"/>
    </row>
    <row r="125" spans="1:32" ht="15" customHeight="1">
      <c r="A125" s="140" t="s">
        <v>137</v>
      </c>
      <c r="B125" s="1005" t="s">
        <v>1183</v>
      </c>
      <c r="C125" s="1006"/>
      <c r="D125" s="1005" t="s">
        <v>1183</v>
      </c>
      <c r="E125" s="1006"/>
      <c r="F125" s="1005" t="s">
        <v>1183</v>
      </c>
      <c r="G125" s="1006"/>
      <c r="H125" s="1005" t="s">
        <v>1183</v>
      </c>
      <c r="I125" s="1006"/>
      <c r="J125" s="1005" t="s">
        <v>1183</v>
      </c>
      <c r="K125" s="1006"/>
      <c r="L125" s="1005" t="s">
        <v>1183</v>
      </c>
      <c r="M125" s="1006"/>
      <c r="N125" s="1005" t="s">
        <v>1183</v>
      </c>
      <c r="O125" s="1006"/>
      <c r="P125" s="1005" t="s">
        <v>1183</v>
      </c>
      <c r="Q125" s="1006"/>
      <c r="R125" s="1005" t="s">
        <v>1183</v>
      </c>
      <c r="S125" s="1006"/>
      <c r="T125" s="1005" t="s">
        <v>1183</v>
      </c>
      <c r="U125" s="1006"/>
      <c r="V125" s="1005" t="s">
        <v>1183</v>
      </c>
      <c r="W125" s="1006"/>
      <c r="X125" s="140"/>
      <c r="Y125" s="140"/>
      <c r="Z125" s="140"/>
      <c r="AA125" s="140"/>
      <c r="AB125" s="140"/>
      <c r="AC125" s="140"/>
      <c r="AD125" s="140"/>
      <c r="AE125" s="140"/>
      <c r="AF125" s="140"/>
    </row>
    <row r="126" spans="1:32" ht="15" customHeight="1">
      <c r="A126" s="140" t="s">
        <v>138</v>
      </c>
      <c r="B126" s="996" t="s">
        <v>364</v>
      </c>
      <c r="C126" s="996"/>
      <c r="D126" s="996" t="s">
        <v>240</v>
      </c>
      <c r="E126" s="996"/>
      <c r="F126" s="996" t="s">
        <v>164</v>
      </c>
      <c r="G126" s="996"/>
      <c r="H126" s="996" t="s">
        <v>167</v>
      </c>
      <c r="I126" s="996"/>
      <c r="J126" s="996" t="s">
        <v>168</v>
      </c>
      <c r="K126" s="996"/>
      <c r="L126" s="996" t="s">
        <v>169</v>
      </c>
      <c r="M126" s="996"/>
      <c r="N126" s="996" t="s">
        <v>324</v>
      </c>
      <c r="O126" s="996"/>
      <c r="P126" s="996" t="s">
        <v>348</v>
      </c>
      <c r="Q126" s="996"/>
      <c r="R126" s="996" t="s">
        <v>278</v>
      </c>
      <c r="S126" s="996"/>
      <c r="T126" s="996" t="s">
        <v>372</v>
      </c>
      <c r="U126" s="996"/>
      <c r="V126" s="996" t="s">
        <v>319</v>
      </c>
      <c r="W126" s="996"/>
      <c r="X126" s="996" t="s">
        <v>132</v>
      </c>
      <c r="Y126" s="996"/>
      <c r="Z126" s="996"/>
      <c r="AA126" s="996"/>
      <c r="AB126" s="996"/>
      <c r="AC126" s="996"/>
      <c r="AD126" s="996"/>
      <c r="AE126" s="996"/>
      <c r="AF126" s="996"/>
    </row>
    <row r="127" spans="1:32">
      <c r="A127" s="142" t="s">
        <v>93</v>
      </c>
      <c r="B127" s="1065">
        <f>E113</f>
        <v>0</v>
      </c>
      <c r="C127" s="1065"/>
      <c r="D127" s="1065">
        <f>E114</f>
        <v>0</v>
      </c>
      <c r="E127" s="1065"/>
      <c r="F127" s="1065">
        <f>E115</f>
        <v>0.88888888888888895</v>
      </c>
      <c r="G127" s="1065"/>
      <c r="H127" s="1065">
        <f>E116</f>
        <v>0</v>
      </c>
      <c r="I127" s="1065"/>
      <c r="J127" s="1065">
        <f>E117</f>
        <v>5.5555555555555546E-2</v>
      </c>
      <c r="K127" s="1065"/>
      <c r="L127" s="1065">
        <f>E118</f>
        <v>5.5555555555555546E-2</v>
      </c>
      <c r="M127" s="1065"/>
      <c r="N127" s="1065">
        <f>E119</f>
        <v>0</v>
      </c>
      <c r="O127" s="1065"/>
      <c r="P127" s="1065">
        <f>E120</f>
        <v>0</v>
      </c>
      <c r="Q127" s="1065"/>
      <c r="R127" s="1065">
        <f>E121</f>
        <v>0</v>
      </c>
      <c r="S127" s="1065"/>
      <c r="T127" s="1065">
        <f>E122</f>
        <v>0</v>
      </c>
      <c r="U127" s="1065"/>
      <c r="V127" s="1065">
        <f>E123</f>
        <v>0</v>
      </c>
      <c r="W127" s="1065"/>
      <c r="X127" s="998" t="s">
        <v>1203</v>
      </c>
      <c r="Y127" s="998"/>
      <c r="Z127" s="998"/>
      <c r="AA127" s="998"/>
      <c r="AB127" s="998"/>
      <c r="AC127" s="998"/>
      <c r="AD127" s="998"/>
      <c r="AE127" s="998"/>
      <c r="AF127" s="998"/>
    </row>
    <row r="128" spans="1:32">
      <c r="A128" s="142" t="s">
        <v>94</v>
      </c>
      <c r="B128" s="1065">
        <f>F113</f>
        <v>0.27128102999855674</v>
      </c>
      <c r="C128" s="1065"/>
      <c r="D128" s="1065">
        <f>F114</f>
        <v>0</v>
      </c>
      <c r="E128" s="1065"/>
      <c r="F128" s="1065">
        <f>F115</f>
        <v>0.14218906731735478</v>
      </c>
      <c r="G128" s="1065"/>
      <c r="H128" s="1065">
        <f>F116</f>
        <v>0.56875626926941902</v>
      </c>
      <c r="I128" s="1065"/>
      <c r="J128" s="1065">
        <f>F117</f>
        <v>8.8868167073346722E-3</v>
      </c>
      <c r="K128" s="1065"/>
      <c r="L128" s="1065">
        <f>F118</f>
        <v>8.8868167073346722E-3</v>
      </c>
      <c r="M128" s="1065"/>
      <c r="N128" s="1065">
        <f>F119</f>
        <v>0</v>
      </c>
      <c r="O128" s="1065"/>
      <c r="P128" s="1065">
        <f>F120</f>
        <v>0</v>
      </c>
      <c r="Q128" s="1065"/>
      <c r="R128" s="1065">
        <f>F121</f>
        <v>0</v>
      </c>
      <c r="S128" s="1065"/>
      <c r="T128" s="1065">
        <f>F122</f>
        <v>0</v>
      </c>
      <c r="U128" s="1065"/>
      <c r="V128" s="1065">
        <f>F123</f>
        <v>0</v>
      </c>
      <c r="W128" s="1065"/>
      <c r="X128" s="998" t="s">
        <v>1203</v>
      </c>
      <c r="Y128" s="998"/>
      <c r="Z128" s="998"/>
      <c r="AA128" s="998"/>
      <c r="AB128" s="998"/>
      <c r="AC128" s="998"/>
      <c r="AD128" s="998"/>
      <c r="AE128" s="998"/>
      <c r="AF128" s="998"/>
    </row>
    <row r="129" spans="1:32">
      <c r="A129" s="142" t="s">
        <v>95</v>
      </c>
      <c r="B129" s="1065">
        <f>G113</f>
        <v>0</v>
      </c>
      <c r="C129" s="1065"/>
      <c r="D129" s="1065">
        <f>G114</f>
        <v>0</v>
      </c>
      <c r="E129" s="1065"/>
      <c r="F129" s="1065">
        <f>G115</f>
        <v>1</v>
      </c>
      <c r="G129" s="1065"/>
      <c r="H129" s="1065">
        <f>G116</f>
        <v>0</v>
      </c>
      <c r="I129" s="1065"/>
      <c r="J129" s="1065">
        <f>G117</f>
        <v>0</v>
      </c>
      <c r="K129" s="1065"/>
      <c r="L129" s="1065">
        <f>G118</f>
        <v>0</v>
      </c>
      <c r="M129" s="1065"/>
      <c r="N129" s="1065">
        <f>G119</f>
        <v>0</v>
      </c>
      <c r="O129" s="1065"/>
      <c r="P129" s="1065">
        <f>G120</f>
        <v>0</v>
      </c>
      <c r="Q129" s="1065"/>
      <c r="R129" s="1065">
        <f>G121</f>
        <v>0</v>
      </c>
      <c r="S129" s="1065"/>
      <c r="T129" s="1065">
        <f>G122</f>
        <v>0</v>
      </c>
      <c r="U129" s="1065"/>
      <c r="V129" s="1065">
        <f>G123</f>
        <v>0</v>
      </c>
      <c r="W129" s="1065"/>
      <c r="X129" s="998" t="s">
        <v>1203</v>
      </c>
      <c r="Y129" s="998"/>
      <c r="Z129" s="998"/>
      <c r="AA129" s="998"/>
      <c r="AB129" s="998"/>
      <c r="AC129" s="998"/>
      <c r="AD129" s="998"/>
      <c r="AE129" s="998"/>
      <c r="AF129" s="998"/>
    </row>
    <row r="130" spans="1:32">
      <c r="A130" s="142" t="s">
        <v>96</v>
      </c>
      <c r="B130" s="1065">
        <f>H113</f>
        <v>0</v>
      </c>
      <c r="C130" s="1065"/>
      <c r="D130" s="1065">
        <f>H114</f>
        <v>0</v>
      </c>
      <c r="E130" s="1065"/>
      <c r="F130" s="1065">
        <f>H115</f>
        <v>0</v>
      </c>
      <c r="G130" s="1065"/>
      <c r="H130" s="1065">
        <f>H116</f>
        <v>0</v>
      </c>
      <c r="I130" s="1065"/>
      <c r="J130" s="1065">
        <f>H117</f>
        <v>0</v>
      </c>
      <c r="K130" s="1065"/>
      <c r="L130" s="1065">
        <f>H118</f>
        <v>0</v>
      </c>
      <c r="M130" s="1065"/>
      <c r="N130" s="1065">
        <f>H119</f>
        <v>0</v>
      </c>
      <c r="O130" s="1065"/>
      <c r="P130" s="1065">
        <f>H120</f>
        <v>0</v>
      </c>
      <c r="Q130" s="1065"/>
      <c r="R130" s="1065">
        <f>H121</f>
        <v>0</v>
      </c>
      <c r="S130" s="1065"/>
      <c r="T130" s="1065">
        <f>H122</f>
        <v>0</v>
      </c>
      <c r="U130" s="1065"/>
      <c r="V130" s="1065">
        <f>H123</f>
        <v>0</v>
      </c>
      <c r="W130" s="1065"/>
      <c r="X130" s="998" t="s">
        <v>1203</v>
      </c>
      <c r="Y130" s="998"/>
      <c r="Z130" s="998"/>
      <c r="AA130" s="998"/>
      <c r="AB130" s="998"/>
      <c r="AC130" s="998"/>
      <c r="AD130" s="998"/>
      <c r="AE130" s="998"/>
      <c r="AF130" s="998"/>
    </row>
    <row r="131" spans="1:32">
      <c r="A131" s="142" t="s">
        <v>97</v>
      </c>
      <c r="B131" s="1065">
        <f>I113</f>
        <v>0</v>
      </c>
      <c r="C131" s="1065"/>
      <c r="D131" s="1065">
        <f>I114</f>
        <v>0</v>
      </c>
      <c r="E131" s="1065"/>
      <c r="F131" s="1065">
        <f>I115</f>
        <v>0</v>
      </c>
      <c r="G131" s="1065"/>
      <c r="H131" s="1065">
        <f>I116</f>
        <v>0</v>
      </c>
      <c r="I131" s="1065"/>
      <c r="J131" s="1065">
        <f>I117</f>
        <v>0</v>
      </c>
      <c r="K131" s="1065"/>
      <c r="L131" s="1065">
        <f>I118</f>
        <v>0</v>
      </c>
      <c r="M131" s="1065"/>
      <c r="N131" s="1065">
        <f>I119</f>
        <v>0</v>
      </c>
      <c r="O131" s="1065"/>
      <c r="P131" s="1065">
        <f>I120</f>
        <v>0</v>
      </c>
      <c r="Q131" s="1065"/>
      <c r="R131" s="1065">
        <f>I121</f>
        <v>0</v>
      </c>
      <c r="S131" s="1065"/>
      <c r="T131" s="1065">
        <f>I122</f>
        <v>0</v>
      </c>
      <c r="U131" s="1065"/>
      <c r="V131" s="1065">
        <f>I123</f>
        <v>0</v>
      </c>
      <c r="W131" s="1065"/>
      <c r="X131" s="998" t="s">
        <v>1203</v>
      </c>
      <c r="Y131" s="998"/>
      <c r="Z131" s="998"/>
      <c r="AA131" s="998"/>
      <c r="AB131" s="998"/>
      <c r="AC131" s="998"/>
      <c r="AD131" s="998"/>
      <c r="AE131" s="998"/>
      <c r="AF131" s="998"/>
    </row>
    <row r="132" spans="1:32">
      <c r="A132" s="142" t="s">
        <v>98</v>
      </c>
      <c r="B132" s="1065">
        <f>J113</f>
        <v>0</v>
      </c>
      <c r="C132" s="1065"/>
      <c r="D132" s="1065">
        <f>J114</f>
        <v>0</v>
      </c>
      <c r="E132" s="1065"/>
      <c r="F132" s="1065">
        <f>J115</f>
        <v>0.88888888888888895</v>
      </c>
      <c r="G132" s="1065"/>
      <c r="H132" s="1065">
        <f>J116</f>
        <v>0</v>
      </c>
      <c r="I132" s="1065"/>
      <c r="J132" s="1065">
        <f>J117</f>
        <v>5.5555555555555546E-2</v>
      </c>
      <c r="K132" s="1065"/>
      <c r="L132" s="1065">
        <f>J118</f>
        <v>5.5555555555555546E-2</v>
      </c>
      <c r="M132" s="1065"/>
      <c r="N132" s="1065">
        <f>J119</f>
        <v>0</v>
      </c>
      <c r="O132" s="1065"/>
      <c r="P132" s="1065">
        <f>J120</f>
        <v>0</v>
      </c>
      <c r="Q132" s="1065"/>
      <c r="R132" s="1065">
        <f>J121</f>
        <v>0</v>
      </c>
      <c r="S132" s="1065"/>
      <c r="T132" s="1065">
        <f>J122</f>
        <v>0</v>
      </c>
      <c r="U132" s="1065"/>
      <c r="V132" s="1065">
        <f>J123</f>
        <v>0</v>
      </c>
      <c r="W132" s="1065"/>
      <c r="X132" s="998" t="s">
        <v>1203</v>
      </c>
      <c r="Y132" s="998"/>
      <c r="Z132" s="998"/>
      <c r="AA132" s="998"/>
      <c r="AB132" s="998"/>
      <c r="AC132" s="998"/>
      <c r="AD132" s="998"/>
      <c r="AE132" s="998"/>
      <c r="AF132" s="998"/>
    </row>
    <row r="133" spans="1:32">
      <c r="A133" s="142" t="s">
        <v>99</v>
      </c>
      <c r="B133" s="1065">
        <f>K113</f>
        <v>0</v>
      </c>
      <c r="C133" s="1065"/>
      <c r="D133" s="1065">
        <f>K114</f>
        <v>0.68888053925336512</v>
      </c>
      <c r="E133" s="1065"/>
      <c r="F133" s="1065">
        <f>K115</f>
        <v>0</v>
      </c>
      <c r="G133" s="1065"/>
      <c r="H133" s="1065">
        <f>K116</f>
        <v>0</v>
      </c>
      <c r="I133" s="1065"/>
      <c r="J133" s="1065">
        <f>K117</f>
        <v>0.1555597303733175</v>
      </c>
      <c r="K133" s="1065"/>
      <c r="L133" s="1065">
        <f>K118</f>
        <v>0.1555597303733175</v>
      </c>
      <c r="M133" s="1065"/>
      <c r="N133" s="1065">
        <f>K119</f>
        <v>0</v>
      </c>
      <c r="O133" s="1065"/>
      <c r="P133" s="1065">
        <f>K120</f>
        <v>0</v>
      </c>
      <c r="Q133" s="1065"/>
      <c r="R133" s="1065">
        <f>K121</f>
        <v>0</v>
      </c>
      <c r="S133" s="1065"/>
      <c r="T133" s="1065">
        <f>K122</f>
        <v>0</v>
      </c>
      <c r="U133" s="1065"/>
      <c r="V133" s="1065">
        <f>K123</f>
        <v>0</v>
      </c>
      <c r="W133" s="1065"/>
      <c r="X133" s="998" t="s">
        <v>1203</v>
      </c>
      <c r="Y133" s="998"/>
      <c r="Z133" s="998"/>
      <c r="AA133" s="998"/>
      <c r="AB133" s="998"/>
      <c r="AC133" s="998"/>
      <c r="AD133" s="998"/>
      <c r="AE133" s="998"/>
      <c r="AF133" s="998"/>
    </row>
    <row r="134" spans="1:32">
      <c r="A134" s="142" t="s">
        <v>100</v>
      </c>
      <c r="B134" s="1065">
        <f>L113</f>
        <v>0</v>
      </c>
      <c r="C134" s="1065"/>
      <c r="D134" s="1065">
        <f>L114</f>
        <v>0</v>
      </c>
      <c r="E134" s="1065"/>
      <c r="F134" s="1065">
        <f>L115</f>
        <v>0</v>
      </c>
      <c r="G134" s="1065"/>
      <c r="H134" s="1065">
        <f>L116</f>
        <v>0</v>
      </c>
      <c r="I134" s="1065"/>
      <c r="J134" s="1065">
        <f>L117</f>
        <v>0</v>
      </c>
      <c r="K134" s="1065"/>
      <c r="L134" s="1065">
        <f>L118</f>
        <v>0</v>
      </c>
      <c r="M134" s="1065"/>
      <c r="N134" s="1065">
        <f>L119</f>
        <v>0</v>
      </c>
      <c r="O134" s="1065"/>
      <c r="P134" s="1065">
        <f>L120</f>
        <v>0</v>
      </c>
      <c r="Q134" s="1065"/>
      <c r="R134" s="1065">
        <f>L121</f>
        <v>0</v>
      </c>
      <c r="S134" s="1065"/>
      <c r="T134" s="1065">
        <f>L122</f>
        <v>0</v>
      </c>
      <c r="U134" s="1065"/>
      <c r="V134" s="1065">
        <f>L123</f>
        <v>1</v>
      </c>
      <c r="W134" s="1065"/>
      <c r="X134" s="998" t="s">
        <v>1203</v>
      </c>
      <c r="Y134" s="998"/>
      <c r="Z134" s="998"/>
      <c r="AA134" s="998"/>
      <c r="AB134" s="998"/>
      <c r="AC134" s="998"/>
      <c r="AD134" s="998"/>
      <c r="AE134" s="998"/>
      <c r="AF134" s="998"/>
    </row>
    <row r="135" spans="1:32">
      <c r="A135" s="142" t="s">
        <v>101</v>
      </c>
      <c r="B135" s="1065">
        <f>M113</f>
        <v>0.23555374262145426</v>
      </c>
      <c r="C135" s="1065"/>
      <c r="D135" s="1065">
        <f>M114</f>
        <v>0.67917586906964822</v>
      </c>
      <c r="E135" s="1065"/>
      <c r="F135" s="1065">
        <f>M115</f>
        <v>7.5795900719019996E-2</v>
      </c>
      <c r="G135" s="1065"/>
      <c r="H135" s="1065">
        <f>M116</f>
        <v>0</v>
      </c>
      <c r="I135" s="1065"/>
      <c r="J135" s="1065">
        <f>M117</f>
        <v>4.7372437949387489E-3</v>
      </c>
      <c r="K135" s="1065"/>
      <c r="L135" s="1065">
        <f>M118</f>
        <v>4.7372437949387489E-3</v>
      </c>
      <c r="M135" s="1065"/>
      <c r="N135" s="1065">
        <f>M119</f>
        <v>0</v>
      </c>
      <c r="O135" s="1065"/>
      <c r="P135" s="1065">
        <f>M120</f>
        <v>0</v>
      </c>
      <c r="Q135" s="1065"/>
      <c r="R135" s="1065">
        <f>M121</f>
        <v>0</v>
      </c>
      <c r="S135" s="1065"/>
      <c r="T135" s="1065">
        <f>M122</f>
        <v>0</v>
      </c>
      <c r="U135" s="1065"/>
      <c r="V135" s="1065">
        <f>M123</f>
        <v>0</v>
      </c>
      <c r="W135" s="1065"/>
      <c r="X135" s="998" t="s">
        <v>1203</v>
      </c>
      <c r="Y135" s="998"/>
      <c r="Z135" s="998"/>
      <c r="AA135" s="998"/>
      <c r="AB135" s="998"/>
      <c r="AC135" s="998"/>
      <c r="AD135" s="998"/>
      <c r="AE135" s="998"/>
      <c r="AF135" s="998"/>
    </row>
    <row r="136" spans="1:32">
      <c r="A136" s="142" t="s">
        <v>102</v>
      </c>
      <c r="B136" s="1065">
        <f>N113</f>
        <v>0</v>
      </c>
      <c r="C136" s="1065"/>
      <c r="D136" s="1065">
        <f>N114</f>
        <v>0</v>
      </c>
      <c r="E136" s="1065"/>
      <c r="F136" s="1065">
        <f>N115</f>
        <v>0</v>
      </c>
      <c r="G136" s="1065"/>
      <c r="H136" s="1065">
        <f>N116</f>
        <v>0</v>
      </c>
      <c r="I136" s="1065"/>
      <c r="J136" s="1065">
        <f>N117</f>
        <v>0</v>
      </c>
      <c r="K136" s="1065"/>
      <c r="L136" s="1065">
        <f>N118</f>
        <v>0</v>
      </c>
      <c r="M136" s="1065"/>
      <c r="N136" s="1065">
        <f>N119</f>
        <v>0</v>
      </c>
      <c r="O136" s="1065"/>
      <c r="P136" s="1065">
        <f>N120</f>
        <v>0</v>
      </c>
      <c r="Q136" s="1065"/>
      <c r="R136" s="1065">
        <f>N121</f>
        <v>0</v>
      </c>
      <c r="S136" s="1065"/>
      <c r="T136" s="1065">
        <f>N122</f>
        <v>0</v>
      </c>
      <c r="U136" s="1065"/>
      <c r="V136" s="1065">
        <f>N123</f>
        <v>0</v>
      </c>
      <c r="W136" s="1065"/>
      <c r="X136" s="998" t="s">
        <v>1203</v>
      </c>
      <c r="Y136" s="998"/>
      <c r="Z136" s="998"/>
      <c r="AA136" s="998"/>
      <c r="AB136" s="998"/>
      <c r="AC136" s="998"/>
      <c r="AD136" s="998"/>
      <c r="AE136" s="998"/>
      <c r="AF136" s="998"/>
    </row>
    <row r="137" spans="1:32">
      <c r="A137" s="142" t="s">
        <v>103</v>
      </c>
      <c r="B137" s="1065">
        <f>O113</f>
        <v>5.6605334263949885E-3</v>
      </c>
      <c r="C137" s="1065"/>
      <c r="D137" s="1065">
        <f>O114</f>
        <v>0.19632840585737768</v>
      </c>
      <c r="E137" s="1065"/>
      <c r="F137" s="1065">
        <f>O115</f>
        <v>0.70934316508109096</v>
      </c>
      <c r="G137" s="1065"/>
      <c r="H137" s="1065">
        <f>O116</f>
        <v>0</v>
      </c>
      <c r="I137" s="1065"/>
      <c r="J137" s="1065">
        <f>O117</f>
        <v>4.4333947817568178E-2</v>
      </c>
      <c r="K137" s="1065"/>
      <c r="L137" s="1065">
        <f>O118</f>
        <v>4.4333947817568178E-2</v>
      </c>
      <c r="M137" s="1065"/>
      <c r="N137" s="1065">
        <f>O119</f>
        <v>0</v>
      </c>
      <c r="O137" s="1065"/>
      <c r="P137" s="1065">
        <f>O120</f>
        <v>0</v>
      </c>
      <c r="Q137" s="1065"/>
      <c r="R137" s="1065">
        <f>O121</f>
        <v>0</v>
      </c>
      <c r="S137" s="1065"/>
      <c r="T137" s="1065">
        <f>O122</f>
        <v>0</v>
      </c>
      <c r="U137" s="1065"/>
      <c r="V137" s="1065">
        <f>O123</f>
        <v>0</v>
      </c>
      <c r="W137" s="1065"/>
      <c r="X137" s="998" t="s">
        <v>1203</v>
      </c>
      <c r="Y137" s="998"/>
      <c r="Z137" s="998"/>
      <c r="AA137" s="998"/>
      <c r="AB137" s="998"/>
      <c r="AC137" s="998"/>
      <c r="AD137" s="998"/>
      <c r="AE137" s="998"/>
      <c r="AF137" s="998"/>
    </row>
    <row r="138" spans="1:32">
      <c r="A138" s="142" t="s">
        <v>104</v>
      </c>
      <c r="B138" s="1065">
        <f>P113</f>
        <v>0</v>
      </c>
      <c r="C138" s="1065"/>
      <c r="D138" s="1065">
        <f>P114</f>
        <v>0</v>
      </c>
      <c r="E138" s="1065"/>
      <c r="F138" s="1065">
        <f>P115</f>
        <v>0</v>
      </c>
      <c r="G138" s="1065"/>
      <c r="H138" s="1065">
        <f>P116</f>
        <v>0</v>
      </c>
      <c r="I138" s="1065"/>
      <c r="J138" s="1065">
        <f>P117</f>
        <v>0</v>
      </c>
      <c r="K138" s="1065"/>
      <c r="L138" s="1065">
        <f>P118</f>
        <v>0</v>
      </c>
      <c r="M138" s="1065"/>
      <c r="N138" s="1065">
        <f>P119</f>
        <v>0</v>
      </c>
      <c r="O138" s="1065"/>
      <c r="P138" s="1065">
        <f>P120</f>
        <v>0</v>
      </c>
      <c r="Q138" s="1065"/>
      <c r="R138" s="1065">
        <f>P121</f>
        <v>0</v>
      </c>
      <c r="S138" s="1065"/>
      <c r="T138" s="1065">
        <f>P122</f>
        <v>0</v>
      </c>
      <c r="U138" s="1065"/>
      <c r="V138" s="1065">
        <f>P123</f>
        <v>0</v>
      </c>
      <c r="W138" s="1065"/>
      <c r="X138" s="998" t="s">
        <v>1203</v>
      </c>
      <c r="Y138" s="998"/>
      <c r="Z138" s="998"/>
      <c r="AA138" s="998"/>
      <c r="AB138" s="998"/>
      <c r="AC138" s="998"/>
      <c r="AD138" s="998"/>
      <c r="AE138" s="998"/>
      <c r="AF138" s="998"/>
    </row>
    <row r="139" spans="1:32">
      <c r="A139" s="142" t="s">
        <v>105</v>
      </c>
      <c r="B139" s="1065">
        <f>Q113</f>
        <v>0</v>
      </c>
      <c r="C139" s="1065"/>
      <c r="D139" s="1065">
        <f>Q114</f>
        <v>0.19744605585646305</v>
      </c>
      <c r="E139" s="1065"/>
      <c r="F139" s="1065">
        <f>Q115</f>
        <v>0.71338128368314402</v>
      </c>
      <c r="G139" s="1065"/>
      <c r="H139" s="1065">
        <f>Q116</f>
        <v>0</v>
      </c>
      <c r="I139" s="1065"/>
      <c r="J139" s="1065">
        <f>Q117</f>
        <v>4.4586330230196494E-2</v>
      </c>
      <c r="K139" s="1065"/>
      <c r="L139" s="1065">
        <f>Q118</f>
        <v>4.4586330230196494E-2</v>
      </c>
      <c r="M139" s="1065"/>
      <c r="N139" s="1065">
        <f>Q119</f>
        <v>0</v>
      </c>
      <c r="O139" s="1065"/>
      <c r="P139" s="1065">
        <f>Q120</f>
        <v>0</v>
      </c>
      <c r="Q139" s="1065"/>
      <c r="R139" s="1065">
        <f>Q121</f>
        <v>0</v>
      </c>
      <c r="S139" s="1065"/>
      <c r="T139" s="1065">
        <f>Q122</f>
        <v>0</v>
      </c>
      <c r="U139" s="1065"/>
      <c r="V139" s="1065">
        <f>Q123</f>
        <v>0</v>
      </c>
      <c r="W139" s="1065"/>
      <c r="X139" s="998" t="s">
        <v>1203</v>
      </c>
      <c r="Y139" s="998"/>
      <c r="Z139" s="998"/>
      <c r="AA139" s="998"/>
      <c r="AB139" s="998"/>
      <c r="AC139" s="998"/>
      <c r="AD139" s="998"/>
      <c r="AE139" s="998"/>
      <c r="AF139" s="998"/>
    </row>
    <row r="140" spans="1:32">
      <c r="A140" s="142" t="s">
        <v>1095</v>
      </c>
      <c r="B140" s="1065">
        <f>R113</f>
        <v>2.0189518931614638E-3</v>
      </c>
      <c r="C140" s="1065"/>
      <c r="D140" s="1065">
        <f>R114</f>
        <v>3.7824092334929553E-4</v>
      </c>
      <c r="E140" s="1065"/>
      <c r="F140" s="1065">
        <f>R115</f>
        <v>0.3279842619534431</v>
      </c>
      <c r="G140" s="1065"/>
      <c r="H140" s="1065">
        <f>R116</f>
        <v>0</v>
      </c>
      <c r="I140" s="1065"/>
      <c r="J140" s="1065">
        <f>R117</f>
        <v>6.8330054573633985E-3</v>
      </c>
      <c r="K140" s="1065"/>
      <c r="L140" s="1065">
        <f>R118</f>
        <v>6.8330054573633985E-3</v>
      </c>
      <c r="M140" s="1065"/>
      <c r="N140" s="1065">
        <f>R119</f>
        <v>6.6532165485482164E-3</v>
      </c>
      <c r="O140" s="1065"/>
      <c r="P140" s="1065">
        <f>R120</f>
        <v>0.14573018486415787</v>
      </c>
      <c r="Q140" s="1065"/>
      <c r="R140" s="1065">
        <f>R121</f>
        <v>0.14573018486415787</v>
      </c>
      <c r="S140" s="1065"/>
      <c r="T140" s="1065">
        <f>R122</f>
        <v>0.3578389480384554</v>
      </c>
      <c r="U140" s="1065"/>
      <c r="V140" s="1065">
        <f>R123</f>
        <v>0</v>
      </c>
      <c r="W140" s="1065"/>
      <c r="X140" s="998" t="s">
        <v>1203</v>
      </c>
      <c r="Y140" s="998"/>
      <c r="Z140" s="998"/>
      <c r="AA140" s="998"/>
      <c r="AB140" s="998"/>
      <c r="AC140" s="998"/>
      <c r="AD140" s="998"/>
      <c r="AE140" s="998"/>
      <c r="AF140" s="998"/>
    </row>
    <row r="141" spans="1:32">
      <c r="A141" s="896"/>
      <c r="B141" s="897"/>
      <c r="C141" s="897"/>
      <c r="D141" s="897"/>
      <c r="E141" s="897"/>
      <c r="F141" s="897"/>
      <c r="G141" s="897"/>
      <c r="H141" s="897"/>
      <c r="I141" s="897"/>
      <c r="J141" s="897"/>
      <c r="K141" s="897"/>
      <c r="L141" s="897"/>
      <c r="M141" s="897"/>
      <c r="N141" s="897"/>
      <c r="O141" s="897"/>
      <c r="P141" s="897"/>
      <c r="Q141" s="897"/>
      <c r="R141" s="897"/>
      <c r="S141" s="897"/>
      <c r="T141" s="897"/>
      <c r="U141" s="897"/>
      <c r="V141" s="897"/>
      <c r="W141" s="897"/>
    </row>
    <row r="142" spans="1:32" customFormat="1">
      <c r="H142" s="6"/>
      <c r="I142" s="6"/>
      <c r="J142" s="6"/>
      <c r="K142" s="6"/>
      <c r="L142" s="6"/>
      <c r="M142" s="6"/>
      <c r="N142" s="6"/>
      <c r="O142" s="6"/>
    </row>
    <row r="143" spans="1:32" customFormat="1" ht="15.75" thickBot="1">
      <c r="A143" s="415" t="s">
        <v>1204</v>
      </c>
      <c r="B143" s="224"/>
      <c r="C143" s="224"/>
      <c r="D143" s="224"/>
      <c r="E143" s="224"/>
      <c r="F143" s="224"/>
      <c r="G143" s="224"/>
      <c r="H143" s="882"/>
      <c r="I143" s="882"/>
      <c r="J143" s="882"/>
      <c r="K143" s="882"/>
      <c r="L143" s="882"/>
      <c r="M143" s="882"/>
      <c r="N143" s="882"/>
      <c r="O143" s="882"/>
      <c r="P143" s="224"/>
    </row>
    <row r="144" spans="1:32" ht="15.75" thickBot="1">
      <c r="A144" s="65" t="s">
        <v>137</v>
      </c>
      <c r="B144" s="107" t="s">
        <v>138</v>
      </c>
      <c r="C144" s="108" t="s">
        <v>139</v>
      </c>
      <c r="D144" s="109" t="s">
        <v>110</v>
      </c>
      <c r="E144" s="229" t="s">
        <v>140</v>
      </c>
      <c r="F144" s="108" t="s">
        <v>141</v>
      </c>
      <c r="G144" s="110" t="s">
        <v>112</v>
      </c>
      <c r="H144" s="111" t="s">
        <v>142</v>
      </c>
      <c r="I144" s="112" t="s">
        <v>143</v>
      </c>
      <c r="J144" s="112" t="s">
        <v>69</v>
      </c>
      <c r="K144" s="112" t="s">
        <v>75</v>
      </c>
      <c r="L144" s="112" t="s">
        <v>81</v>
      </c>
      <c r="M144" s="113" t="s">
        <v>87</v>
      </c>
      <c r="N144" s="114" t="s">
        <v>144</v>
      </c>
      <c r="O144" s="114" t="s">
        <v>145</v>
      </c>
      <c r="P144" s="115" t="s">
        <v>132</v>
      </c>
    </row>
    <row r="145" spans="1:16" ht="15.75" thickBot="1">
      <c r="A145" s="230" t="s">
        <v>319</v>
      </c>
      <c r="B145" s="230" t="s">
        <v>321</v>
      </c>
      <c r="C145" s="6" t="s">
        <v>147</v>
      </c>
      <c r="D145" s="6" t="s">
        <v>147</v>
      </c>
      <c r="E145" s="6" t="s">
        <v>158</v>
      </c>
      <c r="F145" s="6">
        <v>1</v>
      </c>
      <c r="G145" s="162"/>
      <c r="H145" s="254"/>
      <c r="I145" s="66"/>
      <c r="J145" s="66"/>
      <c r="K145" s="66"/>
      <c r="L145" s="66"/>
      <c r="M145" s="300"/>
      <c r="N145" s="411" t="str">
        <f t="shared" ref="N145:N146" si="51">IF( OR( ISBLANK(H145),ISBLANK(J145), ISBLANK(K145), ISBLANK(L145), ISBLANK(M145) ), "", 1.5*SQRT(   EXP(2.21*(H145-1)) + EXP(2.21*(J145-1)) + EXP(2.21*(K145-1)) + EXP(2.21*(L145-1)) + EXP(2.21*M145)   )/100*2.45 )</f>
        <v/>
      </c>
      <c r="O145" s="355" t="str">
        <f t="shared" ref="O145:O146" si="52">IF( OR( ISBLANK(I145),ISBLANK(J145), ISBLANK(K145), ISBLANK(L145), ISBLANK(M145) ), "", 1.5*SQRT( EXP(2.21*(I145-1)) + EXP(2.21*(J145-1)) + EXP(2.21*(K145-1)) + EXP(2.21*(L145-1)) + EXP(2.21*M145)   )/100*2.45 )</f>
        <v/>
      </c>
      <c r="P145" s="60"/>
    </row>
    <row r="146" spans="1:16" ht="15.75" thickBot="1">
      <c r="A146" s="230" t="s">
        <v>319</v>
      </c>
      <c r="B146" s="230" t="s">
        <v>322</v>
      </c>
      <c r="C146" s="6" t="s">
        <v>147</v>
      </c>
      <c r="D146" s="6" t="s">
        <v>147</v>
      </c>
      <c r="E146" s="598">
        <v>0.11</v>
      </c>
      <c r="F146" s="6">
        <v>2</v>
      </c>
      <c r="G146" s="40" t="s">
        <v>323</v>
      </c>
      <c r="H146" s="252">
        <v>2</v>
      </c>
      <c r="I146" s="10">
        <v>2</v>
      </c>
      <c r="J146" s="10">
        <v>1</v>
      </c>
      <c r="K146" s="10">
        <v>1</v>
      </c>
      <c r="L146" s="10">
        <v>1</v>
      </c>
      <c r="M146" s="298">
        <v>1</v>
      </c>
      <c r="N146" s="411">
        <f t="shared" si="51"/>
        <v>0.16933510251023262</v>
      </c>
      <c r="O146" s="355">
        <f t="shared" si="52"/>
        <v>0.16933510251023262</v>
      </c>
      <c r="P146" s="34"/>
    </row>
    <row r="147" spans="1:16" ht="15.75" thickBot="1">
      <c r="A147" s="230" t="s">
        <v>322</v>
      </c>
      <c r="B147" s="60" t="s">
        <v>245</v>
      </c>
      <c r="C147" s="6" t="s">
        <v>147</v>
      </c>
      <c r="D147" s="6" t="s">
        <v>147</v>
      </c>
      <c r="E147" s="598">
        <v>0.08</v>
      </c>
      <c r="F147" s="6">
        <v>1</v>
      </c>
      <c r="G147" s="162" t="s">
        <v>363</v>
      </c>
      <c r="H147" s="254">
        <v>2</v>
      </c>
      <c r="I147" s="66">
        <v>2</v>
      </c>
      <c r="J147" s="66">
        <v>1</v>
      </c>
      <c r="K147" s="66">
        <v>1</v>
      </c>
      <c r="L147" s="66">
        <v>1</v>
      </c>
      <c r="M147" s="300">
        <v>1</v>
      </c>
      <c r="N147" s="411">
        <f t="shared" ref="N147:N148" si="53">IF( OR( ISBLANK(H147),ISBLANK(J147), ISBLANK(K147), ISBLANK(L147), ISBLANK(M147) ), "", 1.5*SQRT(   EXP(2.21*(H147-1)) + EXP(2.21*(J147-1)) + EXP(2.21*(K147-1)) + EXP(2.21*(L147-1)) + EXP(2.21*M147)   )/100*2.45 )</f>
        <v>0.16933510251023262</v>
      </c>
      <c r="O147" s="355">
        <f t="shared" ref="O147:O150" si="54">IF( OR( ISBLANK(I147),ISBLANK(J147), ISBLANK(K147), ISBLANK(L147), ISBLANK(M147) ), "", 1.5*SQRT( EXP(2.21*(I147-1)) + EXP(2.21*(J147-1)) + EXP(2.21*(K147-1)) + EXP(2.21*(L147-1)) + EXP(2.21*M147)   )/100*2.45 )</f>
        <v>0.16933510251023262</v>
      </c>
      <c r="P147" s="60"/>
    </row>
    <row r="148" spans="1:16" ht="15.75" thickBot="1">
      <c r="A148" s="230" t="s">
        <v>322</v>
      </c>
      <c r="B148" s="34" t="s">
        <v>264</v>
      </c>
      <c r="C148" s="6" t="s">
        <v>147</v>
      </c>
      <c r="D148" s="6" t="s">
        <v>147</v>
      </c>
      <c r="E148" s="598">
        <v>0.52</v>
      </c>
      <c r="F148" s="6">
        <v>1</v>
      </c>
      <c r="G148" s="40" t="s">
        <v>363</v>
      </c>
      <c r="H148" s="252">
        <v>2</v>
      </c>
      <c r="I148" s="10">
        <v>2</v>
      </c>
      <c r="J148" s="10">
        <v>1</v>
      </c>
      <c r="K148" s="10">
        <v>1</v>
      </c>
      <c r="L148" s="10">
        <v>1</v>
      </c>
      <c r="M148" s="298">
        <v>1</v>
      </c>
      <c r="N148" s="411">
        <f t="shared" si="53"/>
        <v>0.16933510251023262</v>
      </c>
      <c r="O148" s="355">
        <f t="shared" si="54"/>
        <v>0.16933510251023262</v>
      </c>
      <c r="P148" s="34"/>
    </row>
    <row r="149" spans="1:16" ht="15.75" thickBot="1">
      <c r="A149" s="230" t="s">
        <v>322</v>
      </c>
      <c r="B149" s="7" t="s">
        <v>344</v>
      </c>
      <c r="C149" s="6" t="s">
        <v>147</v>
      </c>
      <c r="D149" s="6" t="s">
        <v>147</v>
      </c>
      <c r="E149" s="598">
        <v>0.4</v>
      </c>
      <c r="F149" s="6">
        <v>1</v>
      </c>
      <c r="G149" s="40" t="s">
        <v>363</v>
      </c>
      <c r="H149" s="252">
        <v>2</v>
      </c>
      <c r="I149" s="10">
        <v>2</v>
      </c>
      <c r="J149" s="10">
        <v>1</v>
      </c>
      <c r="K149" s="10">
        <v>1</v>
      </c>
      <c r="L149" s="10">
        <v>1</v>
      </c>
      <c r="M149" s="298">
        <v>1</v>
      </c>
      <c r="N149" s="411">
        <f t="shared" ref="N149:N150" si="55">IF( OR( ISBLANK(H149),ISBLANK(J149), ISBLANK(K149), ISBLANK(L149), ISBLANK(M149) ), "", 1.5*SQRT(   EXP(2.21*(H149-1)) + EXP(2.21*(J149-1)) + EXP(2.21*(K149-1)) + EXP(2.21*(L149-1)) + EXP(2.21*M149)   )/100*2.45 )</f>
        <v>0.16933510251023262</v>
      </c>
      <c r="O149" s="355">
        <f t="shared" si="54"/>
        <v>0.16933510251023262</v>
      </c>
      <c r="P149" s="34"/>
    </row>
    <row r="150" spans="1:16">
      <c r="A150" s="230" t="s">
        <v>321</v>
      </c>
      <c r="B150" s="7" t="s">
        <v>344</v>
      </c>
      <c r="C150" s="6" t="s">
        <v>147</v>
      </c>
      <c r="D150" s="6" t="s">
        <v>147</v>
      </c>
      <c r="E150" s="6">
        <v>1</v>
      </c>
      <c r="F150" s="6">
        <v>1</v>
      </c>
      <c r="H150" s="252"/>
      <c r="I150" s="10"/>
      <c r="J150" s="10"/>
      <c r="K150" s="10"/>
      <c r="L150" s="10"/>
      <c r="M150" s="298"/>
      <c r="N150" s="411" t="str">
        <f t="shared" si="55"/>
        <v/>
      </c>
      <c r="O150" s="355" t="str">
        <f t="shared" si="54"/>
        <v/>
      </c>
      <c r="P150" s="34"/>
    </row>
    <row r="151" spans="1:16">
      <c r="A151" s="230"/>
      <c r="B151" s="230"/>
    </row>
    <row r="152" spans="1:16">
      <c r="A152" s="1037" t="s">
        <v>1065</v>
      </c>
      <c r="B152" s="1038"/>
      <c r="C152" s="1038"/>
      <c r="D152" s="1038"/>
      <c r="E152" s="1038"/>
      <c r="F152" s="1038"/>
      <c r="G152" s="1038"/>
      <c r="H152" s="1038"/>
      <c r="I152" s="1038"/>
      <c r="J152" s="1038"/>
      <c r="K152" s="1038"/>
      <c r="L152" s="1038"/>
      <c r="M152" s="1038"/>
      <c r="N152" s="1038"/>
      <c r="O152" s="1038"/>
      <c r="P152" s="1038"/>
    </row>
    <row r="153" spans="1:16">
      <c r="A153" s="1038"/>
      <c r="B153" s="1038"/>
      <c r="C153" s="1038"/>
      <c r="D153" s="1038"/>
      <c r="E153" s="1038"/>
      <c r="F153" s="1038"/>
      <c r="G153" s="1038"/>
      <c r="H153" s="1038"/>
      <c r="I153" s="1038"/>
      <c r="J153" s="1038"/>
      <c r="K153" s="1038"/>
      <c r="L153" s="1038"/>
      <c r="M153" s="1038"/>
      <c r="N153" s="1038"/>
      <c r="O153" s="1038"/>
      <c r="P153" s="1038"/>
    </row>
    <row r="154" spans="1:16">
      <c r="D154" s="6" t="s">
        <v>1205</v>
      </c>
      <c r="E154" s="6">
        <f>948/90312</f>
        <v>1.0496943927717247E-2</v>
      </c>
      <c r="F154" s="6" t="s">
        <v>1206</v>
      </c>
    </row>
    <row r="155" spans="1:16">
      <c r="A155" s="6" t="s">
        <v>1207</v>
      </c>
      <c r="D155" s="6" t="s">
        <v>1205</v>
      </c>
      <c r="E155" s="6">
        <v>1.0999999999999999E-2</v>
      </c>
      <c r="F155" s="6" t="s">
        <v>312</v>
      </c>
    </row>
    <row r="156" spans="1:16">
      <c r="A156" s="373" t="s">
        <v>1208</v>
      </c>
      <c r="D156" s="6" t="s">
        <v>1209</v>
      </c>
      <c r="E156" s="6">
        <f>10*E155</f>
        <v>0.10999999999999999</v>
      </c>
    </row>
    <row r="158" spans="1:16">
      <c r="D158" s="6">
        <f>0.15/0.11</f>
        <v>1.3636363636363635</v>
      </c>
    </row>
  </sheetData>
  <mergeCells count="394">
    <mergeCell ref="X139:AF139"/>
    <mergeCell ref="X140:AF140"/>
    <mergeCell ref="X131:AF131"/>
    <mergeCell ref="X132:AF132"/>
    <mergeCell ref="X133:AF133"/>
    <mergeCell ref="X134:AF134"/>
    <mergeCell ref="X135:AF135"/>
    <mergeCell ref="X126:AF126"/>
    <mergeCell ref="X127:AF127"/>
    <mergeCell ref="X128:AF128"/>
    <mergeCell ref="X129:AF129"/>
    <mergeCell ref="X130:AF130"/>
    <mergeCell ref="V126:W126"/>
    <mergeCell ref="T127:U127"/>
    <mergeCell ref="V127:W127"/>
    <mergeCell ref="T128:U128"/>
    <mergeCell ref="V128:W128"/>
    <mergeCell ref="X136:AF136"/>
    <mergeCell ref="X137:AF137"/>
    <mergeCell ref="X138:AF138"/>
    <mergeCell ref="T138:U138"/>
    <mergeCell ref="V138:W138"/>
    <mergeCell ref="T129:U129"/>
    <mergeCell ref="V129:W129"/>
    <mergeCell ref="T130:U130"/>
    <mergeCell ref="V130:W130"/>
    <mergeCell ref="T131:U131"/>
    <mergeCell ref="V131:W131"/>
    <mergeCell ref="T140:U140"/>
    <mergeCell ref="V140:W140"/>
    <mergeCell ref="T135:U135"/>
    <mergeCell ref="V135:W135"/>
    <mergeCell ref="T136:U136"/>
    <mergeCell ref="V136:W136"/>
    <mergeCell ref="T137:U137"/>
    <mergeCell ref="V137:W137"/>
    <mergeCell ref="T132:U132"/>
    <mergeCell ref="V132:W132"/>
    <mergeCell ref="T133:U133"/>
    <mergeCell ref="V133:W133"/>
    <mergeCell ref="T134:U134"/>
    <mergeCell ref="V134:W134"/>
    <mergeCell ref="T139:U139"/>
    <mergeCell ref="V139:W139"/>
    <mergeCell ref="J140:K140"/>
    <mergeCell ref="L140:M140"/>
    <mergeCell ref="N140:O140"/>
    <mergeCell ref="P140:Q140"/>
    <mergeCell ref="R140:S140"/>
    <mergeCell ref="J139:K139"/>
    <mergeCell ref="L139:M139"/>
    <mergeCell ref="N139:O139"/>
    <mergeCell ref="P139:Q139"/>
    <mergeCell ref="R139:S139"/>
    <mergeCell ref="J138:K138"/>
    <mergeCell ref="L138:M138"/>
    <mergeCell ref="N138:O138"/>
    <mergeCell ref="P138:Q138"/>
    <mergeCell ref="R138:S138"/>
    <mergeCell ref="J137:K137"/>
    <mergeCell ref="L137:M137"/>
    <mergeCell ref="N137:O137"/>
    <mergeCell ref="P137:Q137"/>
    <mergeCell ref="R137:S137"/>
    <mergeCell ref="J136:K136"/>
    <mergeCell ref="L136:M136"/>
    <mergeCell ref="N136:O136"/>
    <mergeCell ref="P136:Q136"/>
    <mergeCell ref="R136:S136"/>
    <mergeCell ref="J135:K135"/>
    <mergeCell ref="L135:M135"/>
    <mergeCell ref="N135:O135"/>
    <mergeCell ref="P135:Q135"/>
    <mergeCell ref="R135:S135"/>
    <mergeCell ref="J134:K134"/>
    <mergeCell ref="L134:M134"/>
    <mergeCell ref="N134:O134"/>
    <mergeCell ref="P134:Q134"/>
    <mergeCell ref="R134:S134"/>
    <mergeCell ref="J133:K133"/>
    <mergeCell ref="L133:M133"/>
    <mergeCell ref="N133:O133"/>
    <mergeCell ref="P133:Q133"/>
    <mergeCell ref="R133:S133"/>
    <mergeCell ref="J132:K132"/>
    <mergeCell ref="L132:M132"/>
    <mergeCell ref="N132:O132"/>
    <mergeCell ref="P132:Q132"/>
    <mergeCell ref="R132:S132"/>
    <mergeCell ref="J131:K131"/>
    <mergeCell ref="L131:M131"/>
    <mergeCell ref="N131:O131"/>
    <mergeCell ref="P131:Q131"/>
    <mergeCell ref="R131:S131"/>
    <mergeCell ref="L128:M128"/>
    <mergeCell ref="N128:O128"/>
    <mergeCell ref="P128:Q128"/>
    <mergeCell ref="R128:S128"/>
    <mergeCell ref="J129:K129"/>
    <mergeCell ref="L129:M129"/>
    <mergeCell ref="N129:O129"/>
    <mergeCell ref="P129:Q129"/>
    <mergeCell ref="R129:S129"/>
    <mergeCell ref="J128:K128"/>
    <mergeCell ref="D139:E139"/>
    <mergeCell ref="F139:G139"/>
    <mergeCell ref="H139:I139"/>
    <mergeCell ref="D140:E140"/>
    <mergeCell ref="F140:G140"/>
    <mergeCell ref="H140:I140"/>
    <mergeCell ref="D137:E137"/>
    <mergeCell ref="F137:G137"/>
    <mergeCell ref="H137:I137"/>
    <mergeCell ref="D138:E138"/>
    <mergeCell ref="F138:G138"/>
    <mergeCell ref="H138:I138"/>
    <mergeCell ref="B140:C140"/>
    <mergeCell ref="D126:E126"/>
    <mergeCell ref="F126:G126"/>
    <mergeCell ref="H126:I126"/>
    <mergeCell ref="D127:E127"/>
    <mergeCell ref="F127:G127"/>
    <mergeCell ref="H127:I127"/>
    <mergeCell ref="D128:E128"/>
    <mergeCell ref="F128:G128"/>
    <mergeCell ref="H128:I128"/>
    <mergeCell ref="D129:E129"/>
    <mergeCell ref="F129:G129"/>
    <mergeCell ref="H129:I129"/>
    <mergeCell ref="D130:E130"/>
    <mergeCell ref="F130:G130"/>
    <mergeCell ref="H130:I130"/>
    <mergeCell ref="B135:C135"/>
    <mergeCell ref="B136:C136"/>
    <mergeCell ref="D135:E135"/>
    <mergeCell ref="F135:G135"/>
    <mergeCell ref="H135:I135"/>
    <mergeCell ref="D136:E136"/>
    <mergeCell ref="F136:G136"/>
    <mergeCell ref="H136:I136"/>
    <mergeCell ref="B139:C139"/>
    <mergeCell ref="B130:C130"/>
    <mergeCell ref="B131:C131"/>
    <mergeCell ref="B132:C132"/>
    <mergeCell ref="B133:C133"/>
    <mergeCell ref="B134:C134"/>
    <mergeCell ref="B126:C126"/>
    <mergeCell ref="B127:C127"/>
    <mergeCell ref="B128:C128"/>
    <mergeCell ref="B129:C129"/>
    <mergeCell ref="J127:K127"/>
    <mergeCell ref="L127:M127"/>
    <mergeCell ref="N127:O127"/>
    <mergeCell ref="P127:Q127"/>
    <mergeCell ref="R127:S127"/>
    <mergeCell ref="B137:C137"/>
    <mergeCell ref="B138:C138"/>
    <mergeCell ref="D131:E131"/>
    <mergeCell ref="F131:G131"/>
    <mergeCell ref="H131:I131"/>
    <mergeCell ref="D132:E132"/>
    <mergeCell ref="F132:G132"/>
    <mergeCell ref="H132:I132"/>
    <mergeCell ref="D133:E133"/>
    <mergeCell ref="F133:G133"/>
    <mergeCell ref="H133:I133"/>
    <mergeCell ref="D134:E134"/>
    <mergeCell ref="F134:G134"/>
    <mergeCell ref="H134:I134"/>
    <mergeCell ref="J130:K130"/>
    <mergeCell ref="L130:M130"/>
    <mergeCell ref="N130:O130"/>
    <mergeCell ref="P130:Q130"/>
    <mergeCell ref="R130:S130"/>
    <mergeCell ref="B123:C123"/>
    <mergeCell ref="B114:C114"/>
    <mergeCell ref="B115:C115"/>
    <mergeCell ref="B116:C116"/>
    <mergeCell ref="B117:C117"/>
    <mergeCell ref="B118:C118"/>
    <mergeCell ref="J126:K126"/>
    <mergeCell ref="L126:M126"/>
    <mergeCell ref="N126:O126"/>
    <mergeCell ref="A124:AF124"/>
    <mergeCell ref="T125:U125"/>
    <mergeCell ref="V125:W125"/>
    <mergeCell ref="B125:C125"/>
    <mergeCell ref="D125:E125"/>
    <mergeCell ref="F125:G125"/>
    <mergeCell ref="H125:I125"/>
    <mergeCell ref="J125:K125"/>
    <mergeCell ref="L125:M125"/>
    <mergeCell ref="N125:O125"/>
    <mergeCell ref="P125:Q125"/>
    <mergeCell ref="R125:S125"/>
    <mergeCell ref="P126:Q126"/>
    <mergeCell ref="R126:S126"/>
    <mergeCell ref="T126:U126"/>
    <mergeCell ref="B112:C112"/>
    <mergeCell ref="B113:C113"/>
    <mergeCell ref="A111:AF111"/>
    <mergeCell ref="R105:AF105"/>
    <mergeCell ref="R106:AF106"/>
    <mergeCell ref="B119:C119"/>
    <mergeCell ref="B120:C120"/>
    <mergeCell ref="B121:C121"/>
    <mergeCell ref="B122:C122"/>
    <mergeCell ref="R101:AF101"/>
    <mergeCell ref="R102:AF102"/>
    <mergeCell ref="R93:AF93"/>
    <mergeCell ref="R94:AF94"/>
    <mergeCell ref="R95:AF95"/>
    <mergeCell ref="R96:AF96"/>
    <mergeCell ref="R97:AF97"/>
    <mergeCell ref="R103:AF103"/>
    <mergeCell ref="R104:AF104"/>
    <mergeCell ref="R98:AF98"/>
    <mergeCell ref="R99:AF99"/>
    <mergeCell ref="R100:AF100"/>
    <mergeCell ref="R69:AF69"/>
    <mergeCell ref="R70:AF70"/>
    <mergeCell ref="A61:A62"/>
    <mergeCell ref="A63:A64"/>
    <mergeCell ref="A65:A66"/>
    <mergeCell ref="J65:K66"/>
    <mergeCell ref="B61:B62"/>
    <mergeCell ref="B63:B64"/>
    <mergeCell ref="B65:B66"/>
    <mergeCell ref="E61:E62"/>
    <mergeCell ref="E63:E64"/>
    <mergeCell ref="G69:L69"/>
    <mergeCell ref="G70:L70"/>
    <mergeCell ref="R81:AF81"/>
    <mergeCell ref="R71:AF71"/>
    <mergeCell ref="R72:AF72"/>
    <mergeCell ref="R74:AF74"/>
    <mergeCell ref="R75:AF75"/>
    <mergeCell ref="R76:AF76"/>
    <mergeCell ref="R77:AF77"/>
    <mergeCell ref="M71:Q71"/>
    <mergeCell ref="R92:AF92"/>
    <mergeCell ref="R73:AF73"/>
    <mergeCell ref="R78:AF78"/>
    <mergeCell ref="G81:L81"/>
    <mergeCell ref="G79:L79"/>
    <mergeCell ref="G80:L80"/>
    <mergeCell ref="G77:L77"/>
    <mergeCell ref="G78:L78"/>
    <mergeCell ref="G75:L75"/>
    <mergeCell ref="G76:L76"/>
    <mergeCell ref="G72:L72"/>
    <mergeCell ref="G73:L73"/>
    <mergeCell ref="R43:AF43"/>
    <mergeCell ref="R44:AF44"/>
    <mergeCell ref="R45:AF45"/>
    <mergeCell ref="R46:AF46"/>
    <mergeCell ref="R52:AF52"/>
    <mergeCell ref="R53:AF53"/>
    <mergeCell ref="E65:E66"/>
    <mergeCell ref="F61:I62"/>
    <mergeCell ref="F63:I64"/>
    <mergeCell ref="F65:I66"/>
    <mergeCell ref="J61:K62"/>
    <mergeCell ref="J63:K64"/>
    <mergeCell ref="R54:AF54"/>
    <mergeCell ref="R55:AF55"/>
    <mergeCell ref="A59:AF59"/>
    <mergeCell ref="R56:AF56"/>
    <mergeCell ref="R57:AF57"/>
    <mergeCell ref="R47:AF47"/>
    <mergeCell ref="R48:AF48"/>
    <mergeCell ref="R49:AF49"/>
    <mergeCell ref="R50:AF50"/>
    <mergeCell ref="R51:AF51"/>
    <mergeCell ref="R37:AF37"/>
    <mergeCell ref="R38:AF38"/>
    <mergeCell ref="R39:AF39"/>
    <mergeCell ref="R40:AF40"/>
    <mergeCell ref="R41:AF41"/>
    <mergeCell ref="J38:L38"/>
    <mergeCell ref="J39:L39"/>
    <mergeCell ref="J40:L40"/>
    <mergeCell ref="J41:L41"/>
    <mergeCell ref="M38:Q38"/>
    <mergeCell ref="M39:Q39"/>
    <mergeCell ref="M40:Q40"/>
    <mergeCell ref="M41:Q41"/>
    <mergeCell ref="J37:L37"/>
    <mergeCell ref="M37:Q37"/>
    <mergeCell ref="U9:V9"/>
    <mergeCell ref="U10:V10"/>
    <mergeCell ref="R2:T2"/>
    <mergeCell ref="R3:T3"/>
    <mergeCell ref="R10:T10"/>
    <mergeCell ref="R11:T11"/>
    <mergeCell ref="R12:T12"/>
    <mergeCell ref="R13:T13"/>
    <mergeCell ref="R4:T4"/>
    <mergeCell ref="R5:T5"/>
    <mergeCell ref="R6:T6"/>
    <mergeCell ref="R7:T7"/>
    <mergeCell ref="A1:AF1"/>
    <mergeCell ref="U3:V3"/>
    <mergeCell ref="W3:AF3"/>
    <mergeCell ref="U4:V4"/>
    <mergeCell ref="W4:AF4"/>
    <mergeCell ref="U5:V5"/>
    <mergeCell ref="W5:AF5"/>
    <mergeCell ref="U6:V6"/>
    <mergeCell ref="W6:AF6"/>
    <mergeCell ref="R31:AF31"/>
    <mergeCell ref="J30:L30"/>
    <mergeCell ref="J36:L36"/>
    <mergeCell ref="G29:L29"/>
    <mergeCell ref="G30:I30"/>
    <mergeCell ref="G31:I31"/>
    <mergeCell ref="G32:I32"/>
    <mergeCell ref="G33:I33"/>
    <mergeCell ref="G34:I34"/>
    <mergeCell ref="G35:I35"/>
    <mergeCell ref="G36:I36"/>
    <mergeCell ref="J31:L31"/>
    <mergeCell ref="J32:L32"/>
    <mergeCell ref="J33:L33"/>
    <mergeCell ref="J34:L34"/>
    <mergeCell ref="J35:L35"/>
    <mergeCell ref="R33:AF33"/>
    <mergeCell ref="R34:AF34"/>
    <mergeCell ref="M31:Q31"/>
    <mergeCell ref="M32:Q32"/>
    <mergeCell ref="M33:Q33"/>
    <mergeCell ref="M34:Q34"/>
    <mergeCell ref="M35:Q35"/>
    <mergeCell ref="M36:Q36"/>
    <mergeCell ref="R17:AF17"/>
    <mergeCell ref="R23:AF23"/>
    <mergeCell ref="R24:AF24"/>
    <mergeCell ref="R25:AF25"/>
    <mergeCell ref="A28:AF28"/>
    <mergeCell ref="R18:AF18"/>
    <mergeCell ref="R19:AF19"/>
    <mergeCell ref="R29:AF29"/>
    <mergeCell ref="R30:AF30"/>
    <mergeCell ref="R26:AF26"/>
    <mergeCell ref="M29:Q29"/>
    <mergeCell ref="M30:Q30"/>
    <mergeCell ref="A152:P153"/>
    <mergeCell ref="R32:AF32"/>
    <mergeCell ref="R8:T8"/>
    <mergeCell ref="R9:T9"/>
    <mergeCell ref="U7:V7"/>
    <mergeCell ref="U2:AF2"/>
    <mergeCell ref="W7:AF7"/>
    <mergeCell ref="U8:V8"/>
    <mergeCell ref="W8:AF8"/>
    <mergeCell ref="W9:AF9"/>
    <mergeCell ref="W10:AF10"/>
    <mergeCell ref="R35:AF35"/>
    <mergeCell ref="R36:AF36"/>
    <mergeCell ref="U11:V11"/>
    <mergeCell ref="W11:AF11"/>
    <mergeCell ref="U12:V12"/>
    <mergeCell ref="W12:AF12"/>
    <mergeCell ref="U13:V13"/>
    <mergeCell ref="W13:AF13"/>
    <mergeCell ref="R20:AF20"/>
    <mergeCell ref="R21:AF21"/>
    <mergeCell ref="R22:AF22"/>
    <mergeCell ref="R15:AF15"/>
    <mergeCell ref="R16:AF16"/>
    <mergeCell ref="G38:I38"/>
    <mergeCell ref="M80:Q80"/>
    <mergeCell ref="M81:Q81"/>
    <mergeCell ref="F60:I60"/>
    <mergeCell ref="J60:K60"/>
    <mergeCell ref="G39:I39"/>
    <mergeCell ref="G40:I40"/>
    <mergeCell ref="G41:I41"/>
    <mergeCell ref="G37:I37"/>
    <mergeCell ref="M72:Q72"/>
    <mergeCell ref="M73:Q73"/>
    <mergeCell ref="M74:Q74"/>
    <mergeCell ref="M75:Q75"/>
    <mergeCell ref="M76:Q76"/>
    <mergeCell ref="M77:Q77"/>
    <mergeCell ref="M78:Q78"/>
    <mergeCell ref="M79:Q79"/>
    <mergeCell ref="G71:L71"/>
    <mergeCell ref="G74:L74"/>
    <mergeCell ref="A68:AF68"/>
    <mergeCell ref="R79:AF79"/>
    <mergeCell ref="R80:AF80"/>
    <mergeCell ref="M69:Q69"/>
    <mergeCell ref="M70:Q70"/>
  </mergeCells>
  <conditionalFormatting sqref="H145:M146">
    <cfRule type="dataBar" priority="4">
      <dataBar>
        <cfvo type="min"/>
        <cfvo type="num" val="4"/>
        <color rgb="FFFFC000"/>
      </dataBar>
      <extLst>
        <ext xmlns:x14="http://schemas.microsoft.com/office/spreadsheetml/2009/9/main" uri="{B025F937-C7B1-47D3-B67F-A62EFF666E3E}">
          <x14:id>{1B4CB3B5-0365-4114-B2CD-71549AB8F77C}</x14:id>
        </ext>
      </extLst>
    </cfRule>
  </conditionalFormatting>
  <conditionalFormatting sqref="H145:M150">
    <cfRule type="cellIs" dxfId="59" priority="3" stopIfTrue="1" operator="notBetween">
      <formula>1</formula>
      <formula>4</formula>
    </cfRule>
  </conditionalFormatting>
  <conditionalFormatting sqref="H147:M150">
    <cfRule type="dataBar" priority="10">
      <dataBar>
        <cfvo type="min"/>
        <cfvo type="num" val="4"/>
        <color rgb="FFFFC000"/>
      </dataBar>
      <extLst>
        <ext xmlns:x14="http://schemas.microsoft.com/office/spreadsheetml/2009/9/main" uri="{B025F937-C7B1-47D3-B67F-A62EFF666E3E}">
          <x14:id>{3ED01DE4-621F-4202-AD21-E1BDF27FA1A3}</x14:id>
        </ext>
      </extLst>
    </cfRule>
  </conditionalFormatting>
  <conditionalFormatting sqref="H145:O150">
    <cfRule type="containsBlanks" dxfId="58" priority="1">
      <formula>LEN(TRIM(H145))=0</formula>
    </cfRule>
  </conditionalFormatting>
  <conditionalFormatting sqref="N145:N146">
    <cfRule type="dataBar" priority="5">
      <dataBar>
        <cfvo type="min"/>
        <cfvo type="max"/>
        <color rgb="FF3FCDFF"/>
      </dataBar>
      <extLst>
        <ext xmlns:x14="http://schemas.microsoft.com/office/spreadsheetml/2009/9/main" uri="{B025F937-C7B1-47D3-B67F-A62EFF666E3E}">
          <x14:id>{77A1D4E7-D93B-4DD6-9B46-8A5732EE2DDC}</x14:id>
        </ext>
      </extLst>
    </cfRule>
  </conditionalFormatting>
  <conditionalFormatting sqref="N147:N150">
    <cfRule type="dataBar" priority="11">
      <dataBar>
        <cfvo type="min"/>
        <cfvo type="max"/>
        <color rgb="FF3FCDFF"/>
      </dataBar>
      <extLst>
        <ext xmlns:x14="http://schemas.microsoft.com/office/spreadsheetml/2009/9/main" uri="{B025F937-C7B1-47D3-B67F-A62EFF666E3E}">
          <x14:id>{112F89E4-B755-4065-955D-5EE734A0A42E}</x14:id>
        </ext>
      </extLst>
    </cfRule>
  </conditionalFormatting>
  <conditionalFormatting sqref="O145:O146">
    <cfRule type="dataBar" priority="6">
      <dataBar>
        <cfvo type="min"/>
        <cfvo type="max"/>
        <color rgb="FF3FCDFF"/>
      </dataBar>
      <extLst>
        <ext xmlns:x14="http://schemas.microsoft.com/office/spreadsheetml/2009/9/main" uri="{B025F937-C7B1-47D3-B67F-A62EFF666E3E}">
          <x14:id>{EE0CE28F-F7CD-4587-B3CC-954879C50A62}</x14:id>
        </ext>
      </extLst>
    </cfRule>
  </conditionalFormatting>
  <conditionalFormatting sqref="O147:O150">
    <cfRule type="dataBar" priority="12">
      <dataBar>
        <cfvo type="min"/>
        <cfvo type="max"/>
        <color rgb="FF3FCDFF"/>
      </dataBar>
      <extLst>
        <ext xmlns:x14="http://schemas.microsoft.com/office/spreadsheetml/2009/9/main" uri="{B025F937-C7B1-47D3-B67F-A62EFF666E3E}">
          <x14:id>{AD36CF80-2C7B-4FB2-9456-79982E8CC848}</x14:id>
        </ext>
      </extLst>
    </cfRule>
  </conditionalFormatting>
  <conditionalFormatting sqref="P142:P143">
    <cfRule type="containsText" dxfId="57" priority="25" operator="containsText" text="Actual TC">
      <formula>NOT(ISERROR(SEARCH("Actual TC",P142)))</formula>
    </cfRule>
  </conditionalFormatting>
  <conditionalFormatting sqref="P145:P150">
    <cfRule type="containsText" dxfId="56" priority="2" operator="containsText" text="Actual TC">
      <formula>NOT(ISERROR(SEARCH("Actual TC",P145)))</formula>
    </cfRule>
  </conditionalFormatting>
  <hyperlinks>
    <hyperlink ref="F61" r:id="rId1" display="https://ec.europa.eu/eurostat/databrowser/view/DEMO_GIND__custom_2733962/bookmark/table?lang=en&amp;bookmarkId=7084ed24-6b91-4cf3-b90d-d47565593505" xr:uid="{899404BD-6CBF-4671-8182-9EE48B8467E5}"/>
    <hyperlink ref="F63" r:id="rId2" xr:uid="{FEC23BC6-CAB1-4640-A64D-26027AF682D2}"/>
    <hyperlink ref="J30:J35" r:id="rId3" display="https://echa.europa.eu/documents/10162/827ab66d-8f59-9076-e000-064274ba5b5e" xr:uid="{3CBF204C-307D-457A-8BF5-E763036E7127}"/>
    <hyperlink ref="F65" r:id="rId4" xr:uid="{F3449E7A-706B-4264-BDBF-66DEB0856463}"/>
    <hyperlink ref="J40" r:id="rId5" display="https://echa.europa.eu/documents/10162/827ab66d-8f59-9076-e000-064274ba5b5e" xr:uid="{E41BEBF4-EE17-4705-8A85-6F62630EF0A2}"/>
    <hyperlink ref="J36" r:id="rId6" display="https://echa.europa.eu/documents/10162/827ab66d-8f59-9076-e000-064274ba5b5e" xr:uid="{837CAF38-4BC0-4E36-9E4E-BC3392A4FC0C}"/>
    <hyperlink ref="J37" r:id="rId7" display="https://echa.europa.eu/documents/10162/827ab66d-8f59-9076-e000-064274ba5b5e" xr:uid="{5EEB6160-F857-4340-8D52-908D71A3DD94}"/>
    <hyperlink ref="J38" r:id="rId8" display="https://echa.europa.eu/documents/10162/827ab66d-8f59-9076-e000-064274ba5b5e" xr:uid="{A20979B8-8665-461C-BA90-3C8648F0B8DD}"/>
    <hyperlink ref="J39" r:id="rId9" display="https://echa.europa.eu/documents/10162/827ab66d-8f59-9076-e000-064274ba5b5e" xr:uid="{11E4BDE3-6877-4AE6-91C4-F80F6E74BAE0}"/>
    <hyperlink ref="A156" r:id="rId10" display="https://www.eerstekamer.nl/overig/20190220/verwerking_van_kunstgras_huidige/document" xr:uid="{422F6AFD-0109-407F-B65F-FFE070F84283}"/>
  </hyperlinks>
  <pageMargins left="0.7" right="0.7" top="0.75" bottom="0.75" header="0.3" footer="0.3"/>
  <pageSetup orientation="portrait" r:id="rId11"/>
  <extLst>
    <ext xmlns:x14="http://schemas.microsoft.com/office/spreadsheetml/2009/9/main" uri="{78C0D931-6437-407d-A8EE-F0AAD7539E65}">
      <x14:conditionalFormattings>
        <x14:conditionalFormatting xmlns:xm="http://schemas.microsoft.com/office/excel/2006/main">
          <x14:cfRule type="dataBar" id="{1B4CB3B5-0365-4114-B2CD-71549AB8F77C}">
            <x14:dataBar minLength="0" maxLength="100" gradient="0">
              <x14:cfvo type="autoMin"/>
              <x14:cfvo type="num">
                <xm:f>4</xm:f>
              </x14:cfvo>
              <x14:negativeFillColor rgb="FFFF0000"/>
              <x14:axisColor rgb="FF000000"/>
            </x14:dataBar>
          </x14:cfRule>
          <xm:sqref>H145:M146</xm:sqref>
        </x14:conditionalFormatting>
        <x14:conditionalFormatting xmlns:xm="http://schemas.microsoft.com/office/excel/2006/main">
          <x14:cfRule type="dataBar" id="{3ED01DE4-621F-4202-AD21-E1BDF27FA1A3}">
            <x14:dataBar minLength="0" maxLength="100" gradient="0">
              <x14:cfvo type="autoMin"/>
              <x14:cfvo type="num">
                <xm:f>4</xm:f>
              </x14:cfvo>
              <x14:negativeFillColor rgb="FFFF0000"/>
              <x14:axisColor rgb="FF000000"/>
            </x14:dataBar>
          </x14:cfRule>
          <xm:sqref>H147:M150</xm:sqref>
        </x14:conditionalFormatting>
        <x14:conditionalFormatting xmlns:xm="http://schemas.microsoft.com/office/excel/2006/main">
          <x14:cfRule type="dataBar" id="{77A1D4E7-D93B-4DD6-9B46-8A5732EE2DDC}">
            <x14:dataBar minLength="0" maxLength="100" gradient="0">
              <x14:cfvo type="autoMin"/>
              <x14:cfvo type="autoMax"/>
              <x14:negativeFillColor rgb="FFFF0000"/>
              <x14:axisColor rgb="FF000000"/>
            </x14:dataBar>
          </x14:cfRule>
          <xm:sqref>N145:N146</xm:sqref>
        </x14:conditionalFormatting>
        <x14:conditionalFormatting xmlns:xm="http://schemas.microsoft.com/office/excel/2006/main">
          <x14:cfRule type="dataBar" id="{112F89E4-B755-4065-955D-5EE734A0A42E}">
            <x14:dataBar minLength="0" maxLength="100" gradient="0">
              <x14:cfvo type="autoMin"/>
              <x14:cfvo type="autoMax"/>
              <x14:negativeFillColor rgb="FFFF0000"/>
              <x14:axisColor rgb="FF000000"/>
            </x14:dataBar>
          </x14:cfRule>
          <xm:sqref>N147:N150</xm:sqref>
        </x14:conditionalFormatting>
        <x14:conditionalFormatting xmlns:xm="http://schemas.microsoft.com/office/excel/2006/main">
          <x14:cfRule type="dataBar" id="{EE0CE28F-F7CD-4587-B3CC-954879C50A62}">
            <x14:dataBar minLength="0" maxLength="100" gradient="0">
              <x14:cfvo type="autoMin"/>
              <x14:cfvo type="autoMax"/>
              <x14:negativeFillColor rgb="FFFF0000"/>
              <x14:axisColor rgb="FF000000"/>
            </x14:dataBar>
          </x14:cfRule>
          <xm:sqref>O145:O146</xm:sqref>
        </x14:conditionalFormatting>
        <x14:conditionalFormatting xmlns:xm="http://schemas.microsoft.com/office/excel/2006/main">
          <x14:cfRule type="dataBar" id="{AD36CF80-2C7B-4FB2-9456-79982E8CC848}">
            <x14:dataBar minLength="0" maxLength="100" gradient="0">
              <x14:cfvo type="autoMin"/>
              <x14:cfvo type="autoMax"/>
              <x14:negativeFillColor rgb="FFFF0000"/>
              <x14:axisColor rgb="FF000000"/>
            </x14:dataBar>
          </x14:cfRule>
          <xm:sqref>O147:O150</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EBB9F-0909-4120-811D-3CD5D2A8FB51}">
  <sheetPr>
    <tabColor theme="8"/>
  </sheetPr>
  <dimension ref="A1:AN333"/>
  <sheetViews>
    <sheetView zoomScale="80" zoomScaleNormal="80" workbookViewId="0">
      <selection activeCell="A276" sqref="A276"/>
    </sheetView>
  </sheetViews>
  <sheetFormatPr defaultColWidth="8.85546875" defaultRowHeight="15"/>
  <cols>
    <col min="1" max="1" width="50.7109375" style="6" customWidth="1"/>
    <col min="2" max="2" width="41.42578125" style="6" customWidth="1"/>
    <col min="3" max="5" width="20.7109375" style="6" customWidth="1"/>
    <col min="6" max="6" width="36" style="6" customWidth="1"/>
    <col min="7" max="14" width="20.7109375" style="6" customWidth="1"/>
    <col min="15" max="15" width="19.42578125" style="6" customWidth="1"/>
    <col min="16" max="16" width="28.140625" style="6" customWidth="1"/>
    <col min="17" max="17" width="8.85546875" style="6"/>
    <col min="18" max="18" width="86.28515625" style="6" customWidth="1"/>
    <col min="19" max="25" width="8.85546875" style="6"/>
    <col min="26" max="26" width="85.28515625" style="6" bestFit="1" customWidth="1"/>
    <col min="27" max="27" width="8.85546875" style="6"/>
    <col min="28" max="29" width="8.85546875" style="6" customWidth="1"/>
    <col min="30" max="36" width="8.85546875" style="6"/>
    <col min="37" max="37" width="85.28515625" style="6" bestFit="1" customWidth="1"/>
    <col min="38" max="16384" width="8.85546875" style="6"/>
  </cols>
  <sheetData>
    <row r="1" spans="1:40" s="131" customFormat="1" ht="30" customHeight="1">
      <c r="A1" s="966" t="s">
        <v>960</v>
      </c>
      <c r="B1" s="966"/>
      <c r="C1" s="966"/>
      <c r="D1" s="966"/>
      <c r="E1" s="966"/>
      <c r="F1" s="966"/>
      <c r="G1" s="966"/>
      <c r="H1" s="966"/>
      <c r="I1" s="966"/>
      <c r="J1" s="966"/>
      <c r="K1" s="966"/>
      <c r="L1" s="966"/>
      <c r="M1" s="966"/>
      <c r="N1" s="966"/>
      <c r="O1" s="966"/>
      <c r="P1" s="966"/>
      <c r="Q1" s="966"/>
      <c r="R1" s="966"/>
    </row>
    <row r="2" spans="1:40" ht="15" customHeight="1">
      <c r="A2" s="996" t="s">
        <v>108</v>
      </c>
      <c r="B2" s="1073" t="s">
        <v>109</v>
      </c>
      <c r="C2" s="1073" t="s">
        <v>139</v>
      </c>
      <c r="D2" s="1073" t="s">
        <v>110</v>
      </c>
      <c r="E2" s="182" t="s">
        <v>1210</v>
      </c>
      <c r="F2" s="182" t="s">
        <v>1211</v>
      </c>
      <c r="G2" s="1073" t="s">
        <v>1129</v>
      </c>
      <c r="H2" s="1073" t="s">
        <v>1212</v>
      </c>
      <c r="I2" s="978" t="s">
        <v>112</v>
      </c>
      <c r="J2" s="978"/>
      <c r="K2" s="978"/>
      <c r="L2" s="978"/>
      <c r="M2" s="978"/>
      <c r="N2" s="978"/>
      <c r="O2" s="978"/>
    </row>
    <row r="3" spans="1:40" ht="15" customHeight="1">
      <c r="A3" s="996"/>
      <c r="B3" s="1024"/>
      <c r="C3" s="1024"/>
      <c r="D3" s="1024"/>
      <c r="E3" s="182" t="s">
        <v>1213</v>
      </c>
      <c r="F3" s="182" t="s">
        <v>1213</v>
      </c>
      <c r="G3" s="1024"/>
      <c r="H3" s="1024"/>
      <c r="I3" s="978"/>
      <c r="J3" s="978"/>
      <c r="K3" s="978"/>
      <c r="L3" s="978"/>
      <c r="M3" s="978"/>
      <c r="N3" s="978"/>
      <c r="O3" s="978"/>
    </row>
    <row r="4" spans="1:40">
      <c r="A4" s="142" t="s">
        <v>39</v>
      </c>
      <c r="B4" s="117" t="s">
        <v>963</v>
      </c>
      <c r="C4" s="117" t="s">
        <v>963</v>
      </c>
      <c r="D4" s="9" t="s">
        <v>93</v>
      </c>
      <c r="E4" s="116">
        <v>2885.0686350860101</v>
      </c>
      <c r="F4" s="116">
        <v>2909.4280502461302</v>
      </c>
      <c r="G4" s="116">
        <f t="shared" ref="G4:G11" si="0">SUM(E4:F4)</f>
        <v>5794.4966853321403</v>
      </c>
      <c r="H4" s="128">
        <f t="shared" ref="H4:H11" si="1">G4/$G$12</f>
        <v>0.32347542902537302</v>
      </c>
      <c r="I4" s="965" t="s">
        <v>1214</v>
      </c>
      <c r="J4" s="965"/>
      <c r="K4" s="965"/>
      <c r="L4" s="965"/>
      <c r="M4" s="965"/>
      <c r="N4" s="965"/>
      <c r="O4" s="965"/>
    </row>
    <row r="5" spans="1:40">
      <c r="A5" s="142" t="s">
        <v>39</v>
      </c>
      <c r="B5" s="117" t="s">
        <v>963</v>
      </c>
      <c r="C5" s="117" t="s">
        <v>963</v>
      </c>
      <c r="D5" s="9" t="s">
        <v>94</v>
      </c>
      <c r="E5" s="116">
        <v>2233.3084179234902</v>
      </c>
      <c r="F5" s="116">
        <v>1065.7029273794899</v>
      </c>
      <c r="G5" s="116">
        <f t="shared" si="0"/>
        <v>3299.0113453029799</v>
      </c>
      <c r="H5" s="128">
        <f t="shared" si="1"/>
        <v>0.18416597130563128</v>
      </c>
      <c r="I5" s="965" t="s">
        <v>1215</v>
      </c>
      <c r="J5" s="965"/>
      <c r="K5" s="965"/>
      <c r="L5" s="965"/>
      <c r="M5" s="965"/>
      <c r="N5" s="965"/>
      <c r="O5" s="965"/>
    </row>
    <row r="6" spans="1:40">
      <c r="A6" s="142" t="s">
        <v>39</v>
      </c>
      <c r="B6" s="117" t="s">
        <v>963</v>
      </c>
      <c r="C6" s="117" t="s">
        <v>963</v>
      </c>
      <c r="D6" s="9" t="s">
        <v>95</v>
      </c>
      <c r="E6" s="116">
        <v>1851.11319573223</v>
      </c>
      <c r="F6" s="116">
        <v>1924.8758026412299</v>
      </c>
      <c r="G6" s="116">
        <f t="shared" si="0"/>
        <v>3775.9889983734602</v>
      </c>
      <c r="H6" s="128">
        <f t="shared" si="1"/>
        <v>0.21079305547552157</v>
      </c>
      <c r="I6" s="965" t="s">
        <v>1215</v>
      </c>
      <c r="J6" s="965"/>
      <c r="K6" s="965"/>
      <c r="L6" s="965"/>
      <c r="M6" s="965"/>
      <c r="N6" s="965"/>
      <c r="O6" s="965"/>
    </row>
    <row r="7" spans="1:40">
      <c r="A7" s="142" t="s">
        <v>39</v>
      </c>
      <c r="B7" s="117" t="s">
        <v>963</v>
      </c>
      <c r="C7" s="117" t="s">
        <v>963</v>
      </c>
      <c r="D7" s="9" t="s">
        <v>96</v>
      </c>
      <c r="E7" s="116">
        <v>345.54532634631101</v>
      </c>
      <c r="F7" s="116">
        <v>329.843858813324</v>
      </c>
      <c r="G7" s="116">
        <f t="shared" si="0"/>
        <v>675.38918515963496</v>
      </c>
      <c r="H7" s="128">
        <f t="shared" si="1"/>
        <v>3.7703327535183018E-2</v>
      </c>
      <c r="I7" s="965" t="s">
        <v>1215</v>
      </c>
      <c r="J7" s="965"/>
      <c r="K7" s="965"/>
      <c r="L7" s="965"/>
      <c r="M7" s="965"/>
      <c r="N7" s="965"/>
      <c r="O7" s="965"/>
    </row>
    <row r="8" spans="1:40">
      <c r="A8" s="142" t="s">
        <v>39</v>
      </c>
      <c r="B8" s="117" t="s">
        <v>963</v>
      </c>
      <c r="C8" s="117" t="s">
        <v>963</v>
      </c>
      <c r="D8" s="9" t="s">
        <v>97</v>
      </c>
      <c r="E8" s="116">
        <v>123.549106802057</v>
      </c>
      <c r="F8" s="116">
        <v>117.935075468761</v>
      </c>
      <c r="G8" s="116">
        <f t="shared" si="0"/>
        <v>241.484182270818</v>
      </c>
      <c r="H8" s="128">
        <f t="shared" si="1"/>
        <v>1.3480756604905492E-2</v>
      </c>
      <c r="I8" s="965" t="s">
        <v>1215</v>
      </c>
      <c r="J8" s="965"/>
      <c r="K8" s="965"/>
      <c r="L8" s="965"/>
      <c r="M8" s="965"/>
      <c r="N8" s="965"/>
      <c r="O8" s="965"/>
    </row>
    <row r="9" spans="1:40">
      <c r="A9" s="142" t="s">
        <v>39</v>
      </c>
      <c r="B9" s="117" t="s">
        <v>963</v>
      </c>
      <c r="C9" s="117" t="s">
        <v>963</v>
      </c>
      <c r="D9" s="9" t="s">
        <v>98</v>
      </c>
      <c r="E9" s="116">
        <v>196.41778061564401</v>
      </c>
      <c r="F9" s="116">
        <v>188.361759836734</v>
      </c>
      <c r="G9" s="116">
        <f t="shared" si="0"/>
        <v>384.779540452378</v>
      </c>
      <c r="H9" s="128">
        <f t="shared" si="1"/>
        <v>2.148016189966712E-2</v>
      </c>
      <c r="I9" s="965" t="s">
        <v>1215</v>
      </c>
      <c r="J9" s="965"/>
      <c r="K9" s="965"/>
      <c r="L9" s="965"/>
      <c r="M9" s="965"/>
      <c r="N9" s="965"/>
      <c r="O9" s="965"/>
    </row>
    <row r="10" spans="1:40">
      <c r="A10" s="142" t="s">
        <v>39</v>
      </c>
      <c r="B10" s="117" t="s">
        <v>963</v>
      </c>
      <c r="C10" s="117" t="s">
        <v>963</v>
      </c>
      <c r="D10" s="9" t="s">
        <v>99</v>
      </c>
      <c r="E10" s="116">
        <v>1778.68411129328</v>
      </c>
      <c r="F10" s="116">
        <v>1508.5460067608601</v>
      </c>
      <c r="G10" s="116">
        <f t="shared" si="0"/>
        <v>3287.2301180541399</v>
      </c>
      <c r="H10" s="128">
        <f t="shared" si="1"/>
        <v>0.18350828906924124</v>
      </c>
      <c r="I10" s="965" t="s">
        <v>1215</v>
      </c>
      <c r="J10" s="965"/>
      <c r="K10" s="965"/>
      <c r="L10" s="965"/>
      <c r="M10" s="965"/>
      <c r="N10" s="965"/>
      <c r="O10" s="965"/>
    </row>
    <row r="11" spans="1:40">
      <c r="A11" s="142" t="s">
        <v>39</v>
      </c>
      <c r="B11" s="117" t="s">
        <v>963</v>
      </c>
      <c r="C11" s="117" t="s">
        <v>963</v>
      </c>
      <c r="D11" s="9" t="s">
        <v>106</v>
      </c>
      <c r="E11" s="116">
        <v>201.416771483639</v>
      </c>
      <c r="F11" s="116">
        <v>253.45458432209401</v>
      </c>
      <c r="G11" s="116">
        <f t="shared" si="0"/>
        <v>454.871355805733</v>
      </c>
      <c r="H11" s="128">
        <f t="shared" si="1"/>
        <v>2.5393009084477291E-2</v>
      </c>
      <c r="I11" s="965" t="s">
        <v>1215</v>
      </c>
      <c r="J11" s="965"/>
      <c r="K11" s="965"/>
      <c r="L11" s="965"/>
      <c r="M11" s="965"/>
      <c r="N11" s="965"/>
      <c r="O11" s="965"/>
    </row>
    <row r="12" spans="1:40">
      <c r="A12" s="142" t="s">
        <v>39</v>
      </c>
      <c r="B12" s="117" t="s">
        <v>963</v>
      </c>
      <c r="C12" s="117" t="s">
        <v>963</v>
      </c>
      <c r="D12" s="9" t="s">
        <v>1129</v>
      </c>
      <c r="E12" s="132">
        <f>SUM(E4:E11)</f>
        <v>9615.1033452826632</v>
      </c>
      <c r="F12" s="132">
        <f>SUM(F4:F11)</f>
        <v>8298.1480654686238</v>
      </c>
      <c r="G12" s="132">
        <f t="shared" ref="G12:H12" si="2">SUM(G4:G11)</f>
        <v>17913.251410751283</v>
      </c>
      <c r="H12" s="133">
        <f t="shared" si="2"/>
        <v>1</v>
      </c>
      <c r="I12" s="965"/>
      <c r="J12" s="965"/>
      <c r="K12" s="965"/>
      <c r="L12" s="965"/>
      <c r="M12" s="965"/>
      <c r="N12" s="965"/>
      <c r="O12" s="965"/>
    </row>
    <row r="13" spans="1:40">
      <c r="B13" s="25"/>
      <c r="C13" s="134"/>
      <c r="D13" s="134"/>
      <c r="E13" s="134"/>
      <c r="F13" s="135"/>
    </row>
    <row r="14" spans="1:40" s="131" customFormat="1" ht="30" customHeight="1">
      <c r="A14" s="966" t="s">
        <v>879</v>
      </c>
      <c r="B14" s="966"/>
      <c r="C14" s="966"/>
      <c r="D14" s="966"/>
      <c r="E14" s="966"/>
      <c r="F14" s="966"/>
      <c r="G14" s="966"/>
      <c r="H14" s="966"/>
      <c r="I14" s="966"/>
      <c r="J14" s="966"/>
      <c r="K14" s="966"/>
      <c r="L14" s="966"/>
      <c r="M14" s="966"/>
      <c r="N14" s="966"/>
      <c r="O14" s="966"/>
      <c r="P14" s="966"/>
      <c r="Q14" s="966"/>
      <c r="R14" s="966"/>
      <c r="U14" s="388" t="s">
        <v>879</v>
      </c>
      <c r="V14" s="388"/>
      <c r="W14" s="388"/>
      <c r="X14" s="388"/>
      <c r="Y14" s="388"/>
      <c r="Z14" s="388"/>
      <c r="AA14" s="388"/>
      <c r="AB14" s="388"/>
      <c r="AC14" s="388"/>
      <c r="AD14"/>
      <c r="AE14"/>
      <c r="AF14" s="388" t="s">
        <v>1216</v>
      </c>
      <c r="AG14" s="388"/>
      <c r="AH14" s="388"/>
      <c r="AI14" s="388"/>
      <c r="AJ14" s="388"/>
      <c r="AK14" s="388"/>
      <c r="AL14" s="388"/>
      <c r="AM14" s="388"/>
      <c r="AN14" s="388"/>
    </row>
    <row r="15" spans="1:40" ht="30" customHeight="1">
      <c r="A15" s="140" t="s">
        <v>108</v>
      </c>
      <c r="B15" s="140" t="s">
        <v>109</v>
      </c>
      <c r="C15" s="140" t="s">
        <v>139</v>
      </c>
      <c r="D15" s="140" t="s">
        <v>110</v>
      </c>
      <c r="E15" s="140" t="s">
        <v>973</v>
      </c>
      <c r="F15" s="996" t="s">
        <v>112</v>
      </c>
      <c r="G15" s="996"/>
      <c r="H15" s="996"/>
      <c r="I15" s="996"/>
      <c r="U15" s="140" t="s">
        <v>108</v>
      </c>
      <c r="V15" s="140" t="s">
        <v>109</v>
      </c>
      <c r="W15" s="140" t="s">
        <v>139</v>
      </c>
      <c r="X15" s="140" t="s">
        <v>110</v>
      </c>
      <c r="Y15" s="140" t="s">
        <v>973</v>
      </c>
      <c r="Z15" s="996" t="s">
        <v>112</v>
      </c>
      <c r="AA15" s="996"/>
      <c r="AB15" s="996"/>
      <c r="AC15" s="996"/>
      <c r="AF15" s="140" t="s">
        <v>108</v>
      </c>
      <c r="AG15" s="140" t="s">
        <v>109</v>
      </c>
      <c r="AH15" s="140" t="s">
        <v>139</v>
      </c>
      <c r="AI15" s="140" t="s">
        <v>110</v>
      </c>
      <c r="AJ15" s="140" t="s">
        <v>973</v>
      </c>
      <c r="AK15" s="996" t="s">
        <v>112</v>
      </c>
      <c r="AL15" s="996"/>
      <c r="AM15" s="996"/>
      <c r="AN15" s="996"/>
    </row>
    <row r="16" spans="1:40">
      <c r="A16" s="143" t="s">
        <v>39</v>
      </c>
      <c r="B16" s="117">
        <v>2020</v>
      </c>
      <c r="C16" s="117" t="s">
        <v>188</v>
      </c>
      <c r="D16" s="117" t="s">
        <v>1034</v>
      </c>
      <c r="E16" s="130">
        <v>554</v>
      </c>
      <c r="F16" s="1072" t="s">
        <v>1217</v>
      </c>
      <c r="G16" s="1072"/>
      <c r="H16" s="1072"/>
      <c r="I16" s="1072"/>
      <c r="U16" s="143" t="s">
        <v>39</v>
      </c>
      <c r="V16" s="117">
        <v>2021</v>
      </c>
      <c r="W16" s="117" t="s">
        <v>188</v>
      </c>
      <c r="X16" s="117" t="s">
        <v>1034</v>
      </c>
      <c r="Y16" s="130">
        <f>545828/1000</f>
        <v>545.82799999999997</v>
      </c>
      <c r="Z16" s="1072" t="s">
        <v>1217</v>
      </c>
      <c r="AA16" s="1072"/>
      <c r="AB16" s="1072"/>
      <c r="AC16" s="1072"/>
      <c r="AF16" s="143" t="s">
        <v>39</v>
      </c>
      <c r="AG16" s="117">
        <v>2021</v>
      </c>
      <c r="AH16" s="117" t="s">
        <v>190</v>
      </c>
      <c r="AI16" s="117" t="s">
        <v>1034</v>
      </c>
      <c r="AJ16" s="130">
        <f>16051604/1000</f>
        <v>16051.603999999999</v>
      </c>
      <c r="AK16" s="1072" t="s">
        <v>1217</v>
      </c>
      <c r="AL16" s="1072"/>
      <c r="AM16" s="1072"/>
      <c r="AN16" s="1072"/>
    </row>
    <row r="17" spans="1:40">
      <c r="U17" s="143" t="s">
        <v>39</v>
      </c>
      <c r="V17" s="6">
        <v>2020</v>
      </c>
      <c r="W17" s="117" t="s">
        <v>188</v>
      </c>
      <c r="X17" s="117" t="s">
        <v>1034</v>
      </c>
      <c r="Y17" s="117">
        <f>554000/1000</f>
        <v>554</v>
      </c>
      <c r="Z17" s="1072" t="s">
        <v>1217</v>
      </c>
      <c r="AA17" s="1072"/>
      <c r="AB17" s="1072"/>
      <c r="AC17" s="1072"/>
      <c r="AF17" s="143" t="s">
        <v>39</v>
      </c>
      <c r="AG17" s="6">
        <v>2020</v>
      </c>
      <c r="AH17" s="117" t="s">
        <v>190</v>
      </c>
      <c r="AI17" s="117" t="s">
        <v>1034</v>
      </c>
      <c r="AJ17" s="117">
        <f>15453665/1000</f>
        <v>15453.665000000001</v>
      </c>
      <c r="AK17" s="1072" t="s">
        <v>1217</v>
      </c>
      <c r="AL17" s="1072"/>
      <c r="AM17" s="1072"/>
      <c r="AN17" s="1072"/>
    </row>
    <row r="18" spans="1:40" ht="30" customHeight="1">
      <c r="A18" s="140" t="s">
        <v>108</v>
      </c>
      <c r="B18" s="140" t="s">
        <v>109</v>
      </c>
      <c r="C18" s="140" t="s">
        <v>139</v>
      </c>
      <c r="D18" s="140" t="s">
        <v>110</v>
      </c>
      <c r="E18" s="140" t="s">
        <v>973</v>
      </c>
      <c r="F18" s="996" t="s">
        <v>112</v>
      </c>
      <c r="G18" s="996"/>
      <c r="H18" s="996"/>
      <c r="I18" s="996"/>
      <c r="U18" s="143" t="s">
        <v>39</v>
      </c>
      <c r="V18" s="117">
        <v>2019</v>
      </c>
      <c r="W18" s="117" t="s">
        <v>188</v>
      </c>
      <c r="X18" s="117" t="s">
        <v>1034</v>
      </c>
      <c r="Y18" s="117">
        <v>523</v>
      </c>
      <c r="Z18" s="1072" t="s">
        <v>1217</v>
      </c>
      <c r="AA18" s="1072"/>
      <c r="AB18" s="1072"/>
      <c r="AC18" s="1072"/>
      <c r="AF18" s="143" t="s">
        <v>39</v>
      </c>
      <c r="AG18" s="117">
        <v>2019</v>
      </c>
      <c r="AH18" s="117" t="s">
        <v>190</v>
      </c>
      <c r="AI18" s="117" t="s">
        <v>1034</v>
      </c>
      <c r="AJ18" s="117">
        <f>15262788/1000</f>
        <v>15262.788</v>
      </c>
      <c r="AK18" s="1072" t="s">
        <v>1217</v>
      </c>
      <c r="AL18" s="1072"/>
      <c r="AM18" s="1072"/>
      <c r="AN18" s="1072"/>
    </row>
    <row r="19" spans="1:40">
      <c r="A19" s="143" t="s">
        <v>39</v>
      </c>
      <c r="B19" s="117">
        <v>2020</v>
      </c>
      <c r="C19" s="117" t="s">
        <v>188</v>
      </c>
      <c r="D19" s="9" t="s">
        <v>93</v>
      </c>
      <c r="E19" s="136">
        <f t="shared" ref="E19:E26" si="3">H4*$E$16</f>
        <v>179.20538768005665</v>
      </c>
      <c r="F19" s="998" t="s">
        <v>1218</v>
      </c>
      <c r="G19" s="998"/>
      <c r="H19" s="998"/>
      <c r="I19" s="998"/>
      <c r="U19" s="143" t="s">
        <v>39</v>
      </c>
      <c r="V19" s="6">
        <v>2018</v>
      </c>
      <c r="W19" s="117" t="s">
        <v>188</v>
      </c>
      <c r="X19" s="117" t="s">
        <v>1034</v>
      </c>
      <c r="Y19" s="117">
        <v>523</v>
      </c>
      <c r="Z19" s="1072" t="s">
        <v>1217</v>
      </c>
      <c r="AA19" s="1072"/>
      <c r="AB19" s="1072"/>
      <c r="AC19" s="1072"/>
      <c r="AF19" s="143" t="s">
        <v>39</v>
      </c>
      <c r="AG19" s="6">
        <v>2018</v>
      </c>
      <c r="AH19" s="117" t="s">
        <v>190</v>
      </c>
      <c r="AI19" s="117" t="s">
        <v>1034</v>
      </c>
      <c r="AJ19" s="117">
        <f>14817435/1000</f>
        <v>14817.434999999999</v>
      </c>
      <c r="AK19" s="1072" t="s">
        <v>1217</v>
      </c>
      <c r="AL19" s="1072"/>
      <c r="AM19" s="1072"/>
      <c r="AN19" s="1072"/>
    </row>
    <row r="20" spans="1:40">
      <c r="A20" s="143" t="s">
        <v>39</v>
      </c>
      <c r="B20" s="117">
        <v>2020</v>
      </c>
      <c r="C20" s="117" t="s">
        <v>188</v>
      </c>
      <c r="D20" s="9" t="s">
        <v>94</v>
      </c>
      <c r="E20" s="136">
        <f t="shared" si="3"/>
        <v>102.02794810331973</v>
      </c>
      <c r="F20" s="998" t="s">
        <v>1218</v>
      </c>
      <c r="G20" s="998"/>
      <c r="H20" s="998"/>
      <c r="I20" s="998"/>
      <c r="U20" s="143" t="s">
        <v>39</v>
      </c>
      <c r="V20" s="117">
        <v>2017</v>
      </c>
      <c r="W20" s="117" t="s">
        <v>188</v>
      </c>
      <c r="X20" s="117" t="s">
        <v>1034</v>
      </c>
      <c r="Y20" s="117">
        <v>512</v>
      </c>
      <c r="Z20" s="1072" t="s">
        <v>1217</v>
      </c>
      <c r="AA20" s="1072"/>
      <c r="AB20" s="1072"/>
      <c r="AC20" s="1072"/>
      <c r="AF20" s="143" t="s">
        <v>39</v>
      </c>
      <c r="AG20" s="117">
        <v>2017</v>
      </c>
      <c r="AH20" s="117" t="s">
        <v>190</v>
      </c>
      <c r="AI20" s="117" t="s">
        <v>1034</v>
      </c>
      <c r="AJ20" s="117">
        <f>14551775/1000</f>
        <v>14551.775</v>
      </c>
      <c r="AK20" s="1072" t="s">
        <v>1217</v>
      </c>
      <c r="AL20" s="1072"/>
      <c r="AM20" s="1072"/>
      <c r="AN20" s="1072"/>
    </row>
    <row r="21" spans="1:40">
      <c r="A21" s="143" t="s">
        <v>39</v>
      </c>
      <c r="B21" s="117">
        <v>2020</v>
      </c>
      <c r="C21" s="117" t="s">
        <v>188</v>
      </c>
      <c r="D21" s="9" t="s">
        <v>95</v>
      </c>
      <c r="E21" s="136">
        <f t="shared" si="3"/>
        <v>116.77935273343896</v>
      </c>
      <c r="F21" s="998" t="s">
        <v>1218</v>
      </c>
      <c r="G21" s="998"/>
      <c r="H21" s="998"/>
      <c r="I21" s="998"/>
      <c r="U21"/>
      <c r="V21"/>
      <c r="W21"/>
      <c r="X21"/>
      <c r="Y21"/>
      <c r="Z21" s="964"/>
      <c r="AA21" s="964"/>
      <c r="AB21" s="964"/>
      <c r="AC21" s="964"/>
      <c r="AF21"/>
      <c r="AG21"/>
      <c r="AH21"/>
      <c r="AI21"/>
      <c r="AJ21"/>
      <c r="AK21" s="964"/>
      <c r="AL21" s="964"/>
      <c r="AM21" s="964"/>
      <c r="AN21" s="964"/>
    </row>
    <row r="22" spans="1:40">
      <c r="A22" s="143" t="s">
        <v>39</v>
      </c>
      <c r="B22" s="117">
        <v>2020</v>
      </c>
      <c r="C22" s="117" t="s">
        <v>188</v>
      </c>
      <c r="D22" s="9" t="s">
        <v>96</v>
      </c>
      <c r="E22" s="136">
        <f t="shared" si="3"/>
        <v>20.887643454491393</v>
      </c>
      <c r="F22" s="998" t="s">
        <v>1218</v>
      </c>
      <c r="G22" s="998"/>
      <c r="H22" s="998"/>
      <c r="I22" s="998"/>
      <c r="U22" s="140" t="s">
        <v>108</v>
      </c>
      <c r="V22" s="140" t="s">
        <v>109</v>
      </c>
      <c r="W22" s="140" t="s">
        <v>139</v>
      </c>
      <c r="X22" s="140" t="s">
        <v>110</v>
      </c>
      <c r="Y22" s="140" t="s">
        <v>973</v>
      </c>
      <c r="Z22" s="140" t="s">
        <v>112</v>
      </c>
      <c r="AA22" s="140"/>
      <c r="AB22" s="140"/>
      <c r="AC22" s="140"/>
      <c r="AF22" s="140" t="s">
        <v>108</v>
      </c>
      <c r="AG22" s="140" t="s">
        <v>109</v>
      </c>
      <c r="AH22" s="140" t="s">
        <v>139</v>
      </c>
      <c r="AI22" s="140" t="s">
        <v>110</v>
      </c>
      <c r="AJ22" s="140" t="s">
        <v>973</v>
      </c>
      <c r="AK22" s="140" t="s">
        <v>112</v>
      </c>
      <c r="AL22" s="140"/>
      <c r="AM22" s="140"/>
      <c r="AN22" s="140"/>
    </row>
    <row r="23" spans="1:40">
      <c r="A23" s="143" t="s">
        <v>39</v>
      </c>
      <c r="B23" s="117">
        <v>2020</v>
      </c>
      <c r="C23" s="117" t="s">
        <v>188</v>
      </c>
      <c r="D23" s="9" t="s">
        <v>97</v>
      </c>
      <c r="E23" s="136">
        <f t="shared" si="3"/>
        <v>7.4683391591176429</v>
      </c>
      <c r="F23" s="998" t="s">
        <v>1218</v>
      </c>
      <c r="G23" s="998"/>
      <c r="H23" s="998"/>
      <c r="I23" s="998"/>
      <c r="U23" s="143" t="s">
        <v>39</v>
      </c>
      <c r="V23" s="117">
        <v>2021</v>
      </c>
      <c r="W23" s="117" t="s">
        <v>188</v>
      </c>
      <c r="X23" s="9" t="s">
        <v>93</v>
      </c>
      <c r="Y23" s="136">
        <f>Y16*H4</f>
        <v>176.5619464740613</v>
      </c>
      <c r="Z23" s="117" t="s">
        <v>1218</v>
      </c>
      <c r="AA23" s="117"/>
      <c r="AB23" s="117"/>
      <c r="AC23" s="117"/>
      <c r="AF23" s="143" t="s">
        <v>39</v>
      </c>
      <c r="AG23" s="117">
        <v>2021</v>
      </c>
      <c r="AH23" s="117" t="s">
        <v>190</v>
      </c>
      <c r="AI23" s="9" t="s">
        <v>93</v>
      </c>
      <c r="AJ23" s="136">
        <f>AJ16*H4</f>
        <v>5192.2994904453935</v>
      </c>
      <c r="AK23" s="117" t="s">
        <v>1218</v>
      </c>
      <c r="AL23" s="117"/>
      <c r="AM23" s="117"/>
      <c r="AN23" s="117"/>
    </row>
    <row r="24" spans="1:40">
      <c r="A24" s="143" t="s">
        <v>39</v>
      </c>
      <c r="B24" s="117">
        <v>2020</v>
      </c>
      <c r="C24" s="117" t="s">
        <v>188</v>
      </c>
      <c r="D24" s="9" t="s">
        <v>98</v>
      </c>
      <c r="E24" s="136">
        <f t="shared" si="3"/>
        <v>11.900009692415585</v>
      </c>
      <c r="F24" s="998" t="s">
        <v>1218</v>
      </c>
      <c r="G24" s="998"/>
      <c r="H24" s="998"/>
      <c r="I24" s="998"/>
      <c r="U24" s="143" t="s">
        <v>39</v>
      </c>
      <c r="V24" s="117">
        <v>2021</v>
      </c>
      <c r="W24" s="117" t="s">
        <v>188</v>
      </c>
      <c r="X24" s="9" t="s">
        <v>94</v>
      </c>
      <c r="Y24" s="136">
        <f>Y16*H5</f>
        <v>100.52294378581011</v>
      </c>
      <c r="Z24" s="117" t="s">
        <v>1218</v>
      </c>
      <c r="AA24" s="117"/>
      <c r="AB24" s="117"/>
      <c r="AC24" s="117"/>
      <c r="AF24" s="143" t="s">
        <v>39</v>
      </c>
      <c r="AG24" s="117">
        <v>2021</v>
      </c>
      <c r="AH24" s="117" t="s">
        <v>190</v>
      </c>
      <c r="AI24" s="9" t="s">
        <v>94</v>
      </c>
      <c r="AJ24" s="136">
        <f>AJ16*H5</f>
        <v>2956.1592416733561</v>
      </c>
      <c r="AK24" s="117" t="s">
        <v>1218</v>
      </c>
      <c r="AL24" s="117"/>
      <c r="AM24" s="117"/>
      <c r="AN24" s="117"/>
    </row>
    <row r="25" spans="1:40">
      <c r="A25" s="143" t="s">
        <v>39</v>
      </c>
      <c r="B25" s="117">
        <v>2020</v>
      </c>
      <c r="C25" s="117" t="s">
        <v>188</v>
      </c>
      <c r="D25" s="9" t="s">
        <v>99</v>
      </c>
      <c r="E25" s="136">
        <f t="shared" si="3"/>
        <v>101.66359214435965</v>
      </c>
      <c r="F25" s="998" t="s">
        <v>1218</v>
      </c>
      <c r="G25" s="998"/>
      <c r="H25" s="998"/>
      <c r="I25" s="998"/>
      <c r="U25" s="143" t="s">
        <v>39</v>
      </c>
      <c r="V25" s="117">
        <v>2021</v>
      </c>
      <c r="W25" s="117" t="s">
        <v>188</v>
      </c>
      <c r="X25" s="9" t="s">
        <v>95</v>
      </c>
      <c r="Y25" s="136">
        <f>Y16*H6</f>
        <v>115.05675188409299</v>
      </c>
      <c r="Z25" s="117" t="s">
        <v>1218</v>
      </c>
      <c r="AA25" s="117"/>
      <c r="AB25" s="117"/>
      <c r="AC25" s="117"/>
      <c r="AF25" s="143" t="s">
        <v>39</v>
      </c>
      <c r="AG25" s="117">
        <v>2021</v>
      </c>
      <c r="AH25" s="117" t="s">
        <v>190</v>
      </c>
      <c r="AI25" s="9" t="s">
        <v>95</v>
      </c>
      <c r="AJ25" s="136">
        <f>AJ16*H6</f>
        <v>3383.566652443104</v>
      </c>
      <c r="AK25" s="117" t="s">
        <v>1218</v>
      </c>
      <c r="AL25" s="117"/>
      <c r="AM25" s="117"/>
      <c r="AN25" s="117"/>
    </row>
    <row r="26" spans="1:40">
      <c r="A26" s="143" t="s">
        <v>39</v>
      </c>
      <c r="B26" s="117">
        <v>2020</v>
      </c>
      <c r="C26" s="117" t="s">
        <v>188</v>
      </c>
      <c r="D26" s="9" t="s">
        <v>106</v>
      </c>
      <c r="E26" s="136">
        <f t="shared" si="3"/>
        <v>14.06772703280042</v>
      </c>
      <c r="F26" s="998" t="s">
        <v>1218</v>
      </c>
      <c r="G26" s="998"/>
      <c r="H26" s="998"/>
      <c r="I26" s="998"/>
      <c r="U26" s="143" t="s">
        <v>39</v>
      </c>
      <c r="V26" s="117">
        <v>2021</v>
      </c>
      <c r="W26" s="117" t="s">
        <v>188</v>
      </c>
      <c r="X26" s="9" t="s">
        <v>96</v>
      </c>
      <c r="Y26" s="136">
        <f>Y16*H7</f>
        <v>20.579531861873875</v>
      </c>
      <c r="Z26" s="117" t="s">
        <v>1218</v>
      </c>
      <c r="AA26" s="117"/>
      <c r="AB26" s="117"/>
      <c r="AC26" s="117"/>
      <c r="AF26" s="143" t="s">
        <v>39</v>
      </c>
      <c r="AG26" s="117">
        <v>2021</v>
      </c>
      <c r="AH26" s="117" t="s">
        <v>190</v>
      </c>
      <c r="AI26" s="9" t="s">
        <v>96</v>
      </c>
      <c r="AJ26" s="136">
        <f>AJ16*H7</f>
        <v>605.19888307705389</v>
      </c>
      <c r="AK26" s="117" t="s">
        <v>1218</v>
      </c>
      <c r="AL26" s="117"/>
      <c r="AM26" s="117"/>
      <c r="AN26" s="117"/>
    </row>
    <row r="27" spans="1:40">
      <c r="B27" s="7"/>
      <c r="D27" s="26"/>
      <c r="E27" s="106"/>
      <c r="U27" s="143" t="s">
        <v>39</v>
      </c>
      <c r="V27" s="117">
        <v>2021</v>
      </c>
      <c r="W27" s="117" t="s">
        <v>188</v>
      </c>
      <c r="X27" s="9" t="s">
        <v>97</v>
      </c>
      <c r="Y27" s="136">
        <f>Y16*H8</f>
        <v>7.3581744161423543</v>
      </c>
      <c r="Z27" s="117" t="s">
        <v>1218</v>
      </c>
      <c r="AA27" s="117"/>
      <c r="AB27" s="117"/>
      <c r="AC27" s="117"/>
      <c r="AF27" s="143" t="s">
        <v>39</v>
      </c>
      <c r="AG27" s="117">
        <v>2021</v>
      </c>
      <c r="AH27" s="117" t="s">
        <v>190</v>
      </c>
      <c r="AI27" s="9" t="s">
        <v>97</v>
      </c>
      <c r="AJ27" s="136">
        <f>AJ16*H8</f>
        <v>216.38776664232742</v>
      </c>
      <c r="AK27" s="117" t="s">
        <v>1218</v>
      </c>
      <c r="AL27" s="117"/>
      <c r="AM27" s="117"/>
      <c r="AN27" s="117"/>
    </row>
    <row r="28" spans="1:40" s="131" customFormat="1" ht="30" customHeight="1">
      <c r="A28" s="1069" t="s">
        <v>884</v>
      </c>
      <c r="B28" s="1070"/>
      <c r="C28" s="1070"/>
      <c r="D28" s="1070"/>
      <c r="E28" s="1070"/>
      <c r="F28" s="1070"/>
      <c r="G28" s="1070"/>
      <c r="H28" s="1070"/>
      <c r="I28" s="1070"/>
      <c r="J28" s="1070"/>
      <c r="K28" s="1070"/>
      <c r="L28" s="1070"/>
      <c r="M28" s="1070"/>
      <c r="N28" s="1070"/>
      <c r="O28" s="1070"/>
      <c r="P28" s="1070"/>
      <c r="Q28" s="1070"/>
      <c r="R28" s="1071"/>
      <c r="U28" s="143" t="s">
        <v>39</v>
      </c>
      <c r="V28" s="117">
        <v>2021</v>
      </c>
      <c r="W28" s="117" t="s">
        <v>188</v>
      </c>
      <c r="X28" s="9" t="s">
        <v>98</v>
      </c>
      <c r="Y28" s="136">
        <f>Y16*H9</f>
        <v>11.724473809371505</v>
      </c>
      <c r="Z28" s="117" t="s">
        <v>1218</v>
      </c>
      <c r="AA28" s="117"/>
      <c r="AB28" s="117"/>
      <c r="AC28" s="117"/>
      <c r="AF28" s="143" t="s">
        <v>39</v>
      </c>
      <c r="AG28" s="117">
        <v>2021</v>
      </c>
      <c r="AH28" s="117" t="s">
        <v>190</v>
      </c>
      <c r="AI28" s="9" t="s">
        <v>98</v>
      </c>
      <c r="AJ28" s="136">
        <f>AJ16*H9</f>
        <v>344.79105266934431</v>
      </c>
      <c r="AK28" s="117" t="s">
        <v>1218</v>
      </c>
      <c r="AL28" s="117"/>
      <c r="AM28" s="117"/>
      <c r="AN28" s="117"/>
    </row>
    <row r="29" spans="1:40" ht="30" customHeight="1">
      <c r="A29" s="140" t="s">
        <v>108</v>
      </c>
      <c r="B29" s="140" t="s">
        <v>109</v>
      </c>
      <c r="C29" s="140" t="s">
        <v>139</v>
      </c>
      <c r="D29" s="140" t="s">
        <v>110</v>
      </c>
      <c r="E29" s="140" t="s">
        <v>973</v>
      </c>
      <c r="F29" s="996" t="s">
        <v>112</v>
      </c>
      <c r="G29" s="996"/>
      <c r="H29" s="996"/>
      <c r="I29" s="996"/>
      <c r="U29" s="143" t="s">
        <v>39</v>
      </c>
      <c r="V29" s="117">
        <v>2021</v>
      </c>
      <c r="W29" s="117" t="s">
        <v>188</v>
      </c>
      <c r="X29" s="9" t="s">
        <v>99</v>
      </c>
      <c r="Y29" s="136">
        <f>Y16*H10</f>
        <v>100.1639624060858</v>
      </c>
      <c r="Z29" s="117" t="s">
        <v>1218</v>
      </c>
      <c r="AA29" s="117"/>
      <c r="AB29" s="117"/>
      <c r="AC29" s="117"/>
      <c r="AF29" s="143" t="s">
        <v>39</v>
      </c>
      <c r="AG29" s="117">
        <v>2021</v>
      </c>
      <c r="AH29" s="117" t="s">
        <v>190</v>
      </c>
      <c r="AI29" s="9" t="s">
        <v>99</v>
      </c>
      <c r="AJ29" s="136">
        <f>AJ16*H10</f>
        <v>2945.6023868569887</v>
      </c>
      <c r="AK29" s="117" t="s">
        <v>1218</v>
      </c>
      <c r="AL29" s="117"/>
      <c r="AM29" s="117"/>
      <c r="AN29" s="117"/>
    </row>
    <row r="30" spans="1:40">
      <c r="A30" s="143" t="s">
        <v>39</v>
      </c>
      <c r="B30" s="117">
        <v>2020</v>
      </c>
      <c r="C30" s="117" t="s">
        <v>190</v>
      </c>
      <c r="D30" s="117" t="s">
        <v>1034</v>
      </c>
      <c r="E30" s="117">
        <v>15458.25</v>
      </c>
      <c r="F30" s="1072" t="s">
        <v>1219</v>
      </c>
      <c r="G30" s="1072"/>
      <c r="H30" s="1072"/>
      <c r="I30" s="1072"/>
      <c r="U30" s="143" t="s">
        <v>39</v>
      </c>
      <c r="V30" s="117">
        <v>2021</v>
      </c>
      <c r="W30" s="117" t="s">
        <v>188</v>
      </c>
      <c r="X30" s="9" t="s">
        <v>106</v>
      </c>
      <c r="Y30" s="136">
        <f>Y16*H11</f>
        <v>13.860215362562069</v>
      </c>
      <c r="Z30" s="117" t="s">
        <v>1218</v>
      </c>
      <c r="AA30" s="117"/>
      <c r="AB30" s="117"/>
      <c r="AC30" s="117"/>
      <c r="AF30" s="143" t="s">
        <v>39</v>
      </c>
      <c r="AG30" s="117">
        <v>2021</v>
      </c>
      <c r="AH30" s="117" t="s">
        <v>190</v>
      </c>
      <c r="AI30" s="9" t="s">
        <v>106</v>
      </c>
      <c r="AJ30" s="136">
        <f>AJ16*H11</f>
        <v>407.59852619243202</v>
      </c>
      <c r="AK30" s="117" t="s">
        <v>1218</v>
      </c>
      <c r="AL30" s="117"/>
      <c r="AM30" s="117"/>
      <c r="AN30" s="117"/>
    </row>
    <row r="31" spans="1:40">
      <c r="U31" s="143" t="s">
        <v>39</v>
      </c>
      <c r="V31" s="117">
        <v>2020</v>
      </c>
      <c r="W31" s="117" t="s">
        <v>188</v>
      </c>
      <c r="X31" s="9" t="s">
        <v>93</v>
      </c>
      <c r="Y31" s="136">
        <f>Y17*H4</f>
        <v>179.20538768005665</v>
      </c>
      <c r="Z31" s="117" t="s">
        <v>1218</v>
      </c>
      <c r="AA31" s="117"/>
      <c r="AB31" s="117"/>
      <c r="AC31" s="117"/>
      <c r="AF31" s="143" t="s">
        <v>39</v>
      </c>
      <c r="AG31" s="117">
        <v>2020</v>
      </c>
      <c r="AH31" s="117" t="s">
        <v>190</v>
      </c>
      <c r="AI31" s="9" t="s">
        <v>93</v>
      </c>
      <c r="AJ31" s="136">
        <f>AJ17*H4</f>
        <v>4998.880915889391</v>
      </c>
      <c r="AK31" s="117" t="s">
        <v>1218</v>
      </c>
      <c r="AL31" s="117"/>
      <c r="AM31" s="117"/>
      <c r="AN31" s="117"/>
    </row>
    <row r="32" spans="1:40" ht="30" customHeight="1">
      <c r="A32" s="140" t="s">
        <v>108</v>
      </c>
      <c r="B32" s="140" t="s">
        <v>109</v>
      </c>
      <c r="C32" s="140" t="s">
        <v>139</v>
      </c>
      <c r="D32" s="140" t="s">
        <v>110</v>
      </c>
      <c r="E32" s="140" t="s">
        <v>973</v>
      </c>
      <c r="F32" s="996" t="s">
        <v>112</v>
      </c>
      <c r="G32" s="996"/>
      <c r="H32" s="996"/>
      <c r="I32" s="996"/>
      <c r="U32" s="143" t="s">
        <v>39</v>
      </c>
      <c r="V32" s="117">
        <v>2020</v>
      </c>
      <c r="W32" s="117" t="s">
        <v>188</v>
      </c>
      <c r="X32" s="9" t="s">
        <v>94</v>
      </c>
      <c r="Y32" s="136">
        <f>Y17*H5</f>
        <v>102.02794810331973</v>
      </c>
      <c r="Z32" s="117" t="s">
        <v>1218</v>
      </c>
      <c r="AA32" s="117"/>
      <c r="AB32" s="117"/>
      <c r="AC32" s="117"/>
      <c r="AF32" s="143" t="s">
        <v>39</v>
      </c>
      <c r="AG32" s="117">
        <v>2020</v>
      </c>
      <c r="AH32" s="117" t="s">
        <v>190</v>
      </c>
      <c r="AI32" s="9" t="s">
        <v>94</v>
      </c>
      <c r="AJ32" s="136">
        <f>AJ17*H5</f>
        <v>2846.0392249568386</v>
      </c>
      <c r="AK32" s="117" t="s">
        <v>1218</v>
      </c>
      <c r="AL32" s="117"/>
      <c r="AM32" s="117"/>
      <c r="AN32" s="117"/>
    </row>
    <row r="33" spans="1:40">
      <c r="A33" s="143" t="s">
        <v>39</v>
      </c>
      <c r="B33" s="117">
        <v>2020</v>
      </c>
      <c r="C33" s="117" t="s">
        <v>190</v>
      </c>
      <c r="D33" s="9" t="s">
        <v>93</v>
      </c>
      <c r="E33" s="136">
        <f t="shared" ref="E33:E40" si="4">H4*$E$30</f>
        <v>5000.3640507314722</v>
      </c>
      <c r="F33" s="998" t="s">
        <v>1218</v>
      </c>
      <c r="G33" s="998"/>
      <c r="H33" s="998"/>
      <c r="I33" s="998"/>
      <c r="U33" s="143" t="s">
        <v>39</v>
      </c>
      <c r="V33" s="117">
        <v>2020</v>
      </c>
      <c r="W33" s="117" t="s">
        <v>188</v>
      </c>
      <c r="X33" s="9" t="s">
        <v>95</v>
      </c>
      <c r="Y33" s="136">
        <f>Y17*H6</f>
        <v>116.77935273343896</v>
      </c>
      <c r="Z33" s="117" t="s">
        <v>1218</v>
      </c>
      <c r="AA33" s="117"/>
      <c r="AB33" s="117"/>
      <c r="AC33" s="117"/>
      <c r="AF33" s="143" t="s">
        <v>39</v>
      </c>
      <c r="AG33" s="117">
        <v>2020</v>
      </c>
      <c r="AH33" s="117" t="s">
        <v>190</v>
      </c>
      <c r="AI33" s="9" t="s">
        <v>95</v>
      </c>
      <c r="AJ33" s="136">
        <f>AJ17*H6</f>
        <v>3257.5252636451264</v>
      </c>
      <c r="AK33" s="117" t="s">
        <v>1218</v>
      </c>
      <c r="AL33" s="117"/>
      <c r="AM33" s="117"/>
      <c r="AN33" s="117"/>
    </row>
    <row r="34" spans="1:40">
      <c r="A34" s="143" t="s">
        <v>39</v>
      </c>
      <c r="B34" s="117">
        <v>2020</v>
      </c>
      <c r="C34" s="117" t="s">
        <v>190</v>
      </c>
      <c r="D34" s="9" t="s">
        <v>94</v>
      </c>
      <c r="E34" s="136">
        <f t="shared" si="4"/>
        <v>2846.8836259352747</v>
      </c>
      <c r="F34" s="998" t="s">
        <v>1218</v>
      </c>
      <c r="G34" s="998"/>
      <c r="H34" s="998"/>
      <c r="I34" s="998"/>
      <c r="U34" s="143" t="s">
        <v>39</v>
      </c>
      <c r="V34" s="117">
        <v>2020</v>
      </c>
      <c r="W34" s="117" t="s">
        <v>188</v>
      </c>
      <c r="X34" s="9" t="s">
        <v>96</v>
      </c>
      <c r="Y34" s="136">
        <f>Y17*H7</f>
        <v>20.887643454491393</v>
      </c>
      <c r="Z34" s="117" t="s">
        <v>1218</v>
      </c>
      <c r="AA34" s="117"/>
      <c r="AB34" s="117"/>
      <c r="AC34" s="117"/>
      <c r="AF34" s="143" t="s">
        <v>39</v>
      </c>
      <c r="AG34" s="117">
        <v>2020</v>
      </c>
      <c r="AH34" s="117" t="s">
        <v>190</v>
      </c>
      <c r="AI34" s="9" t="s">
        <v>96</v>
      </c>
      <c r="AJ34" s="136">
        <f>AJ17*H7</f>
        <v>582.65459311399411</v>
      </c>
      <c r="AK34" s="117" t="s">
        <v>1218</v>
      </c>
      <c r="AL34" s="117"/>
      <c r="AM34" s="117"/>
      <c r="AN34" s="117"/>
    </row>
    <row r="35" spans="1:40">
      <c r="A35" s="143" t="s">
        <v>39</v>
      </c>
      <c r="B35" s="117">
        <v>2020</v>
      </c>
      <c r="C35" s="117" t="s">
        <v>190</v>
      </c>
      <c r="D35" s="9" t="s">
        <v>95</v>
      </c>
      <c r="E35" s="136">
        <f t="shared" si="4"/>
        <v>3258.4917498044815</v>
      </c>
      <c r="F35" s="998" t="s">
        <v>1218</v>
      </c>
      <c r="G35" s="998"/>
      <c r="H35" s="998"/>
      <c r="I35" s="998"/>
      <c r="U35" s="143" t="s">
        <v>39</v>
      </c>
      <c r="V35" s="117">
        <v>2020</v>
      </c>
      <c r="W35" s="117" t="s">
        <v>188</v>
      </c>
      <c r="X35" s="9" t="s">
        <v>97</v>
      </c>
      <c r="Y35" s="136">
        <f>Y17*H8</f>
        <v>7.4683391591176429</v>
      </c>
      <c r="Z35" s="117" t="s">
        <v>1218</v>
      </c>
      <c r="AA35" s="117"/>
      <c r="AB35" s="117"/>
      <c r="AC35" s="117"/>
      <c r="AF35" s="143" t="s">
        <v>39</v>
      </c>
      <c r="AG35" s="117">
        <v>2020</v>
      </c>
      <c r="AH35" s="117" t="s">
        <v>190</v>
      </c>
      <c r="AI35" s="9" t="s">
        <v>97</v>
      </c>
      <c r="AJ35" s="136">
        <f>AJ17*H8</f>
        <v>208.32709651874683</v>
      </c>
      <c r="AK35" s="117" t="s">
        <v>1218</v>
      </c>
      <c r="AL35" s="117"/>
      <c r="AM35" s="117"/>
      <c r="AN35" s="117"/>
    </row>
    <row r="36" spans="1:40">
      <c r="A36" s="143" t="s">
        <v>39</v>
      </c>
      <c r="B36" s="117">
        <v>2020</v>
      </c>
      <c r="C36" s="117" t="s">
        <v>190</v>
      </c>
      <c r="D36" s="9" t="s">
        <v>96</v>
      </c>
      <c r="E36" s="136">
        <f t="shared" si="4"/>
        <v>582.82746287074292</v>
      </c>
      <c r="F36" s="998" t="s">
        <v>1218</v>
      </c>
      <c r="G36" s="998"/>
      <c r="H36" s="998"/>
      <c r="I36" s="998"/>
      <c r="U36" s="143" t="s">
        <v>39</v>
      </c>
      <c r="V36" s="117">
        <v>2020</v>
      </c>
      <c r="W36" s="117" t="s">
        <v>188</v>
      </c>
      <c r="X36" s="9" t="s">
        <v>98</v>
      </c>
      <c r="Y36" s="136">
        <f>Y17*H9</f>
        <v>11.900009692415585</v>
      </c>
      <c r="Z36" s="117" t="s">
        <v>1218</v>
      </c>
      <c r="AA36" s="117"/>
      <c r="AB36" s="117"/>
      <c r="AC36" s="117"/>
      <c r="AF36" s="143" t="s">
        <v>39</v>
      </c>
      <c r="AG36" s="117">
        <v>2020</v>
      </c>
      <c r="AH36" s="117" t="s">
        <v>190</v>
      </c>
      <c r="AI36" s="9" t="s">
        <v>98</v>
      </c>
      <c r="AJ36" s="136">
        <f>AJ17*H9</f>
        <v>331.94722614321932</v>
      </c>
      <c r="AK36" s="117" t="s">
        <v>1218</v>
      </c>
      <c r="AL36" s="117"/>
      <c r="AM36" s="117"/>
      <c r="AN36" s="117"/>
    </row>
    <row r="37" spans="1:40">
      <c r="A37" s="143" t="s">
        <v>39</v>
      </c>
      <c r="B37" s="117">
        <v>2020</v>
      </c>
      <c r="C37" s="117" t="s">
        <v>190</v>
      </c>
      <c r="D37" s="9" t="s">
        <v>97</v>
      </c>
      <c r="E37" s="136">
        <f t="shared" si="4"/>
        <v>208.38890578778032</v>
      </c>
      <c r="F37" s="998" t="s">
        <v>1218</v>
      </c>
      <c r="G37" s="998"/>
      <c r="H37" s="998"/>
      <c r="I37" s="998"/>
      <c r="U37" s="143" t="s">
        <v>39</v>
      </c>
      <c r="V37" s="117">
        <v>2020</v>
      </c>
      <c r="W37" s="117" t="s">
        <v>188</v>
      </c>
      <c r="X37" s="9" t="s">
        <v>99</v>
      </c>
      <c r="Y37" s="136">
        <f>Y17*H10</f>
        <v>101.66359214435965</v>
      </c>
      <c r="Z37" s="117" t="s">
        <v>1218</v>
      </c>
      <c r="AA37" s="117"/>
      <c r="AB37" s="117"/>
      <c r="AC37" s="117"/>
      <c r="AF37" s="143" t="s">
        <v>39</v>
      </c>
      <c r="AG37" s="117">
        <v>2020</v>
      </c>
      <c r="AH37" s="117" t="s">
        <v>190</v>
      </c>
      <c r="AI37" s="9" t="s">
        <v>99</v>
      </c>
      <c r="AJ37" s="136">
        <f>AJ17*H10</f>
        <v>2835.8756239992163</v>
      </c>
      <c r="AK37" s="117" t="s">
        <v>1218</v>
      </c>
      <c r="AL37" s="117"/>
      <c r="AM37" s="117"/>
      <c r="AN37" s="117"/>
    </row>
    <row r="38" spans="1:40">
      <c r="A38" s="143" t="s">
        <v>39</v>
      </c>
      <c r="B38" s="117">
        <v>2020</v>
      </c>
      <c r="C38" s="117" t="s">
        <v>190</v>
      </c>
      <c r="D38" s="9" t="s">
        <v>98</v>
      </c>
      <c r="E38" s="136">
        <f t="shared" si="4"/>
        <v>332.04571268552922</v>
      </c>
      <c r="F38" s="998" t="s">
        <v>1218</v>
      </c>
      <c r="G38" s="998"/>
      <c r="H38" s="998"/>
      <c r="I38" s="998"/>
      <c r="U38" s="143" t="s">
        <v>39</v>
      </c>
      <c r="V38" s="117">
        <v>2020</v>
      </c>
      <c r="W38" s="117" t="s">
        <v>188</v>
      </c>
      <c r="X38" s="9" t="s">
        <v>106</v>
      </c>
      <c r="Y38" s="136">
        <f>Y17*H11</f>
        <v>14.06772703280042</v>
      </c>
      <c r="Z38" s="117" t="s">
        <v>1218</v>
      </c>
      <c r="AA38" s="117"/>
      <c r="AB38" s="117"/>
      <c r="AC38" s="117"/>
      <c r="AF38" s="143" t="s">
        <v>39</v>
      </c>
      <c r="AG38" s="117">
        <v>2020</v>
      </c>
      <c r="AH38" s="117" t="s">
        <v>190</v>
      </c>
      <c r="AI38" s="9" t="s">
        <v>106</v>
      </c>
      <c r="AJ38" s="136">
        <f>AJ17*H11</f>
        <v>392.41505573346876</v>
      </c>
      <c r="AK38" s="117" t="s">
        <v>1218</v>
      </c>
      <c r="AL38" s="117"/>
      <c r="AM38" s="117"/>
      <c r="AN38" s="117"/>
    </row>
    <row r="39" spans="1:40">
      <c r="A39" s="143" t="s">
        <v>39</v>
      </c>
      <c r="B39" s="117">
        <v>2020</v>
      </c>
      <c r="C39" s="117" t="s">
        <v>190</v>
      </c>
      <c r="D39" s="9" t="s">
        <v>99</v>
      </c>
      <c r="E39" s="136">
        <f t="shared" si="4"/>
        <v>2836.7170095045985</v>
      </c>
      <c r="F39" s="998" t="s">
        <v>1218</v>
      </c>
      <c r="G39" s="998"/>
      <c r="H39" s="998"/>
      <c r="I39" s="998"/>
      <c r="U39" s="143" t="s">
        <v>39</v>
      </c>
      <c r="V39" s="117">
        <v>2019</v>
      </c>
      <c r="W39" s="117" t="s">
        <v>188</v>
      </c>
      <c r="X39" s="9" t="s">
        <v>93</v>
      </c>
      <c r="Y39" s="136">
        <f>Y18*H4</f>
        <v>169.17764938027008</v>
      </c>
      <c r="Z39" s="117" t="s">
        <v>1218</v>
      </c>
      <c r="AA39" s="117"/>
      <c r="AB39" s="117"/>
      <c r="AC39" s="117"/>
      <c r="AF39" s="143" t="s">
        <v>39</v>
      </c>
      <c r="AG39" s="117">
        <v>2019</v>
      </c>
      <c r="AH39" s="117" t="s">
        <v>190</v>
      </c>
      <c r="AI39" s="9" t="s">
        <v>93</v>
      </c>
      <c r="AJ39" s="136">
        <f>AJ18*H4</f>
        <v>4937.1368964233152</v>
      </c>
      <c r="AK39" s="117" t="s">
        <v>1218</v>
      </c>
      <c r="AL39" s="117"/>
      <c r="AM39" s="117"/>
      <c r="AN39" s="117"/>
    </row>
    <row r="40" spans="1:40">
      <c r="A40" s="143" t="s">
        <v>39</v>
      </c>
      <c r="B40" s="117">
        <v>2020</v>
      </c>
      <c r="C40" s="117" t="s">
        <v>190</v>
      </c>
      <c r="D40" s="9" t="s">
        <v>106</v>
      </c>
      <c r="E40" s="136">
        <f t="shared" si="4"/>
        <v>392.53148268012109</v>
      </c>
      <c r="F40" s="998" t="s">
        <v>1218</v>
      </c>
      <c r="G40" s="998"/>
      <c r="H40" s="998"/>
      <c r="I40" s="998"/>
      <c r="U40" s="143" t="s">
        <v>39</v>
      </c>
      <c r="V40" s="117">
        <v>2019</v>
      </c>
      <c r="W40" s="117" t="s">
        <v>188</v>
      </c>
      <c r="X40" s="9" t="s">
        <v>94</v>
      </c>
      <c r="Y40" s="136">
        <f>Y18*H5</f>
        <v>96.318802992845164</v>
      </c>
      <c r="Z40" s="117" t="s">
        <v>1218</v>
      </c>
      <c r="AA40" s="117"/>
      <c r="AB40" s="117"/>
      <c r="AC40" s="117"/>
      <c r="AF40" s="143" t="s">
        <v>39</v>
      </c>
      <c r="AG40" s="117">
        <v>2019</v>
      </c>
      <c r="AH40" s="117" t="s">
        <v>190</v>
      </c>
      <c r="AI40" s="9" t="s">
        <v>94</v>
      </c>
      <c r="AJ40" s="136">
        <f>AJ18*H5</f>
        <v>2810.8861768519337</v>
      </c>
      <c r="AK40" s="117" t="s">
        <v>1218</v>
      </c>
      <c r="AL40" s="117"/>
      <c r="AM40" s="117"/>
      <c r="AN40" s="117"/>
    </row>
    <row r="41" spans="1:40">
      <c r="U41" s="143" t="s">
        <v>39</v>
      </c>
      <c r="V41" s="117">
        <v>2019</v>
      </c>
      <c r="W41" s="117" t="s">
        <v>188</v>
      </c>
      <c r="X41" s="9" t="s">
        <v>95</v>
      </c>
      <c r="Y41" s="136">
        <f>Y18*H6</f>
        <v>110.24476801369778</v>
      </c>
      <c r="Z41" s="117" t="s">
        <v>1218</v>
      </c>
      <c r="AA41" s="117"/>
      <c r="AB41" s="117"/>
      <c r="AC41" s="117"/>
      <c r="AF41" s="143" t="s">
        <v>39</v>
      </c>
      <c r="AG41" s="117">
        <v>2019</v>
      </c>
      <c r="AH41" s="117" t="s">
        <v>190</v>
      </c>
      <c r="AI41" s="9" t="s">
        <v>95</v>
      </c>
      <c r="AJ41" s="136">
        <f>AJ18*H6</f>
        <v>3217.2897175951252</v>
      </c>
      <c r="AK41" s="117" t="s">
        <v>1218</v>
      </c>
      <c r="AL41" s="117"/>
      <c r="AM41" s="117"/>
      <c r="AN41" s="117"/>
    </row>
    <row r="42" spans="1:40" ht="30" customHeight="1">
      <c r="A42" s="1069" t="s">
        <v>15</v>
      </c>
      <c r="B42" s="1070"/>
      <c r="C42" s="1070"/>
      <c r="D42" s="1070"/>
      <c r="E42" s="1070"/>
      <c r="F42" s="1070"/>
      <c r="G42" s="1070"/>
      <c r="H42" s="1070"/>
      <c r="I42" s="1070"/>
      <c r="J42" s="1070"/>
      <c r="K42" s="1070"/>
      <c r="L42" s="1070"/>
      <c r="M42" s="1070"/>
      <c r="N42" s="1070"/>
      <c r="O42" s="1070"/>
      <c r="P42" s="1070"/>
      <c r="Q42" s="1070"/>
      <c r="R42" s="1071"/>
      <c r="U42" s="143" t="s">
        <v>39</v>
      </c>
      <c r="V42" s="117">
        <v>2019</v>
      </c>
      <c r="W42" s="117" t="s">
        <v>188</v>
      </c>
      <c r="X42" s="9" t="s">
        <v>96</v>
      </c>
      <c r="Y42" s="136">
        <f>Y18*H7</f>
        <v>19.71884030090072</v>
      </c>
      <c r="Z42" s="117" t="s">
        <v>1218</v>
      </c>
      <c r="AA42" s="117"/>
      <c r="AB42" s="117"/>
      <c r="AC42" s="117"/>
      <c r="AF42" s="143" t="s">
        <v>39</v>
      </c>
      <c r="AG42" s="117">
        <v>2019</v>
      </c>
      <c r="AH42" s="117" t="s">
        <v>190</v>
      </c>
      <c r="AI42" s="9" t="s">
        <v>96</v>
      </c>
      <c r="AJ42" s="136">
        <f>AJ18*H7</f>
        <v>575.45789506406095</v>
      </c>
      <c r="AK42" s="117" t="s">
        <v>1218</v>
      </c>
      <c r="AL42" s="117"/>
      <c r="AM42" s="117"/>
      <c r="AN42" s="117"/>
    </row>
    <row r="43" spans="1:40" ht="30" customHeight="1" thickBot="1">
      <c r="A43" s="1080" t="s">
        <v>1220</v>
      </c>
      <c r="B43" s="1081"/>
      <c r="C43" s="1081"/>
      <c r="D43" s="1081"/>
      <c r="E43" s="1081"/>
      <c r="F43" s="1081"/>
      <c r="G43" s="1081"/>
      <c r="H43" s="1081"/>
      <c r="I43" s="1081"/>
      <c r="J43" s="1081"/>
      <c r="K43" s="1081"/>
      <c r="L43" s="1081"/>
      <c r="M43" s="1081"/>
      <c r="N43" s="1081"/>
      <c r="O43" s="1081"/>
      <c r="P43" s="1081"/>
      <c r="Q43" s="1081"/>
      <c r="R43" s="1082"/>
      <c r="U43" s="143" t="s">
        <v>39</v>
      </c>
      <c r="V43" s="117">
        <v>2019</v>
      </c>
      <c r="W43" s="117" t="s">
        <v>188</v>
      </c>
      <c r="X43" s="9" t="s">
        <v>97</v>
      </c>
      <c r="Y43" s="136">
        <f>Y18*H8</f>
        <v>7.0504357043655723</v>
      </c>
      <c r="Z43" s="117" t="s">
        <v>1218</v>
      </c>
      <c r="AA43" s="117"/>
      <c r="AB43" s="117"/>
      <c r="AC43" s="117"/>
      <c r="AF43" s="143" t="s">
        <v>39</v>
      </c>
      <c r="AG43" s="117">
        <v>2019</v>
      </c>
      <c r="AH43" s="117" t="s">
        <v>190</v>
      </c>
      <c r="AI43" s="9" t="s">
        <v>97</v>
      </c>
      <c r="AJ43" s="136">
        <f>AJ18*H8</f>
        <v>205.7539301402723</v>
      </c>
      <c r="AK43" s="117" t="s">
        <v>1218</v>
      </c>
      <c r="AL43" s="117"/>
      <c r="AM43" s="117"/>
      <c r="AN43" s="117"/>
    </row>
    <row r="44" spans="1:40" s="2" customFormat="1" ht="30" customHeight="1">
      <c r="A44" s="65" t="s">
        <v>137</v>
      </c>
      <c r="B44" s="107" t="s">
        <v>138</v>
      </c>
      <c r="C44" s="108" t="s">
        <v>139</v>
      </c>
      <c r="D44" s="109" t="s">
        <v>110</v>
      </c>
      <c r="E44" s="229" t="s">
        <v>140</v>
      </c>
      <c r="F44" s="108" t="s">
        <v>141</v>
      </c>
      <c r="G44" s="110" t="s">
        <v>112</v>
      </c>
      <c r="H44" s="111" t="s">
        <v>142</v>
      </c>
      <c r="I44" s="112" t="s">
        <v>143</v>
      </c>
      <c r="J44" s="112" t="s">
        <v>69</v>
      </c>
      <c r="K44" s="112" t="s">
        <v>75</v>
      </c>
      <c r="L44" s="112" t="s">
        <v>81</v>
      </c>
      <c r="M44" s="113" t="s">
        <v>87</v>
      </c>
      <c r="N44" s="114" t="s">
        <v>114</v>
      </c>
      <c r="O44" s="115" t="s">
        <v>132</v>
      </c>
      <c r="P44" s="6"/>
      <c r="Q44" s="6"/>
      <c r="U44" s="143" t="s">
        <v>39</v>
      </c>
      <c r="V44" s="117">
        <v>2019</v>
      </c>
      <c r="W44" s="117" t="s">
        <v>188</v>
      </c>
      <c r="X44" s="9" t="s">
        <v>98</v>
      </c>
      <c r="Y44" s="136">
        <f>Y18*H9</f>
        <v>11.234124673525903</v>
      </c>
      <c r="Z44" s="117" t="s">
        <v>1218</v>
      </c>
      <c r="AA44" s="117"/>
      <c r="AB44" s="117"/>
      <c r="AC44" s="117"/>
      <c r="AF44" s="143" t="s">
        <v>39</v>
      </c>
      <c r="AG44" s="117">
        <v>2019</v>
      </c>
      <c r="AH44" s="117" t="s">
        <v>190</v>
      </c>
      <c r="AI44" s="9" t="s">
        <v>98</v>
      </c>
      <c r="AJ44" s="136">
        <f>AJ18*H9</f>
        <v>327.84715728029653</v>
      </c>
      <c r="AK44" s="117" t="s">
        <v>1218</v>
      </c>
      <c r="AL44" s="117"/>
      <c r="AM44" s="117"/>
      <c r="AN44" s="117"/>
    </row>
    <row r="45" spans="1:40" s="2" customFormat="1">
      <c r="A45" s="152" t="s">
        <v>39</v>
      </c>
      <c r="B45" s="34" t="s">
        <v>250</v>
      </c>
      <c r="C45" s="40" t="s">
        <v>147</v>
      </c>
      <c r="D45" s="34" t="s">
        <v>94</v>
      </c>
      <c r="E45" s="313">
        <v>0.1638</v>
      </c>
      <c r="F45" s="314">
        <v>1</v>
      </c>
      <c r="G45" s="40" t="s">
        <v>148</v>
      </c>
      <c r="H45" s="252">
        <v>2</v>
      </c>
      <c r="I45" s="10">
        <v>2</v>
      </c>
      <c r="J45" s="10">
        <v>2</v>
      </c>
      <c r="K45" s="10">
        <v>1</v>
      </c>
      <c r="L45" s="10">
        <v>1</v>
      </c>
      <c r="M45" s="298">
        <v>2</v>
      </c>
      <c r="N45" s="303"/>
      <c r="O45" s="34"/>
      <c r="P45" s="6"/>
      <c r="Q45" s="6"/>
      <c r="U45" s="143" t="s">
        <v>39</v>
      </c>
      <c r="V45" s="117">
        <v>2019</v>
      </c>
      <c r="W45" s="117" t="s">
        <v>188</v>
      </c>
      <c r="X45" s="9" t="s">
        <v>99</v>
      </c>
      <c r="Y45" s="136">
        <f>Y18*H10</f>
        <v>95.974835183213173</v>
      </c>
      <c r="Z45" s="117" t="s">
        <v>1218</v>
      </c>
      <c r="AA45" s="117"/>
      <c r="AB45" s="117"/>
      <c r="AC45" s="117"/>
      <c r="AF45" s="143" t="s">
        <v>39</v>
      </c>
      <c r="AG45" s="117">
        <v>2019</v>
      </c>
      <c r="AH45" s="117" t="s">
        <v>190</v>
      </c>
      <c r="AI45" s="9" t="s">
        <v>99</v>
      </c>
      <c r="AJ45" s="136">
        <f>AJ18*H10</f>
        <v>2800.8481123065467</v>
      </c>
      <c r="AK45" s="117" t="s">
        <v>1218</v>
      </c>
      <c r="AL45" s="117"/>
      <c r="AM45" s="117"/>
      <c r="AN45" s="117"/>
    </row>
    <row r="46" spans="1:40" s="2" customFormat="1">
      <c r="A46" s="152" t="s">
        <v>39</v>
      </c>
      <c r="B46" s="34" t="s">
        <v>249</v>
      </c>
      <c r="C46" s="40" t="s">
        <v>147</v>
      </c>
      <c r="D46" s="34" t="s">
        <v>94</v>
      </c>
      <c r="E46" s="313">
        <v>1.2200000000000001E-2</v>
      </c>
      <c r="F46" s="314">
        <v>1</v>
      </c>
      <c r="G46" s="40" t="s">
        <v>148</v>
      </c>
      <c r="H46" s="252">
        <v>2</v>
      </c>
      <c r="I46" s="10">
        <v>2</v>
      </c>
      <c r="J46" s="10">
        <v>2</v>
      </c>
      <c r="K46" s="10">
        <v>1</v>
      </c>
      <c r="L46" s="10">
        <v>1</v>
      </c>
      <c r="M46" s="298">
        <v>2</v>
      </c>
      <c r="N46" s="303"/>
      <c r="O46" s="34"/>
      <c r="P46" s="6"/>
      <c r="Q46" s="6"/>
      <c r="U46" s="143" t="s">
        <v>39</v>
      </c>
      <c r="V46" s="117">
        <v>2019</v>
      </c>
      <c r="W46" s="117" t="s">
        <v>188</v>
      </c>
      <c r="X46" s="9" t="s">
        <v>106</v>
      </c>
      <c r="Y46" s="136">
        <f>Y18*H11</f>
        <v>13.280543751181623</v>
      </c>
      <c r="Z46" s="117" t="s">
        <v>1218</v>
      </c>
      <c r="AA46" s="117"/>
      <c r="AB46" s="117"/>
      <c r="AC46" s="117"/>
      <c r="AF46" s="143" t="s">
        <v>39</v>
      </c>
      <c r="AG46" s="117">
        <v>2019</v>
      </c>
      <c r="AH46" s="117" t="s">
        <v>190</v>
      </c>
      <c r="AI46" s="9" t="s">
        <v>106</v>
      </c>
      <c r="AJ46" s="136">
        <f>AJ18*H11</f>
        <v>387.56811433845098</v>
      </c>
      <c r="AK46" s="117" t="s">
        <v>1218</v>
      </c>
      <c r="AL46" s="117"/>
      <c r="AM46" s="117"/>
      <c r="AN46" s="117"/>
    </row>
    <row r="47" spans="1:40" s="2" customFormat="1">
      <c r="A47" s="152" t="s">
        <v>39</v>
      </c>
      <c r="B47" s="34" t="s">
        <v>216</v>
      </c>
      <c r="C47" s="40" t="s">
        <v>147</v>
      </c>
      <c r="D47" s="34" t="s">
        <v>94</v>
      </c>
      <c r="E47" s="313">
        <v>8.3099999999999993E-2</v>
      </c>
      <c r="F47" s="314">
        <v>1</v>
      </c>
      <c r="G47" s="40" t="s">
        <v>148</v>
      </c>
      <c r="H47" s="252">
        <v>2</v>
      </c>
      <c r="I47" s="10">
        <v>2</v>
      </c>
      <c r="J47" s="10">
        <v>2</v>
      </c>
      <c r="K47" s="10">
        <v>1</v>
      </c>
      <c r="L47" s="10">
        <v>1</v>
      </c>
      <c r="M47" s="298">
        <v>2</v>
      </c>
      <c r="N47" s="303"/>
      <c r="O47" s="34"/>
      <c r="P47" s="6"/>
      <c r="Q47" s="6"/>
      <c r="U47" s="143" t="s">
        <v>39</v>
      </c>
      <c r="V47" s="117">
        <v>2018</v>
      </c>
      <c r="W47" s="117" t="s">
        <v>188</v>
      </c>
      <c r="X47" s="9" t="s">
        <v>93</v>
      </c>
      <c r="Y47" s="136">
        <f>Y19*H4</f>
        <v>169.17764938027008</v>
      </c>
      <c r="Z47" s="117" t="s">
        <v>1218</v>
      </c>
      <c r="AA47" s="117"/>
      <c r="AB47" s="117"/>
      <c r="AC47" s="117"/>
      <c r="AF47" s="143" t="s">
        <v>39</v>
      </c>
      <c r="AG47" s="117">
        <v>2018</v>
      </c>
      <c r="AH47" s="117" t="s">
        <v>190</v>
      </c>
      <c r="AI47" s="9" t="s">
        <v>93</v>
      </c>
      <c r="AJ47" s="136">
        <f>AJ19*H4</f>
        <v>4793.0761436805778</v>
      </c>
      <c r="AK47" s="117" t="s">
        <v>1218</v>
      </c>
      <c r="AL47" s="117"/>
      <c r="AM47" s="117"/>
      <c r="AN47" s="117"/>
    </row>
    <row r="48" spans="1:40" s="2" customFormat="1">
      <c r="A48" s="152" t="s">
        <v>39</v>
      </c>
      <c r="B48" s="34" t="s">
        <v>248</v>
      </c>
      <c r="C48" s="40" t="s">
        <v>147</v>
      </c>
      <c r="D48" s="34" t="s">
        <v>94</v>
      </c>
      <c r="E48" s="313">
        <v>0</v>
      </c>
      <c r="F48" s="314">
        <v>1</v>
      </c>
      <c r="G48" s="40" t="s">
        <v>148</v>
      </c>
      <c r="H48" s="252"/>
      <c r="I48" s="10"/>
      <c r="J48" s="10"/>
      <c r="K48" s="10"/>
      <c r="L48" s="10"/>
      <c r="M48" s="298"/>
      <c r="N48" s="303"/>
      <c r="O48" s="34"/>
      <c r="P48" s="6"/>
      <c r="Q48" s="6"/>
      <c r="U48" s="143" t="s">
        <v>39</v>
      </c>
      <c r="V48" s="117">
        <v>2018</v>
      </c>
      <c r="W48" s="117" t="s">
        <v>188</v>
      </c>
      <c r="X48" s="9" t="s">
        <v>94</v>
      </c>
      <c r="Y48" s="136">
        <f>Y19*H5</f>
        <v>96.318802992845164</v>
      </c>
      <c r="Z48" s="117" t="s">
        <v>1218</v>
      </c>
      <c r="AA48" s="117"/>
      <c r="AB48" s="117"/>
      <c r="AC48" s="117"/>
      <c r="AF48" s="143" t="s">
        <v>39</v>
      </c>
      <c r="AG48" s="117">
        <v>2018</v>
      </c>
      <c r="AH48" s="117" t="s">
        <v>190</v>
      </c>
      <c r="AI48" s="9" t="s">
        <v>94</v>
      </c>
      <c r="AJ48" s="136">
        <f>AJ19*H5</f>
        <v>2728.8673090330567</v>
      </c>
      <c r="AK48" s="117" t="s">
        <v>1218</v>
      </c>
      <c r="AL48" s="117"/>
      <c r="AM48" s="117"/>
      <c r="AN48" s="117"/>
    </row>
    <row r="49" spans="1:40" s="2" customFormat="1">
      <c r="A49" s="152" t="s">
        <v>39</v>
      </c>
      <c r="B49" s="34" t="s">
        <v>215</v>
      </c>
      <c r="C49" s="40" t="s">
        <v>147</v>
      </c>
      <c r="D49" s="34" t="s">
        <v>94</v>
      </c>
      <c r="E49" s="313">
        <v>6.8500000000000005E-2</v>
      </c>
      <c r="F49" s="314">
        <v>1</v>
      </c>
      <c r="G49" s="40" t="s">
        <v>148</v>
      </c>
      <c r="H49" s="252">
        <v>2</v>
      </c>
      <c r="I49" s="10">
        <v>2</v>
      </c>
      <c r="J49" s="10">
        <v>2</v>
      </c>
      <c r="K49" s="10">
        <v>1</v>
      </c>
      <c r="L49" s="10">
        <v>1</v>
      </c>
      <c r="M49" s="298">
        <v>2</v>
      </c>
      <c r="N49" s="303"/>
      <c r="O49" s="34"/>
      <c r="P49" s="6"/>
      <c r="Q49" s="6"/>
      <c r="U49" s="143" t="s">
        <v>39</v>
      </c>
      <c r="V49" s="117">
        <v>2018</v>
      </c>
      <c r="W49" s="117" t="s">
        <v>188</v>
      </c>
      <c r="X49" s="9" t="s">
        <v>95</v>
      </c>
      <c r="Y49" s="136">
        <f>Y19*H6</f>
        <v>110.24476801369778</v>
      </c>
      <c r="Z49" s="117" t="s">
        <v>1218</v>
      </c>
      <c r="AA49" s="117"/>
      <c r="AB49" s="117"/>
      <c r="AC49" s="117"/>
      <c r="AF49" s="143" t="s">
        <v>39</v>
      </c>
      <c r="AG49" s="117">
        <v>2018</v>
      </c>
      <c r="AH49" s="117" t="s">
        <v>190</v>
      </c>
      <c r="AI49" s="9" t="s">
        <v>95</v>
      </c>
      <c r="AJ49" s="136">
        <f>AJ19*H6</f>
        <v>3123.4123979599349</v>
      </c>
      <c r="AK49" s="117" t="s">
        <v>1218</v>
      </c>
      <c r="AL49" s="117"/>
      <c r="AM49" s="117"/>
      <c r="AN49" s="117"/>
    </row>
    <row r="50" spans="1:40" s="2" customFormat="1">
      <c r="A50" s="152" t="s">
        <v>39</v>
      </c>
      <c r="B50" s="34" t="s">
        <v>214</v>
      </c>
      <c r="C50" s="40" t="s">
        <v>147</v>
      </c>
      <c r="D50" s="34" t="s">
        <v>94</v>
      </c>
      <c r="E50" s="313">
        <v>0.38629999999999998</v>
      </c>
      <c r="F50" s="314">
        <v>1</v>
      </c>
      <c r="G50" s="40" t="s">
        <v>148</v>
      </c>
      <c r="H50" s="252">
        <v>2</v>
      </c>
      <c r="I50" s="10">
        <v>2</v>
      </c>
      <c r="J50" s="10">
        <v>2</v>
      </c>
      <c r="K50" s="10">
        <v>1</v>
      </c>
      <c r="L50" s="10">
        <v>1</v>
      </c>
      <c r="M50" s="298">
        <v>2</v>
      </c>
      <c r="N50" s="303"/>
      <c r="O50" s="34"/>
      <c r="P50" s="6"/>
      <c r="Q50" s="6"/>
      <c r="U50" s="143" t="s">
        <v>39</v>
      </c>
      <c r="V50" s="117">
        <v>2018</v>
      </c>
      <c r="W50" s="117" t="s">
        <v>188</v>
      </c>
      <c r="X50" s="9" t="s">
        <v>96</v>
      </c>
      <c r="Y50" s="136">
        <f>Y19*H7</f>
        <v>19.71884030090072</v>
      </c>
      <c r="Z50" s="117" t="s">
        <v>1218</v>
      </c>
      <c r="AA50" s="117"/>
      <c r="AB50" s="117"/>
      <c r="AC50" s="117"/>
      <c r="AF50" s="143" t="s">
        <v>39</v>
      </c>
      <c r="AG50" s="117">
        <v>2018</v>
      </c>
      <c r="AH50" s="117" t="s">
        <v>190</v>
      </c>
      <c r="AI50" s="9" t="s">
        <v>96</v>
      </c>
      <c r="AJ50" s="136">
        <f>AJ19*H7</f>
        <v>558.66660503628452</v>
      </c>
      <c r="AK50" s="117" t="s">
        <v>1218</v>
      </c>
      <c r="AL50" s="117"/>
      <c r="AM50" s="117"/>
      <c r="AN50" s="117"/>
    </row>
    <row r="51" spans="1:40" s="2" customFormat="1">
      <c r="A51" s="152" t="s">
        <v>39</v>
      </c>
      <c r="B51" s="34" t="s">
        <v>213</v>
      </c>
      <c r="C51" s="40" t="s">
        <v>147</v>
      </c>
      <c r="D51" s="34" t="s">
        <v>94</v>
      </c>
      <c r="E51" s="313">
        <v>0.27379999999999999</v>
      </c>
      <c r="F51" s="314">
        <v>1</v>
      </c>
      <c r="G51" s="40" t="s">
        <v>148</v>
      </c>
      <c r="H51" s="252">
        <v>2</v>
      </c>
      <c r="I51" s="10">
        <v>2</v>
      </c>
      <c r="J51" s="10">
        <v>2</v>
      </c>
      <c r="K51" s="10">
        <v>1</v>
      </c>
      <c r="L51" s="10">
        <v>1</v>
      </c>
      <c r="M51" s="298">
        <v>2</v>
      </c>
      <c r="N51" s="303"/>
      <c r="O51" s="34"/>
      <c r="P51" s="6"/>
      <c r="Q51" s="6"/>
      <c r="U51" s="143" t="s">
        <v>39</v>
      </c>
      <c r="V51" s="117">
        <v>2018</v>
      </c>
      <c r="W51" s="117" t="s">
        <v>188</v>
      </c>
      <c r="X51" s="9" t="s">
        <v>97</v>
      </c>
      <c r="Y51" s="136">
        <f>Y19*H8</f>
        <v>7.0504357043655723</v>
      </c>
      <c r="Z51" s="117" t="s">
        <v>1218</v>
      </c>
      <c r="AA51" s="117"/>
      <c r="AB51" s="117"/>
      <c r="AC51" s="117"/>
      <c r="AF51" s="143" t="s">
        <v>39</v>
      </c>
      <c r="AG51" s="117">
        <v>2018</v>
      </c>
      <c r="AH51" s="117" t="s">
        <v>190</v>
      </c>
      <c r="AI51" s="9" t="s">
        <v>97</v>
      </c>
      <c r="AJ51" s="136">
        <f>AJ19*H8</f>
        <v>199.7502347440078</v>
      </c>
      <c r="AK51" s="117" t="s">
        <v>1218</v>
      </c>
      <c r="AL51" s="117"/>
      <c r="AM51" s="117"/>
      <c r="AN51" s="117"/>
    </row>
    <row r="52" spans="1:40" s="2" customFormat="1">
      <c r="A52" s="152" t="s">
        <v>39</v>
      </c>
      <c r="B52" s="34" t="s">
        <v>191</v>
      </c>
      <c r="C52" s="40" t="s">
        <v>147</v>
      </c>
      <c r="D52" s="34" t="s">
        <v>94</v>
      </c>
      <c r="E52" s="313">
        <v>0</v>
      </c>
      <c r="F52" s="314">
        <v>1</v>
      </c>
      <c r="G52" s="40" t="s">
        <v>148</v>
      </c>
      <c r="H52" s="252"/>
      <c r="I52" s="10"/>
      <c r="J52" s="10"/>
      <c r="K52" s="10"/>
      <c r="L52" s="10"/>
      <c r="M52" s="298"/>
      <c r="N52" s="303"/>
      <c r="O52" s="34"/>
      <c r="P52" s="6"/>
      <c r="Q52" s="6"/>
      <c r="U52" s="143" t="s">
        <v>39</v>
      </c>
      <c r="V52" s="117">
        <v>2018</v>
      </c>
      <c r="W52" s="117" t="s">
        <v>188</v>
      </c>
      <c r="X52" s="9" t="s">
        <v>98</v>
      </c>
      <c r="Y52" s="136">
        <f>Y19*H9</f>
        <v>11.234124673525903</v>
      </c>
      <c r="Z52" s="117" t="s">
        <v>1218</v>
      </c>
      <c r="AA52" s="117"/>
      <c r="AB52" s="117"/>
      <c r="AC52" s="117"/>
      <c r="AF52" s="143" t="s">
        <v>39</v>
      </c>
      <c r="AG52" s="117">
        <v>2018</v>
      </c>
      <c r="AH52" s="117" t="s">
        <v>190</v>
      </c>
      <c r="AI52" s="9" t="s">
        <v>98</v>
      </c>
      <c r="AJ52" s="136">
        <f>AJ19*H9</f>
        <v>318.28090273779407</v>
      </c>
      <c r="AK52" s="117" t="s">
        <v>1218</v>
      </c>
      <c r="AL52" s="117"/>
      <c r="AM52" s="117"/>
      <c r="AN52" s="117"/>
    </row>
    <row r="53" spans="1:40" s="2" customFormat="1">
      <c r="A53" s="152" t="s">
        <v>39</v>
      </c>
      <c r="B53" s="34" t="s">
        <v>150</v>
      </c>
      <c r="C53" s="40" t="s">
        <v>147</v>
      </c>
      <c r="D53" s="34" t="s">
        <v>94</v>
      </c>
      <c r="E53" s="313">
        <v>0</v>
      </c>
      <c r="F53" s="314">
        <v>1</v>
      </c>
      <c r="G53" s="40" t="s">
        <v>148</v>
      </c>
      <c r="H53" s="252"/>
      <c r="I53" s="10"/>
      <c r="J53" s="10"/>
      <c r="K53" s="10"/>
      <c r="L53" s="10"/>
      <c r="M53" s="298"/>
      <c r="N53" s="303"/>
      <c r="O53" s="34"/>
      <c r="P53" s="6"/>
      <c r="Q53" s="6"/>
      <c r="U53" s="143" t="s">
        <v>39</v>
      </c>
      <c r="V53" s="117">
        <v>2018</v>
      </c>
      <c r="W53" s="117" t="s">
        <v>188</v>
      </c>
      <c r="X53" s="9" t="s">
        <v>99</v>
      </c>
      <c r="Y53" s="136">
        <f>Y19*H10</f>
        <v>95.974835183213173</v>
      </c>
      <c r="Z53" s="117" t="s">
        <v>1218</v>
      </c>
      <c r="AA53" s="117"/>
      <c r="AB53" s="117"/>
      <c r="AC53" s="117"/>
      <c r="AF53" s="143" t="s">
        <v>39</v>
      </c>
      <c r="AG53" s="117">
        <v>2018</v>
      </c>
      <c r="AH53" s="117" t="s">
        <v>190</v>
      </c>
      <c r="AI53" s="9" t="s">
        <v>99</v>
      </c>
      <c r="AJ53" s="136">
        <f>AJ19*H10</f>
        <v>2719.1221452446925</v>
      </c>
      <c r="AK53" s="117" t="s">
        <v>1218</v>
      </c>
      <c r="AL53" s="117"/>
      <c r="AM53" s="117"/>
      <c r="AN53" s="117"/>
    </row>
    <row r="54" spans="1:40" s="2" customFormat="1">
      <c r="A54" s="152" t="s">
        <v>39</v>
      </c>
      <c r="B54" s="34" t="s">
        <v>146</v>
      </c>
      <c r="C54" s="40" t="s">
        <v>147</v>
      </c>
      <c r="D54" s="34" t="s">
        <v>94</v>
      </c>
      <c r="E54" s="313">
        <v>1.2200000000000001E-2</v>
      </c>
      <c r="F54" s="314">
        <v>1</v>
      </c>
      <c r="G54" s="40" t="s">
        <v>148</v>
      </c>
      <c r="H54" s="252">
        <v>2</v>
      </c>
      <c r="I54" s="10">
        <v>2</v>
      </c>
      <c r="J54" s="10">
        <v>2</v>
      </c>
      <c r="K54" s="10">
        <v>1</v>
      </c>
      <c r="L54" s="10">
        <v>1</v>
      </c>
      <c r="M54" s="298">
        <v>2</v>
      </c>
      <c r="N54" s="303"/>
      <c r="O54" s="34"/>
      <c r="P54" s="6"/>
      <c r="Q54" s="6"/>
      <c r="U54" s="143" t="s">
        <v>39</v>
      </c>
      <c r="V54" s="117">
        <v>2018</v>
      </c>
      <c r="W54" s="117" t="s">
        <v>188</v>
      </c>
      <c r="X54" s="9" t="s">
        <v>106</v>
      </c>
      <c r="Y54" s="136">
        <f>Y19*H11</f>
        <v>13.280543751181623</v>
      </c>
      <c r="Z54" s="117" t="s">
        <v>1218</v>
      </c>
      <c r="AA54" s="117"/>
      <c r="AB54" s="117"/>
      <c r="AC54" s="117"/>
      <c r="AF54" s="143" t="s">
        <v>39</v>
      </c>
      <c r="AG54" s="117">
        <v>2018</v>
      </c>
      <c r="AH54" s="117" t="s">
        <v>190</v>
      </c>
      <c r="AI54" s="9" t="s">
        <v>106</v>
      </c>
      <c r="AJ54" s="136">
        <f>AJ19*H11</f>
        <v>376.25926156365176</v>
      </c>
      <c r="AK54" s="117" t="s">
        <v>1218</v>
      </c>
      <c r="AL54" s="117"/>
      <c r="AM54" s="117"/>
      <c r="AN54" s="117"/>
    </row>
    <row r="55" spans="1:40" ht="30" customHeight="1">
      <c r="A55" s="334"/>
      <c r="B55" s="335"/>
      <c r="C55" s="335"/>
      <c r="D55" s="335"/>
      <c r="E55" s="336"/>
      <c r="F55" s="337"/>
      <c r="G55" s="338"/>
      <c r="H55" s="335"/>
      <c r="I55" s="335"/>
      <c r="J55" s="335"/>
      <c r="K55" s="335"/>
      <c r="L55" s="335"/>
      <c r="M55" s="335"/>
      <c r="N55" s="335"/>
      <c r="O55" s="339"/>
      <c r="P55" s="339"/>
      <c r="Q55" s="339"/>
      <c r="R55" s="339"/>
      <c r="U55" s="143" t="s">
        <v>39</v>
      </c>
      <c r="V55" s="117">
        <v>2017</v>
      </c>
      <c r="W55" s="117" t="s">
        <v>188</v>
      </c>
      <c r="X55" s="9" t="s">
        <v>93</v>
      </c>
      <c r="Y55" s="136">
        <f>Y20*H4</f>
        <v>165.61941966099099</v>
      </c>
      <c r="Z55" s="117" t="s">
        <v>1218</v>
      </c>
      <c r="AA55" s="117"/>
      <c r="AB55" s="117"/>
      <c r="AC55" s="117"/>
      <c r="AF55" s="143" t="s">
        <v>39</v>
      </c>
      <c r="AG55" s="117">
        <v>2017</v>
      </c>
      <c r="AH55" s="117" t="s">
        <v>190</v>
      </c>
      <c r="AI55" s="9" t="s">
        <v>93</v>
      </c>
      <c r="AJ55" s="136">
        <f>AJ20*H4</f>
        <v>4707.1416612056973</v>
      </c>
      <c r="AK55" s="117" t="s">
        <v>1218</v>
      </c>
      <c r="AL55" s="117"/>
      <c r="AM55" s="117"/>
      <c r="AN55" s="117"/>
    </row>
    <row r="56" spans="1:40" s="2" customFormat="1">
      <c r="A56" s="152" t="s">
        <v>39</v>
      </c>
      <c r="B56" s="34" t="s">
        <v>250</v>
      </c>
      <c r="C56" s="40" t="s">
        <v>147</v>
      </c>
      <c r="D56" s="34"/>
      <c r="E56" s="313"/>
      <c r="F56" s="314">
        <v>1</v>
      </c>
      <c r="G56" s="40" t="s">
        <v>148</v>
      </c>
      <c r="H56" s="252">
        <v>2</v>
      </c>
      <c r="I56" s="10">
        <v>2</v>
      </c>
      <c r="J56" s="10">
        <v>2</v>
      </c>
      <c r="K56" s="10">
        <v>1</v>
      </c>
      <c r="L56" s="10">
        <v>1</v>
      </c>
      <c r="M56" s="298">
        <v>2</v>
      </c>
      <c r="N56" s="303"/>
      <c r="O56" s="34"/>
      <c r="P56" s="6"/>
      <c r="Q56" s="6"/>
      <c r="U56" s="143" t="s">
        <v>39</v>
      </c>
      <c r="V56" s="117">
        <v>2017</v>
      </c>
      <c r="W56" s="117" t="s">
        <v>188</v>
      </c>
      <c r="X56" s="9" t="s">
        <v>94</v>
      </c>
      <c r="Y56" s="136">
        <f>Y20*H5</f>
        <v>94.292977308483216</v>
      </c>
      <c r="Z56" s="117" t="s">
        <v>1218</v>
      </c>
      <c r="AA56" s="117"/>
      <c r="AB56" s="117"/>
      <c r="AC56" s="117"/>
      <c r="AF56" s="143" t="s">
        <v>39</v>
      </c>
      <c r="AG56" s="117">
        <v>2017</v>
      </c>
      <c r="AH56" s="117" t="s">
        <v>190</v>
      </c>
      <c r="AI56" s="9" t="s">
        <v>94</v>
      </c>
      <c r="AJ56" s="136">
        <f>AJ20*H5</f>
        <v>2679.9417770960026</v>
      </c>
      <c r="AK56" s="117" t="s">
        <v>1218</v>
      </c>
      <c r="AL56" s="117"/>
      <c r="AM56" s="117"/>
      <c r="AN56" s="117"/>
    </row>
    <row r="57" spans="1:40" s="2" customFormat="1">
      <c r="A57" s="152" t="s">
        <v>39</v>
      </c>
      <c r="B57" s="34" t="s">
        <v>249</v>
      </c>
      <c r="C57" s="40" t="s">
        <v>147</v>
      </c>
      <c r="D57" s="34"/>
      <c r="E57" s="313"/>
      <c r="F57" s="314">
        <v>1</v>
      </c>
      <c r="G57" s="40" t="s">
        <v>148</v>
      </c>
      <c r="H57" s="252">
        <v>2</v>
      </c>
      <c r="I57" s="10">
        <v>2</v>
      </c>
      <c r="J57" s="10">
        <v>2</v>
      </c>
      <c r="K57" s="10">
        <v>1</v>
      </c>
      <c r="L57" s="10">
        <v>1</v>
      </c>
      <c r="M57" s="298">
        <v>2</v>
      </c>
      <c r="N57" s="303"/>
      <c r="O57" s="34"/>
      <c r="P57" s="6"/>
      <c r="Q57" s="6"/>
      <c r="U57" s="143" t="s">
        <v>39</v>
      </c>
      <c r="V57" s="117">
        <v>2017</v>
      </c>
      <c r="W57" s="117" t="s">
        <v>188</v>
      </c>
      <c r="X57" s="9" t="s">
        <v>95</v>
      </c>
      <c r="Y57" s="136">
        <f>Y20*H6</f>
        <v>107.92604440346705</v>
      </c>
      <c r="Z57" s="117" t="s">
        <v>1218</v>
      </c>
      <c r="AA57" s="117"/>
      <c r="AB57" s="117"/>
      <c r="AC57" s="117"/>
      <c r="AF57" s="143" t="s">
        <v>39</v>
      </c>
      <c r="AG57" s="117">
        <v>2017</v>
      </c>
      <c r="AH57" s="117" t="s">
        <v>190</v>
      </c>
      <c r="AI57" s="9" t="s">
        <v>95</v>
      </c>
      <c r="AJ57" s="136">
        <f>AJ20*H6</f>
        <v>3067.413114842308</v>
      </c>
      <c r="AK57" s="117" t="s">
        <v>1218</v>
      </c>
      <c r="AL57" s="117"/>
      <c r="AM57" s="117"/>
      <c r="AN57" s="117"/>
    </row>
    <row r="58" spans="1:40" s="2" customFormat="1">
      <c r="A58" s="152" t="s">
        <v>39</v>
      </c>
      <c r="B58" s="34" t="s">
        <v>216</v>
      </c>
      <c r="C58" s="40" t="s">
        <v>147</v>
      </c>
      <c r="D58" s="34"/>
      <c r="E58" s="313"/>
      <c r="F58" s="314">
        <v>1</v>
      </c>
      <c r="G58" s="40" t="s">
        <v>148</v>
      </c>
      <c r="H58" s="252">
        <v>2</v>
      </c>
      <c r="I58" s="10">
        <v>2</v>
      </c>
      <c r="J58" s="10">
        <v>2</v>
      </c>
      <c r="K58" s="10">
        <v>1</v>
      </c>
      <c r="L58" s="10">
        <v>1</v>
      </c>
      <c r="M58" s="298">
        <v>2</v>
      </c>
      <c r="N58" s="303"/>
      <c r="O58" s="34"/>
      <c r="P58" s="6"/>
      <c r="Q58" s="6"/>
      <c r="U58" s="143" t="s">
        <v>39</v>
      </c>
      <c r="V58" s="117">
        <v>2017</v>
      </c>
      <c r="W58" s="117" t="s">
        <v>188</v>
      </c>
      <c r="X58" s="9" t="s">
        <v>96</v>
      </c>
      <c r="Y58" s="136">
        <f>Y20*H7</f>
        <v>19.304103698013705</v>
      </c>
      <c r="Z58" s="117" t="s">
        <v>1218</v>
      </c>
      <c r="AA58" s="117"/>
      <c r="AB58" s="117"/>
      <c r="AC58" s="117"/>
      <c r="AF58" s="143" t="s">
        <v>39</v>
      </c>
      <c r="AG58" s="117">
        <v>2017</v>
      </c>
      <c r="AH58" s="117" t="s">
        <v>190</v>
      </c>
      <c r="AI58" s="9" t="s">
        <v>96</v>
      </c>
      <c r="AJ58" s="136">
        <f>AJ20*H7</f>
        <v>548.65033904328789</v>
      </c>
      <c r="AK58" s="117" t="s">
        <v>1218</v>
      </c>
      <c r="AL58" s="117"/>
      <c r="AM58" s="117"/>
      <c r="AN58" s="117"/>
    </row>
    <row r="59" spans="1:40" s="2" customFormat="1">
      <c r="A59" s="152" t="s">
        <v>39</v>
      </c>
      <c r="B59" s="34" t="s">
        <v>248</v>
      </c>
      <c r="C59" s="40" t="s">
        <v>147</v>
      </c>
      <c r="D59" s="34"/>
      <c r="E59" s="313"/>
      <c r="F59" s="314">
        <v>1</v>
      </c>
      <c r="G59" s="40" t="s">
        <v>148</v>
      </c>
      <c r="H59" s="252"/>
      <c r="I59" s="10"/>
      <c r="J59" s="10"/>
      <c r="K59" s="10"/>
      <c r="L59" s="10"/>
      <c r="M59" s="298"/>
      <c r="N59" s="303"/>
      <c r="O59" s="34"/>
      <c r="P59" s="6"/>
      <c r="Q59" s="6"/>
      <c r="U59" s="143" t="s">
        <v>39</v>
      </c>
      <c r="V59" s="117">
        <v>2017</v>
      </c>
      <c r="W59" s="117" t="s">
        <v>188</v>
      </c>
      <c r="X59" s="9" t="s">
        <v>97</v>
      </c>
      <c r="Y59" s="136">
        <f>Y20*H8</f>
        <v>6.9021473817116119</v>
      </c>
      <c r="Z59" s="117" t="s">
        <v>1218</v>
      </c>
      <c r="AA59" s="117"/>
      <c r="AB59" s="117"/>
      <c r="AC59" s="117"/>
      <c r="AF59" s="143" t="s">
        <v>39</v>
      </c>
      <c r="AG59" s="117">
        <v>2017</v>
      </c>
      <c r="AH59" s="117" t="s">
        <v>190</v>
      </c>
      <c r="AI59" s="9" t="s">
        <v>97</v>
      </c>
      <c r="AJ59" s="136">
        <f>AJ20*H8</f>
        <v>196.16893694434862</v>
      </c>
      <c r="AK59" s="117" t="s">
        <v>1218</v>
      </c>
      <c r="AL59" s="117"/>
      <c r="AM59" s="117"/>
      <c r="AN59" s="117"/>
    </row>
    <row r="60" spans="1:40" s="2" customFormat="1">
      <c r="A60" s="152" t="s">
        <v>39</v>
      </c>
      <c r="B60" s="34" t="s">
        <v>215</v>
      </c>
      <c r="C60" s="40" t="s">
        <v>147</v>
      </c>
      <c r="D60" s="34"/>
      <c r="E60" s="313"/>
      <c r="F60" s="314">
        <v>1</v>
      </c>
      <c r="G60" s="40" t="s">
        <v>148</v>
      </c>
      <c r="H60" s="252">
        <v>2</v>
      </c>
      <c r="I60" s="10">
        <v>2</v>
      </c>
      <c r="J60" s="10">
        <v>2</v>
      </c>
      <c r="K60" s="10">
        <v>1</v>
      </c>
      <c r="L60" s="10">
        <v>1</v>
      </c>
      <c r="M60" s="298">
        <v>2</v>
      </c>
      <c r="N60" s="303"/>
      <c r="O60" s="34"/>
      <c r="P60" s="6"/>
      <c r="Q60" s="6"/>
      <c r="U60" s="143" t="s">
        <v>39</v>
      </c>
      <c r="V60" s="117">
        <v>2017</v>
      </c>
      <c r="W60" s="117" t="s">
        <v>188</v>
      </c>
      <c r="X60" s="9" t="s">
        <v>98</v>
      </c>
      <c r="Y60" s="136">
        <f>Y20*H9</f>
        <v>10.997842892629565</v>
      </c>
      <c r="Z60" s="117" t="s">
        <v>1218</v>
      </c>
      <c r="AA60" s="117"/>
      <c r="AB60" s="117"/>
      <c r="AC60" s="117"/>
      <c r="AF60" s="143" t="s">
        <v>39</v>
      </c>
      <c r="AG60" s="117">
        <v>2017</v>
      </c>
      <c r="AH60" s="117" t="s">
        <v>190</v>
      </c>
      <c r="AI60" s="9" t="s">
        <v>98</v>
      </c>
      <c r="AJ60" s="136">
        <f>AJ20*H9</f>
        <v>312.57448292752849</v>
      </c>
      <c r="AK60" s="117" t="s">
        <v>1218</v>
      </c>
      <c r="AL60" s="117"/>
      <c r="AM60" s="117"/>
      <c r="AN60" s="117"/>
    </row>
    <row r="61" spans="1:40" s="2" customFormat="1">
      <c r="A61" s="152" t="s">
        <v>39</v>
      </c>
      <c r="B61" s="34" t="s">
        <v>214</v>
      </c>
      <c r="C61" s="40" t="s">
        <v>147</v>
      </c>
      <c r="D61" s="34"/>
      <c r="E61" s="313"/>
      <c r="F61" s="314">
        <v>1</v>
      </c>
      <c r="G61" s="40" t="s">
        <v>148</v>
      </c>
      <c r="H61" s="252">
        <v>2</v>
      </c>
      <c r="I61" s="10">
        <v>2</v>
      </c>
      <c r="J61" s="10">
        <v>2</v>
      </c>
      <c r="K61" s="10">
        <v>1</v>
      </c>
      <c r="L61" s="10">
        <v>1</v>
      </c>
      <c r="M61" s="298">
        <v>2</v>
      </c>
      <c r="N61" s="303"/>
      <c r="O61" s="34"/>
      <c r="P61" s="6"/>
      <c r="Q61" s="6"/>
      <c r="U61" s="143" t="s">
        <v>39</v>
      </c>
      <c r="V61" s="117">
        <v>2017</v>
      </c>
      <c r="W61" s="117" t="s">
        <v>188</v>
      </c>
      <c r="X61" s="9" t="s">
        <v>99</v>
      </c>
      <c r="Y61" s="136">
        <f>Y20*H10</f>
        <v>93.956244003451516</v>
      </c>
      <c r="Z61" s="998" t="s">
        <v>1218</v>
      </c>
      <c r="AA61" s="998"/>
      <c r="AB61" s="998"/>
      <c r="AC61" s="998"/>
      <c r="AF61" s="143" t="s">
        <v>39</v>
      </c>
      <c r="AG61" s="117">
        <v>2017</v>
      </c>
      <c r="AH61" s="117" t="s">
        <v>190</v>
      </c>
      <c r="AI61" s="9" t="s">
        <v>99</v>
      </c>
      <c r="AJ61" s="136">
        <f>AJ20*H10</f>
        <v>2670.371333170558</v>
      </c>
      <c r="AK61" s="998" t="s">
        <v>1218</v>
      </c>
      <c r="AL61" s="998"/>
      <c r="AM61" s="998"/>
      <c r="AN61" s="998"/>
    </row>
    <row r="62" spans="1:40" s="2" customFormat="1">
      <c r="A62" s="152" t="s">
        <v>39</v>
      </c>
      <c r="B62" s="34" t="s">
        <v>213</v>
      </c>
      <c r="C62" s="40" t="s">
        <v>147</v>
      </c>
      <c r="D62" s="34"/>
      <c r="E62" s="313"/>
      <c r="F62" s="314">
        <v>1</v>
      </c>
      <c r="G62" s="40" t="s">
        <v>148</v>
      </c>
      <c r="H62" s="252">
        <v>2</v>
      </c>
      <c r="I62" s="10">
        <v>2</v>
      </c>
      <c r="J62" s="10">
        <v>2</v>
      </c>
      <c r="K62" s="10">
        <v>1</v>
      </c>
      <c r="L62" s="10">
        <v>1</v>
      </c>
      <c r="M62" s="298">
        <v>2</v>
      </c>
      <c r="N62" s="303"/>
      <c r="O62" s="34"/>
      <c r="P62" s="6"/>
      <c r="Q62" s="6"/>
      <c r="U62" s="143" t="s">
        <v>39</v>
      </c>
      <c r="V62" s="117">
        <v>2017</v>
      </c>
      <c r="W62" s="117" t="s">
        <v>188</v>
      </c>
      <c r="X62" s="9" t="s">
        <v>106</v>
      </c>
      <c r="Y62" s="136">
        <f>Y20*H11</f>
        <v>13.001220651252373</v>
      </c>
      <c r="Z62" s="998" t="s">
        <v>1218</v>
      </c>
      <c r="AA62" s="998"/>
      <c r="AB62" s="998"/>
      <c r="AC62" s="998"/>
      <c r="AF62" s="143" t="s">
        <v>39</v>
      </c>
      <c r="AG62" s="117">
        <v>2017</v>
      </c>
      <c r="AH62" s="117" t="s">
        <v>190</v>
      </c>
      <c r="AI62" s="9" t="s">
        <v>106</v>
      </c>
      <c r="AJ62" s="136">
        <f>AJ20*H11</f>
        <v>369.51335477026953</v>
      </c>
      <c r="AK62" s="998" t="s">
        <v>1218</v>
      </c>
      <c r="AL62" s="998"/>
      <c r="AM62" s="998"/>
      <c r="AN62" s="998"/>
    </row>
    <row r="63" spans="1:40" s="2" customFormat="1">
      <c r="A63" s="152" t="s">
        <v>39</v>
      </c>
      <c r="B63" s="34" t="s">
        <v>191</v>
      </c>
      <c r="C63" s="40" t="s">
        <v>147</v>
      </c>
      <c r="D63" s="34"/>
      <c r="E63" s="313"/>
      <c r="F63" s="314">
        <v>1</v>
      </c>
      <c r="G63" s="40" t="s">
        <v>148</v>
      </c>
      <c r="H63" s="252"/>
      <c r="I63" s="10"/>
      <c r="J63" s="10"/>
      <c r="K63" s="10"/>
      <c r="L63" s="10"/>
      <c r="M63" s="298"/>
      <c r="N63" s="303"/>
      <c r="O63" s="34"/>
      <c r="P63" s="6"/>
      <c r="Q63" s="6"/>
    </row>
    <row r="64" spans="1:40" s="2" customFormat="1">
      <c r="A64" s="152" t="s">
        <v>39</v>
      </c>
      <c r="B64" s="34" t="s">
        <v>150</v>
      </c>
      <c r="C64" s="40" t="s">
        <v>147</v>
      </c>
      <c r="D64" s="34"/>
      <c r="E64" s="313"/>
      <c r="F64" s="314">
        <v>1</v>
      </c>
      <c r="G64" s="40" t="s">
        <v>148</v>
      </c>
      <c r="H64" s="252"/>
      <c r="I64" s="10"/>
      <c r="J64" s="10"/>
      <c r="K64" s="10"/>
      <c r="L64" s="10"/>
      <c r="M64" s="298"/>
      <c r="N64" s="303"/>
      <c r="O64" s="34"/>
      <c r="P64" s="6"/>
      <c r="Q64" s="6"/>
    </row>
    <row r="65" spans="1:18" s="2" customFormat="1">
      <c r="A65" s="152" t="s">
        <v>39</v>
      </c>
      <c r="B65" s="34" t="s">
        <v>146</v>
      </c>
      <c r="C65" s="40" t="s">
        <v>147</v>
      </c>
      <c r="D65" s="34"/>
      <c r="E65" s="313"/>
      <c r="F65" s="314">
        <v>1</v>
      </c>
      <c r="G65" s="40" t="s">
        <v>148</v>
      </c>
      <c r="H65" s="252">
        <v>2</v>
      </c>
      <c r="I65" s="10">
        <v>2</v>
      </c>
      <c r="J65" s="10">
        <v>2</v>
      </c>
      <c r="K65" s="10">
        <v>1</v>
      </c>
      <c r="L65" s="10">
        <v>1</v>
      </c>
      <c r="M65" s="298">
        <v>2</v>
      </c>
      <c r="N65" s="303"/>
      <c r="O65" s="34"/>
      <c r="P65" s="6"/>
      <c r="Q65" s="6"/>
    </row>
    <row r="66" spans="1:18" ht="30" customHeight="1">
      <c r="A66" s="334"/>
      <c r="B66" s="335"/>
      <c r="C66" s="335"/>
      <c r="D66" s="335"/>
      <c r="E66" s="336"/>
      <c r="F66" s="337"/>
      <c r="G66" s="338"/>
      <c r="H66" s="335"/>
      <c r="I66" s="335"/>
      <c r="J66" s="335"/>
      <c r="K66" s="335"/>
      <c r="L66" s="335"/>
      <c r="M66" s="335"/>
      <c r="N66" s="335"/>
      <c r="O66" s="339"/>
      <c r="P66" s="339"/>
      <c r="Q66" s="339"/>
      <c r="R66" s="339"/>
    </row>
    <row r="67" spans="1:18" s="2" customFormat="1">
      <c r="A67" s="152" t="s">
        <v>39</v>
      </c>
      <c r="B67" s="34" t="s">
        <v>250</v>
      </c>
      <c r="C67" s="40" t="s">
        <v>147</v>
      </c>
      <c r="D67" s="34"/>
      <c r="E67" s="313"/>
      <c r="F67" s="314">
        <v>1</v>
      </c>
      <c r="G67" s="40" t="s">
        <v>148</v>
      </c>
      <c r="H67" s="252">
        <v>2</v>
      </c>
      <c r="I67" s="10">
        <v>2</v>
      </c>
      <c r="J67" s="10">
        <v>2</v>
      </c>
      <c r="K67" s="10">
        <v>1</v>
      </c>
      <c r="L67" s="10">
        <v>1</v>
      </c>
      <c r="M67" s="298">
        <v>2</v>
      </c>
      <c r="N67" s="303"/>
      <c r="O67" s="34"/>
      <c r="P67" s="6"/>
      <c r="Q67" s="6"/>
    </row>
    <row r="68" spans="1:18" s="2" customFormat="1">
      <c r="A68" s="152" t="s">
        <v>39</v>
      </c>
      <c r="B68" s="34" t="s">
        <v>249</v>
      </c>
      <c r="C68" s="40" t="s">
        <v>147</v>
      </c>
      <c r="D68" s="34"/>
      <c r="E68" s="313"/>
      <c r="F68" s="314">
        <v>1</v>
      </c>
      <c r="G68" s="40" t="s">
        <v>148</v>
      </c>
      <c r="H68" s="252">
        <v>2</v>
      </c>
      <c r="I68" s="10">
        <v>2</v>
      </c>
      <c r="J68" s="10">
        <v>2</v>
      </c>
      <c r="K68" s="10">
        <v>1</v>
      </c>
      <c r="L68" s="10">
        <v>1</v>
      </c>
      <c r="M68" s="298">
        <v>2</v>
      </c>
      <c r="N68" s="303"/>
      <c r="O68" s="34"/>
      <c r="P68" s="6"/>
      <c r="Q68" s="6"/>
    </row>
    <row r="69" spans="1:18" s="2" customFormat="1">
      <c r="A69" s="152" t="s">
        <v>39</v>
      </c>
      <c r="B69" s="34" t="s">
        <v>216</v>
      </c>
      <c r="C69" s="40" t="s">
        <v>147</v>
      </c>
      <c r="D69" s="34"/>
      <c r="E69" s="313"/>
      <c r="F69" s="314">
        <v>1</v>
      </c>
      <c r="G69" s="40" t="s">
        <v>148</v>
      </c>
      <c r="H69" s="252">
        <v>2</v>
      </c>
      <c r="I69" s="10">
        <v>2</v>
      </c>
      <c r="J69" s="10">
        <v>2</v>
      </c>
      <c r="K69" s="10">
        <v>1</v>
      </c>
      <c r="L69" s="10">
        <v>1</v>
      </c>
      <c r="M69" s="298">
        <v>2</v>
      </c>
      <c r="N69" s="303"/>
      <c r="O69" s="34"/>
      <c r="P69" s="6"/>
      <c r="Q69" s="6"/>
    </row>
    <row r="70" spans="1:18" s="2" customFormat="1">
      <c r="A70" s="152" t="s">
        <v>39</v>
      </c>
      <c r="B70" s="34" t="s">
        <v>248</v>
      </c>
      <c r="C70" s="40" t="s">
        <v>147</v>
      </c>
      <c r="D70" s="34"/>
      <c r="E70" s="313"/>
      <c r="F70" s="314">
        <v>1</v>
      </c>
      <c r="G70" s="40" t="s">
        <v>148</v>
      </c>
      <c r="H70" s="252"/>
      <c r="I70" s="10"/>
      <c r="J70" s="10"/>
      <c r="K70" s="10"/>
      <c r="L70" s="10"/>
      <c r="M70" s="298"/>
      <c r="N70" s="303"/>
      <c r="O70" s="34"/>
      <c r="P70" s="6"/>
      <c r="Q70" s="6"/>
    </row>
    <row r="71" spans="1:18" s="2" customFormat="1">
      <c r="A71" s="152" t="s">
        <v>39</v>
      </c>
      <c r="B71" s="34" t="s">
        <v>215</v>
      </c>
      <c r="C71" s="40" t="s">
        <v>147</v>
      </c>
      <c r="D71" s="34"/>
      <c r="E71" s="313"/>
      <c r="F71" s="314">
        <v>1</v>
      </c>
      <c r="G71" s="40" t="s">
        <v>148</v>
      </c>
      <c r="H71" s="252">
        <v>2</v>
      </c>
      <c r="I71" s="10">
        <v>2</v>
      </c>
      <c r="J71" s="10">
        <v>2</v>
      </c>
      <c r="K71" s="10">
        <v>1</v>
      </c>
      <c r="L71" s="10">
        <v>1</v>
      </c>
      <c r="M71" s="298">
        <v>2</v>
      </c>
      <c r="N71" s="303"/>
      <c r="O71" s="34"/>
      <c r="P71" s="6"/>
      <c r="Q71" s="6"/>
    </row>
    <row r="72" spans="1:18" s="2" customFormat="1">
      <c r="A72" s="152" t="s">
        <v>39</v>
      </c>
      <c r="B72" s="34" t="s">
        <v>214</v>
      </c>
      <c r="C72" s="40" t="s">
        <v>147</v>
      </c>
      <c r="D72" s="34"/>
      <c r="E72" s="313"/>
      <c r="F72" s="314">
        <v>1</v>
      </c>
      <c r="G72" s="40" t="s">
        <v>148</v>
      </c>
      <c r="H72" s="252">
        <v>2</v>
      </c>
      <c r="I72" s="10">
        <v>2</v>
      </c>
      <c r="J72" s="10">
        <v>2</v>
      </c>
      <c r="K72" s="10">
        <v>1</v>
      </c>
      <c r="L72" s="10">
        <v>1</v>
      </c>
      <c r="M72" s="298">
        <v>2</v>
      </c>
      <c r="N72" s="303"/>
      <c r="O72" s="34"/>
      <c r="P72" s="6"/>
      <c r="Q72" s="6"/>
    </row>
    <row r="73" spans="1:18" s="2" customFormat="1">
      <c r="A73" s="152" t="s">
        <v>39</v>
      </c>
      <c r="B73" s="34" t="s">
        <v>213</v>
      </c>
      <c r="C73" s="40" t="s">
        <v>147</v>
      </c>
      <c r="D73" s="34"/>
      <c r="E73" s="313"/>
      <c r="F73" s="314">
        <v>1</v>
      </c>
      <c r="G73" s="40" t="s">
        <v>148</v>
      </c>
      <c r="H73" s="252">
        <v>2</v>
      </c>
      <c r="I73" s="10">
        <v>2</v>
      </c>
      <c r="J73" s="10">
        <v>2</v>
      </c>
      <c r="K73" s="10">
        <v>1</v>
      </c>
      <c r="L73" s="10">
        <v>1</v>
      </c>
      <c r="M73" s="298">
        <v>2</v>
      </c>
      <c r="N73" s="303"/>
      <c r="O73" s="34"/>
      <c r="P73" s="6"/>
      <c r="Q73" s="6"/>
    </row>
    <row r="74" spans="1:18" s="2" customFormat="1">
      <c r="A74" s="152" t="s">
        <v>39</v>
      </c>
      <c r="B74" s="34" t="s">
        <v>191</v>
      </c>
      <c r="C74" s="40" t="s">
        <v>147</v>
      </c>
      <c r="D74" s="34"/>
      <c r="E74" s="313"/>
      <c r="F74" s="314">
        <v>1</v>
      </c>
      <c r="G74" s="40" t="s">
        <v>148</v>
      </c>
      <c r="H74" s="252"/>
      <c r="I74" s="10"/>
      <c r="J74" s="10"/>
      <c r="K74" s="10"/>
      <c r="L74" s="10"/>
      <c r="M74" s="298"/>
      <c r="N74" s="303"/>
      <c r="O74" s="34"/>
      <c r="P74" s="6"/>
      <c r="Q74" s="6"/>
    </row>
    <row r="75" spans="1:18" s="2" customFormat="1">
      <c r="A75" s="152" t="s">
        <v>39</v>
      </c>
      <c r="B75" s="34" t="s">
        <v>150</v>
      </c>
      <c r="C75" s="40" t="s">
        <v>147</v>
      </c>
      <c r="D75" s="34"/>
      <c r="E75" s="313"/>
      <c r="F75" s="314">
        <v>1</v>
      </c>
      <c r="G75" s="40" t="s">
        <v>148</v>
      </c>
      <c r="H75" s="252"/>
      <c r="I75" s="10"/>
      <c r="J75" s="10"/>
      <c r="K75" s="10"/>
      <c r="L75" s="10"/>
      <c r="M75" s="298"/>
      <c r="N75" s="303"/>
      <c r="O75" s="34"/>
      <c r="P75" s="6"/>
      <c r="Q75" s="6"/>
    </row>
    <row r="76" spans="1:18" s="2" customFormat="1">
      <c r="A76" s="152" t="s">
        <v>39</v>
      </c>
      <c r="B76" s="34" t="s">
        <v>146</v>
      </c>
      <c r="C76" s="40" t="s">
        <v>147</v>
      </c>
      <c r="D76" s="34"/>
      <c r="E76" s="313"/>
      <c r="F76" s="314">
        <v>1</v>
      </c>
      <c r="G76" s="40" t="s">
        <v>148</v>
      </c>
      <c r="H76" s="252">
        <v>2</v>
      </c>
      <c r="I76" s="10">
        <v>2</v>
      </c>
      <c r="J76" s="10">
        <v>2</v>
      </c>
      <c r="K76" s="10">
        <v>1</v>
      </c>
      <c r="L76" s="10">
        <v>1</v>
      </c>
      <c r="M76" s="298">
        <v>2</v>
      </c>
      <c r="N76" s="303"/>
      <c r="O76" s="34"/>
      <c r="P76" s="6"/>
      <c r="Q76" s="6"/>
    </row>
    <row r="77" spans="1:18" ht="30" customHeight="1">
      <c r="A77" s="334"/>
      <c r="B77" s="335"/>
      <c r="C77" s="335"/>
      <c r="D77" s="335"/>
      <c r="E77" s="336"/>
      <c r="F77" s="337"/>
      <c r="G77" s="338"/>
      <c r="H77" s="335"/>
      <c r="I77" s="335"/>
      <c r="J77" s="335"/>
      <c r="K77" s="335"/>
      <c r="L77" s="335"/>
      <c r="M77" s="335"/>
      <c r="N77" s="335"/>
      <c r="O77" s="339"/>
      <c r="P77" s="339"/>
      <c r="Q77" s="339"/>
      <c r="R77" s="339"/>
    </row>
    <row r="78" spans="1:18" s="2" customFormat="1">
      <c r="A78" s="152" t="s">
        <v>39</v>
      </c>
      <c r="B78" s="34" t="s">
        <v>250</v>
      </c>
      <c r="C78" s="40" t="s">
        <v>147</v>
      </c>
      <c r="D78" s="34"/>
      <c r="E78" s="313"/>
      <c r="F78" s="314">
        <v>1</v>
      </c>
      <c r="G78" s="40" t="s">
        <v>148</v>
      </c>
      <c r="H78" s="252">
        <v>2</v>
      </c>
      <c r="I78" s="10">
        <v>2</v>
      </c>
      <c r="J78" s="10">
        <v>2</v>
      </c>
      <c r="K78" s="10">
        <v>1</v>
      </c>
      <c r="L78" s="10">
        <v>1</v>
      </c>
      <c r="M78" s="298">
        <v>2</v>
      </c>
      <c r="N78" s="303"/>
      <c r="O78" s="34"/>
      <c r="P78" s="6"/>
      <c r="Q78" s="6"/>
    </row>
    <row r="79" spans="1:18" s="2" customFormat="1">
      <c r="A79" s="152" t="s">
        <v>39</v>
      </c>
      <c r="B79" s="34" t="s">
        <v>249</v>
      </c>
      <c r="C79" s="40" t="s">
        <v>147</v>
      </c>
      <c r="D79" s="34"/>
      <c r="E79" s="313"/>
      <c r="F79" s="314">
        <v>1</v>
      </c>
      <c r="G79" s="40" t="s">
        <v>148</v>
      </c>
      <c r="H79" s="252">
        <v>2</v>
      </c>
      <c r="I79" s="10">
        <v>2</v>
      </c>
      <c r="J79" s="10">
        <v>2</v>
      </c>
      <c r="K79" s="10">
        <v>1</v>
      </c>
      <c r="L79" s="10">
        <v>1</v>
      </c>
      <c r="M79" s="298">
        <v>2</v>
      </c>
      <c r="N79" s="303"/>
      <c r="O79" s="34"/>
      <c r="P79" s="6"/>
      <c r="Q79" s="6"/>
    </row>
    <row r="80" spans="1:18" s="2" customFormat="1">
      <c r="A80" s="152" t="s">
        <v>39</v>
      </c>
      <c r="B80" s="34" t="s">
        <v>216</v>
      </c>
      <c r="C80" s="40" t="s">
        <v>147</v>
      </c>
      <c r="D80" s="34"/>
      <c r="E80" s="313"/>
      <c r="F80" s="314">
        <v>1</v>
      </c>
      <c r="G80" s="40" t="s">
        <v>148</v>
      </c>
      <c r="H80" s="252">
        <v>2</v>
      </c>
      <c r="I80" s="10">
        <v>2</v>
      </c>
      <c r="J80" s="10">
        <v>2</v>
      </c>
      <c r="K80" s="10">
        <v>1</v>
      </c>
      <c r="L80" s="10">
        <v>1</v>
      </c>
      <c r="M80" s="298">
        <v>2</v>
      </c>
      <c r="N80" s="303"/>
      <c r="O80" s="34"/>
      <c r="P80" s="6"/>
      <c r="Q80" s="6"/>
    </row>
    <row r="81" spans="1:18" s="2" customFormat="1">
      <c r="A81" s="152" t="s">
        <v>39</v>
      </c>
      <c r="B81" s="34" t="s">
        <v>248</v>
      </c>
      <c r="C81" s="40" t="s">
        <v>147</v>
      </c>
      <c r="D81" s="34"/>
      <c r="E81" s="313"/>
      <c r="F81" s="314">
        <v>1</v>
      </c>
      <c r="G81" s="40" t="s">
        <v>148</v>
      </c>
      <c r="H81" s="252"/>
      <c r="I81" s="10"/>
      <c r="J81" s="10"/>
      <c r="K81" s="10"/>
      <c r="L81" s="10"/>
      <c r="M81" s="298"/>
      <c r="N81" s="303"/>
      <c r="O81" s="34"/>
      <c r="P81" s="6"/>
      <c r="Q81" s="6"/>
    </row>
    <row r="82" spans="1:18" s="2" customFormat="1">
      <c r="A82" s="152" t="s">
        <v>39</v>
      </c>
      <c r="B82" s="34" t="s">
        <v>215</v>
      </c>
      <c r="C82" s="40" t="s">
        <v>147</v>
      </c>
      <c r="D82" s="34"/>
      <c r="E82" s="313"/>
      <c r="F82" s="314">
        <v>1</v>
      </c>
      <c r="G82" s="40" t="s">
        <v>148</v>
      </c>
      <c r="H82" s="252">
        <v>2</v>
      </c>
      <c r="I82" s="10">
        <v>2</v>
      </c>
      <c r="J82" s="10">
        <v>2</v>
      </c>
      <c r="K82" s="10">
        <v>1</v>
      </c>
      <c r="L82" s="10">
        <v>1</v>
      </c>
      <c r="M82" s="298">
        <v>2</v>
      </c>
      <c r="N82" s="303"/>
      <c r="O82" s="34"/>
      <c r="P82" s="6"/>
      <c r="Q82" s="6"/>
    </row>
    <row r="83" spans="1:18" s="2" customFormat="1">
      <c r="A83" s="152" t="s">
        <v>39</v>
      </c>
      <c r="B83" s="34" t="s">
        <v>214</v>
      </c>
      <c r="C83" s="40" t="s">
        <v>147</v>
      </c>
      <c r="D83" s="34"/>
      <c r="E83" s="313"/>
      <c r="F83" s="314">
        <v>1</v>
      </c>
      <c r="G83" s="40" t="s">
        <v>148</v>
      </c>
      <c r="H83" s="252">
        <v>2</v>
      </c>
      <c r="I83" s="10">
        <v>2</v>
      </c>
      <c r="J83" s="10">
        <v>2</v>
      </c>
      <c r="K83" s="10">
        <v>1</v>
      </c>
      <c r="L83" s="10">
        <v>1</v>
      </c>
      <c r="M83" s="298">
        <v>2</v>
      </c>
      <c r="N83" s="303"/>
      <c r="O83" s="34"/>
      <c r="P83" s="6"/>
      <c r="Q83" s="6"/>
    </row>
    <row r="84" spans="1:18" s="2" customFormat="1">
      <c r="A84" s="152" t="s">
        <v>39</v>
      </c>
      <c r="B84" s="34" t="s">
        <v>213</v>
      </c>
      <c r="C84" s="40" t="s">
        <v>147</v>
      </c>
      <c r="D84" s="34"/>
      <c r="E84" s="313"/>
      <c r="F84" s="314">
        <v>1</v>
      </c>
      <c r="G84" s="40" t="s">
        <v>148</v>
      </c>
      <c r="H84" s="252">
        <v>2</v>
      </c>
      <c r="I84" s="10">
        <v>2</v>
      </c>
      <c r="J84" s="10">
        <v>2</v>
      </c>
      <c r="K84" s="10">
        <v>1</v>
      </c>
      <c r="L84" s="10">
        <v>1</v>
      </c>
      <c r="M84" s="298">
        <v>2</v>
      </c>
      <c r="N84" s="303"/>
      <c r="O84" s="34"/>
      <c r="P84" s="6"/>
      <c r="Q84" s="6"/>
    </row>
    <row r="85" spans="1:18" s="2" customFormat="1">
      <c r="A85" s="152" t="s">
        <v>39</v>
      </c>
      <c r="B85" s="34" t="s">
        <v>191</v>
      </c>
      <c r="C85" s="40" t="s">
        <v>147</v>
      </c>
      <c r="D85" s="34"/>
      <c r="E85" s="313"/>
      <c r="F85" s="314">
        <v>1</v>
      </c>
      <c r="G85" s="40" t="s">
        <v>148</v>
      </c>
      <c r="H85" s="252"/>
      <c r="I85" s="10"/>
      <c r="J85" s="10"/>
      <c r="K85" s="10"/>
      <c r="L85" s="10"/>
      <c r="M85" s="298"/>
      <c r="N85" s="303"/>
      <c r="O85" s="34"/>
      <c r="P85" s="6"/>
      <c r="Q85" s="6"/>
    </row>
    <row r="86" spans="1:18" s="2" customFormat="1">
      <c r="A86" s="152" t="s">
        <v>39</v>
      </c>
      <c r="B86" s="34" t="s">
        <v>150</v>
      </c>
      <c r="C86" s="40" t="s">
        <v>147</v>
      </c>
      <c r="D86" s="34"/>
      <c r="E86" s="313"/>
      <c r="F86" s="314">
        <v>1</v>
      </c>
      <c r="G86" s="40" t="s">
        <v>148</v>
      </c>
      <c r="H86" s="252"/>
      <c r="I86" s="10"/>
      <c r="J86" s="10"/>
      <c r="K86" s="10"/>
      <c r="L86" s="10"/>
      <c r="M86" s="298"/>
      <c r="N86" s="303"/>
      <c r="O86" s="34"/>
      <c r="P86" s="6"/>
      <c r="Q86" s="6"/>
    </row>
    <row r="87" spans="1:18" s="2" customFormat="1">
      <c r="A87" s="152" t="s">
        <v>39</v>
      </c>
      <c r="B87" s="34" t="s">
        <v>146</v>
      </c>
      <c r="C87" s="40" t="s">
        <v>147</v>
      </c>
      <c r="D87" s="34"/>
      <c r="E87" s="313"/>
      <c r="F87" s="314">
        <v>1</v>
      </c>
      <c r="G87" s="40" t="s">
        <v>148</v>
      </c>
      <c r="H87" s="252">
        <v>2</v>
      </c>
      <c r="I87" s="10">
        <v>2</v>
      </c>
      <c r="J87" s="10">
        <v>2</v>
      </c>
      <c r="K87" s="10">
        <v>1</v>
      </c>
      <c r="L87" s="10">
        <v>1</v>
      </c>
      <c r="M87" s="298">
        <v>2</v>
      </c>
      <c r="N87" s="303"/>
      <c r="O87" s="34"/>
      <c r="P87" s="6"/>
      <c r="Q87" s="6"/>
    </row>
    <row r="88" spans="1:18" ht="30" customHeight="1">
      <c r="A88" s="334"/>
      <c r="B88" s="335"/>
      <c r="C88" s="335"/>
      <c r="D88" s="335"/>
      <c r="E88" s="336"/>
      <c r="F88" s="337"/>
      <c r="G88" s="338"/>
      <c r="H88" s="335"/>
      <c r="I88" s="335"/>
      <c r="J88" s="335"/>
      <c r="K88" s="335"/>
      <c r="L88" s="335"/>
      <c r="M88" s="335"/>
      <c r="N88" s="335"/>
      <c r="O88" s="339"/>
      <c r="P88" s="339"/>
      <c r="Q88" s="339"/>
      <c r="R88" s="339"/>
    </row>
    <row r="89" spans="1:18" s="2" customFormat="1">
      <c r="A89" s="152" t="s">
        <v>39</v>
      </c>
      <c r="B89" s="34" t="s">
        <v>250</v>
      </c>
      <c r="C89" s="40" t="s">
        <v>147</v>
      </c>
      <c r="D89" s="34"/>
      <c r="E89" s="313"/>
      <c r="F89" s="314">
        <v>1</v>
      </c>
      <c r="G89" s="40" t="s">
        <v>148</v>
      </c>
      <c r="H89" s="252">
        <v>2</v>
      </c>
      <c r="I89" s="10">
        <v>2</v>
      </c>
      <c r="J89" s="10">
        <v>2</v>
      </c>
      <c r="K89" s="10">
        <v>1</v>
      </c>
      <c r="L89" s="10">
        <v>1</v>
      </c>
      <c r="M89" s="298">
        <v>2</v>
      </c>
      <c r="N89" s="303"/>
      <c r="O89" s="34"/>
      <c r="P89" s="6"/>
      <c r="Q89" s="6"/>
    </row>
    <row r="90" spans="1:18" s="2" customFormat="1">
      <c r="A90" s="152" t="s">
        <v>39</v>
      </c>
      <c r="B90" s="34" t="s">
        <v>249</v>
      </c>
      <c r="C90" s="40" t="s">
        <v>147</v>
      </c>
      <c r="D90" s="34"/>
      <c r="E90" s="313"/>
      <c r="F90" s="314">
        <v>1</v>
      </c>
      <c r="G90" s="40" t="s">
        <v>148</v>
      </c>
      <c r="H90" s="252">
        <v>2</v>
      </c>
      <c r="I90" s="10">
        <v>2</v>
      </c>
      <c r="J90" s="10">
        <v>2</v>
      </c>
      <c r="K90" s="10">
        <v>1</v>
      </c>
      <c r="L90" s="10">
        <v>1</v>
      </c>
      <c r="M90" s="298">
        <v>2</v>
      </c>
      <c r="N90" s="303"/>
      <c r="O90" s="34"/>
      <c r="P90" s="6"/>
      <c r="Q90" s="6"/>
    </row>
    <row r="91" spans="1:18" s="2" customFormat="1">
      <c r="A91" s="152" t="s">
        <v>39</v>
      </c>
      <c r="B91" s="34" t="s">
        <v>216</v>
      </c>
      <c r="C91" s="40" t="s">
        <v>147</v>
      </c>
      <c r="D91" s="34"/>
      <c r="E91" s="313"/>
      <c r="F91" s="314">
        <v>1</v>
      </c>
      <c r="G91" s="40" t="s">
        <v>148</v>
      </c>
      <c r="H91" s="252">
        <v>2</v>
      </c>
      <c r="I91" s="10">
        <v>2</v>
      </c>
      <c r="J91" s="10">
        <v>2</v>
      </c>
      <c r="K91" s="10">
        <v>1</v>
      </c>
      <c r="L91" s="10">
        <v>1</v>
      </c>
      <c r="M91" s="298">
        <v>2</v>
      </c>
      <c r="N91" s="303"/>
      <c r="O91" s="34"/>
      <c r="P91" s="6"/>
      <c r="Q91" s="6"/>
    </row>
    <row r="92" spans="1:18" s="2" customFormat="1">
      <c r="A92" s="152" t="s">
        <v>39</v>
      </c>
      <c r="B92" s="34" t="s">
        <v>248</v>
      </c>
      <c r="C92" s="40" t="s">
        <v>147</v>
      </c>
      <c r="D92" s="34"/>
      <c r="E92" s="313"/>
      <c r="F92" s="314">
        <v>1</v>
      </c>
      <c r="G92" s="40" t="s">
        <v>148</v>
      </c>
      <c r="H92" s="252"/>
      <c r="I92" s="10"/>
      <c r="J92" s="10"/>
      <c r="K92" s="10"/>
      <c r="L92" s="10"/>
      <c r="M92" s="298"/>
      <c r="N92" s="303"/>
      <c r="O92" s="34"/>
      <c r="P92" s="6"/>
      <c r="Q92" s="6"/>
    </row>
    <row r="93" spans="1:18" s="2" customFormat="1">
      <c r="A93" s="152" t="s">
        <v>39</v>
      </c>
      <c r="B93" s="34" t="s">
        <v>215</v>
      </c>
      <c r="C93" s="40" t="s">
        <v>147</v>
      </c>
      <c r="D93" s="34"/>
      <c r="E93" s="313"/>
      <c r="F93" s="314">
        <v>1</v>
      </c>
      <c r="G93" s="40" t="s">
        <v>148</v>
      </c>
      <c r="H93" s="252">
        <v>2</v>
      </c>
      <c r="I93" s="10">
        <v>2</v>
      </c>
      <c r="J93" s="10">
        <v>2</v>
      </c>
      <c r="K93" s="10">
        <v>1</v>
      </c>
      <c r="L93" s="10">
        <v>1</v>
      </c>
      <c r="M93" s="298">
        <v>2</v>
      </c>
      <c r="N93" s="303"/>
      <c r="O93" s="34"/>
      <c r="P93" s="6"/>
      <c r="Q93" s="6"/>
    </row>
    <row r="94" spans="1:18" s="2" customFormat="1">
      <c r="A94" s="152" t="s">
        <v>39</v>
      </c>
      <c r="B94" s="34" t="s">
        <v>214</v>
      </c>
      <c r="C94" s="40" t="s">
        <v>147</v>
      </c>
      <c r="D94" s="34"/>
      <c r="E94" s="313"/>
      <c r="F94" s="314">
        <v>1</v>
      </c>
      <c r="G94" s="40" t="s">
        <v>148</v>
      </c>
      <c r="H94" s="252">
        <v>2</v>
      </c>
      <c r="I94" s="10">
        <v>2</v>
      </c>
      <c r="J94" s="10">
        <v>2</v>
      </c>
      <c r="K94" s="10">
        <v>1</v>
      </c>
      <c r="L94" s="10">
        <v>1</v>
      </c>
      <c r="M94" s="298">
        <v>2</v>
      </c>
      <c r="N94" s="303"/>
      <c r="O94" s="34"/>
      <c r="P94" s="6"/>
      <c r="Q94" s="6"/>
    </row>
    <row r="95" spans="1:18" s="2" customFormat="1">
      <c r="A95" s="152" t="s">
        <v>39</v>
      </c>
      <c r="B95" s="34" t="s">
        <v>213</v>
      </c>
      <c r="C95" s="40" t="s">
        <v>147</v>
      </c>
      <c r="D95" s="34"/>
      <c r="E95" s="313"/>
      <c r="F95" s="314">
        <v>1</v>
      </c>
      <c r="G95" s="40" t="s">
        <v>148</v>
      </c>
      <c r="H95" s="252">
        <v>2</v>
      </c>
      <c r="I95" s="10">
        <v>2</v>
      </c>
      <c r="J95" s="10">
        <v>2</v>
      </c>
      <c r="K95" s="10">
        <v>1</v>
      </c>
      <c r="L95" s="10">
        <v>1</v>
      </c>
      <c r="M95" s="298">
        <v>2</v>
      </c>
      <c r="N95" s="303"/>
      <c r="O95" s="34"/>
      <c r="P95" s="6"/>
      <c r="Q95" s="6"/>
    </row>
    <row r="96" spans="1:18" s="2" customFormat="1">
      <c r="A96" s="152" t="s">
        <v>39</v>
      </c>
      <c r="B96" s="34" t="s">
        <v>191</v>
      </c>
      <c r="C96" s="40" t="s">
        <v>147</v>
      </c>
      <c r="D96" s="34"/>
      <c r="E96" s="313"/>
      <c r="F96" s="314">
        <v>1</v>
      </c>
      <c r="G96" s="40" t="s">
        <v>148</v>
      </c>
      <c r="H96" s="252"/>
      <c r="I96" s="10"/>
      <c r="J96" s="10"/>
      <c r="K96" s="10"/>
      <c r="L96" s="10"/>
      <c r="M96" s="298"/>
      <c r="N96" s="303"/>
      <c r="O96" s="34"/>
      <c r="P96" s="6"/>
      <c r="Q96" s="6"/>
    </row>
    <row r="97" spans="1:18" s="2" customFormat="1">
      <c r="A97" s="152" t="s">
        <v>39</v>
      </c>
      <c r="B97" s="34" t="s">
        <v>150</v>
      </c>
      <c r="C97" s="40" t="s">
        <v>147</v>
      </c>
      <c r="D97" s="34"/>
      <c r="E97" s="313"/>
      <c r="F97" s="314">
        <v>1</v>
      </c>
      <c r="G97" s="40" t="s">
        <v>148</v>
      </c>
      <c r="H97" s="252"/>
      <c r="I97" s="10"/>
      <c r="J97" s="10"/>
      <c r="K97" s="10"/>
      <c r="L97" s="10"/>
      <c r="M97" s="298"/>
      <c r="N97" s="303"/>
      <c r="O97" s="34"/>
      <c r="P97" s="6"/>
      <c r="Q97" s="6"/>
    </row>
    <row r="98" spans="1:18" s="2" customFormat="1">
      <c r="A98" s="152" t="s">
        <v>39</v>
      </c>
      <c r="B98" s="34" t="s">
        <v>146</v>
      </c>
      <c r="C98" s="40" t="s">
        <v>147</v>
      </c>
      <c r="D98" s="34"/>
      <c r="E98" s="313"/>
      <c r="F98" s="314">
        <v>1</v>
      </c>
      <c r="G98" s="40" t="s">
        <v>148</v>
      </c>
      <c r="H98" s="252">
        <v>2</v>
      </c>
      <c r="I98" s="10">
        <v>2</v>
      </c>
      <c r="J98" s="10">
        <v>2</v>
      </c>
      <c r="K98" s="10">
        <v>1</v>
      </c>
      <c r="L98" s="10">
        <v>1</v>
      </c>
      <c r="M98" s="298">
        <v>2</v>
      </c>
      <c r="N98" s="303"/>
      <c r="O98" s="34"/>
      <c r="P98" s="6"/>
      <c r="Q98" s="6"/>
    </row>
    <row r="99" spans="1:18" ht="30" customHeight="1">
      <c r="A99" s="334"/>
      <c r="B99" s="335"/>
      <c r="C99" s="335"/>
      <c r="D99" s="335"/>
      <c r="E99" s="336"/>
      <c r="F99" s="337"/>
      <c r="G99" s="338"/>
      <c r="H99" s="335"/>
      <c r="I99" s="335"/>
      <c r="J99" s="335"/>
      <c r="K99" s="335"/>
      <c r="L99" s="335"/>
      <c r="M99" s="335"/>
      <c r="N99" s="335"/>
      <c r="O99" s="339"/>
      <c r="P99" s="339"/>
      <c r="Q99" s="339"/>
      <c r="R99" s="339"/>
    </row>
    <row r="100" spans="1:18" s="2" customFormat="1">
      <c r="A100" s="152" t="s">
        <v>39</v>
      </c>
      <c r="B100" s="34" t="s">
        <v>250</v>
      </c>
      <c r="C100" s="40" t="s">
        <v>147</v>
      </c>
      <c r="D100" s="34"/>
      <c r="E100" s="313"/>
      <c r="F100" s="314">
        <v>1</v>
      </c>
      <c r="G100" s="40" t="s">
        <v>148</v>
      </c>
      <c r="H100" s="252">
        <v>2</v>
      </c>
      <c r="I100" s="10">
        <v>2</v>
      </c>
      <c r="J100" s="10">
        <v>2</v>
      </c>
      <c r="K100" s="10">
        <v>1</v>
      </c>
      <c r="L100" s="10">
        <v>1</v>
      </c>
      <c r="M100" s="298">
        <v>2</v>
      </c>
      <c r="N100" s="303"/>
      <c r="O100" s="34"/>
      <c r="P100" s="6"/>
      <c r="Q100" s="6"/>
    </row>
    <row r="101" spans="1:18" s="2" customFormat="1">
      <c r="A101" s="152" t="s">
        <v>39</v>
      </c>
      <c r="B101" s="34" t="s">
        <v>249</v>
      </c>
      <c r="C101" s="40" t="s">
        <v>147</v>
      </c>
      <c r="D101" s="34"/>
      <c r="E101" s="313"/>
      <c r="F101" s="314">
        <v>1</v>
      </c>
      <c r="G101" s="40" t="s">
        <v>148</v>
      </c>
      <c r="H101" s="252">
        <v>2</v>
      </c>
      <c r="I101" s="10">
        <v>2</v>
      </c>
      <c r="J101" s="10">
        <v>2</v>
      </c>
      <c r="K101" s="10">
        <v>1</v>
      </c>
      <c r="L101" s="10">
        <v>1</v>
      </c>
      <c r="M101" s="298">
        <v>2</v>
      </c>
      <c r="N101" s="303"/>
      <c r="O101" s="34"/>
      <c r="P101" s="6"/>
      <c r="Q101" s="6"/>
    </row>
    <row r="102" spans="1:18" s="2" customFormat="1">
      <c r="A102" s="152" t="s">
        <v>39</v>
      </c>
      <c r="B102" s="34" t="s">
        <v>216</v>
      </c>
      <c r="C102" s="40" t="s">
        <v>147</v>
      </c>
      <c r="D102" s="34"/>
      <c r="E102" s="313"/>
      <c r="F102" s="314">
        <v>1</v>
      </c>
      <c r="G102" s="40" t="s">
        <v>148</v>
      </c>
      <c r="H102" s="252">
        <v>2</v>
      </c>
      <c r="I102" s="10">
        <v>2</v>
      </c>
      <c r="J102" s="10">
        <v>2</v>
      </c>
      <c r="K102" s="10">
        <v>1</v>
      </c>
      <c r="L102" s="10">
        <v>1</v>
      </c>
      <c r="M102" s="298">
        <v>2</v>
      </c>
      <c r="N102" s="303"/>
      <c r="O102" s="34"/>
      <c r="P102" s="6"/>
      <c r="Q102" s="6"/>
    </row>
    <row r="103" spans="1:18" s="2" customFormat="1">
      <c r="A103" s="152" t="s">
        <v>39</v>
      </c>
      <c r="B103" s="34" t="s">
        <v>248</v>
      </c>
      <c r="C103" s="40" t="s">
        <v>147</v>
      </c>
      <c r="D103" s="34"/>
      <c r="E103" s="313"/>
      <c r="F103" s="314">
        <v>1</v>
      </c>
      <c r="G103" s="40" t="s">
        <v>148</v>
      </c>
      <c r="H103" s="252"/>
      <c r="I103" s="10"/>
      <c r="J103" s="10"/>
      <c r="K103" s="10"/>
      <c r="L103" s="10"/>
      <c r="M103" s="298"/>
      <c r="N103" s="303"/>
      <c r="O103" s="34"/>
      <c r="P103" s="6"/>
      <c r="Q103" s="6"/>
    </row>
    <row r="104" spans="1:18" s="2" customFormat="1">
      <c r="A104" s="152" t="s">
        <v>39</v>
      </c>
      <c r="B104" s="34" t="s">
        <v>215</v>
      </c>
      <c r="C104" s="40" t="s">
        <v>147</v>
      </c>
      <c r="D104" s="34"/>
      <c r="E104" s="313"/>
      <c r="F104" s="314">
        <v>1</v>
      </c>
      <c r="G104" s="40" t="s">
        <v>148</v>
      </c>
      <c r="H104" s="252">
        <v>2</v>
      </c>
      <c r="I104" s="10">
        <v>2</v>
      </c>
      <c r="J104" s="10">
        <v>2</v>
      </c>
      <c r="K104" s="10">
        <v>1</v>
      </c>
      <c r="L104" s="10">
        <v>1</v>
      </c>
      <c r="M104" s="298">
        <v>2</v>
      </c>
      <c r="N104" s="303"/>
      <c r="O104" s="34"/>
      <c r="P104" s="6"/>
      <c r="Q104" s="6"/>
    </row>
    <row r="105" spans="1:18" s="2" customFormat="1">
      <c r="A105" s="152" t="s">
        <v>39</v>
      </c>
      <c r="B105" s="34" t="s">
        <v>214</v>
      </c>
      <c r="C105" s="40" t="s">
        <v>147</v>
      </c>
      <c r="D105" s="34"/>
      <c r="E105" s="313"/>
      <c r="F105" s="314">
        <v>1</v>
      </c>
      <c r="G105" s="40" t="s">
        <v>148</v>
      </c>
      <c r="H105" s="252">
        <v>2</v>
      </c>
      <c r="I105" s="10">
        <v>2</v>
      </c>
      <c r="J105" s="10">
        <v>2</v>
      </c>
      <c r="K105" s="10">
        <v>1</v>
      </c>
      <c r="L105" s="10">
        <v>1</v>
      </c>
      <c r="M105" s="298">
        <v>2</v>
      </c>
      <c r="N105" s="303"/>
      <c r="O105" s="34"/>
      <c r="P105" s="6"/>
      <c r="Q105" s="6"/>
    </row>
    <row r="106" spans="1:18" s="2" customFormat="1">
      <c r="A106" s="152" t="s">
        <v>39</v>
      </c>
      <c r="B106" s="34" t="s">
        <v>213</v>
      </c>
      <c r="C106" s="40" t="s">
        <v>147</v>
      </c>
      <c r="D106" s="34"/>
      <c r="E106" s="313"/>
      <c r="F106" s="314">
        <v>1</v>
      </c>
      <c r="G106" s="40" t="s">
        <v>148</v>
      </c>
      <c r="H106" s="252">
        <v>2</v>
      </c>
      <c r="I106" s="10">
        <v>2</v>
      </c>
      <c r="J106" s="10">
        <v>2</v>
      </c>
      <c r="K106" s="10">
        <v>1</v>
      </c>
      <c r="L106" s="10">
        <v>1</v>
      </c>
      <c r="M106" s="298">
        <v>2</v>
      </c>
      <c r="N106" s="303"/>
      <c r="O106" s="34"/>
      <c r="P106" s="6"/>
      <c r="Q106" s="6"/>
    </row>
    <row r="107" spans="1:18" s="2" customFormat="1">
      <c r="A107" s="152" t="s">
        <v>39</v>
      </c>
      <c r="B107" s="34" t="s">
        <v>191</v>
      </c>
      <c r="C107" s="40" t="s">
        <v>147</v>
      </c>
      <c r="D107" s="34"/>
      <c r="E107" s="313"/>
      <c r="F107" s="314">
        <v>1</v>
      </c>
      <c r="G107" s="40" t="s">
        <v>148</v>
      </c>
      <c r="H107" s="252"/>
      <c r="I107" s="10"/>
      <c r="J107" s="10"/>
      <c r="K107" s="10"/>
      <c r="L107" s="10"/>
      <c r="M107" s="298"/>
      <c r="N107" s="303"/>
      <c r="O107" s="34"/>
      <c r="P107" s="6"/>
      <c r="Q107" s="6"/>
    </row>
    <row r="108" spans="1:18" s="2" customFormat="1">
      <c r="A108" s="152" t="s">
        <v>39</v>
      </c>
      <c r="B108" s="34" t="s">
        <v>150</v>
      </c>
      <c r="C108" s="40" t="s">
        <v>147</v>
      </c>
      <c r="D108" s="34"/>
      <c r="E108" s="313"/>
      <c r="F108" s="314">
        <v>1</v>
      </c>
      <c r="G108" s="40" t="s">
        <v>148</v>
      </c>
      <c r="H108" s="252"/>
      <c r="I108" s="10"/>
      <c r="J108" s="10"/>
      <c r="K108" s="10"/>
      <c r="L108" s="10"/>
      <c r="M108" s="298"/>
      <c r="N108" s="303"/>
      <c r="O108" s="34"/>
      <c r="P108" s="6"/>
      <c r="Q108" s="6"/>
    </row>
    <row r="109" spans="1:18" s="2" customFormat="1">
      <c r="A109" s="152" t="s">
        <v>39</v>
      </c>
      <c r="B109" s="34" t="s">
        <v>146</v>
      </c>
      <c r="C109" s="40" t="s">
        <v>147</v>
      </c>
      <c r="D109" s="34"/>
      <c r="E109" s="313"/>
      <c r="F109" s="314">
        <v>1</v>
      </c>
      <c r="G109" s="40" t="s">
        <v>148</v>
      </c>
      <c r="H109" s="252">
        <v>2</v>
      </c>
      <c r="I109" s="10">
        <v>2</v>
      </c>
      <c r="J109" s="10">
        <v>2</v>
      </c>
      <c r="K109" s="10">
        <v>1</v>
      </c>
      <c r="L109" s="10">
        <v>1</v>
      </c>
      <c r="M109" s="298">
        <v>2</v>
      </c>
      <c r="N109" s="303"/>
      <c r="O109" s="34"/>
      <c r="P109" s="6"/>
      <c r="Q109" s="6"/>
    </row>
    <row r="110" spans="1:18" ht="30" customHeight="1">
      <c r="A110" s="334"/>
      <c r="B110" s="335"/>
      <c r="C110" s="335"/>
      <c r="D110" s="335"/>
      <c r="E110" s="336"/>
      <c r="F110" s="337"/>
      <c r="G110" s="338"/>
      <c r="H110" s="335"/>
      <c r="I110" s="335"/>
      <c r="J110" s="335"/>
      <c r="K110" s="335"/>
      <c r="L110" s="335"/>
      <c r="M110" s="335"/>
      <c r="N110" s="335"/>
      <c r="O110" s="339"/>
      <c r="P110" s="339"/>
      <c r="Q110" s="339"/>
      <c r="R110" s="339"/>
    </row>
    <row r="111" spans="1:18" s="2" customFormat="1">
      <c r="A111" s="152" t="s">
        <v>39</v>
      </c>
      <c r="B111" s="34" t="s">
        <v>250</v>
      </c>
      <c r="C111" s="40" t="s">
        <v>147</v>
      </c>
      <c r="D111" s="34"/>
      <c r="E111" s="313"/>
      <c r="F111" s="314">
        <v>1</v>
      </c>
      <c r="G111" s="40" t="s">
        <v>148</v>
      </c>
      <c r="H111" s="252">
        <v>2</v>
      </c>
      <c r="I111" s="10">
        <v>2</v>
      </c>
      <c r="J111" s="10">
        <v>2</v>
      </c>
      <c r="K111" s="10">
        <v>1</v>
      </c>
      <c r="L111" s="10">
        <v>1</v>
      </c>
      <c r="M111" s="298">
        <v>2</v>
      </c>
      <c r="N111" s="303"/>
      <c r="O111" s="34"/>
      <c r="P111" s="6"/>
      <c r="Q111" s="6"/>
    </row>
    <row r="112" spans="1:18" s="2" customFormat="1">
      <c r="A112" s="152" t="s">
        <v>39</v>
      </c>
      <c r="B112" s="34" t="s">
        <v>249</v>
      </c>
      <c r="C112" s="40" t="s">
        <v>147</v>
      </c>
      <c r="D112" s="34"/>
      <c r="E112" s="313"/>
      <c r="F112" s="314">
        <v>1</v>
      </c>
      <c r="G112" s="40" t="s">
        <v>148</v>
      </c>
      <c r="H112" s="252">
        <v>2</v>
      </c>
      <c r="I112" s="10">
        <v>2</v>
      </c>
      <c r="J112" s="10">
        <v>2</v>
      </c>
      <c r="K112" s="10">
        <v>1</v>
      </c>
      <c r="L112" s="10">
        <v>1</v>
      </c>
      <c r="M112" s="298">
        <v>2</v>
      </c>
      <c r="N112" s="303"/>
      <c r="O112" s="34"/>
      <c r="P112" s="6"/>
      <c r="Q112" s="6"/>
    </row>
    <row r="113" spans="1:18" s="2" customFormat="1">
      <c r="A113" s="152" t="s">
        <v>39</v>
      </c>
      <c r="B113" s="34" t="s">
        <v>216</v>
      </c>
      <c r="C113" s="40" t="s">
        <v>147</v>
      </c>
      <c r="D113" s="34"/>
      <c r="E113" s="313"/>
      <c r="F113" s="314">
        <v>1</v>
      </c>
      <c r="G113" s="40" t="s">
        <v>148</v>
      </c>
      <c r="H113" s="252">
        <v>2</v>
      </c>
      <c r="I113" s="10">
        <v>2</v>
      </c>
      <c r="J113" s="10">
        <v>2</v>
      </c>
      <c r="K113" s="10">
        <v>1</v>
      </c>
      <c r="L113" s="10">
        <v>1</v>
      </c>
      <c r="M113" s="298">
        <v>2</v>
      </c>
      <c r="N113" s="303"/>
      <c r="O113" s="34"/>
      <c r="P113" s="6"/>
      <c r="Q113" s="6"/>
    </row>
    <row r="114" spans="1:18" s="2" customFormat="1">
      <c r="A114" s="152" t="s">
        <v>39</v>
      </c>
      <c r="B114" s="34" t="s">
        <v>248</v>
      </c>
      <c r="C114" s="40" t="s">
        <v>147</v>
      </c>
      <c r="D114" s="34"/>
      <c r="E114" s="313"/>
      <c r="F114" s="314">
        <v>1</v>
      </c>
      <c r="G114" s="40" t="s">
        <v>148</v>
      </c>
      <c r="H114" s="252"/>
      <c r="I114" s="10"/>
      <c r="J114" s="10"/>
      <c r="K114" s="10"/>
      <c r="L114" s="10"/>
      <c r="M114" s="298"/>
      <c r="N114" s="303"/>
      <c r="O114" s="34"/>
      <c r="P114" s="6"/>
      <c r="Q114" s="6"/>
    </row>
    <row r="115" spans="1:18" s="2" customFormat="1">
      <c r="A115" s="152" t="s">
        <v>39</v>
      </c>
      <c r="B115" s="34" t="s">
        <v>215</v>
      </c>
      <c r="C115" s="40" t="s">
        <v>147</v>
      </c>
      <c r="D115" s="34"/>
      <c r="E115" s="313"/>
      <c r="F115" s="314">
        <v>1</v>
      </c>
      <c r="G115" s="40" t="s">
        <v>148</v>
      </c>
      <c r="H115" s="252">
        <v>2</v>
      </c>
      <c r="I115" s="10">
        <v>2</v>
      </c>
      <c r="J115" s="10">
        <v>2</v>
      </c>
      <c r="K115" s="10">
        <v>1</v>
      </c>
      <c r="L115" s="10">
        <v>1</v>
      </c>
      <c r="M115" s="298">
        <v>2</v>
      </c>
      <c r="N115" s="303"/>
      <c r="O115" s="34"/>
      <c r="P115" s="6"/>
      <c r="Q115" s="6"/>
    </row>
    <row r="116" spans="1:18" s="2" customFormat="1">
      <c r="A116" s="152" t="s">
        <v>39</v>
      </c>
      <c r="B116" s="34" t="s">
        <v>214</v>
      </c>
      <c r="C116" s="40" t="s">
        <v>147</v>
      </c>
      <c r="D116" s="34"/>
      <c r="E116" s="313"/>
      <c r="F116" s="314">
        <v>1</v>
      </c>
      <c r="G116" s="40" t="s">
        <v>148</v>
      </c>
      <c r="H116" s="252">
        <v>2</v>
      </c>
      <c r="I116" s="10">
        <v>2</v>
      </c>
      <c r="J116" s="10">
        <v>2</v>
      </c>
      <c r="K116" s="10">
        <v>1</v>
      </c>
      <c r="L116" s="10">
        <v>1</v>
      </c>
      <c r="M116" s="298">
        <v>2</v>
      </c>
      <c r="N116" s="303"/>
      <c r="O116" s="34"/>
      <c r="P116" s="6"/>
      <c r="Q116" s="6"/>
    </row>
    <row r="117" spans="1:18" s="2" customFormat="1">
      <c r="A117" s="152" t="s">
        <v>39</v>
      </c>
      <c r="B117" s="34" t="s">
        <v>213</v>
      </c>
      <c r="C117" s="40" t="s">
        <v>147</v>
      </c>
      <c r="D117" s="34"/>
      <c r="E117" s="313"/>
      <c r="F117" s="314">
        <v>1</v>
      </c>
      <c r="G117" s="40" t="s">
        <v>148</v>
      </c>
      <c r="H117" s="252">
        <v>2</v>
      </c>
      <c r="I117" s="10">
        <v>2</v>
      </c>
      <c r="J117" s="10">
        <v>2</v>
      </c>
      <c r="K117" s="10">
        <v>1</v>
      </c>
      <c r="L117" s="10">
        <v>1</v>
      </c>
      <c r="M117" s="298">
        <v>2</v>
      </c>
      <c r="N117" s="303"/>
      <c r="O117" s="34"/>
      <c r="P117" s="6"/>
      <c r="Q117" s="6"/>
    </row>
    <row r="118" spans="1:18" s="2" customFormat="1">
      <c r="A118" s="152" t="s">
        <v>39</v>
      </c>
      <c r="B118" s="34" t="s">
        <v>191</v>
      </c>
      <c r="C118" s="40" t="s">
        <v>147</v>
      </c>
      <c r="D118" s="34"/>
      <c r="E118" s="313"/>
      <c r="F118" s="314">
        <v>1</v>
      </c>
      <c r="G118" s="40" t="s">
        <v>148</v>
      </c>
      <c r="H118" s="252"/>
      <c r="I118" s="10"/>
      <c r="J118" s="10"/>
      <c r="K118" s="10"/>
      <c r="L118" s="10"/>
      <c r="M118" s="298"/>
      <c r="N118" s="303"/>
      <c r="O118" s="34"/>
      <c r="P118" s="6"/>
      <c r="Q118" s="6"/>
    </row>
    <row r="119" spans="1:18" s="2" customFormat="1">
      <c r="A119" s="152" t="s">
        <v>39</v>
      </c>
      <c r="B119" s="34" t="s">
        <v>150</v>
      </c>
      <c r="C119" s="40" t="s">
        <v>147</v>
      </c>
      <c r="D119" s="34"/>
      <c r="E119" s="313"/>
      <c r="F119" s="314">
        <v>1</v>
      </c>
      <c r="G119" s="40" t="s">
        <v>148</v>
      </c>
      <c r="H119" s="252"/>
      <c r="I119" s="10"/>
      <c r="J119" s="10"/>
      <c r="K119" s="10"/>
      <c r="L119" s="10"/>
      <c r="M119" s="298"/>
      <c r="N119" s="303"/>
      <c r="O119" s="34"/>
      <c r="P119" s="6"/>
      <c r="Q119" s="6"/>
    </row>
    <row r="120" spans="1:18" s="2" customFormat="1">
      <c r="A120" s="152" t="s">
        <v>39</v>
      </c>
      <c r="B120" s="34" t="s">
        <v>146</v>
      </c>
      <c r="C120" s="40" t="s">
        <v>147</v>
      </c>
      <c r="D120" s="34"/>
      <c r="E120" s="313"/>
      <c r="F120" s="314">
        <v>1</v>
      </c>
      <c r="G120" s="40" t="s">
        <v>148</v>
      </c>
      <c r="H120" s="252">
        <v>2</v>
      </c>
      <c r="I120" s="10">
        <v>2</v>
      </c>
      <c r="J120" s="10">
        <v>2</v>
      </c>
      <c r="K120" s="10">
        <v>1</v>
      </c>
      <c r="L120" s="10">
        <v>1</v>
      </c>
      <c r="M120" s="298">
        <v>2</v>
      </c>
      <c r="N120" s="303"/>
      <c r="O120" s="34"/>
      <c r="P120" s="6"/>
      <c r="Q120" s="6"/>
    </row>
    <row r="121" spans="1:18" ht="30" customHeight="1">
      <c r="A121" s="334"/>
      <c r="B121" s="335"/>
      <c r="C121" s="335"/>
      <c r="D121" s="335"/>
      <c r="E121" s="336"/>
      <c r="F121" s="337"/>
      <c r="G121" s="338"/>
      <c r="H121" s="335"/>
      <c r="I121" s="335"/>
      <c r="J121" s="335"/>
      <c r="K121" s="335"/>
      <c r="L121" s="335"/>
      <c r="M121" s="335"/>
      <c r="N121" s="335"/>
      <c r="O121" s="339"/>
      <c r="P121" s="339"/>
      <c r="Q121" s="339"/>
      <c r="R121" s="339"/>
    </row>
    <row r="122" spans="1:18" s="2" customFormat="1">
      <c r="A122" s="152" t="s">
        <v>39</v>
      </c>
      <c r="B122" s="34" t="s">
        <v>250</v>
      </c>
      <c r="C122" s="40" t="s">
        <v>147</v>
      </c>
      <c r="D122" s="34" t="s">
        <v>106</v>
      </c>
      <c r="E122" s="562">
        <v>0.36860068259385664</v>
      </c>
      <c r="F122" s="314">
        <v>1</v>
      </c>
      <c r="G122" s="40" t="s">
        <v>149</v>
      </c>
      <c r="H122" s="252">
        <v>2</v>
      </c>
      <c r="I122" s="10">
        <v>1</v>
      </c>
      <c r="J122" s="10">
        <v>2</v>
      </c>
      <c r="K122" s="10">
        <v>2</v>
      </c>
      <c r="L122" s="10">
        <v>1</v>
      </c>
      <c r="M122" s="298">
        <v>1</v>
      </c>
      <c r="N122" s="186">
        <f>IF( OR( ISBLANK(I122),ISBLANK(J122), ISBLANK(K122), ISBLANK(L122), ISBLANK(M122) ), "", 1.5*SQRT(   EXP(2.21*(I122-1)) + EXP(2.21*(J122-1)) + EXP(2.21*(K122-1)) + EXP(2.21*(L122-1)) + EXP(2.21*M122)   )/100*2.45 )</f>
        <v>0.19908580854301616</v>
      </c>
      <c r="O122" s="34"/>
      <c r="P122" s="6"/>
      <c r="Q122" s="6"/>
    </row>
    <row r="123" spans="1:18" s="2" customFormat="1">
      <c r="A123" s="152" t="s">
        <v>39</v>
      </c>
      <c r="B123" s="34" t="s">
        <v>249</v>
      </c>
      <c r="C123" s="40" t="s">
        <v>147</v>
      </c>
      <c r="D123" s="34" t="s">
        <v>106</v>
      </c>
      <c r="E123" s="562">
        <v>0</v>
      </c>
      <c r="F123" s="314">
        <v>1</v>
      </c>
      <c r="G123" s="40" t="s">
        <v>149</v>
      </c>
      <c r="H123" s="252">
        <v>2</v>
      </c>
      <c r="I123" s="10">
        <v>1</v>
      </c>
      <c r="J123" s="10">
        <v>2</v>
      </c>
      <c r="K123" s="10">
        <v>2</v>
      </c>
      <c r="L123" s="10">
        <v>1</v>
      </c>
      <c r="M123" s="298">
        <v>1</v>
      </c>
      <c r="N123" s="186">
        <f>IF( OR( ISBLANK(I123),ISBLANK(J123), ISBLANK(K123), ISBLANK(L123), ISBLANK(M123) ), "", 1.5*SQRT(   EXP(2.21*(I123-1)) + EXP(2.21*(J123-1)) + EXP(2.21*(K123-1)) + EXP(2.21*(L123-1)) + EXP(2.21*M123)   )/100*2.45 )</f>
        <v>0.19908580854301616</v>
      </c>
      <c r="O123" s="34"/>
      <c r="P123" s="6"/>
      <c r="Q123" s="6"/>
    </row>
    <row r="124" spans="1:18" s="2" customFormat="1">
      <c r="A124" s="152" t="s">
        <v>39</v>
      </c>
      <c r="B124" s="34" t="s">
        <v>216</v>
      </c>
      <c r="C124" s="40" t="s">
        <v>147</v>
      </c>
      <c r="D124" s="34" t="s">
        <v>106</v>
      </c>
      <c r="E124" s="562">
        <v>0.20723549488054607</v>
      </c>
      <c r="F124" s="314">
        <v>1</v>
      </c>
      <c r="G124" s="40" t="s">
        <v>149</v>
      </c>
      <c r="H124" s="252">
        <v>2</v>
      </c>
      <c r="I124" s="10">
        <v>1</v>
      </c>
      <c r="J124" s="10">
        <v>2</v>
      </c>
      <c r="K124" s="10">
        <v>2</v>
      </c>
      <c r="L124" s="10">
        <v>1</v>
      </c>
      <c r="M124" s="298">
        <v>1</v>
      </c>
      <c r="N124" s="186">
        <f t="shared" ref="N124:N131" si="5">IF( OR( ISBLANK(I124),ISBLANK(J124), ISBLANK(K124), ISBLANK(L124), ISBLANK(M124) ), "", 1.5*SQRT(   EXP(2.21*(I124-1)) + EXP(2.21*(J124-1)) + EXP(2.21*(K124-1)) + EXP(2.21*(L124-1)) + EXP(2.21*M124)   )/100*2.45 )</f>
        <v>0.19908580854301616</v>
      </c>
      <c r="O124" s="34"/>
      <c r="P124" s="6"/>
      <c r="Q124" s="6"/>
    </row>
    <row r="125" spans="1:18" s="2" customFormat="1">
      <c r="A125" s="152" t="s">
        <v>39</v>
      </c>
      <c r="B125" s="34" t="s">
        <v>248</v>
      </c>
      <c r="C125" s="40" t="s">
        <v>147</v>
      </c>
      <c r="D125" s="34" t="s">
        <v>106</v>
      </c>
      <c r="E125" s="562">
        <v>0</v>
      </c>
      <c r="F125" s="314">
        <v>1</v>
      </c>
      <c r="G125" s="40" t="s">
        <v>149</v>
      </c>
      <c r="H125" s="252">
        <v>2</v>
      </c>
      <c r="I125" s="10">
        <v>1</v>
      </c>
      <c r="J125" s="10">
        <v>2</v>
      </c>
      <c r="K125" s="10">
        <v>2</v>
      </c>
      <c r="L125" s="10">
        <v>1</v>
      </c>
      <c r="M125" s="298">
        <v>1</v>
      </c>
      <c r="N125" s="186">
        <f t="shared" si="5"/>
        <v>0.19908580854301616</v>
      </c>
      <c r="O125" s="34"/>
      <c r="P125" s="6"/>
      <c r="Q125" s="6"/>
    </row>
    <row r="126" spans="1:18" s="2" customFormat="1">
      <c r="A126" s="152" t="s">
        <v>39</v>
      </c>
      <c r="B126" s="34" t="s">
        <v>215</v>
      </c>
      <c r="C126" s="40" t="s">
        <v>147</v>
      </c>
      <c r="D126" s="34" t="s">
        <v>106</v>
      </c>
      <c r="E126" s="562">
        <v>0.28529010238907848</v>
      </c>
      <c r="F126" s="314">
        <v>1</v>
      </c>
      <c r="G126" s="40" t="s">
        <v>149</v>
      </c>
      <c r="H126" s="252">
        <v>2</v>
      </c>
      <c r="I126" s="10">
        <v>1</v>
      </c>
      <c r="J126" s="10">
        <v>2</v>
      </c>
      <c r="K126" s="10">
        <v>2</v>
      </c>
      <c r="L126" s="10">
        <v>1</v>
      </c>
      <c r="M126" s="298">
        <v>1</v>
      </c>
      <c r="N126" s="186">
        <f t="shared" si="5"/>
        <v>0.19908580854301616</v>
      </c>
      <c r="O126" s="34"/>
      <c r="P126" s="6"/>
      <c r="Q126" s="6"/>
    </row>
    <row r="127" spans="1:18" s="2" customFormat="1">
      <c r="A127" s="152" t="s">
        <v>39</v>
      </c>
      <c r="B127" s="34" t="s">
        <v>214</v>
      </c>
      <c r="C127" s="40" t="s">
        <v>147</v>
      </c>
      <c r="D127" s="34" t="s">
        <v>106</v>
      </c>
      <c r="E127" s="562">
        <v>0</v>
      </c>
      <c r="F127" s="314">
        <v>1</v>
      </c>
      <c r="G127" s="40" t="s">
        <v>149</v>
      </c>
      <c r="H127" s="252">
        <v>2</v>
      </c>
      <c r="I127" s="10">
        <v>1</v>
      </c>
      <c r="J127" s="10">
        <v>2</v>
      </c>
      <c r="K127" s="10">
        <v>2</v>
      </c>
      <c r="L127" s="10">
        <v>1</v>
      </c>
      <c r="M127" s="298">
        <v>1</v>
      </c>
      <c r="N127" s="186">
        <f t="shared" si="5"/>
        <v>0.19908580854301616</v>
      </c>
      <c r="O127" s="34"/>
      <c r="P127" s="6"/>
      <c r="Q127" s="6"/>
    </row>
    <row r="128" spans="1:18" s="2" customFormat="1">
      <c r="A128" s="152" t="s">
        <v>39</v>
      </c>
      <c r="B128" s="34" t="s">
        <v>213</v>
      </c>
      <c r="C128" s="40" t="s">
        <v>147</v>
      </c>
      <c r="D128" s="34" t="s">
        <v>106</v>
      </c>
      <c r="E128" s="562">
        <v>0.12556313993174059</v>
      </c>
      <c r="F128" s="314">
        <v>1</v>
      </c>
      <c r="G128" s="40" t="s">
        <v>149</v>
      </c>
      <c r="H128" s="252">
        <v>2</v>
      </c>
      <c r="I128" s="10">
        <v>1</v>
      </c>
      <c r="J128" s="10">
        <v>2</v>
      </c>
      <c r="K128" s="10">
        <v>2</v>
      </c>
      <c r="L128" s="10">
        <v>1</v>
      </c>
      <c r="M128" s="298">
        <v>1</v>
      </c>
      <c r="N128" s="186">
        <f t="shared" si="5"/>
        <v>0.19908580854301616</v>
      </c>
      <c r="O128" s="34"/>
      <c r="P128" s="6"/>
      <c r="Q128" s="6"/>
    </row>
    <row r="129" spans="1:18" s="2" customFormat="1">
      <c r="A129" s="152" t="s">
        <v>39</v>
      </c>
      <c r="B129" s="34" t="s">
        <v>191</v>
      </c>
      <c r="C129" s="40" t="s">
        <v>147</v>
      </c>
      <c r="D129" s="34" t="s">
        <v>106</v>
      </c>
      <c r="E129" s="562">
        <v>0</v>
      </c>
      <c r="F129" s="314">
        <v>1</v>
      </c>
      <c r="G129" s="40" t="s">
        <v>149</v>
      </c>
      <c r="H129" s="252">
        <v>2</v>
      </c>
      <c r="I129" s="10">
        <v>1</v>
      </c>
      <c r="J129" s="10">
        <v>2</v>
      </c>
      <c r="K129" s="10">
        <v>2</v>
      </c>
      <c r="L129" s="10">
        <v>1</v>
      </c>
      <c r="M129" s="298">
        <v>1</v>
      </c>
      <c r="N129" s="186">
        <f t="shared" si="5"/>
        <v>0.19908580854301616</v>
      </c>
      <c r="O129" s="34"/>
      <c r="P129" s="6"/>
      <c r="Q129" s="6"/>
    </row>
    <row r="130" spans="1:18" s="2" customFormat="1">
      <c r="A130" s="152" t="s">
        <v>39</v>
      </c>
      <c r="B130" s="34" t="s">
        <v>150</v>
      </c>
      <c r="C130" s="40" t="s">
        <v>147</v>
      </c>
      <c r="D130" s="34" t="s">
        <v>106</v>
      </c>
      <c r="E130" s="562">
        <v>1.3310580204778157E-2</v>
      </c>
      <c r="F130" s="314">
        <v>1</v>
      </c>
      <c r="G130" s="40" t="s">
        <v>149</v>
      </c>
      <c r="H130" s="252">
        <v>2</v>
      </c>
      <c r="I130" s="10">
        <v>1</v>
      </c>
      <c r="J130" s="10">
        <v>2</v>
      </c>
      <c r="K130" s="10">
        <v>2</v>
      </c>
      <c r="L130" s="10">
        <v>1</v>
      </c>
      <c r="M130" s="298">
        <v>1</v>
      </c>
      <c r="N130" s="186">
        <f t="shared" si="5"/>
        <v>0.19908580854301616</v>
      </c>
      <c r="O130" s="34"/>
      <c r="P130" s="6"/>
      <c r="Q130" s="6"/>
    </row>
    <row r="131" spans="1:18" s="2" customFormat="1">
      <c r="A131" s="152" t="s">
        <v>39</v>
      </c>
      <c r="B131" s="34" t="s">
        <v>146</v>
      </c>
      <c r="C131" s="40" t="s">
        <v>147</v>
      </c>
      <c r="D131" s="34" t="s">
        <v>106</v>
      </c>
      <c r="E131" s="562">
        <v>0</v>
      </c>
      <c r="F131" s="314">
        <v>1</v>
      </c>
      <c r="G131" s="40" t="s">
        <v>149</v>
      </c>
      <c r="H131" s="252">
        <v>2</v>
      </c>
      <c r="I131" s="10">
        <v>1</v>
      </c>
      <c r="J131" s="10">
        <v>2</v>
      </c>
      <c r="K131" s="10">
        <v>2</v>
      </c>
      <c r="L131" s="10">
        <v>1</v>
      </c>
      <c r="M131" s="298">
        <v>1</v>
      </c>
      <c r="N131" s="186">
        <f t="shared" si="5"/>
        <v>0.19908580854301616</v>
      </c>
      <c r="O131" s="34"/>
      <c r="P131" s="6"/>
      <c r="Q131" s="6"/>
    </row>
    <row r="132" spans="1:18" s="2" customFormat="1">
      <c r="A132" s="154"/>
      <c r="B132" s="7"/>
      <c r="C132" s="7"/>
      <c r="D132" s="7"/>
      <c r="E132" s="898"/>
      <c r="F132" s="899"/>
      <c r="G132" s="162"/>
      <c r="H132" s="900"/>
      <c r="I132" s="71"/>
      <c r="J132" s="71"/>
      <c r="K132" s="71"/>
      <c r="L132" s="71"/>
      <c r="M132" s="591"/>
      <c r="N132" s="901"/>
      <c r="O132" s="7"/>
      <c r="P132" s="6"/>
      <c r="Q132" s="6"/>
    </row>
    <row r="133" spans="1:18" s="2" customFormat="1">
      <c r="A133" s="1066" t="s">
        <v>1065</v>
      </c>
      <c r="B133" s="1066"/>
      <c r="C133" s="1066"/>
      <c r="D133" s="1066"/>
      <c r="E133" s="1066"/>
      <c r="F133" s="1066"/>
      <c r="G133" s="1066"/>
      <c r="H133" s="1066"/>
      <c r="I133" s="1066"/>
      <c r="J133" s="1066"/>
      <c r="K133" s="1066"/>
      <c r="L133" s="1066"/>
      <c r="M133" s="1066"/>
      <c r="N133" s="1066"/>
      <c r="O133" s="1066"/>
      <c r="P133" s="1066"/>
      <c r="Q133" s="6"/>
    </row>
    <row r="134" spans="1:18">
      <c r="A134" s="1066"/>
      <c r="B134" s="1066"/>
      <c r="C134" s="1066"/>
      <c r="D134" s="1066"/>
      <c r="E134" s="1066"/>
      <c r="F134" s="1066"/>
      <c r="G134" s="1066"/>
      <c r="H134" s="1066"/>
      <c r="I134" s="1066"/>
      <c r="J134" s="1066"/>
      <c r="K134" s="1066"/>
      <c r="L134" s="1066"/>
      <c r="M134" s="1066"/>
      <c r="N134" s="1066"/>
      <c r="O134" s="1066"/>
      <c r="P134" s="1066"/>
      <c r="Q134" s="339"/>
      <c r="R134" s="339"/>
    </row>
    <row r="135" spans="1:18" ht="15" customHeight="1">
      <c r="A135" s="1073" t="s">
        <v>108</v>
      </c>
      <c r="B135" s="1085" t="s">
        <v>109</v>
      </c>
      <c r="C135" s="1085" t="s">
        <v>139</v>
      </c>
      <c r="D135" s="1085" t="s">
        <v>110</v>
      </c>
      <c r="E135" s="1005" t="s">
        <v>973</v>
      </c>
      <c r="F135" s="1011"/>
      <c r="G135" s="1006"/>
      <c r="H135" s="1085" t="s">
        <v>112</v>
      </c>
      <c r="I135" s="1067" t="s">
        <v>142</v>
      </c>
      <c r="J135" s="1067" t="s">
        <v>69</v>
      </c>
      <c r="K135" s="1067" t="s">
        <v>75</v>
      </c>
      <c r="L135" s="1067" t="s">
        <v>81</v>
      </c>
      <c r="M135" s="1067" t="s">
        <v>87</v>
      </c>
      <c r="N135" s="1083" t="s">
        <v>114</v>
      </c>
    </row>
    <row r="136" spans="1:18" ht="15" customHeight="1">
      <c r="A136" s="1024"/>
      <c r="B136" s="1024"/>
      <c r="C136" s="1024"/>
      <c r="D136" s="1024"/>
      <c r="E136" s="140" t="s">
        <v>1221</v>
      </c>
      <c r="F136" s="140" t="s">
        <v>1222</v>
      </c>
      <c r="G136" s="140" t="s">
        <v>908</v>
      </c>
      <c r="H136" s="1024"/>
      <c r="I136" s="1068"/>
      <c r="J136" s="1068"/>
      <c r="K136" s="1068"/>
      <c r="L136" s="1068"/>
      <c r="M136" s="1068"/>
      <c r="N136" s="1084"/>
    </row>
    <row r="137" spans="1:18">
      <c r="A137" s="143" t="s">
        <v>1223</v>
      </c>
      <c r="B137" s="117">
        <v>2019</v>
      </c>
      <c r="C137" s="117" t="s">
        <v>188</v>
      </c>
      <c r="D137" s="117" t="s">
        <v>1224</v>
      </c>
      <c r="E137" s="117">
        <v>125.38</v>
      </c>
      <c r="F137" s="117">
        <v>137.35</v>
      </c>
      <c r="G137" s="130">
        <f>AVERAGE(E137:F137)</f>
        <v>131.36500000000001</v>
      </c>
      <c r="H137" s="9" t="s">
        <v>1225</v>
      </c>
      <c r="I137" s="9">
        <v>1</v>
      </c>
      <c r="J137" s="9">
        <v>2</v>
      </c>
      <c r="K137" s="9">
        <v>1</v>
      </c>
      <c r="L137" s="9">
        <v>1</v>
      </c>
      <c r="M137" s="9">
        <v>1</v>
      </c>
      <c r="N137" s="186">
        <f>IF( OR( ISBLANK(I137),ISBLANK(J137), ISBLANK(K137), ISBLANK(L137), ISBLANK(M137) ), "", 1.5*SQRT(   EXP(2.21*(I137-1)) + EXP(2.21*(J137-1)) + EXP(2.21*(K137-1)) + EXP(2.21*(L137-1)) + EXP(2.21*M137)   )/100*2.45 )</f>
        <v>0.16933510251023262</v>
      </c>
    </row>
    <row r="138" spans="1:18">
      <c r="A138" s="143" t="s">
        <v>1223</v>
      </c>
      <c r="B138" s="117">
        <v>2019</v>
      </c>
      <c r="C138" s="117" t="s">
        <v>188</v>
      </c>
      <c r="D138" s="117" t="s">
        <v>95</v>
      </c>
      <c r="E138" s="117">
        <v>60.31</v>
      </c>
      <c r="F138" s="117">
        <v>68.650000000000006</v>
      </c>
      <c r="G138" s="130">
        <f t="shared" ref="G138:G141" si="6">AVERAGE(E138:F138)</f>
        <v>64.48</v>
      </c>
      <c r="H138" s="9" t="s">
        <v>1225</v>
      </c>
      <c r="I138" s="9">
        <v>1</v>
      </c>
      <c r="J138" s="9">
        <v>2</v>
      </c>
      <c r="K138" s="9">
        <v>1</v>
      </c>
      <c r="L138" s="9">
        <v>1</v>
      </c>
      <c r="M138" s="9">
        <v>1</v>
      </c>
      <c r="N138" s="186">
        <f>IF( OR( ISBLANK(I138),ISBLANK(J138), ISBLANK(K138), ISBLANK(L138), ISBLANK(M138) ), "", 1.5*SQRT(   EXP(2.21*(I138-1)) + EXP(2.21*(J138-1)) + EXP(2.21*(K138-1)) + EXP(2.21*(L138-1)) + EXP(2.21*M138)   )/100*2.45 )</f>
        <v>0.16933510251023262</v>
      </c>
    </row>
    <row r="139" spans="1:18">
      <c r="A139" s="143" t="s">
        <v>1223</v>
      </c>
      <c r="B139" s="117">
        <v>2019</v>
      </c>
      <c r="C139" s="117" t="s">
        <v>188</v>
      </c>
      <c r="D139" s="117" t="s">
        <v>99</v>
      </c>
      <c r="E139" s="117">
        <v>61.79</v>
      </c>
      <c r="F139" s="117">
        <v>63.96</v>
      </c>
      <c r="G139" s="130">
        <f t="shared" si="6"/>
        <v>62.875</v>
      </c>
      <c r="H139" s="9" t="s">
        <v>1225</v>
      </c>
      <c r="I139" s="9">
        <v>1</v>
      </c>
      <c r="J139" s="9">
        <v>2</v>
      </c>
      <c r="K139" s="9">
        <v>1</v>
      </c>
      <c r="L139" s="9">
        <v>1</v>
      </c>
      <c r="M139" s="9">
        <v>1</v>
      </c>
      <c r="N139" s="186">
        <f>IF( OR( ISBLANK(I139),ISBLANK(J139), ISBLANK(K139), ISBLANK(L139), ISBLANK(M139) ), "", 1.5*SQRT(   EXP(2.21*(I139-1)) + EXP(2.21*(J139-1)) + EXP(2.21*(K139-1)) + EXP(2.21*(L139-1)) + EXP(2.21*M139)   )/100*2.45 )</f>
        <v>0.16933510251023262</v>
      </c>
    </row>
    <row r="140" spans="1:18">
      <c r="A140" s="143" t="s">
        <v>1223</v>
      </c>
      <c r="B140" s="117">
        <v>2019</v>
      </c>
      <c r="C140" s="117" t="s">
        <v>188</v>
      </c>
      <c r="D140" s="117" t="s">
        <v>98</v>
      </c>
      <c r="E140" s="117">
        <v>8.7799999999999994</v>
      </c>
      <c r="F140" s="117">
        <v>10.83</v>
      </c>
      <c r="G140" s="130">
        <f t="shared" si="6"/>
        <v>9.8049999999999997</v>
      </c>
      <c r="H140" s="9" t="s">
        <v>1225</v>
      </c>
      <c r="I140" s="9">
        <v>1</v>
      </c>
      <c r="J140" s="9">
        <v>2</v>
      </c>
      <c r="K140" s="9">
        <v>1</v>
      </c>
      <c r="L140" s="9">
        <v>1</v>
      </c>
      <c r="M140" s="9">
        <v>1</v>
      </c>
      <c r="N140" s="186">
        <f>IF( OR( ISBLANK(I140),ISBLANK(J140), ISBLANK(K140), ISBLANK(L140), ISBLANK(M140) ), "", 1.5*SQRT(   EXP(2.21*(I140-1)) + EXP(2.21*(J140-1)) + EXP(2.21*(K140-1)) + EXP(2.21*(L140-1)) + EXP(2.21*M140)   )/100*2.45 )</f>
        <v>0.16933510251023262</v>
      </c>
    </row>
    <row r="141" spans="1:18">
      <c r="A141" s="143" t="s">
        <v>1223</v>
      </c>
      <c r="B141" s="117">
        <v>2019</v>
      </c>
      <c r="C141" s="117" t="s">
        <v>188</v>
      </c>
      <c r="D141" s="117" t="s">
        <v>1095</v>
      </c>
      <c r="E141" s="117">
        <v>26.43</v>
      </c>
      <c r="F141" s="117">
        <v>29.21</v>
      </c>
      <c r="G141" s="130">
        <f t="shared" si="6"/>
        <v>27.82</v>
      </c>
      <c r="H141" s="9" t="s">
        <v>1225</v>
      </c>
      <c r="I141" s="9">
        <v>1</v>
      </c>
      <c r="J141" s="9">
        <v>2</v>
      </c>
      <c r="K141" s="9">
        <v>1</v>
      </c>
      <c r="L141" s="9">
        <v>1</v>
      </c>
      <c r="M141" s="9">
        <v>1</v>
      </c>
      <c r="N141" s="186">
        <f>IF( OR( ISBLANK(I141),ISBLANK(J141), ISBLANK(K141), ISBLANK(L141), ISBLANK(M141) ), "", 1.5*SQRT(   EXP(2.21*(I141-1)) + EXP(2.21*(J141-1)) + EXP(2.21*(K141-1)) + EXP(2.21*(L141-1)) + EXP(2.21*M141)   )/100*2.45 )</f>
        <v>0.16933510251023262</v>
      </c>
    </row>
    <row r="142" spans="1:18">
      <c r="A142" s="200" t="s">
        <v>1226</v>
      </c>
      <c r="B142" s="127">
        <v>2019</v>
      </c>
      <c r="C142" s="127" t="s">
        <v>188</v>
      </c>
      <c r="D142" s="127" t="s">
        <v>1034</v>
      </c>
      <c r="E142" s="127">
        <f>SUM(E137:E141)</f>
        <v>282.69</v>
      </c>
      <c r="F142" s="137">
        <f>SUM(F137:F141)</f>
        <v>309.99999999999994</v>
      </c>
      <c r="G142" s="137">
        <f>SUM(G137:G141)</f>
        <v>296.34500000000003</v>
      </c>
      <c r="H142" s="9"/>
      <c r="I142" s="117"/>
      <c r="J142" s="117"/>
      <c r="K142" s="117"/>
      <c r="L142" s="117"/>
      <c r="M142" s="117"/>
      <c r="N142" s="117"/>
    </row>
    <row r="143" spans="1:18">
      <c r="A143" s="332"/>
      <c r="B143" s="25"/>
      <c r="C143" s="25"/>
      <c r="D143" s="25"/>
      <c r="E143" s="25"/>
      <c r="F143" s="333"/>
      <c r="G143" s="333"/>
      <c r="H143" s="7"/>
    </row>
    <row r="144" spans="1:18" ht="15.75" thickBot="1">
      <c r="B144" s="25"/>
      <c r="D144" s="25"/>
    </row>
    <row r="145" spans="1:16">
      <c r="A145" s="201"/>
      <c r="B145" s="196"/>
      <c r="C145" s="202"/>
      <c r="D145" s="196"/>
      <c r="E145" s="202"/>
      <c r="F145" s="202"/>
      <c r="G145" s="202"/>
      <c r="H145" s="202"/>
      <c r="I145" s="202"/>
      <c r="J145" s="202"/>
      <c r="K145" s="202"/>
      <c r="L145" s="202"/>
      <c r="M145" s="202"/>
      <c r="N145" s="202"/>
      <c r="O145" s="1074" t="s">
        <v>1227</v>
      </c>
      <c r="P145" s="1075"/>
    </row>
    <row r="146" spans="1:16">
      <c r="A146" s="203"/>
      <c r="B146" s="197"/>
      <c r="C146" s="204"/>
      <c r="D146" s="197"/>
      <c r="E146" s="204"/>
      <c r="F146" s="204"/>
      <c r="G146" s="204"/>
      <c r="H146" s="204"/>
      <c r="I146" s="204"/>
      <c r="J146" s="204"/>
      <c r="K146" s="204"/>
      <c r="L146" s="204"/>
      <c r="M146" s="204"/>
      <c r="N146" s="204"/>
      <c r="O146" s="1076"/>
      <c r="P146" s="1077"/>
    </row>
    <row r="147" spans="1:16" ht="15.75">
      <c r="A147" s="205"/>
      <c r="B147" s="197"/>
      <c r="C147" s="204"/>
      <c r="D147" s="197"/>
      <c r="E147" s="204"/>
      <c r="F147" s="204"/>
      <c r="G147" s="204"/>
      <c r="H147" s="204"/>
      <c r="I147" s="204"/>
      <c r="J147" s="204"/>
      <c r="K147" s="204"/>
      <c r="L147" s="204"/>
      <c r="M147" s="204"/>
      <c r="N147" s="204"/>
      <c r="O147" s="1076"/>
      <c r="P147" s="1077"/>
    </row>
    <row r="148" spans="1:16">
      <c r="A148" s="203"/>
      <c r="B148" s="197"/>
      <c r="C148" s="204"/>
      <c r="D148" s="197"/>
      <c r="E148" s="204"/>
      <c r="F148" s="204"/>
      <c r="G148" s="204"/>
      <c r="H148" s="204"/>
      <c r="I148" s="204"/>
      <c r="J148" s="204"/>
      <c r="K148" s="204"/>
      <c r="L148" s="204"/>
      <c r="M148" s="204"/>
      <c r="N148" s="204"/>
      <c r="O148" s="1076"/>
      <c r="P148" s="1077"/>
    </row>
    <row r="149" spans="1:16">
      <c r="A149" s="203"/>
      <c r="B149" s="197"/>
      <c r="C149" s="204"/>
      <c r="D149" s="197"/>
      <c r="E149" s="204"/>
      <c r="F149" s="204"/>
      <c r="G149" s="204"/>
      <c r="H149" s="204"/>
      <c r="I149" s="204"/>
      <c r="J149" s="204"/>
      <c r="K149" s="204"/>
      <c r="L149" s="204"/>
      <c r="M149" s="204"/>
      <c r="N149" s="204"/>
      <c r="O149" s="1076"/>
      <c r="P149" s="1077"/>
    </row>
    <row r="150" spans="1:16">
      <c r="A150" s="203"/>
      <c r="B150" s="197"/>
      <c r="C150" s="204"/>
      <c r="D150" s="197"/>
      <c r="E150" s="204"/>
      <c r="F150" s="204"/>
      <c r="G150" s="204"/>
      <c r="H150" s="204"/>
      <c r="I150" s="204"/>
      <c r="J150" s="204"/>
      <c r="K150" s="204"/>
      <c r="L150" s="204"/>
      <c r="M150" s="204"/>
      <c r="N150" s="204"/>
      <c r="O150" s="1076"/>
      <c r="P150" s="1077"/>
    </row>
    <row r="151" spans="1:16">
      <c r="A151" s="203"/>
      <c r="B151" s="197"/>
      <c r="C151" s="204"/>
      <c r="D151" s="197"/>
      <c r="E151" s="204"/>
      <c r="F151" s="204"/>
      <c r="G151" s="204"/>
      <c r="H151" s="204"/>
      <c r="I151" s="204"/>
      <c r="J151" s="204"/>
      <c r="K151" s="204"/>
      <c r="L151" s="204"/>
      <c r="M151" s="204"/>
      <c r="N151" s="204"/>
      <c r="O151" s="1076"/>
      <c r="P151" s="1077"/>
    </row>
    <row r="152" spans="1:16">
      <c r="A152" s="203"/>
      <c r="B152" s="197"/>
      <c r="C152" s="204"/>
      <c r="D152" s="197"/>
      <c r="E152" s="204"/>
      <c r="F152" s="204"/>
      <c r="G152" s="204"/>
      <c r="H152" s="204"/>
      <c r="I152" s="204"/>
      <c r="J152" s="204"/>
      <c r="K152" s="204"/>
      <c r="L152" s="204"/>
      <c r="M152" s="204"/>
      <c r="N152" s="204"/>
      <c r="O152" s="1076"/>
      <c r="P152" s="1077"/>
    </row>
    <row r="153" spans="1:16">
      <c r="A153" s="203"/>
      <c r="B153" s="197"/>
      <c r="C153" s="204"/>
      <c r="D153" s="197"/>
      <c r="E153" s="204"/>
      <c r="F153" s="204"/>
      <c r="G153" s="204"/>
      <c r="H153" s="204"/>
      <c r="I153" s="204"/>
      <c r="J153" s="204"/>
      <c r="K153" s="204"/>
      <c r="L153" s="204"/>
      <c r="M153" s="204"/>
      <c r="N153" s="204"/>
      <c r="O153" s="1076"/>
      <c r="P153" s="1077"/>
    </row>
    <row r="154" spans="1:16">
      <c r="A154" s="203"/>
      <c r="B154" s="197"/>
      <c r="C154" s="204"/>
      <c r="D154" s="197"/>
      <c r="E154" s="204"/>
      <c r="F154" s="204"/>
      <c r="G154" s="204"/>
      <c r="H154" s="204"/>
      <c r="I154" s="204"/>
      <c r="J154" s="204"/>
      <c r="K154" s="204"/>
      <c r="L154" s="204"/>
      <c r="M154" s="204"/>
      <c r="N154" s="204"/>
      <c r="O154" s="1076"/>
      <c r="P154" s="1077"/>
    </row>
    <row r="155" spans="1:16">
      <c r="A155" s="203"/>
      <c r="B155" s="197"/>
      <c r="C155" s="204"/>
      <c r="D155" s="197"/>
      <c r="E155" s="204"/>
      <c r="F155" s="204"/>
      <c r="G155" s="204"/>
      <c r="H155" s="204"/>
      <c r="I155" s="204"/>
      <c r="J155" s="204"/>
      <c r="K155" s="204"/>
      <c r="L155" s="204"/>
      <c r="M155" s="204"/>
      <c r="N155" s="204"/>
      <c r="O155" s="1076"/>
      <c r="P155" s="1077"/>
    </row>
    <row r="156" spans="1:16">
      <c r="A156" s="203"/>
      <c r="B156" s="197"/>
      <c r="C156" s="204"/>
      <c r="D156" s="197"/>
      <c r="E156" s="204"/>
      <c r="F156" s="204"/>
      <c r="G156" s="204"/>
      <c r="H156" s="204"/>
      <c r="I156" s="204"/>
      <c r="J156" s="204"/>
      <c r="K156" s="204"/>
      <c r="L156" s="204"/>
      <c r="M156" s="204"/>
      <c r="N156" s="204"/>
      <c r="O156" s="1076"/>
      <c r="P156" s="1077"/>
    </row>
    <row r="157" spans="1:16">
      <c r="A157" s="203"/>
      <c r="B157" s="197"/>
      <c r="C157" s="204"/>
      <c r="D157" s="197"/>
      <c r="E157" s="204"/>
      <c r="F157" s="204"/>
      <c r="G157" s="204"/>
      <c r="H157" s="204"/>
      <c r="I157" s="204"/>
      <c r="J157" s="204"/>
      <c r="K157" s="204"/>
      <c r="L157" s="204"/>
      <c r="M157" s="204"/>
      <c r="N157" s="204"/>
      <c r="O157" s="1076"/>
      <c r="P157" s="1077"/>
    </row>
    <row r="158" spans="1:16">
      <c r="A158" s="203"/>
      <c r="B158" s="197"/>
      <c r="C158" s="204"/>
      <c r="D158" s="197"/>
      <c r="E158" s="204"/>
      <c r="F158" s="204"/>
      <c r="G158" s="204"/>
      <c r="H158" s="204"/>
      <c r="I158" s="204"/>
      <c r="J158" s="204"/>
      <c r="K158" s="204"/>
      <c r="L158" s="204"/>
      <c r="M158" s="204"/>
      <c r="N158" s="204"/>
      <c r="O158" s="1076"/>
      <c r="P158" s="1077"/>
    </row>
    <row r="159" spans="1:16">
      <c r="A159" s="203"/>
      <c r="B159" s="197"/>
      <c r="C159" s="204"/>
      <c r="D159" s="197"/>
      <c r="E159" s="204"/>
      <c r="F159" s="204"/>
      <c r="G159" s="204"/>
      <c r="H159" s="204"/>
      <c r="I159" s="204"/>
      <c r="J159" s="204"/>
      <c r="K159" s="204"/>
      <c r="L159" s="204"/>
      <c r="M159" s="204"/>
      <c r="N159" s="204"/>
      <c r="O159" s="1076"/>
      <c r="P159" s="1077"/>
    </row>
    <row r="160" spans="1:16">
      <c r="A160" s="203"/>
      <c r="B160" s="197"/>
      <c r="C160" s="204"/>
      <c r="D160" s="197"/>
      <c r="E160" s="204"/>
      <c r="F160" s="204"/>
      <c r="G160" s="204"/>
      <c r="H160" s="204"/>
      <c r="I160" s="204"/>
      <c r="J160" s="204"/>
      <c r="K160" s="204"/>
      <c r="L160" s="204"/>
      <c r="M160" s="204"/>
      <c r="N160" s="204"/>
      <c r="O160" s="1076"/>
      <c r="P160" s="1077"/>
    </row>
    <row r="161" spans="1:16">
      <c r="A161" s="203"/>
      <c r="B161" s="197"/>
      <c r="C161" s="204"/>
      <c r="D161" s="197"/>
      <c r="E161" s="204"/>
      <c r="F161" s="204"/>
      <c r="G161" s="204"/>
      <c r="H161" s="204"/>
      <c r="I161" s="204"/>
      <c r="J161" s="204"/>
      <c r="K161" s="204"/>
      <c r="L161" s="204"/>
      <c r="M161" s="204"/>
      <c r="N161" s="204"/>
      <c r="O161" s="1076"/>
      <c r="P161" s="1077"/>
    </row>
    <row r="162" spans="1:16">
      <c r="A162" s="203"/>
      <c r="B162" s="197"/>
      <c r="C162" s="204"/>
      <c r="D162" s="197"/>
      <c r="E162" s="204"/>
      <c r="F162" s="204"/>
      <c r="G162" s="204"/>
      <c r="H162" s="204"/>
      <c r="I162" s="204"/>
      <c r="J162" s="204"/>
      <c r="K162" s="204"/>
      <c r="L162" s="204"/>
      <c r="M162" s="204"/>
      <c r="N162" s="204"/>
      <c r="O162" s="1076"/>
      <c r="P162" s="1077"/>
    </row>
    <row r="163" spans="1:16">
      <c r="A163" s="203"/>
      <c r="B163" s="197"/>
      <c r="C163" s="204"/>
      <c r="D163" s="197"/>
      <c r="E163" s="204"/>
      <c r="F163" s="204"/>
      <c r="G163" s="204"/>
      <c r="H163" s="204"/>
      <c r="I163" s="204"/>
      <c r="J163" s="204"/>
      <c r="K163" s="204"/>
      <c r="L163" s="204"/>
      <c r="M163" s="204"/>
      <c r="N163" s="204"/>
      <c r="O163" s="1076"/>
      <c r="P163" s="1077"/>
    </row>
    <row r="164" spans="1:16">
      <c r="A164" s="203"/>
      <c r="B164" s="197"/>
      <c r="C164" s="204"/>
      <c r="D164" s="197"/>
      <c r="E164" s="204"/>
      <c r="F164" s="204"/>
      <c r="G164" s="204"/>
      <c r="H164" s="204"/>
      <c r="I164" s="204"/>
      <c r="J164" s="204"/>
      <c r="K164" s="204"/>
      <c r="L164" s="204"/>
      <c r="M164" s="204"/>
      <c r="N164" s="204"/>
      <c r="O164" s="1076"/>
      <c r="P164" s="1077"/>
    </row>
    <row r="165" spans="1:16">
      <c r="A165" s="203"/>
      <c r="B165" s="197"/>
      <c r="C165" s="204"/>
      <c r="D165" s="197"/>
      <c r="E165" s="204"/>
      <c r="F165" s="204"/>
      <c r="G165" s="204"/>
      <c r="H165" s="204"/>
      <c r="I165" s="204"/>
      <c r="J165" s="204"/>
      <c r="K165" s="204"/>
      <c r="L165" s="204"/>
      <c r="M165" s="204"/>
      <c r="N165" s="204"/>
      <c r="O165" s="1076"/>
      <c r="P165" s="1077"/>
    </row>
    <row r="166" spans="1:16">
      <c r="A166" s="203"/>
      <c r="B166" s="197"/>
      <c r="C166" s="204"/>
      <c r="D166" s="197"/>
      <c r="E166" s="204"/>
      <c r="F166" s="204"/>
      <c r="G166" s="204"/>
      <c r="H166" s="204"/>
      <c r="I166" s="204"/>
      <c r="J166" s="204"/>
      <c r="K166" s="204"/>
      <c r="L166" s="204"/>
      <c r="M166" s="204"/>
      <c r="N166" s="204"/>
      <c r="O166" s="1076"/>
      <c r="P166" s="1077"/>
    </row>
    <row r="167" spans="1:16">
      <c r="A167" s="203"/>
      <c r="B167" s="197"/>
      <c r="C167" s="204"/>
      <c r="D167" s="197"/>
      <c r="E167" s="204"/>
      <c r="F167" s="204"/>
      <c r="G167" s="204"/>
      <c r="H167" s="204"/>
      <c r="I167" s="204"/>
      <c r="J167" s="204"/>
      <c r="K167" s="204"/>
      <c r="L167" s="204"/>
      <c r="M167" s="204"/>
      <c r="N167" s="204"/>
      <c r="O167" s="1076"/>
      <c r="P167" s="1077"/>
    </row>
    <row r="168" spans="1:16">
      <c r="A168" s="203"/>
      <c r="B168" s="197"/>
      <c r="C168" s="204"/>
      <c r="D168" s="197"/>
      <c r="E168" s="204"/>
      <c r="F168" s="204"/>
      <c r="G168" s="204"/>
      <c r="H168" s="204"/>
      <c r="I168" s="204"/>
      <c r="J168" s="204"/>
      <c r="K168" s="204"/>
      <c r="L168" s="204"/>
      <c r="M168" s="204"/>
      <c r="N168" s="204"/>
      <c r="O168" s="1076"/>
      <c r="P168" s="1077"/>
    </row>
    <row r="169" spans="1:16">
      <c r="A169" s="203"/>
      <c r="B169" s="197"/>
      <c r="C169" s="204"/>
      <c r="D169" s="197"/>
      <c r="E169" s="204"/>
      <c r="F169" s="204"/>
      <c r="G169" s="204"/>
      <c r="H169" s="204"/>
      <c r="I169" s="204"/>
      <c r="J169" s="204"/>
      <c r="K169" s="204"/>
      <c r="L169" s="204"/>
      <c r="M169" s="204"/>
      <c r="N169" s="204"/>
      <c r="O169" s="1076"/>
      <c r="P169" s="1077"/>
    </row>
    <row r="170" spans="1:16">
      <c r="A170" s="203"/>
      <c r="B170" s="197"/>
      <c r="C170" s="204"/>
      <c r="D170" s="197"/>
      <c r="E170" s="204"/>
      <c r="F170" s="204"/>
      <c r="G170" s="204"/>
      <c r="H170" s="204"/>
      <c r="I170" s="204"/>
      <c r="J170" s="204"/>
      <c r="K170" s="204"/>
      <c r="L170" s="204"/>
      <c r="M170" s="204"/>
      <c r="N170" s="204"/>
      <c r="O170" s="1076"/>
      <c r="P170" s="1077"/>
    </row>
    <row r="171" spans="1:16">
      <c r="A171" s="203"/>
      <c r="B171" s="197"/>
      <c r="C171" s="204"/>
      <c r="D171" s="197"/>
      <c r="E171" s="204"/>
      <c r="F171" s="204"/>
      <c r="G171" s="204"/>
      <c r="H171" s="204"/>
      <c r="I171" s="204"/>
      <c r="J171" s="204"/>
      <c r="K171" s="204"/>
      <c r="L171" s="204"/>
      <c r="M171" s="204"/>
      <c r="N171" s="204"/>
      <c r="O171" s="1076"/>
      <c r="P171" s="1077"/>
    </row>
    <row r="172" spans="1:16">
      <c r="A172" s="203"/>
      <c r="B172" s="197"/>
      <c r="C172" s="204"/>
      <c r="D172" s="197"/>
      <c r="E172" s="204"/>
      <c r="F172" s="204"/>
      <c r="G172" s="204"/>
      <c r="H172" s="204"/>
      <c r="I172" s="204"/>
      <c r="J172" s="204"/>
      <c r="K172" s="204"/>
      <c r="L172" s="204"/>
      <c r="M172" s="204"/>
      <c r="N172" s="204"/>
      <c r="O172" s="1076"/>
      <c r="P172" s="1077"/>
    </row>
    <row r="173" spans="1:16">
      <c r="A173" s="203"/>
      <c r="B173" s="197"/>
      <c r="C173" s="204"/>
      <c r="D173" s="197"/>
      <c r="E173" s="204"/>
      <c r="F173" s="204"/>
      <c r="G173" s="204"/>
      <c r="H173" s="204"/>
      <c r="I173" s="204"/>
      <c r="J173" s="204"/>
      <c r="K173" s="204"/>
      <c r="L173" s="204"/>
      <c r="M173" s="204"/>
      <c r="N173" s="204"/>
      <c r="O173" s="1076"/>
      <c r="P173" s="1077"/>
    </row>
    <row r="174" spans="1:16">
      <c r="A174" s="203"/>
      <c r="B174" s="197"/>
      <c r="C174" s="204"/>
      <c r="D174" s="197"/>
      <c r="E174" s="204"/>
      <c r="F174" s="204"/>
      <c r="G174" s="204"/>
      <c r="H174" s="204"/>
      <c r="I174" s="204"/>
      <c r="J174" s="204"/>
      <c r="K174" s="204"/>
      <c r="L174" s="204"/>
      <c r="M174" s="204"/>
      <c r="N174" s="204"/>
      <c r="O174" s="1076"/>
      <c r="P174" s="1077"/>
    </row>
    <row r="175" spans="1:16">
      <c r="A175" s="203"/>
      <c r="B175" s="197"/>
      <c r="C175" s="204"/>
      <c r="D175" s="197"/>
      <c r="E175" s="204"/>
      <c r="F175" s="204"/>
      <c r="G175" s="204"/>
      <c r="H175" s="204"/>
      <c r="I175" s="204"/>
      <c r="J175" s="204"/>
      <c r="K175" s="204"/>
      <c r="L175" s="204"/>
      <c r="M175" s="204"/>
      <c r="N175" s="204"/>
      <c r="O175" s="1076"/>
      <c r="P175" s="1077"/>
    </row>
    <row r="176" spans="1:16">
      <c r="A176" s="203"/>
      <c r="B176" s="197"/>
      <c r="C176" s="204"/>
      <c r="D176" s="197"/>
      <c r="E176" s="204"/>
      <c r="F176" s="204"/>
      <c r="G176" s="204"/>
      <c r="H176" s="204"/>
      <c r="I176" s="204"/>
      <c r="J176" s="204"/>
      <c r="K176" s="204"/>
      <c r="L176" s="204"/>
      <c r="M176" s="204"/>
      <c r="N176" s="204"/>
      <c r="O176" s="1076"/>
      <c r="P176" s="1077"/>
    </row>
    <row r="177" spans="1:16">
      <c r="A177" s="203"/>
      <c r="B177" s="197"/>
      <c r="C177" s="204"/>
      <c r="D177" s="197"/>
      <c r="E177" s="204"/>
      <c r="F177" s="204"/>
      <c r="G177" s="204"/>
      <c r="H177" s="204"/>
      <c r="I177" s="204"/>
      <c r="J177" s="204"/>
      <c r="K177" s="204"/>
      <c r="L177" s="204"/>
      <c r="M177" s="204"/>
      <c r="N177" s="204"/>
      <c r="O177" s="1076"/>
      <c r="P177" s="1077"/>
    </row>
    <row r="178" spans="1:16">
      <c r="A178" s="203"/>
      <c r="B178" s="197"/>
      <c r="C178" s="204"/>
      <c r="D178" s="197"/>
      <c r="E178" s="204"/>
      <c r="F178" s="204"/>
      <c r="G178" s="204"/>
      <c r="H178" s="204"/>
      <c r="I178" s="204"/>
      <c r="J178" s="204"/>
      <c r="K178" s="204"/>
      <c r="L178" s="204"/>
      <c r="M178" s="204"/>
      <c r="N178" s="204"/>
      <c r="O178" s="1076"/>
      <c r="P178" s="1077"/>
    </row>
    <row r="179" spans="1:16">
      <c r="A179" s="206" t="s">
        <v>1228</v>
      </c>
      <c r="B179" s="197"/>
      <c r="C179" s="204"/>
      <c r="D179" s="197"/>
      <c r="E179" s="204"/>
      <c r="F179" s="204"/>
      <c r="G179" s="204"/>
      <c r="H179" s="197" t="s">
        <v>1229</v>
      </c>
      <c r="I179" s="204"/>
      <c r="J179" s="204"/>
      <c r="K179" s="204"/>
      <c r="L179" s="204"/>
      <c r="M179" s="204"/>
      <c r="N179" s="204"/>
      <c r="O179" s="1076"/>
      <c r="P179" s="1077"/>
    </row>
    <row r="180" spans="1:16" ht="15.75" thickBot="1">
      <c r="A180" s="207"/>
      <c r="B180" s="198"/>
      <c r="C180" s="208"/>
      <c r="D180" s="198"/>
      <c r="E180" s="208"/>
      <c r="F180" s="208"/>
      <c r="G180" s="208"/>
      <c r="H180" s="198"/>
      <c r="I180" s="208"/>
      <c r="J180" s="208"/>
      <c r="K180" s="208"/>
      <c r="L180" s="208"/>
      <c r="M180" s="208"/>
      <c r="N180" s="208"/>
      <c r="O180" s="1078"/>
      <c r="P180" s="1079"/>
    </row>
    <row r="182" spans="1:16" ht="30" customHeight="1">
      <c r="A182" s="140" t="s">
        <v>139</v>
      </c>
      <c r="B182" s="140" t="s">
        <v>137</v>
      </c>
      <c r="C182" s="140" t="s">
        <v>138</v>
      </c>
      <c r="D182" s="140" t="s">
        <v>1230</v>
      </c>
      <c r="E182" s="140" t="s">
        <v>1231</v>
      </c>
      <c r="F182" s="140" t="s">
        <v>1232</v>
      </c>
      <c r="G182" s="140" t="s">
        <v>1233</v>
      </c>
      <c r="H182" s="140" t="s">
        <v>1234</v>
      </c>
    </row>
    <row r="183" spans="1:16">
      <c r="A183" s="117" t="s">
        <v>188</v>
      </c>
      <c r="B183" s="117" t="s">
        <v>1235</v>
      </c>
      <c r="C183" s="117" t="s">
        <v>187</v>
      </c>
      <c r="D183" s="117">
        <f>G142-SUM(D184:D186)</f>
        <v>219.94000000000003</v>
      </c>
      <c r="E183" s="117"/>
      <c r="F183" s="117"/>
      <c r="G183" s="128">
        <f>D183/$D$187</f>
        <v>0.74217550490138184</v>
      </c>
      <c r="H183" s="117">
        <v>199.65</v>
      </c>
    </row>
    <row r="184" spans="1:16" ht="15.75">
      <c r="A184" s="117" t="s">
        <v>188</v>
      </c>
      <c r="B184" s="117" t="s">
        <v>1235</v>
      </c>
      <c r="C184" s="117" t="s">
        <v>1236</v>
      </c>
      <c r="D184" s="117">
        <f>AVERAGE(E184:F184)</f>
        <v>33.22</v>
      </c>
      <c r="E184" s="117">
        <v>5.66</v>
      </c>
      <c r="F184" s="117">
        <v>60.78</v>
      </c>
      <c r="G184" s="128">
        <f>D184/$D$187</f>
        <v>0.11209907371475812</v>
      </c>
      <c r="H184" s="117"/>
      <c r="J184" s="209"/>
    </row>
    <row r="185" spans="1:16">
      <c r="A185" s="117" t="s">
        <v>188</v>
      </c>
      <c r="B185" s="117" t="s">
        <v>1235</v>
      </c>
      <c r="C185" s="117" t="s">
        <v>258</v>
      </c>
      <c r="D185" s="117">
        <f>AVERAGE(E185:F185)</f>
        <v>37.25</v>
      </c>
      <c r="E185" s="117">
        <v>35.770000000000003</v>
      </c>
      <c r="F185" s="117">
        <v>38.729999999999997</v>
      </c>
      <c r="G185" s="128">
        <f>D185/$D$187</f>
        <v>0.12569808837672306</v>
      </c>
      <c r="H185" s="117"/>
    </row>
    <row r="186" spans="1:16">
      <c r="A186" s="117" t="s">
        <v>188</v>
      </c>
      <c r="B186" s="117" t="s">
        <v>1235</v>
      </c>
      <c r="C186" s="117" t="s">
        <v>1237</v>
      </c>
      <c r="D186" s="117">
        <f>AVERAGE(E186:F186)</f>
        <v>5.9350000000000005</v>
      </c>
      <c r="E186" s="117">
        <v>5.66</v>
      </c>
      <c r="F186" s="117">
        <v>6.21</v>
      </c>
      <c r="G186" s="128">
        <f>D186/$D$187</f>
        <v>2.0027333007136952E-2</v>
      </c>
      <c r="H186" s="117">
        <v>1.49</v>
      </c>
    </row>
    <row r="187" spans="1:16">
      <c r="A187" s="117" t="s">
        <v>188</v>
      </c>
      <c r="B187" s="129" t="s">
        <v>1226</v>
      </c>
      <c r="C187" s="126"/>
      <c r="D187" s="129">
        <f>SUM(D183:D186)</f>
        <v>296.34500000000003</v>
      </c>
      <c r="E187" s="126"/>
      <c r="F187" s="126"/>
      <c r="G187" s="183"/>
      <c r="H187" s="117"/>
    </row>
    <row r="188" spans="1:16">
      <c r="A188" s="117" t="s">
        <v>188</v>
      </c>
      <c r="B188" s="126" t="s">
        <v>1237</v>
      </c>
      <c r="C188" s="126" t="s">
        <v>187</v>
      </c>
      <c r="D188" s="126">
        <f>D186-H186</f>
        <v>4.4450000000000003</v>
      </c>
      <c r="E188" s="126"/>
      <c r="F188" s="126"/>
      <c r="G188" s="183">
        <f>D188/$D$190</f>
        <v>0.74894692502106153</v>
      </c>
      <c r="H188" s="117"/>
    </row>
    <row r="189" spans="1:16">
      <c r="A189" s="117" t="s">
        <v>188</v>
      </c>
      <c r="B189" s="117" t="s">
        <v>1237</v>
      </c>
      <c r="C189" s="117" t="s">
        <v>1238</v>
      </c>
      <c r="D189" s="117">
        <f>H186</f>
        <v>1.49</v>
      </c>
      <c r="E189" s="117"/>
      <c r="F189" s="117"/>
      <c r="G189" s="128">
        <f>D189/$D$190</f>
        <v>0.25105307497893847</v>
      </c>
      <c r="H189" s="117"/>
    </row>
    <row r="190" spans="1:16">
      <c r="A190" s="117" t="s">
        <v>188</v>
      </c>
      <c r="B190" s="129" t="s">
        <v>1226</v>
      </c>
      <c r="C190" s="126"/>
      <c r="D190" s="127">
        <f>SUM(D188:D189)</f>
        <v>5.9350000000000005</v>
      </c>
      <c r="E190" s="117"/>
      <c r="F190" s="117"/>
      <c r="G190" s="117"/>
      <c r="H190" s="117"/>
    </row>
    <row r="191" spans="1:16" ht="15.75" thickBot="1">
      <c r="B191" s="25"/>
      <c r="D191" s="25"/>
    </row>
    <row r="192" spans="1:16">
      <c r="A192" s="201"/>
      <c r="B192" s="196"/>
      <c r="C192" s="202"/>
      <c r="D192" s="196"/>
      <c r="E192" s="202"/>
      <c r="F192" s="202"/>
      <c r="G192" s="202"/>
      <c r="H192" s="202"/>
      <c r="I192" s="202"/>
      <c r="J192" s="202"/>
      <c r="K192" s="202"/>
      <c r="L192" s="202"/>
      <c r="M192" s="202"/>
      <c r="N192" s="202"/>
      <c r="O192" s="1074" t="s">
        <v>1227</v>
      </c>
      <c r="P192" s="1075"/>
    </row>
    <row r="193" spans="1:16">
      <c r="A193" s="203"/>
      <c r="B193" s="197"/>
      <c r="C193" s="204"/>
      <c r="D193" s="197"/>
      <c r="E193" s="204"/>
      <c r="F193" s="204"/>
      <c r="G193" s="204"/>
      <c r="H193" s="204"/>
      <c r="I193" s="204"/>
      <c r="J193" s="204"/>
      <c r="K193" s="204"/>
      <c r="L193" s="204"/>
      <c r="M193" s="204"/>
      <c r="N193" s="204"/>
      <c r="O193" s="1076"/>
      <c r="P193" s="1077"/>
    </row>
    <row r="194" spans="1:16">
      <c r="A194" s="203"/>
      <c r="B194" s="197"/>
      <c r="C194" s="204"/>
      <c r="D194" s="197"/>
      <c r="E194" s="204"/>
      <c r="F194" s="204"/>
      <c r="G194" s="204"/>
      <c r="H194" s="204"/>
      <c r="I194" s="204"/>
      <c r="J194" s="204"/>
      <c r="K194" s="204"/>
      <c r="L194" s="204"/>
      <c r="M194" s="204"/>
      <c r="N194" s="204"/>
      <c r="O194" s="1076"/>
      <c r="P194" s="1077"/>
    </row>
    <row r="195" spans="1:16">
      <c r="A195" s="203"/>
      <c r="B195" s="197"/>
      <c r="C195" s="204"/>
      <c r="D195" s="197"/>
      <c r="E195" s="204"/>
      <c r="F195" s="204"/>
      <c r="G195" s="204"/>
      <c r="H195" s="204"/>
      <c r="I195" s="204"/>
      <c r="J195" s="204"/>
      <c r="K195" s="204"/>
      <c r="L195" s="204"/>
      <c r="M195" s="204"/>
      <c r="N195" s="204"/>
      <c r="O195" s="1076"/>
      <c r="P195" s="1077"/>
    </row>
    <row r="196" spans="1:16">
      <c r="A196" s="203"/>
      <c r="B196" s="197"/>
      <c r="C196" s="204"/>
      <c r="D196" s="197"/>
      <c r="E196" s="204"/>
      <c r="F196" s="204"/>
      <c r="G196" s="204"/>
      <c r="H196" s="204"/>
      <c r="I196" s="204"/>
      <c r="J196" s="204"/>
      <c r="K196" s="204"/>
      <c r="L196" s="204"/>
      <c r="M196" s="204"/>
      <c r="N196" s="204"/>
      <c r="O196" s="1076"/>
      <c r="P196" s="1077"/>
    </row>
    <row r="197" spans="1:16">
      <c r="A197" s="203"/>
      <c r="B197" s="197"/>
      <c r="C197" s="204"/>
      <c r="D197" s="197"/>
      <c r="E197" s="204"/>
      <c r="F197" s="204"/>
      <c r="G197" s="204"/>
      <c r="H197" s="204"/>
      <c r="I197" s="204"/>
      <c r="J197" s="204"/>
      <c r="K197" s="204"/>
      <c r="L197" s="204"/>
      <c r="M197" s="204"/>
      <c r="N197" s="204"/>
      <c r="O197" s="1076"/>
      <c r="P197" s="1077"/>
    </row>
    <row r="198" spans="1:16">
      <c r="A198" s="203"/>
      <c r="B198" s="197"/>
      <c r="C198" s="204"/>
      <c r="D198" s="197"/>
      <c r="E198" s="204"/>
      <c r="F198" s="204"/>
      <c r="G198" s="204"/>
      <c r="H198" s="204"/>
      <c r="I198" s="204"/>
      <c r="J198" s="204"/>
      <c r="K198" s="204"/>
      <c r="L198" s="204"/>
      <c r="M198" s="204"/>
      <c r="N198" s="204"/>
      <c r="O198" s="1076"/>
      <c r="P198" s="1077"/>
    </row>
    <row r="199" spans="1:16">
      <c r="A199" s="203"/>
      <c r="B199" s="197"/>
      <c r="C199" s="204"/>
      <c r="D199" s="197"/>
      <c r="E199" s="204"/>
      <c r="F199" s="204"/>
      <c r="G199" s="204"/>
      <c r="H199" s="204"/>
      <c r="I199" s="204"/>
      <c r="J199" s="204"/>
      <c r="K199" s="204"/>
      <c r="L199" s="204"/>
      <c r="M199" s="204"/>
      <c r="N199" s="204"/>
      <c r="O199" s="1076"/>
      <c r="P199" s="1077"/>
    </row>
    <row r="200" spans="1:16">
      <c r="A200" s="203"/>
      <c r="B200" s="197"/>
      <c r="C200" s="204"/>
      <c r="D200" s="197"/>
      <c r="E200" s="204"/>
      <c r="F200" s="204"/>
      <c r="G200" s="204"/>
      <c r="H200" s="204"/>
      <c r="I200" s="204"/>
      <c r="J200" s="204"/>
      <c r="K200" s="204"/>
      <c r="L200" s="204"/>
      <c r="M200" s="204"/>
      <c r="N200" s="204"/>
      <c r="O200" s="1076"/>
      <c r="P200" s="1077"/>
    </row>
    <row r="201" spans="1:16">
      <c r="A201" s="203"/>
      <c r="B201" s="197"/>
      <c r="C201" s="204"/>
      <c r="D201" s="197"/>
      <c r="E201" s="204"/>
      <c r="F201" s="204"/>
      <c r="G201" s="204"/>
      <c r="H201" s="204"/>
      <c r="I201" s="204"/>
      <c r="J201" s="204"/>
      <c r="K201" s="204"/>
      <c r="L201" s="204"/>
      <c r="M201" s="204"/>
      <c r="N201" s="204"/>
      <c r="O201" s="1076"/>
      <c r="P201" s="1077"/>
    </row>
    <row r="202" spans="1:16">
      <c r="A202" s="203"/>
      <c r="B202" s="197"/>
      <c r="C202" s="204"/>
      <c r="D202" s="197"/>
      <c r="E202" s="204"/>
      <c r="F202" s="204"/>
      <c r="G202" s="204"/>
      <c r="H202" s="204"/>
      <c r="I202" s="204"/>
      <c r="J202" s="204"/>
      <c r="K202" s="204"/>
      <c r="L202" s="204"/>
      <c r="M202" s="204"/>
      <c r="N202" s="204"/>
      <c r="O202" s="1076"/>
      <c r="P202" s="1077"/>
    </row>
    <row r="203" spans="1:16">
      <c r="A203" s="203"/>
      <c r="B203" s="197"/>
      <c r="C203" s="204"/>
      <c r="D203" s="197"/>
      <c r="E203" s="204"/>
      <c r="F203" s="204"/>
      <c r="G203" s="204"/>
      <c r="H203" s="204"/>
      <c r="I203" s="204"/>
      <c r="J203" s="204"/>
      <c r="K203" s="204"/>
      <c r="L203" s="204"/>
      <c r="M203" s="204"/>
      <c r="N203" s="204"/>
      <c r="O203" s="1076"/>
      <c r="P203" s="1077"/>
    </row>
    <row r="204" spans="1:16">
      <c r="A204" s="203"/>
      <c r="B204" s="197"/>
      <c r="C204" s="204"/>
      <c r="D204" s="197"/>
      <c r="E204" s="204"/>
      <c r="F204" s="204"/>
      <c r="G204" s="204"/>
      <c r="H204" s="204"/>
      <c r="I204" s="204"/>
      <c r="J204" s="204"/>
      <c r="K204" s="204"/>
      <c r="L204" s="204"/>
      <c r="M204" s="204"/>
      <c r="N204" s="204"/>
      <c r="O204" s="1076"/>
      <c r="P204" s="1077"/>
    </row>
    <row r="205" spans="1:16">
      <c r="A205" s="203"/>
      <c r="B205" s="197"/>
      <c r="C205" s="204"/>
      <c r="D205" s="197"/>
      <c r="E205" s="204"/>
      <c r="F205" s="204"/>
      <c r="G205" s="204"/>
      <c r="H205" s="204"/>
      <c r="I205" s="204"/>
      <c r="J205" s="204"/>
      <c r="K205" s="204"/>
      <c r="L205" s="204"/>
      <c r="M205" s="204"/>
      <c r="N205" s="204"/>
      <c r="O205" s="1076"/>
      <c r="P205" s="1077"/>
    </row>
    <row r="206" spans="1:16">
      <c r="A206" s="203"/>
      <c r="B206" s="197"/>
      <c r="C206" s="204"/>
      <c r="D206" s="197"/>
      <c r="E206" s="204"/>
      <c r="F206" s="204"/>
      <c r="G206" s="204"/>
      <c r="H206" s="204"/>
      <c r="I206" s="204"/>
      <c r="J206" s="204"/>
      <c r="K206" s="204"/>
      <c r="L206" s="204"/>
      <c r="M206" s="204"/>
      <c r="N206" s="204"/>
      <c r="O206" s="1076"/>
      <c r="P206" s="1077"/>
    </row>
    <row r="207" spans="1:16">
      <c r="A207" s="203"/>
      <c r="B207" s="197"/>
      <c r="C207" s="204"/>
      <c r="D207" s="197"/>
      <c r="E207" s="204"/>
      <c r="F207" s="204"/>
      <c r="G207" s="204"/>
      <c r="H207" s="204"/>
      <c r="I207" s="204"/>
      <c r="J207" s="204"/>
      <c r="K207" s="204"/>
      <c r="L207" s="204"/>
      <c r="M207" s="204"/>
      <c r="N207" s="204"/>
      <c r="O207" s="1076"/>
      <c r="P207" s="1077"/>
    </row>
    <row r="208" spans="1:16">
      <c r="A208" s="203"/>
      <c r="B208" s="197"/>
      <c r="C208" s="204"/>
      <c r="D208" s="197"/>
      <c r="E208" s="204"/>
      <c r="F208" s="204"/>
      <c r="G208" s="204"/>
      <c r="H208" s="204"/>
      <c r="I208" s="204"/>
      <c r="J208" s="204"/>
      <c r="K208" s="204"/>
      <c r="L208" s="204"/>
      <c r="M208" s="204"/>
      <c r="N208" s="204"/>
      <c r="O208" s="1076"/>
      <c r="P208" s="1077"/>
    </row>
    <row r="209" spans="1:16">
      <c r="A209" s="203"/>
      <c r="B209" s="197"/>
      <c r="C209" s="204"/>
      <c r="D209" s="197"/>
      <c r="E209" s="204"/>
      <c r="F209" s="204"/>
      <c r="G209" s="204"/>
      <c r="H209" s="204"/>
      <c r="I209" s="204"/>
      <c r="J209" s="204"/>
      <c r="K209" s="204"/>
      <c r="L209" s="204"/>
      <c r="M209" s="204"/>
      <c r="N209" s="204"/>
      <c r="O209" s="1076"/>
      <c r="P209" s="1077"/>
    </row>
    <row r="210" spans="1:16">
      <c r="A210" s="203"/>
      <c r="B210" s="197"/>
      <c r="C210" s="204"/>
      <c r="D210" s="197"/>
      <c r="E210" s="204"/>
      <c r="F210" s="204"/>
      <c r="G210" s="204"/>
      <c r="H210" s="204"/>
      <c r="I210" s="204"/>
      <c r="J210" s="204"/>
      <c r="K210" s="204"/>
      <c r="L210" s="204"/>
      <c r="M210" s="204"/>
      <c r="N210" s="204"/>
      <c r="O210" s="1076"/>
      <c r="P210" s="1077"/>
    </row>
    <row r="211" spans="1:16" ht="15.6" customHeight="1">
      <c r="A211" s="203"/>
      <c r="B211" s="197"/>
      <c r="C211" s="204"/>
      <c r="D211" s="197"/>
      <c r="E211" s="204"/>
      <c r="F211" s="204"/>
      <c r="G211" s="204"/>
      <c r="H211" s="204"/>
      <c r="I211" s="204"/>
      <c r="J211" s="204"/>
      <c r="K211" s="204"/>
      <c r="L211" s="204"/>
      <c r="M211" s="204"/>
      <c r="N211" s="204"/>
      <c r="O211" s="1076"/>
      <c r="P211" s="1077"/>
    </row>
    <row r="212" spans="1:16">
      <c r="A212" s="203"/>
      <c r="B212" s="197"/>
      <c r="C212" s="204"/>
      <c r="D212" s="197"/>
      <c r="E212" s="204"/>
      <c r="F212" s="204"/>
      <c r="G212" s="204"/>
      <c r="H212" s="204"/>
      <c r="I212" s="204"/>
      <c r="J212" s="204"/>
      <c r="K212" s="204"/>
      <c r="L212" s="204"/>
      <c r="M212" s="204"/>
      <c r="N212" s="204"/>
      <c r="O212" s="1076"/>
      <c r="P212" s="1077"/>
    </row>
    <row r="213" spans="1:16">
      <c r="A213" s="203"/>
      <c r="B213" s="197"/>
      <c r="C213" s="204"/>
      <c r="D213" s="197"/>
      <c r="E213" s="204"/>
      <c r="F213" s="204"/>
      <c r="G213" s="204"/>
      <c r="H213" s="204"/>
      <c r="I213" s="204"/>
      <c r="J213" s="204"/>
      <c r="K213" s="204"/>
      <c r="L213" s="204"/>
      <c r="M213" s="204"/>
      <c r="N213" s="204"/>
      <c r="O213" s="1076"/>
      <c r="P213" s="1077"/>
    </row>
    <row r="214" spans="1:16">
      <c r="A214" s="203"/>
      <c r="B214" s="197"/>
      <c r="C214" s="204"/>
      <c r="D214" s="197"/>
      <c r="E214" s="204"/>
      <c r="F214" s="204"/>
      <c r="G214" s="204"/>
      <c r="H214" s="204"/>
      <c r="I214" s="204"/>
      <c r="J214" s="204"/>
      <c r="K214" s="204"/>
      <c r="L214" s="204"/>
      <c r="M214" s="204"/>
      <c r="N214" s="204"/>
      <c r="O214" s="1076"/>
      <c r="P214" s="1077"/>
    </row>
    <row r="215" spans="1:16">
      <c r="A215" s="203"/>
      <c r="B215" s="197"/>
      <c r="C215" s="204"/>
      <c r="D215" s="197"/>
      <c r="E215" s="204"/>
      <c r="F215" s="204"/>
      <c r="G215" s="204"/>
      <c r="H215" s="204"/>
      <c r="I215" s="204"/>
      <c r="J215" s="204"/>
      <c r="K215" s="204"/>
      <c r="L215" s="204"/>
      <c r="M215" s="204"/>
      <c r="N215" s="204"/>
      <c r="O215" s="1076"/>
      <c r="P215" s="1077"/>
    </row>
    <row r="216" spans="1:16">
      <c r="A216" s="203"/>
      <c r="B216" s="197"/>
      <c r="C216" s="204"/>
      <c r="D216" s="197"/>
      <c r="E216" s="204"/>
      <c r="F216" s="204"/>
      <c r="G216" s="204"/>
      <c r="H216" s="204"/>
      <c r="I216" s="204"/>
      <c r="J216" s="204"/>
      <c r="K216" s="204"/>
      <c r="L216" s="204"/>
      <c r="M216" s="204"/>
      <c r="N216" s="204"/>
      <c r="O216" s="1076"/>
      <c r="P216" s="1077"/>
    </row>
    <row r="217" spans="1:16">
      <c r="A217" s="203"/>
      <c r="B217" s="197"/>
      <c r="C217" s="204"/>
      <c r="D217" s="197"/>
      <c r="E217" s="204"/>
      <c r="F217" s="204"/>
      <c r="G217" s="204"/>
      <c r="H217" s="204"/>
      <c r="I217" s="204"/>
      <c r="J217" s="204"/>
      <c r="K217" s="204"/>
      <c r="L217" s="204"/>
      <c r="M217" s="204"/>
      <c r="N217" s="204"/>
      <c r="O217" s="1076"/>
      <c r="P217" s="1077"/>
    </row>
    <row r="218" spans="1:16">
      <c r="A218" s="203"/>
      <c r="B218" s="197"/>
      <c r="C218" s="204"/>
      <c r="D218" s="197"/>
      <c r="E218" s="204"/>
      <c r="F218" s="204"/>
      <c r="G218" s="204"/>
      <c r="H218" s="204"/>
      <c r="I218" s="204"/>
      <c r="J218" s="204"/>
      <c r="K218" s="204"/>
      <c r="L218" s="204"/>
      <c r="M218" s="204"/>
      <c r="N218" s="204"/>
      <c r="O218" s="1076"/>
      <c r="P218" s="1077"/>
    </row>
    <row r="219" spans="1:16">
      <c r="A219" s="203"/>
      <c r="B219" s="197"/>
      <c r="C219" s="204"/>
      <c r="D219" s="197"/>
      <c r="E219" s="204"/>
      <c r="F219" s="204"/>
      <c r="G219" s="204"/>
      <c r="H219" s="204"/>
      <c r="I219" s="204"/>
      <c r="J219" s="204"/>
      <c r="K219" s="204"/>
      <c r="L219" s="204"/>
      <c r="M219" s="204"/>
      <c r="N219" s="204"/>
      <c r="O219" s="1076"/>
      <c r="P219" s="1077"/>
    </row>
    <row r="220" spans="1:16">
      <c r="A220" s="203"/>
      <c r="B220" s="197"/>
      <c r="C220" s="204"/>
      <c r="D220" s="197"/>
      <c r="E220" s="204"/>
      <c r="F220" s="204"/>
      <c r="G220" s="204"/>
      <c r="H220" s="204"/>
      <c r="I220" s="204"/>
      <c r="J220" s="204"/>
      <c r="K220" s="204"/>
      <c r="L220" s="204"/>
      <c r="M220" s="204"/>
      <c r="N220" s="204"/>
      <c r="O220" s="1076"/>
      <c r="P220" s="1077"/>
    </row>
    <row r="221" spans="1:16">
      <c r="A221" s="203"/>
      <c r="B221" s="197"/>
      <c r="C221" s="204"/>
      <c r="D221" s="197"/>
      <c r="E221" s="204"/>
      <c r="F221" s="204"/>
      <c r="G221" s="204"/>
      <c r="H221" s="204"/>
      <c r="I221" s="204"/>
      <c r="J221" s="204"/>
      <c r="K221" s="204"/>
      <c r="L221" s="204"/>
      <c r="M221" s="204"/>
      <c r="N221" s="204"/>
      <c r="O221" s="1076"/>
      <c r="P221" s="1077"/>
    </row>
    <row r="222" spans="1:16">
      <c r="A222" s="203"/>
      <c r="B222" s="197"/>
      <c r="C222" s="204"/>
      <c r="D222" s="197"/>
      <c r="E222" s="204"/>
      <c r="F222" s="204"/>
      <c r="G222" s="204"/>
      <c r="H222" s="204"/>
      <c r="I222" s="204"/>
      <c r="J222" s="204"/>
      <c r="K222" s="204"/>
      <c r="L222" s="204"/>
      <c r="M222" s="204"/>
      <c r="N222" s="204"/>
      <c r="O222" s="1076"/>
      <c r="P222" s="1077"/>
    </row>
    <row r="223" spans="1:16">
      <c r="A223" s="203"/>
      <c r="B223" s="197"/>
      <c r="C223" s="204"/>
      <c r="D223" s="197"/>
      <c r="E223" s="204"/>
      <c r="F223" s="204"/>
      <c r="G223" s="204"/>
      <c r="H223" s="204"/>
      <c r="I223" s="204"/>
      <c r="J223" s="204"/>
      <c r="K223" s="204"/>
      <c r="L223" s="204"/>
      <c r="M223" s="204"/>
      <c r="N223" s="204"/>
      <c r="O223" s="1076"/>
      <c r="P223" s="1077"/>
    </row>
    <row r="224" spans="1:16">
      <c r="A224" s="203"/>
      <c r="B224" s="197"/>
      <c r="C224" s="204"/>
      <c r="D224" s="197"/>
      <c r="E224" s="204"/>
      <c r="F224" s="204"/>
      <c r="G224" s="204"/>
      <c r="H224" s="204"/>
      <c r="I224" s="204"/>
      <c r="J224" s="204"/>
      <c r="K224" s="204"/>
      <c r="L224" s="204"/>
      <c r="M224" s="204"/>
      <c r="N224" s="204"/>
      <c r="O224" s="1076"/>
      <c r="P224" s="1077"/>
    </row>
    <row r="225" spans="1:16">
      <c r="A225" s="203"/>
      <c r="B225" s="197"/>
      <c r="C225" s="204"/>
      <c r="D225" s="197"/>
      <c r="E225" s="204"/>
      <c r="F225" s="204"/>
      <c r="G225" s="204"/>
      <c r="H225" s="204"/>
      <c r="I225" s="204"/>
      <c r="J225" s="204"/>
      <c r="K225" s="204"/>
      <c r="L225" s="204"/>
      <c r="M225" s="204"/>
      <c r="N225" s="204"/>
      <c r="O225" s="1076"/>
      <c r="P225" s="1077"/>
    </row>
    <row r="226" spans="1:16">
      <c r="A226" s="206" t="s">
        <v>1228</v>
      </c>
      <c r="B226" s="197"/>
      <c r="C226" s="204"/>
      <c r="D226" s="197"/>
      <c r="E226" s="204"/>
      <c r="F226" s="204"/>
      <c r="G226" s="204"/>
      <c r="H226" s="197" t="s">
        <v>1229</v>
      </c>
      <c r="I226" s="204"/>
      <c r="J226" s="204"/>
      <c r="K226" s="204"/>
      <c r="L226" s="204"/>
      <c r="M226" s="204"/>
      <c r="N226" s="204"/>
      <c r="O226" s="1076"/>
      <c r="P226" s="1077"/>
    </row>
    <row r="227" spans="1:16" ht="15.75" thickBot="1">
      <c r="A227" s="210"/>
      <c r="B227" s="199"/>
      <c r="C227" s="211"/>
      <c r="D227" s="199"/>
      <c r="E227" s="211"/>
      <c r="F227" s="211"/>
      <c r="G227" s="211"/>
      <c r="H227" s="211"/>
      <c r="I227" s="211"/>
      <c r="J227" s="211"/>
      <c r="K227" s="211"/>
      <c r="L227" s="211"/>
      <c r="M227" s="211"/>
      <c r="N227" s="211"/>
      <c r="O227" s="1078"/>
      <c r="P227" s="1079"/>
    </row>
    <row r="228" spans="1:16" ht="15.75" thickBot="1">
      <c r="B228" s="25"/>
      <c r="D228" s="25"/>
    </row>
    <row r="229" spans="1:16">
      <c r="A229" s="201"/>
      <c r="B229" s="196"/>
      <c r="C229" s="202"/>
      <c r="D229" s="196"/>
      <c r="E229" s="202"/>
      <c r="F229" s="202"/>
      <c r="G229" s="202"/>
      <c r="H229" s="202"/>
      <c r="I229" s="202"/>
      <c r="J229" s="202"/>
      <c r="K229" s="202"/>
      <c r="L229" s="202"/>
      <c r="M229" s="202"/>
      <c r="N229" s="202"/>
      <c r="O229" s="1074" t="s">
        <v>1239</v>
      </c>
      <c r="P229" s="1075"/>
    </row>
    <row r="230" spans="1:16">
      <c r="A230" s="203"/>
      <c r="B230" s="197"/>
      <c r="C230" s="204"/>
      <c r="D230" s="197"/>
      <c r="E230" s="204"/>
      <c r="F230" s="204"/>
      <c r="G230" s="204"/>
      <c r="H230" s="204"/>
      <c r="I230" s="204"/>
      <c r="J230" s="204"/>
      <c r="K230" s="204"/>
      <c r="L230" s="204"/>
      <c r="M230" s="204"/>
      <c r="N230" s="204"/>
      <c r="O230" s="1076"/>
      <c r="P230" s="1077"/>
    </row>
    <row r="231" spans="1:16">
      <c r="A231" s="203"/>
      <c r="B231" s="197"/>
      <c r="C231" s="204"/>
      <c r="D231" s="197"/>
      <c r="E231" s="204"/>
      <c r="F231" s="204"/>
      <c r="G231" s="204"/>
      <c r="H231" s="204"/>
      <c r="I231" s="204"/>
      <c r="J231" s="204"/>
      <c r="K231" s="204"/>
      <c r="L231" s="204"/>
      <c r="M231" s="204"/>
      <c r="N231" s="204"/>
      <c r="O231" s="1076"/>
      <c r="P231" s="1077"/>
    </row>
    <row r="232" spans="1:16">
      <c r="A232" s="203"/>
      <c r="B232" s="197"/>
      <c r="C232" s="204"/>
      <c r="D232" s="197"/>
      <c r="E232" s="204"/>
      <c r="F232" s="204"/>
      <c r="G232" s="204"/>
      <c r="H232" s="204"/>
      <c r="I232" s="204"/>
      <c r="J232" s="204"/>
      <c r="K232" s="204"/>
      <c r="L232" s="204"/>
      <c r="M232" s="204"/>
      <c r="N232" s="204"/>
      <c r="O232" s="1076"/>
      <c r="P232" s="1077"/>
    </row>
    <row r="233" spans="1:16">
      <c r="A233" s="203"/>
      <c r="B233" s="197"/>
      <c r="C233" s="204"/>
      <c r="D233" s="197"/>
      <c r="E233" s="204"/>
      <c r="F233" s="204"/>
      <c r="G233" s="204"/>
      <c r="H233" s="204"/>
      <c r="I233" s="204"/>
      <c r="J233" s="204"/>
      <c r="K233" s="204"/>
      <c r="L233" s="204"/>
      <c r="M233" s="204"/>
      <c r="N233" s="204"/>
      <c r="O233" s="1076"/>
      <c r="P233" s="1077"/>
    </row>
    <row r="234" spans="1:16">
      <c r="A234" s="203"/>
      <c r="B234" s="197"/>
      <c r="C234" s="204"/>
      <c r="D234" s="197"/>
      <c r="E234" s="204"/>
      <c r="F234" s="204"/>
      <c r="G234" s="204"/>
      <c r="H234" s="204"/>
      <c r="I234" s="204"/>
      <c r="J234" s="204"/>
      <c r="K234" s="204"/>
      <c r="L234" s="204"/>
      <c r="M234" s="204"/>
      <c r="N234" s="204"/>
      <c r="O234" s="1076"/>
      <c r="P234" s="1077"/>
    </row>
    <row r="235" spans="1:16">
      <c r="A235" s="203"/>
      <c r="B235" s="197"/>
      <c r="C235" s="204"/>
      <c r="D235" s="197"/>
      <c r="E235" s="204"/>
      <c r="F235" s="204"/>
      <c r="G235" s="204"/>
      <c r="H235" s="204"/>
      <c r="I235" s="204"/>
      <c r="J235" s="204"/>
      <c r="K235" s="204"/>
      <c r="L235" s="204"/>
      <c r="M235" s="204"/>
      <c r="N235" s="204"/>
      <c r="O235" s="1076"/>
      <c r="P235" s="1077"/>
    </row>
    <row r="236" spans="1:16">
      <c r="A236" s="203"/>
      <c r="B236" s="197"/>
      <c r="C236" s="204"/>
      <c r="D236" s="197"/>
      <c r="E236" s="204"/>
      <c r="F236" s="204"/>
      <c r="G236" s="204"/>
      <c r="H236" s="204"/>
      <c r="I236" s="204"/>
      <c r="J236" s="204"/>
      <c r="K236" s="204"/>
      <c r="L236" s="204"/>
      <c r="M236" s="204"/>
      <c r="N236" s="204"/>
      <c r="O236" s="1076"/>
      <c r="P236" s="1077"/>
    </row>
    <row r="237" spans="1:16">
      <c r="A237" s="203"/>
      <c r="B237" s="197"/>
      <c r="C237" s="204"/>
      <c r="D237" s="197"/>
      <c r="E237" s="204"/>
      <c r="F237" s="204"/>
      <c r="G237" s="204"/>
      <c r="H237" s="204"/>
      <c r="I237" s="204"/>
      <c r="J237" s="204"/>
      <c r="K237" s="204"/>
      <c r="L237" s="204"/>
      <c r="M237" s="204"/>
      <c r="N237" s="204"/>
      <c r="O237" s="1076"/>
      <c r="P237" s="1077"/>
    </row>
    <row r="238" spans="1:16">
      <c r="A238" s="203"/>
      <c r="B238" s="197"/>
      <c r="C238" s="204"/>
      <c r="D238" s="197"/>
      <c r="E238" s="204"/>
      <c r="F238" s="204"/>
      <c r="G238" s="204"/>
      <c r="H238" s="204"/>
      <c r="I238" s="204"/>
      <c r="J238" s="204"/>
      <c r="K238" s="204"/>
      <c r="L238" s="204"/>
      <c r="M238" s="204"/>
      <c r="N238" s="204"/>
      <c r="O238" s="1076"/>
      <c r="P238" s="1077"/>
    </row>
    <row r="239" spans="1:16">
      <c r="A239" s="203"/>
      <c r="B239" s="197"/>
      <c r="C239" s="204"/>
      <c r="D239" s="197"/>
      <c r="E239" s="204"/>
      <c r="F239" s="204"/>
      <c r="G239" s="204"/>
      <c r="H239" s="204"/>
      <c r="I239" s="204"/>
      <c r="J239" s="204"/>
      <c r="K239" s="204"/>
      <c r="L239" s="204"/>
      <c r="M239" s="204"/>
      <c r="N239" s="204"/>
      <c r="O239" s="1076"/>
      <c r="P239" s="1077"/>
    </row>
    <row r="240" spans="1:16">
      <c r="A240" s="203"/>
      <c r="B240" s="197"/>
      <c r="C240" s="204"/>
      <c r="D240" s="197"/>
      <c r="E240" s="204"/>
      <c r="F240" s="204"/>
      <c r="G240" s="204"/>
      <c r="H240" s="204"/>
      <c r="I240" s="204"/>
      <c r="J240" s="204"/>
      <c r="K240" s="204"/>
      <c r="L240" s="204"/>
      <c r="M240" s="204"/>
      <c r="N240" s="204"/>
      <c r="O240" s="1076"/>
      <c r="P240" s="1077"/>
    </row>
    <row r="241" spans="1:16">
      <c r="A241" s="203"/>
      <c r="B241" s="197"/>
      <c r="C241" s="204"/>
      <c r="D241" s="197"/>
      <c r="E241" s="204"/>
      <c r="F241" s="204"/>
      <c r="G241" s="204"/>
      <c r="H241" s="204"/>
      <c r="I241" s="204"/>
      <c r="J241" s="204"/>
      <c r="K241" s="204"/>
      <c r="L241" s="204"/>
      <c r="M241" s="204"/>
      <c r="N241" s="204"/>
      <c r="O241" s="1076"/>
      <c r="P241" s="1077"/>
    </row>
    <row r="242" spans="1:16">
      <c r="A242" s="203"/>
      <c r="B242" s="197"/>
      <c r="C242" s="204"/>
      <c r="D242" s="197"/>
      <c r="E242" s="204"/>
      <c r="F242" s="204"/>
      <c r="G242" s="204"/>
      <c r="H242" s="204"/>
      <c r="I242" s="204"/>
      <c r="J242" s="204"/>
      <c r="K242" s="204"/>
      <c r="L242" s="204"/>
      <c r="M242" s="204"/>
      <c r="N242" s="204"/>
      <c r="O242" s="1076"/>
      <c r="P242" s="1077"/>
    </row>
    <row r="243" spans="1:16">
      <c r="A243" s="203"/>
      <c r="B243" s="197"/>
      <c r="C243" s="204"/>
      <c r="D243" s="197"/>
      <c r="E243" s="204"/>
      <c r="F243" s="204"/>
      <c r="G243" s="204"/>
      <c r="H243" s="204"/>
      <c r="I243" s="204"/>
      <c r="J243" s="204"/>
      <c r="K243" s="204"/>
      <c r="L243" s="204"/>
      <c r="M243" s="204"/>
      <c r="N243" s="204"/>
      <c r="O243" s="1076"/>
      <c r="P243" s="1077"/>
    </row>
    <row r="244" spans="1:16">
      <c r="A244" s="203"/>
      <c r="B244" s="197"/>
      <c r="C244" s="204"/>
      <c r="D244" s="197"/>
      <c r="E244" s="204"/>
      <c r="F244" s="204"/>
      <c r="G244" s="204"/>
      <c r="H244" s="204"/>
      <c r="I244" s="204"/>
      <c r="J244" s="204"/>
      <c r="K244" s="204"/>
      <c r="L244" s="204"/>
      <c r="M244" s="204"/>
      <c r="N244" s="204"/>
      <c r="O244" s="1076"/>
      <c r="P244" s="1077"/>
    </row>
    <row r="245" spans="1:16">
      <c r="A245" s="203"/>
      <c r="B245" s="197"/>
      <c r="C245" s="204"/>
      <c r="D245" s="197"/>
      <c r="E245" s="204"/>
      <c r="F245" s="204"/>
      <c r="G245" s="204"/>
      <c r="H245" s="204"/>
      <c r="I245" s="204"/>
      <c r="J245" s="204"/>
      <c r="K245" s="204"/>
      <c r="L245" s="204"/>
      <c r="M245" s="204"/>
      <c r="N245" s="204"/>
      <c r="O245" s="1076"/>
      <c r="P245" s="1077"/>
    </row>
    <row r="246" spans="1:16">
      <c r="A246" s="203"/>
      <c r="B246" s="197"/>
      <c r="C246" s="204"/>
      <c r="D246" s="197"/>
      <c r="E246" s="204"/>
      <c r="F246" s="204"/>
      <c r="G246" s="204"/>
      <c r="H246" s="204"/>
      <c r="I246" s="204"/>
      <c r="J246" s="204"/>
      <c r="K246" s="204"/>
      <c r="L246" s="204"/>
      <c r="M246" s="204"/>
      <c r="N246" s="204"/>
      <c r="O246" s="1076"/>
      <c r="P246" s="1077"/>
    </row>
    <row r="247" spans="1:16">
      <c r="A247" s="203"/>
      <c r="B247" s="197"/>
      <c r="C247" s="204"/>
      <c r="D247" s="197"/>
      <c r="E247" s="204"/>
      <c r="F247" s="204"/>
      <c r="G247" s="204"/>
      <c r="H247" s="204"/>
      <c r="I247" s="204"/>
      <c r="J247" s="204"/>
      <c r="K247" s="204"/>
      <c r="L247" s="204"/>
      <c r="M247" s="204"/>
      <c r="N247" s="204"/>
      <c r="O247" s="1076"/>
      <c r="P247" s="1077"/>
    </row>
    <row r="248" spans="1:16">
      <c r="A248" s="203"/>
      <c r="B248" s="197"/>
      <c r="C248" s="204"/>
      <c r="D248" s="197"/>
      <c r="E248" s="204"/>
      <c r="F248" s="204"/>
      <c r="G248" s="204"/>
      <c r="H248" s="204"/>
      <c r="I248" s="204"/>
      <c r="J248" s="204"/>
      <c r="K248" s="204"/>
      <c r="L248" s="204"/>
      <c r="M248" s="204"/>
      <c r="N248" s="204"/>
      <c r="O248" s="1076"/>
      <c r="P248" s="1077"/>
    </row>
    <row r="249" spans="1:16">
      <c r="A249" s="203"/>
      <c r="B249" s="197"/>
      <c r="C249" s="204"/>
      <c r="D249" s="197"/>
      <c r="E249" s="204"/>
      <c r="F249" s="204"/>
      <c r="G249" s="204"/>
      <c r="H249" s="204"/>
      <c r="I249" s="204"/>
      <c r="J249" s="204"/>
      <c r="K249" s="204"/>
      <c r="L249" s="204"/>
      <c r="M249" s="204"/>
      <c r="N249" s="204"/>
      <c r="O249" s="1076"/>
      <c r="P249" s="1077"/>
    </row>
    <row r="250" spans="1:16">
      <c r="A250" s="203"/>
      <c r="B250" s="197"/>
      <c r="C250" s="204"/>
      <c r="D250" s="197"/>
      <c r="E250" s="204"/>
      <c r="F250" s="204"/>
      <c r="G250" s="204"/>
      <c r="H250" s="204"/>
      <c r="I250" s="204"/>
      <c r="J250" s="204"/>
      <c r="K250" s="204"/>
      <c r="L250" s="204"/>
      <c r="M250" s="204"/>
      <c r="N250" s="204"/>
      <c r="O250" s="1076"/>
      <c r="P250" s="1077"/>
    </row>
    <row r="251" spans="1:16">
      <c r="A251" s="203"/>
      <c r="B251" s="197"/>
      <c r="C251" s="204"/>
      <c r="D251" s="197"/>
      <c r="E251" s="204"/>
      <c r="F251" s="204"/>
      <c r="G251" s="204"/>
      <c r="H251" s="204"/>
      <c r="I251" s="204"/>
      <c r="J251" s="204"/>
      <c r="K251" s="204"/>
      <c r="L251" s="204"/>
      <c r="M251" s="204"/>
      <c r="N251" s="204"/>
      <c r="O251" s="1076"/>
      <c r="P251" s="1077"/>
    </row>
    <row r="252" spans="1:16">
      <c r="A252" s="203"/>
      <c r="B252" s="197"/>
      <c r="C252" s="204"/>
      <c r="D252" s="197"/>
      <c r="E252" s="204"/>
      <c r="F252" s="204"/>
      <c r="G252" s="204"/>
      <c r="H252" s="204"/>
      <c r="I252" s="204"/>
      <c r="J252" s="204"/>
      <c r="K252" s="204"/>
      <c r="L252" s="204"/>
      <c r="M252" s="204"/>
      <c r="N252" s="204"/>
      <c r="O252" s="1076"/>
      <c r="P252" s="1077"/>
    </row>
    <row r="253" spans="1:16">
      <c r="A253" s="203"/>
      <c r="B253" s="197"/>
      <c r="C253" s="204"/>
      <c r="D253" s="197"/>
      <c r="E253" s="204"/>
      <c r="F253" s="204"/>
      <c r="G253" s="204"/>
      <c r="H253" s="204"/>
      <c r="I253" s="204"/>
      <c r="J253" s="204"/>
      <c r="K253" s="204"/>
      <c r="L253" s="204"/>
      <c r="M253" s="204"/>
      <c r="N253" s="204"/>
      <c r="O253" s="1076"/>
      <c r="P253" s="1077"/>
    </row>
    <row r="254" spans="1:16">
      <c r="A254" s="203"/>
      <c r="B254" s="197"/>
      <c r="C254" s="204"/>
      <c r="D254" s="197"/>
      <c r="E254" s="204"/>
      <c r="F254" s="204"/>
      <c r="G254" s="204"/>
      <c r="H254" s="204"/>
      <c r="I254" s="204"/>
      <c r="J254" s="204"/>
      <c r="K254" s="204"/>
      <c r="L254" s="204"/>
      <c r="M254" s="204"/>
      <c r="N254" s="204"/>
      <c r="O254" s="1076"/>
      <c r="P254" s="1077"/>
    </row>
    <row r="255" spans="1:16">
      <c r="A255" s="203"/>
      <c r="B255" s="197"/>
      <c r="C255" s="204"/>
      <c r="D255" s="197"/>
      <c r="E255" s="204"/>
      <c r="F255" s="204"/>
      <c r="G255" s="204"/>
      <c r="H255" s="204"/>
      <c r="I255" s="204"/>
      <c r="J255" s="204"/>
      <c r="K255" s="204"/>
      <c r="L255" s="204"/>
      <c r="M255" s="204"/>
      <c r="N255" s="204"/>
      <c r="O255" s="1076"/>
      <c r="P255" s="1077"/>
    </row>
    <row r="256" spans="1:16">
      <c r="A256" s="203"/>
      <c r="B256" s="197"/>
      <c r="C256" s="204"/>
      <c r="D256" s="197"/>
      <c r="E256" s="204"/>
      <c r="F256" s="204"/>
      <c r="G256" s="204"/>
      <c r="H256" s="204"/>
      <c r="I256" s="204"/>
      <c r="J256" s="204"/>
      <c r="K256" s="204"/>
      <c r="L256" s="204"/>
      <c r="M256" s="204"/>
      <c r="N256" s="204"/>
      <c r="O256" s="1076"/>
      <c r="P256" s="1077"/>
    </row>
    <row r="257" spans="1:16">
      <c r="A257" s="203"/>
      <c r="B257" s="197"/>
      <c r="C257" s="204"/>
      <c r="D257" s="197"/>
      <c r="E257" s="204"/>
      <c r="F257" s="204"/>
      <c r="G257" s="204"/>
      <c r="H257" s="204"/>
      <c r="I257" s="204"/>
      <c r="J257" s="204"/>
      <c r="K257" s="204"/>
      <c r="L257" s="204"/>
      <c r="M257" s="204"/>
      <c r="N257" s="204"/>
      <c r="O257" s="1076"/>
      <c r="P257" s="1077"/>
    </row>
    <row r="258" spans="1:16">
      <c r="A258" s="203"/>
      <c r="B258" s="197"/>
      <c r="C258" s="204"/>
      <c r="D258" s="197"/>
      <c r="E258" s="204"/>
      <c r="F258" s="204"/>
      <c r="G258" s="204"/>
      <c r="H258" s="204"/>
      <c r="I258" s="204"/>
      <c r="J258" s="204"/>
      <c r="K258" s="204"/>
      <c r="L258" s="204"/>
      <c r="M258" s="204"/>
      <c r="N258" s="204"/>
      <c r="O258" s="1076"/>
      <c r="P258" s="1077"/>
    </row>
    <row r="259" spans="1:16">
      <c r="A259" s="203"/>
      <c r="B259" s="197"/>
      <c r="C259" s="204"/>
      <c r="D259" s="197"/>
      <c r="E259" s="204"/>
      <c r="F259" s="204"/>
      <c r="G259" s="204"/>
      <c r="H259" s="204"/>
      <c r="I259" s="204"/>
      <c r="J259" s="204"/>
      <c r="K259" s="204"/>
      <c r="L259" s="204"/>
      <c r="M259" s="204"/>
      <c r="N259" s="204"/>
      <c r="O259" s="1076"/>
      <c r="P259" s="1077"/>
    </row>
    <row r="260" spans="1:16">
      <c r="A260" s="203"/>
      <c r="B260" s="197"/>
      <c r="C260" s="204"/>
      <c r="D260" s="197"/>
      <c r="E260" s="204"/>
      <c r="F260" s="204"/>
      <c r="G260" s="204"/>
      <c r="H260" s="204"/>
      <c r="I260" s="204"/>
      <c r="J260" s="204"/>
      <c r="K260" s="204"/>
      <c r="L260" s="204"/>
      <c r="M260" s="204"/>
      <c r="N260" s="204"/>
      <c r="O260" s="1076"/>
      <c r="P260" s="1077"/>
    </row>
    <row r="261" spans="1:16">
      <c r="A261" s="203"/>
      <c r="B261" s="204"/>
      <c r="C261" s="204"/>
      <c r="D261" s="204"/>
      <c r="E261" s="204"/>
      <c r="F261" s="204"/>
      <c r="G261" s="204"/>
      <c r="H261" s="204"/>
      <c r="I261" s="204"/>
      <c r="J261" s="204"/>
      <c r="K261" s="204"/>
      <c r="L261" s="204"/>
      <c r="M261" s="204"/>
      <c r="N261" s="204"/>
      <c r="O261" s="1076"/>
      <c r="P261" s="1077"/>
    </row>
    <row r="262" spans="1:16">
      <c r="A262" s="203"/>
      <c r="B262" s="204"/>
      <c r="C262" s="204"/>
      <c r="D262" s="204"/>
      <c r="E262" s="204"/>
      <c r="F262" s="204"/>
      <c r="G262" s="204"/>
      <c r="H262" s="204"/>
      <c r="I262" s="204"/>
      <c r="J262" s="204"/>
      <c r="K262" s="204"/>
      <c r="L262" s="204"/>
      <c r="M262" s="204"/>
      <c r="N262" s="204"/>
      <c r="O262" s="1076"/>
      <c r="P262" s="1077"/>
    </row>
    <row r="263" spans="1:16">
      <c r="A263" s="203"/>
      <c r="B263" s="204"/>
      <c r="C263" s="204"/>
      <c r="D263" s="204"/>
      <c r="E263" s="204"/>
      <c r="F263" s="204"/>
      <c r="G263" s="204"/>
      <c r="H263" s="204"/>
      <c r="I263" s="204"/>
      <c r="J263" s="204"/>
      <c r="K263" s="204"/>
      <c r="L263" s="204"/>
      <c r="M263" s="204"/>
      <c r="N263" s="204"/>
      <c r="O263" s="1076"/>
      <c r="P263" s="1077"/>
    </row>
    <row r="264" spans="1:16" ht="15.75" thickBot="1">
      <c r="A264" s="212"/>
      <c r="B264" s="208"/>
      <c r="C264" s="208"/>
      <c r="D264" s="208"/>
      <c r="E264" s="208"/>
      <c r="F264" s="208"/>
      <c r="G264" s="208"/>
      <c r="H264" s="208"/>
      <c r="I264" s="208"/>
      <c r="J264" s="208"/>
      <c r="K264" s="208"/>
      <c r="L264" s="208"/>
      <c r="M264" s="208"/>
      <c r="N264" s="208"/>
      <c r="O264" s="1078"/>
      <c r="P264" s="1079"/>
    </row>
    <row r="267" spans="1:16">
      <c r="A267" s="6" t="s">
        <v>1240</v>
      </c>
    </row>
    <row r="268" spans="1:16">
      <c r="B268" s="6" t="s">
        <v>1241</v>
      </c>
    </row>
    <row r="269" spans="1:16">
      <c r="A269" s="534" t="s">
        <v>39</v>
      </c>
      <c r="B269" s="536" t="s">
        <v>102</v>
      </c>
      <c r="C269" s="6">
        <v>9</v>
      </c>
    </row>
    <row r="270" spans="1:16">
      <c r="A270" s="534" t="s">
        <v>39</v>
      </c>
      <c r="B270" s="551" t="s">
        <v>103</v>
      </c>
      <c r="C270" s="6">
        <v>26</v>
      </c>
    </row>
    <row r="271" spans="1:16">
      <c r="A271" s="534" t="s">
        <v>39</v>
      </c>
      <c r="B271" s="554" t="s">
        <v>104</v>
      </c>
      <c r="C271" s="6">
        <v>1.6</v>
      </c>
    </row>
    <row r="272" spans="1:16">
      <c r="A272" s="534" t="s">
        <v>39</v>
      </c>
      <c r="B272" s="555" t="s">
        <v>105</v>
      </c>
      <c r="C272" s="6">
        <v>0</v>
      </c>
    </row>
    <row r="273" spans="1:16">
      <c r="A273" s="534" t="s">
        <v>39</v>
      </c>
      <c r="B273" s="556" t="s">
        <v>101</v>
      </c>
      <c r="C273" s="6">
        <v>22</v>
      </c>
    </row>
    <row r="274" spans="1:16">
      <c r="A274" s="534" t="s">
        <v>39</v>
      </c>
      <c r="C274" s="6">
        <f>SUM(C269:C273)</f>
        <v>58.6</v>
      </c>
    </row>
    <row r="277" spans="1:16" s="2" customFormat="1">
      <c r="A277" s="534" t="s">
        <v>39</v>
      </c>
      <c r="B277" s="535" t="s">
        <v>1242</v>
      </c>
      <c r="C277" s="536" t="s">
        <v>102</v>
      </c>
      <c r="D277" s="7" t="s">
        <v>147</v>
      </c>
      <c r="E277" s="537">
        <v>0</v>
      </c>
      <c r="F277" s="412" t="s">
        <v>1243</v>
      </c>
      <c r="G277" s="538" t="s">
        <v>1244</v>
      </c>
      <c r="H277" s="539"/>
      <c r="I277" s="540"/>
      <c r="J277" s="540"/>
      <c r="K277" s="540"/>
      <c r="L277" s="540"/>
      <c r="M277" s="541"/>
      <c r="N277" s="542" t="str">
        <f t="shared" ref="N277:N321" si="7">IF( OR( ISBLANK(H277),ISBLANK(J277), ISBLANK(K277), ISBLANK(L277), ISBLANK(M277) ), "", 1.5*SQRT(   EXP(2.21*(H277-1)) + EXP(2.21*(J277-1)) + EXP(2.21*(K277-1)) + EXP(2.21*(L277-1)) + EXP(2.21*M277)   )/100*2.45 )</f>
        <v/>
      </c>
      <c r="O277" s="543" t="str">
        <f t="shared" ref="O277:O321" si="8">IF( OR( ISBLANK(I277),ISBLANK(J277), ISBLANK(K277), ISBLANK(L277), ISBLANK(M277) ), "", 1.5*SQRT(   EXP(2.21*(I277-1)) + EXP(2.21*(J277-1)) + EXP(2.21*(K277-1)) + EXP(2.21*(L277-1)) + EXP(2.21*M277)   )/100*2.45 )</f>
        <v/>
      </c>
      <c r="P277" s="544"/>
    </row>
    <row r="278" spans="1:16" s="2" customFormat="1">
      <c r="A278" s="534" t="s">
        <v>39</v>
      </c>
      <c r="B278" s="535" t="s">
        <v>1242</v>
      </c>
      <c r="C278" s="551" t="s">
        <v>103</v>
      </c>
      <c r="D278" s="7" t="s">
        <v>147</v>
      </c>
      <c r="E278" s="537">
        <v>0</v>
      </c>
      <c r="F278" s="412" t="s">
        <v>1243</v>
      </c>
      <c r="G278" s="538" t="s">
        <v>1244</v>
      </c>
      <c r="H278" s="539"/>
      <c r="I278" s="540"/>
      <c r="J278" s="540"/>
      <c r="K278" s="540"/>
      <c r="L278" s="540"/>
      <c r="M278" s="541"/>
      <c r="N278" s="542" t="str">
        <f t="shared" si="7"/>
        <v/>
      </c>
      <c r="O278" s="543" t="str">
        <f t="shared" si="8"/>
        <v/>
      </c>
      <c r="P278" s="544"/>
    </row>
    <row r="279" spans="1:16" s="2" customFormat="1">
      <c r="A279" s="534" t="s">
        <v>39</v>
      </c>
      <c r="B279" s="535" t="s">
        <v>1242</v>
      </c>
      <c r="C279" s="554" t="s">
        <v>104</v>
      </c>
      <c r="D279" s="7" t="s">
        <v>147</v>
      </c>
      <c r="E279" s="537">
        <v>0</v>
      </c>
      <c r="F279" s="412" t="s">
        <v>1243</v>
      </c>
      <c r="G279" s="538" t="s">
        <v>1244</v>
      </c>
      <c r="H279" s="539"/>
      <c r="I279" s="540"/>
      <c r="J279" s="540"/>
      <c r="K279" s="540"/>
      <c r="L279" s="540"/>
      <c r="M279" s="541"/>
      <c r="N279" s="542" t="str">
        <f t="shared" si="7"/>
        <v/>
      </c>
      <c r="O279" s="543" t="str">
        <f t="shared" si="8"/>
        <v/>
      </c>
      <c r="P279" s="544"/>
    </row>
    <row r="280" spans="1:16" s="2" customFormat="1">
      <c r="A280" s="534" t="s">
        <v>39</v>
      </c>
      <c r="B280" s="535" t="s">
        <v>1242</v>
      </c>
      <c r="C280" s="555" t="s">
        <v>105</v>
      </c>
      <c r="D280" s="7" t="s">
        <v>147</v>
      </c>
      <c r="E280" s="537">
        <v>0</v>
      </c>
      <c r="F280" s="412" t="s">
        <v>1243</v>
      </c>
      <c r="G280" s="538" t="s">
        <v>1244</v>
      </c>
      <c r="H280" s="539"/>
      <c r="I280" s="540"/>
      <c r="J280" s="540"/>
      <c r="K280" s="540"/>
      <c r="L280" s="540"/>
      <c r="M280" s="541"/>
      <c r="N280" s="542" t="str">
        <f t="shared" si="7"/>
        <v/>
      </c>
      <c r="O280" s="543" t="str">
        <f t="shared" si="8"/>
        <v/>
      </c>
      <c r="P280" s="544"/>
    </row>
    <row r="281" spans="1:16" s="2" customFormat="1">
      <c r="A281" s="534" t="s">
        <v>39</v>
      </c>
      <c r="B281" s="535" t="s">
        <v>1242</v>
      </c>
      <c r="C281" s="556" t="s">
        <v>101</v>
      </c>
      <c r="D281" s="7" t="s">
        <v>147</v>
      </c>
      <c r="E281" s="537">
        <v>0</v>
      </c>
      <c r="F281" s="412" t="s">
        <v>1243</v>
      </c>
      <c r="G281" s="538" t="s">
        <v>1244</v>
      </c>
      <c r="H281" s="539"/>
      <c r="I281" s="540"/>
      <c r="J281" s="540"/>
      <c r="K281" s="540"/>
      <c r="L281" s="540"/>
      <c r="M281" s="541"/>
      <c r="N281" s="542" t="str">
        <f t="shared" si="7"/>
        <v/>
      </c>
      <c r="O281" s="543" t="str">
        <f t="shared" si="8"/>
        <v/>
      </c>
      <c r="P281" s="544"/>
    </row>
    <row r="282" spans="1:16" s="2" customFormat="1">
      <c r="A282" s="534" t="s">
        <v>39</v>
      </c>
      <c r="B282" s="535" t="s">
        <v>1245</v>
      </c>
      <c r="C282" s="536" t="s">
        <v>102</v>
      </c>
      <c r="D282" s="7" t="s">
        <v>147</v>
      </c>
      <c r="E282" s="537">
        <v>0</v>
      </c>
      <c r="F282" s="412" t="s">
        <v>1243</v>
      </c>
      <c r="G282" s="538" t="s">
        <v>1244</v>
      </c>
      <c r="H282" s="539"/>
      <c r="I282" s="540"/>
      <c r="J282" s="540"/>
      <c r="K282" s="540"/>
      <c r="L282" s="540"/>
      <c r="M282" s="541"/>
      <c r="N282" s="542" t="str">
        <f t="shared" si="7"/>
        <v/>
      </c>
      <c r="O282" s="543" t="str">
        <f t="shared" si="8"/>
        <v/>
      </c>
      <c r="P282" s="544"/>
    </row>
    <row r="283" spans="1:16" s="2" customFormat="1">
      <c r="A283" s="534" t="s">
        <v>39</v>
      </c>
      <c r="B283" s="535" t="s">
        <v>1245</v>
      </c>
      <c r="C283" s="551" t="s">
        <v>103</v>
      </c>
      <c r="D283" s="7" t="s">
        <v>147</v>
      </c>
      <c r="E283" s="545">
        <v>0.03</v>
      </c>
      <c r="F283" s="412" t="s">
        <v>1243</v>
      </c>
      <c r="G283" s="538" t="s">
        <v>1244</v>
      </c>
      <c r="H283" s="546">
        <v>2</v>
      </c>
      <c r="I283" s="1">
        <v>2</v>
      </c>
      <c r="J283" s="1">
        <v>2</v>
      </c>
      <c r="K283" s="1">
        <v>1</v>
      </c>
      <c r="L283" s="1">
        <v>1</v>
      </c>
      <c r="M283" s="547">
        <v>2</v>
      </c>
      <c r="N283" s="549">
        <f t="shared" si="7"/>
        <v>0.37356464144298934</v>
      </c>
      <c r="O283" s="550">
        <f t="shared" si="8"/>
        <v>0.37356464144298934</v>
      </c>
      <c r="P283" s="544"/>
    </row>
    <row r="284" spans="1:16" s="2" customFormat="1">
      <c r="A284" s="534" t="s">
        <v>39</v>
      </c>
      <c r="B284" s="535" t="s">
        <v>1245</v>
      </c>
      <c r="C284" s="554" t="s">
        <v>104</v>
      </c>
      <c r="D284" s="7" t="s">
        <v>147</v>
      </c>
      <c r="E284" s="537">
        <v>0</v>
      </c>
      <c r="F284" s="412" t="s">
        <v>1243</v>
      </c>
      <c r="G284" s="538" t="s">
        <v>1244</v>
      </c>
      <c r="H284" s="539"/>
      <c r="I284" s="540"/>
      <c r="J284" s="540"/>
      <c r="K284" s="540"/>
      <c r="L284" s="540"/>
      <c r="M284" s="541"/>
      <c r="N284" s="542" t="str">
        <f t="shared" si="7"/>
        <v/>
      </c>
      <c r="O284" s="543" t="str">
        <f t="shared" si="8"/>
        <v/>
      </c>
      <c r="P284" s="544"/>
    </row>
    <row r="285" spans="1:16" s="2" customFormat="1">
      <c r="A285" s="534" t="s">
        <v>39</v>
      </c>
      <c r="B285" s="535" t="s">
        <v>1245</v>
      </c>
      <c r="C285" s="555" t="s">
        <v>105</v>
      </c>
      <c r="D285" s="7" t="s">
        <v>147</v>
      </c>
      <c r="E285" s="537">
        <v>0</v>
      </c>
      <c r="F285" s="412" t="s">
        <v>1243</v>
      </c>
      <c r="G285" s="538" t="s">
        <v>1244</v>
      </c>
      <c r="H285" s="539"/>
      <c r="I285" s="540"/>
      <c r="J285" s="540"/>
      <c r="K285" s="540"/>
      <c r="L285" s="540"/>
      <c r="M285" s="541"/>
      <c r="N285" s="542" t="str">
        <f t="shared" si="7"/>
        <v/>
      </c>
      <c r="O285" s="543" t="str">
        <f t="shared" si="8"/>
        <v/>
      </c>
      <c r="P285" s="544"/>
    </row>
    <row r="286" spans="1:16" s="2" customFormat="1">
      <c r="A286" s="534" t="s">
        <v>39</v>
      </c>
      <c r="B286" s="535" t="s">
        <v>1245</v>
      </c>
      <c r="C286" s="556" t="s">
        <v>101</v>
      </c>
      <c r="D286" s="7" t="s">
        <v>147</v>
      </c>
      <c r="E286" s="537">
        <v>0</v>
      </c>
      <c r="F286" s="412" t="s">
        <v>1243</v>
      </c>
      <c r="G286" s="538" t="s">
        <v>1244</v>
      </c>
      <c r="H286" s="539"/>
      <c r="I286" s="540"/>
      <c r="J286" s="540"/>
      <c r="K286" s="540"/>
      <c r="L286" s="540"/>
      <c r="M286" s="541"/>
      <c r="N286" s="542" t="str">
        <f t="shared" si="7"/>
        <v/>
      </c>
      <c r="O286" s="543" t="str">
        <f t="shared" si="8"/>
        <v/>
      </c>
      <c r="P286" s="544"/>
    </row>
    <row r="287" spans="1:16" s="2" customFormat="1">
      <c r="A287" s="534" t="s">
        <v>39</v>
      </c>
      <c r="B287" s="535" t="s">
        <v>1246</v>
      </c>
      <c r="C287" s="536" t="s">
        <v>102</v>
      </c>
      <c r="D287" s="7" t="s">
        <v>147</v>
      </c>
      <c r="E287" s="537">
        <v>0</v>
      </c>
      <c r="F287" s="412" t="s">
        <v>1243</v>
      </c>
      <c r="G287" s="538" t="s">
        <v>1244</v>
      </c>
      <c r="H287" s="539"/>
      <c r="I287" s="540"/>
      <c r="J287" s="540"/>
      <c r="K287" s="540"/>
      <c r="L287" s="540"/>
      <c r="M287" s="541"/>
      <c r="N287" s="542" t="str">
        <f t="shared" si="7"/>
        <v/>
      </c>
      <c r="O287" s="543" t="str">
        <f t="shared" si="8"/>
        <v/>
      </c>
      <c r="P287" s="544"/>
    </row>
    <row r="288" spans="1:16" s="2" customFormat="1">
      <c r="A288" s="534" t="s">
        <v>39</v>
      </c>
      <c r="B288" s="535" t="s">
        <v>1246</v>
      </c>
      <c r="C288" s="551" t="s">
        <v>103</v>
      </c>
      <c r="D288" s="7" t="s">
        <v>147</v>
      </c>
      <c r="E288" s="537">
        <v>0</v>
      </c>
      <c r="F288" s="412" t="s">
        <v>1243</v>
      </c>
      <c r="G288" s="538" t="s">
        <v>1244</v>
      </c>
      <c r="H288" s="539"/>
      <c r="I288" s="540"/>
      <c r="J288" s="540"/>
      <c r="K288" s="540"/>
      <c r="L288" s="540"/>
      <c r="M288" s="541"/>
      <c r="N288" s="542" t="str">
        <f t="shared" si="7"/>
        <v/>
      </c>
      <c r="O288" s="543" t="str">
        <f t="shared" si="8"/>
        <v/>
      </c>
      <c r="P288" s="552"/>
    </row>
    <row r="289" spans="1:16" s="2" customFormat="1">
      <c r="A289" s="534" t="s">
        <v>39</v>
      </c>
      <c r="B289" s="535" t="s">
        <v>1246</v>
      </c>
      <c r="C289" s="554" t="s">
        <v>104</v>
      </c>
      <c r="D289" s="7" t="s">
        <v>147</v>
      </c>
      <c r="E289" s="537">
        <v>0</v>
      </c>
      <c r="F289" s="412" t="s">
        <v>1243</v>
      </c>
      <c r="G289" s="538" t="s">
        <v>1244</v>
      </c>
      <c r="H289" s="539"/>
      <c r="I289" s="540"/>
      <c r="J289" s="540"/>
      <c r="K289" s="540"/>
      <c r="L289" s="540"/>
      <c r="M289" s="541"/>
      <c r="N289" s="542" t="str">
        <f t="shared" si="7"/>
        <v/>
      </c>
      <c r="O289" s="543" t="str">
        <f t="shared" si="8"/>
        <v/>
      </c>
      <c r="P289" s="544"/>
    </row>
    <row r="290" spans="1:16" s="2" customFormat="1">
      <c r="A290" s="534" t="s">
        <v>39</v>
      </c>
      <c r="B290" s="535" t="s">
        <v>1246</v>
      </c>
      <c r="C290" s="555" t="s">
        <v>105</v>
      </c>
      <c r="D290" s="7" t="s">
        <v>147</v>
      </c>
      <c r="E290" s="537">
        <v>0</v>
      </c>
      <c r="F290" s="412" t="s">
        <v>1243</v>
      </c>
      <c r="G290" s="538" t="s">
        <v>1244</v>
      </c>
      <c r="H290" s="539"/>
      <c r="I290" s="540"/>
      <c r="J290" s="540"/>
      <c r="K290" s="540"/>
      <c r="L290" s="540"/>
      <c r="M290" s="541"/>
      <c r="N290" s="542" t="str">
        <f t="shared" si="7"/>
        <v/>
      </c>
      <c r="O290" s="543" t="str">
        <f t="shared" si="8"/>
        <v/>
      </c>
      <c r="P290" s="544"/>
    </row>
    <row r="291" spans="1:16" s="2" customFormat="1">
      <c r="A291" s="534" t="s">
        <v>39</v>
      </c>
      <c r="B291" s="535" t="s">
        <v>1246</v>
      </c>
      <c r="C291" s="556" t="s">
        <v>101</v>
      </c>
      <c r="D291" s="7" t="s">
        <v>147</v>
      </c>
      <c r="E291" s="537">
        <v>0</v>
      </c>
      <c r="F291" s="412" t="s">
        <v>1243</v>
      </c>
      <c r="G291" s="538" t="s">
        <v>1244</v>
      </c>
      <c r="H291" s="539"/>
      <c r="I291" s="540"/>
      <c r="J291" s="540"/>
      <c r="K291" s="540"/>
      <c r="L291" s="540"/>
      <c r="M291" s="541"/>
      <c r="N291" s="542" t="str">
        <f t="shared" si="7"/>
        <v/>
      </c>
      <c r="O291" s="543" t="str">
        <f t="shared" si="8"/>
        <v/>
      </c>
      <c r="P291" s="544"/>
    </row>
    <row r="292" spans="1:16" s="2" customFormat="1">
      <c r="A292" s="553" t="s">
        <v>39</v>
      </c>
      <c r="B292" s="535" t="s">
        <v>1247</v>
      </c>
      <c r="C292" s="536" t="s">
        <v>102</v>
      </c>
      <c r="D292" s="7" t="s">
        <v>147</v>
      </c>
      <c r="E292" s="537">
        <v>0</v>
      </c>
      <c r="F292" s="412" t="s">
        <v>1243</v>
      </c>
      <c r="G292" s="538" t="s">
        <v>1244</v>
      </c>
      <c r="H292" s="539"/>
      <c r="I292" s="540"/>
      <c r="J292" s="540"/>
      <c r="K292" s="540"/>
      <c r="L292" s="540"/>
      <c r="M292" s="541"/>
      <c r="N292" s="542" t="str">
        <f t="shared" si="7"/>
        <v/>
      </c>
      <c r="O292" s="543" t="str">
        <f t="shared" si="8"/>
        <v/>
      </c>
      <c r="P292" s="544"/>
    </row>
    <row r="293" spans="1:16" s="2" customFormat="1">
      <c r="A293" s="534" t="s">
        <v>39</v>
      </c>
      <c r="B293" s="535" t="s">
        <v>1247</v>
      </c>
      <c r="C293" s="551" t="s">
        <v>103</v>
      </c>
      <c r="D293" s="7" t="s">
        <v>147</v>
      </c>
      <c r="E293" s="548">
        <v>0.28299999999999997</v>
      </c>
      <c r="F293" s="412" t="s">
        <v>1243</v>
      </c>
      <c r="G293" s="538" t="s">
        <v>1244</v>
      </c>
      <c r="H293" s="546">
        <v>2</v>
      </c>
      <c r="I293" s="1">
        <v>2</v>
      </c>
      <c r="J293" s="1">
        <v>2</v>
      </c>
      <c r="K293" s="1">
        <v>1</v>
      </c>
      <c r="L293" s="1">
        <v>1</v>
      </c>
      <c r="M293" s="547">
        <v>2</v>
      </c>
      <c r="N293" s="549">
        <f t="shared" si="7"/>
        <v>0.37356464144298934</v>
      </c>
      <c r="O293" s="550">
        <f t="shared" si="8"/>
        <v>0.37356464144298934</v>
      </c>
      <c r="P293" s="544"/>
    </row>
    <row r="294" spans="1:16" s="2" customFormat="1">
      <c r="A294" s="534" t="s">
        <v>39</v>
      </c>
      <c r="B294" s="535" t="s">
        <v>1247</v>
      </c>
      <c r="C294" s="554" t="s">
        <v>104</v>
      </c>
      <c r="D294" s="7" t="s">
        <v>147</v>
      </c>
      <c r="E294" s="537">
        <v>0</v>
      </c>
      <c r="F294" s="412" t="s">
        <v>1243</v>
      </c>
      <c r="G294" s="538" t="s">
        <v>1244</v>
      </c>
      <c r="H294" s="539"/>
      <c r="I294" s="540"/>
      <c r="J294" s="540"/>
      <c r="K294" s="540"/>
      <c r="L294" s="540"/>
      <c r="M294" s="541"/>
      <c r="N294" s="542" t="str">
        <f t="shared" si="7"/>
        <v/>
      </c>
      <c r="O294" s="543" t="str">
        <f t="shared" si="8"/>
        <v/>
      </c>
      <c r="P294" s="544"/>
    </row>
    <row r="295" spans="1:16" s="2" customFormat="1">
      <c r="A295" s="534" t="s">
        <v>39</v>
      </c>
      <c r="B295" s="535" t="s">
        <v>1247</v>
      </c>
      <c r="C295" s="555" t="s">
        <v>105</v>
      </c>
      <c r="D295" s="7" t="s">
        <v>147</v>
      </c>
      <c r="E295" s="537">
        <v>0</v>
      </c>
      <c r="F295" s="412" t="s">
        <v>1243</v>
      </c>
      <c r="G295" s="538" t="s">
        <v>1244</v>
      </c>
      <c r="H295" s="539"/>
      <c r="I295" s="540"/>
      <c r="J295" s="540"/>
      <c r="K295" s="540"/>
      <c r="L295" s="540"/>
      <c r="M295" s="541"/>
      <c r="N295" s="542" t="str">
        <f t="shared" si="7"/>
        <v/>
      </c>
      <c r="O295" s="543" t="str">
        <f t="shared" si="8"/>
        <v/>
      </c>
      <c r="P295" s="544"/>
    </row>
    <row r="296" spans="1:16" s="2" customFormat="1">
      <c r="A296" s="534" t="s">
        <v>39</v>
      </c>
      <c r="B296" s="535" t="s">
        <v>1247</v>
      </c>
      <c r="C296" s="556" t="s">
        <v>101</v>
      </c>
      <c r="D296" s="7" t="s">
        <v>147</v>
      </c>
      <c r="E296" s="537">
        <v>0</v>
      </c>
      <c r="F296" s="412" t="s">
        <v>1243</v>
      </c>
      <c r="G296" s="538" t="s">
        <v>1244</v>
      </c>
      <c r="H296" s="539"/>
      <c r="I296" s="540"/>
      <c r="J296" s="540"/>
      <c r="K296" s="540"/>
      <c r="L296" s="540"/>
      <c r="M296" s="541"/>
      <c r="N296" s="542" t="str">
        <f t="shared" si="7"/>
        <v/>
      </c>
      <c r="O296" s="543" t="str">
        <f t="shared" si="8"/>
        <v/>
      </c>
      <c r="P296" s="544"/>
    </row>
    <row r="297" spans="1:16" s="2" customFormat="1">
      <c r="A297" s="534" t="s">
        <v>39</v>
      </c>
      <c r="B297" s="535" t="s">
        <v>1248</v>
      </c>
      <c r="C297" s="536" t="s">
        <v>102</v>
      </c>
      <c r="D297" s="7" t="s">
        <v>147</v>
      </c>
      <c r="E297" s="537">
        <v>0</v>
      </c>
      <c r="F297" s="412" t="s">
        <v>1243</v>
      </c>
      <c r="G297" s="538" t="s">
        <v>1244</v>
      </c>
      <c r="H297" s="539"/>
      <c r="I297" s="540"/>
      <c r="J297" s="540"/>
      <c r="K297" s="540"/>
      <c r="L297" s="540"/>
      <c r="M297" s="541"/>
      <c r="N297" s="542" t="str">
        <f t="shared" si="7"/>
        <v/>
      </c>
      <c r="O297" s="543" t="str">
        <f t="shared" si="8"/>
        <v/>
      </c>
      <c r="P297" s="544"/>
    </row>
    <row r="298" spans="1:16" s="2" customFormat="1">
      <c r="A298" s="534" t="s">
        <v>39</v>
      </c>
      <c r="B298" s="535" t="s">
        <v>1248</v>
      </c>
      <c r="C298" s="551" t="s">
        <v>103</v>
      </c>
      <c r="D298" s="7" t="s">
        <v>147</v>
      </c>
      <c r="E298" s="548">
        <v>0.64300000000000002</v>
      </c>
      <c r="F298" s="412" t="s">
        <v>1243</v>
      </c>
      <c r="G298" s="538" t="s">
        <v>1244</v>
      </c>
      <c r="H298" s="546">
        <v>2</v>
      </c>
      <c r="I298" s="1">
        <v>2</v>
      </c>
      <c r="J298" s="1">
        <v>2</v>
      </c>
      <c r="K298" s="1">
        <v>1</v>
      </c>
      <c r="L298" s="1">
        <v>1</v>
      </c>
      <c r="M298" s="547">
        <v>2</v>
      </c>
      <c r="N298" s="549">
        <f t="shared" si="7"/>
        <v>0.37356464144298934</v>
      </c>
      <c r="O298" s="550">
        <f t="shared" si="8"/>
        <v>0.37356464144298934</v>
      </c>
      <c r="P298" s="544"/>
    </row>
    <row r="299" spans="1:16" s="2" customFormat="1">
      <c r="A299" s="534" t="s">
        <v>39</v>
      </c>
      <c r="B299" s="535" t="s">
        <v>1248</v>
      </c>
      <c r="C299" s="554" t="s">
        <v>104</v>
      </c>
      <c r="D299" s="7" t="s">
        <v>147</v>
      </c>
      <c r="E299" s="537">
        <v>0</v>
      </c>
      <c r="F299" s="412" t="s">
        <v>1243</v>
      </c>
      <c r="G299" s="538" t="s">
        <v>1244</v>
      </c>
      <c r="H299" s="539"/>
      <c r="I299" s="540"/>
      <c r="J299" s="540"/>
      <c r="K299" s="540"/>
      <c r="L299" s="540"/>
      <c r="M299" s="541"/>
      <c r="N299" s="542" t="str">
        <f t="shared" si="7"/>
        <v/>
      </c>
      <c r="O299" s="543" t="str">
        <f t="shared" si="8"/>
        <v/>
      </c>
      <c r="P299" s="544"/>
    </row>
    <row r="300" spans="1:16" s="2" customFormat="1">
      <c r="A300" s="534" t="s">
        <v>39</v>
      </c>
      <c r="B300" s="535" t="s">
        <v>1248</v>
      </c>
      <c r="C300" s="555" t="s">
        <v>105</v>
      </c>
      <c r="D300" s="7" t="s">
        <v>147</v>
      </c>
      <c r="E300" s="537">
        <v>0</v>
      </c>
      <c r="F300" s="412" t="s">
        <v>1243</v>
      </c>
      <c r="G300" s="538" t="s">
        <v>1244</v>
      </c>
      <c r="H300" s="539"/>
      <c r="I300" s="540"/>
      <c r="J300" s="540"/>
      <c r="K300" s="540"/>
      <c r="L300" s="540"/>
      <c r="M300" s="541"/>
      <c r="N300" s="542" t="str">
        <f t="shared" si="7"/>
        <v/>
      </c>
      <c r="O300" s="543" t="str">
        <f t="shared" si="8"/>
        <v/>
      </c>
      <c r="P300" s="544"/>
    </row>
    <row r="301" spans="1:16" s="2" customFormat="1">
      <c r="A301" s="534" t="s">
        <v>39</v>
      </c>
      <c r="B301" s="535" t="s">
        <v>1248</v>
      </c>
      <c r="C301" s="556" t="s">
        <v>101</v>
      </c>
      <c r="D301" s="7" t="s">
        <v>147</v>
      </c>
      <c r="E301" s="537">
        <v>0</v>
      </c>
      <c r="F301" s="412" t="s">
        <v>1243</v>
      </c>
      <c r="G301" s="538" t="s">
        <v>1244</v>
      </c>
      <c r="H301" s="539"/>
      <c r="I301" s="540"/>
      <c r="J301" s="540"/>
      <c r="K301" s="540"/>
      <c r="L301" s="540"/>
      <c r="M301" s="541"/>
      <c r="N301" s="542" t="str">
        <f t="shared" si="7"/>
        <v/>
      </c>
      <c r="O301" s="543" t="str">
        <f t="shared" si="8"/>
        <v/>
      </c>
      <c r="P301" s="544"/>
    </row>
    <row r="302" spans="1:16" s="2" customFormat="1">
      <c r="A302" s="553" t="s">
        <v>39</v>
      </c>
      <c r="B302" s="535" t="s">
        <v>1155</v>
      </c>
      <c r="C302" s="536" t="s">
        <v>102</v>
      </c>
      <c r="D302" s="7" t="s">
        <v>147</v>
      </c>
      <c r="E302" s="537">
        <v>0</v>
      </c>
      <c r="F302" s="412" t="s">
        <v>1243</v>
      </c>
      <c r="G302" s="538" t="s">
        <v>1244</v>
      </c>
      <c r="H302" s="539"/>
      <c r="I302" s="540"/>
      <c r="J302" s="540"/>
      <c r="K302" s="540"/>
      <c r="L302" s="540"/>
      <c r="M302" s="541"/>
      <c r="N302" s="542" t="str">
        <f t="shared" si="7"/>
        <v/>
      </c>
      <c r="O302" s="543" t="str">
        <f t="shared" si="8"/>
        <v/>
      </c>
      <c r="P302" s="544"/>
    </row>
    <row r="303" spans="1:16" s="2" customFormat="1">
      <c r="A303" s="534" t="s">
        <v>39</v>
      </c>
      <c r="B303" s="535" t="s">
        <v>1155</v>
      </c>
      <c r="C303" s="551" t="s">
        <v>103</v>
      </c>
      <c r="D303" s="7" t="s">
        <v>147</v>
      </c>
      <c r="E303" s="545">
        <v>4.3999999999999997E-2</v>
      </c>
      <c r="F303" s="412" t="s">
        <v>1243</v>
      </c>
      <c r="G303" s="538" t="s">
        <v>1244</v>
      </c>
      <c r="H303" s="546">
        <v>2</v>
      </c>
      <c r="I303" s="1">
        <v>2</v>
      </c>
      <c r="J303" s="1">
        <v>2</v>
      </c>
      <c r="K303" s="1">
        <v>1</v>
      </c>
      <c r="L303" s="1">
        <v>1</v>
      </c>
      <c r="M303" s="547">
        <v>2</v>
      </c>
      <c r="N303" s="549">
        <f t="shared" si="7"/>
        <v>0.37356464144298934</v>
      </c>
      <c r="O303" s="550">
        <f t="shared" si="8"/>
        <v>0.37356464144298934</v>
      </c>
      <c r="P303" s="544"/>
    </row>
    <row r="304" spans="1:16" s="2" customFormat="1">
      <c r="A304" s="534" t="s">
        <v>39</v>
      </c>
      <c r="B304" s="535" t="s">
        <v>1155</v>
      </c>
      <c r="C304" s="554" t="s">
        <v>104</v>
      </c>
      <c r="D304" s="7" t="s">
        <v>147</v>
      </c>
      <c r="E304" s="537">
        <v>0</v>
      </c>
      <c r="F304" s="412" t="s">
        <v>1243</v>
      </c>
      <c r="G304" s="538" t="s">
        <v>1244</v>
      </c>
      <c r="H304" s="539"/>
      <c r="I304" s="540"/>
      <c r="J304" s="540"/>
      <c r="K304" s="540"/>
      <c r="L304" s="540"/>
      <c r="M304" s="541"/>
      <c r="N304" s="542" t="str">
        <f t="shared" si="7"/>
        <v/>
      </c>
      <c r="O304" s="543" t="str">
        <f t="shared" si="8"/>
        <v/>
      </c>
      <c r="P304" s="544"/>
    </row>
    <row r="305" spans="1:16" s="2" customFormat="1">
      <c r="A305" s="534" t="s">
        <v>39</v>
      </c>
      <c r="B305" s="535" t="s">
        <v>1155</v>
      </c>
      <c r="C305" s="555" t="s">
        <v>105</v>
      </c>
      <c r="D305" s="7" t="s">
        <v>147</v>
      </c>
      <c r="E305" s="537">
        <v>0</v>
      </c>
      <c r="F305" s="412" t="s">
        <v>1243</v>
      </c>
      <c r="G305" s="538" t="s">
        <v>1244</v>
      </c>
      <c r="H305" s="539"/>
      <c r="I305" s="540"/>
      <c r="J305" s="540"/>
      <c r="K305" s="540"/>
      <c r="L305" s="540"/>
      <c r="M305" s="541"/>
      <c r="N305" s="542" t="str">
        <f t="shared" si="7"/>
        <v/>
      </c>
      <c r="O305" s="543" t="str">
        <f t="shared" si="8"/>
        <v/>
      </c>
      <c r="P305" s="544"/>
    </row>
    <row r="306" spans="1:16" s="2" customFormat="1">
      <c r="A306" s="534" t="s">
        <v>39</v>
      </c>
      <c r="B306" s="535" t="s">
        <v>1155</v>
      </c>
      <c r="C306" s="556" t="s">
        <v>101</v>
      </c>
      <c r="D306" s="7" t="s">
        <v>147</v>
      </c>
      <c r="E306" s="545">
        <v>0.5</v>
      </c>
      <c r="F306" s="412" t="s">
        <v>1243</v>
      </c>
      <c r="G306" s="538" t="s">
        <v>1244</v>
      </c>
      <c r="H306" s="546">
        <v>2</v>
      </c>
      <c r="I306" s="1">
        <v>2</v>
      </c>
      <c r="J306" s="1">
        <v>2</v>
      </c>
      <c r="K306" s="1">
        <v>1</v>
      </c>
      <c r="L306" s="1">
        <v>1</v>
      </c>
      <c r="M306" s="547">
        <v>3</v>
      </c>
      <c r="N306" s="549">
        <f t="shared" si="7"/>
        <v>1.0248662490928169</v>
      </c>
      <c r="O306" s="550">
        <f t="shared" si="8"/>
        <v>1.0248662490928169</v>
      </c>
      <c r="P306" s="544"/>
    </row>
    <row r="307" spans="1:16" s="2" customFormat="1">
      <c r="A307" s="534" t="s">
        <v>39</v>
      </c>
      <c r="B307" s="535" t="s">
        <v>1249</v>
      </c>
      <c r="C307" s="536" t="s">
        <v>102</v>
      </c>
      <c r="D307" s="7" t="s">
        <v>147</v>
      </c>
      <c r="E307" s="537">
        <v>0</v>
      </c>
      <c r="F307" s="412" t="s">
        <v>1243</v>
      </c>
      <c r="G307" s="538" t="s">
        <v>1244</v>
      </c>
      <c r="H307" s="539"/>
      <c r="I307" s="540"/>
      <c r="J307" s="540"/>
      <c r="K307" s="540"/>
      <c r="L307" s="540"/>
      <c r="M307" s="541"/>
      <c r="N307" s="542" t="str">
        <f t="shared" si="7"/>
        <v/>
      </c>
      <c r="O307" s="543" t="str">
        <f t="shared" si="8"/>
        <v/>
      </c>
      <c r="P307" s="544"/>
    </row>
    <row r="308" spans="1:16" s="2" customFormat="1">
      <c r="A308" s="534" t="s">
        <v>39</v>
      </c>
      <c r="B308" s="535" t="s">
        <v>1249</v>
      </c>
      <c r="C308" s="551" t="s">
        <v>103</v>
      </c>
      <c r="D308" s="7" t="s">
        <v>147</v>
      </c>
      <c r="E308" s="537">
        <v>0</v>
      </c>
      <c r="F308" s="412" t="s">
        <v>1243</v>
      </c>
      <c r="G308" s="538" t="s">
        <v>1244</v>
      </c>
      <c r="H308" s="539"/>
      <c r="I308" s="540"/>
      <c r="J308" s="540"/>
      <c r="K308" s="540"/>
      <c r="L308" s="540"/>
      <c r="M308" s="541"/>
      <c r="N308" s="542" t="str">
        <f t="shared" si="7"/>
        <v/>
      </c>
      <c r="O308" s="543" t="str">
        <f t="shared" si="8"/>
        <v/>
      </c>
      <c r="P308" s="544"/>
    </row>
    <row r="309" spans="1:16" s="2" customFormat="1">
      <c r="A309" s="534" t="s">
        <v>39</v>
      </c>
      <c r="B309" s="535" t="s">
        <v>1249</v>
      </c>
      <c r="C309" s="554" t="s">
        <v>104</v>
      </c>
      <c r="D309" s="7" t="s">
        <v>147</v>
      </c>
      <c r="E309" s="537">
        <v>0</v>
      </c>
      <c r="F309" s="412" t="s">
        <v>1243</v>
      </c>
      <c r="G309" s="538" t="s">
        <v>1244</v>
      </c>
      <c r="H309" s="539"/>
      <c r="I309" s="540"/>
      <c r="J309" s="540"/>
      <c r="K309" s="540"/>
      <c r="L309" s="540"/>
      <c r="M309" s="541"/>
      <c r="N309" s="542" t="str">
        <f t="shared" si="7"/>
        <v/>
      </c>
      <c r="O309" s="543" t="str">
        <f t="shared" si="8"/>
        <v/>
      </c>
      <c r="P309" s="544"/>
    </row>
    <row r="310" spans="1:16" s="2" customFormat="1">
      <c r="A310" s="534" t="s">
        <v>39</v>
      </c>
      <c r="B310" s="535" t="s">
        <v>1249</v>
      </c>
      <c r="C310" s="555" t="s">
        <v>105</v>
      </c>
      <c r="D310" s="7" t="s">
        <v>147</v>
      </c>
      <c r="E310" s="537">
        <v>0</v>
      </c>
      <c r="F310" s="412" t="s">
        <v>1243</v>
      </c>
      <c r="G310" s="538" t="s">
        <v>1244</v>
      </c>
      <c r="H310" s="539"/>
      <c r="I310" s="540"/>
      <c r="J310" s="540"/>
      <c r="K310" s="540"/>
      <c r="L310" s="540"/>
      <c r="M310" s="541"/>
      <c r="N310" s="542" t="str">
        <f t="shared" si="7"/>
        <v/>
      </c>
      <c r="O310" s="543" t="str">
        <f t="shared" si="8"/>
        <v/>
      </c>
      <c r="P310" s="544"/>
    </row>
    <row r="311" spans="1:16" s="2" customFormat="1">
      <c r="A311" s="534" t="s">
        <v>39</v>
      </c>
      <c r="B311" s="535" t="s">
        <v>1249</v>
      </c>
      <c r="C311" s="556" t="s">
        <v>101</v>
      </c>
      <c r="D311" s="7" t="s">
        <v>147</v>
      </c>
      <c r="E311" s="537">
        <v>0</v>
      </c>
      <c r="F311" s="412" t="s">
        <v>1243</v>
      </c>
      <c r="G311" s="538" t="s">
        <v>1244</v>
      </c>
      <c r="H311" s="539"/>
      <c r="I311" s="540"/>
      <c r="J311" s="540"/>
      <c r="K311" s="540"/>
      <c r="L311" s="540"/>
      <c r="M311" s="541"/>
      <c r="N311" s="542" t="str">
        <f t="shared" si="7"/>
        <v/>
      </c>
      <c r="O311" s="543" t="str">
        <f t="shared" si="8"/>
        <v/>
      </c>
      <c r="P311" s="544"/>
    </row>
    <row r="312" spans="1:16" s="2" customFormat="1">
      <c r="A312" s="553" t="s">
        <v>39</v>
      </c>
      <c r="B312" s="535" t="s">
        <v>1250</v>
      </c>
      <c r="C312" s="536" t="s">
        <v>102</v>
      </c>
      <c r="D312" s="7" t="s">
        <v>147</v>
      </c>
      <c r="E312" s="545">
        <v>1</v>
      </c>
      <c r="F312" s="412" t="s">
        <v>1243</v>
      </c>
      <c r="G312" s="538" t="s">
        <v>1244</v>
      </c>
      <c r="H312" s="546">
        <v>2</v>
      </c>
      <c r="I312" s="1">
        <v>2</v>
      </c>
      <c r="J312" s="1">
        <v>2</v>
      </c>
      <c r="K312" s="1">
        <v>1</v>
      </c>
      <c r="L312" s="1">
        <v>1</v>
      </c>
      <c r="M312" s="547">
        <v>2</v>
      </c>
      <c r="N312" s="542">
        <f t="shared" si="7"/>
        <v>0.37356464144298934</v>
      </c>
      <c r="O312" s="543">
        <f t="shared" si="8"/>
        <v>0.37356464144298934</v>
      </c>
      <c r="P312" s="544"/>
    </row>
    <row r="313" spans="1:16" s="2" customFormat="1">
      <c r="A313" s="534" t="s">
        <v>39</v>
      </c>
      <c r="B313" s="535" t="s">
        <v>1250</v>
      </c>
      <c r="C313" s="551" t="s">
        <v>103</v>
      </c>
      <c r="D313" s="7" t="s">
        <v>147</v>
      </c>
      <c r="E313" s="537">
        <v>0</v>
      </c>
      <c r="F313" s="412" t="s">
        <v>1243</v>
      </c>
      <c r="G313" s="538" t="s">
        <v>1244</v>
      </c>
      <c r="H313" s="539"/>
      <c r="I313" s="540"/>
      <c r="J313" s="540"/>
      <c r="K313" s="540"/>
      <c r="L313" s="540"/>
      <c r="M313" s="541"/>
      <c r="N313" s="542" t="str">
        <f t="shared" si="7"/>
        <v/>
      </c>
      <c r="O313" s="543" t="str">
        <f t="shared" si="8"/>
        <v/>
      </c>
      <c r="P313" s="544"/>
    </row>
    <row r="314" spans="1:16" s="2" customFormat="1">
      <c r="A314" s="534" t="s">
        <v>39</v>
      </c>
      <c r="B314" s="535" t="s">
        <v>1250</v>
      </c>
      <c r="C314" s="554" t="s">
        <v>104</v>
      </c>
      <c r="D314" s="7" t="s">
        <v>147</v>
      </c>
      <c r="E314" s="545">
        <v>1</v>
      </c>
      <c r="F314" s="412" t="s">
        <v>1243</v>
      </c>
      <c r="G314" s="538" t="s">
        <v>1244</v>
      </c>
      <c r="H314" s="546">
        <v>2</v>
      </c>
      <c r="I314" s="1">
        <v>2</v>
      </c>
      <c r="J314" s="1">
        <v>2</v>
      </c>
      <c r="K314" s="1">
        <v>1</v>
      </c>
      <c r="L314" s="1">
        <v>1</v>
      </c>
      <c r="M314" s="547">
        <v>2</v>
      </c>
      <c r="N314" s="542">
        <f t="shared" si="7"/>
        <v>0.37356464144298934</v>
      </c>
      <c r="O314" s="543">
        <f t="shared" si="8"/>
        <v>0.37356464144298934</v>
      </c>
      <c r="P314" s="544"/>
    </row>
    <row r="315" spans="1:16" s="2" customFormat="1">
      <c r="A315" s="534" t="s">
        <v>39</v>
      </c>
      <c r="B315" s="535" t="s">
        <v>1250</v>
      </c>
      <c r="C315" s="555" t="s">
        <v>105</v>
      </c>
      <c r="D315" s="7" t="s">
        <v>147</v>
      </c>
      <c r="E315" s="537">
        <v>0</v>
      </c>
      <c r="F315" s="412" t="s">
        <v>1243</v>
      </c>
      <c r="G315" s="538" t="s">
        <v>1244</v>
      </c>
      <c r="H315" s="539"/>
      <c r="I315" s="540"/>
      <c r="J315" s="540"/>
      <c r="K315" s="540"/>
      <c r="L315" s="540"/>
      <c r="M315" s="541"/>
      <c r="N315" s="542" t="str">
        <f t="shared" si="7"/>
        <v/>
      </c>
      <c r="O315" s="543" t="str">
        <f t="shared" si="8"/>
        <v/>
      </c>
      <c r="P315" s="544"/>
    </row>
    <row r="316" spans="1:16" s="2" customFormat="1">
      <c r="A316" s="534" t="s">
        <v>39</v>
      </c>
      <c r="B316" s="535" t="s">
        <v>1250</v>
      </c>
      <c r="C316" s="556" t="s">
        <v>101</v>
      </c>
      <c r="D316" s="7" t="s">
        <v>147</v>
      </c>
      <c r="E316" s="548">
        <v>0.5</v>
      </c>
      <c r="F316" s="412" t="s">
        <v>1243</v>
      </c>
      <c r="G316" s="538" t="s">
        <v>1244</v>
      </c>
      <c r="H316" s="546">
        <v>2</v>
      </c>
      <c r="I316" s="1">
        <v>2</v>
      </c>
      <c r="J316" s="1">
        <v>2</v>
      </c>
      <c r="K316" s="1">
        <v>1</v>
      </c>
      <c r="L316" s="1">
        <v>1</v>
      </c>
      <c r="M316" s="547">
        <v>3</v>
      </c>
      <c r="N316" s="542">
        <f t="shared" si="7"/>
        <v>1.0248662490928169</v>
      </c>
      <c r="O316" s="543">
        <f t="shared" si="8"/>
        <v>1.0248662490928169</v>
      </c>
      <c r="P316" s="544"/>
    </row>
    <row r="317" spans="1:16" s="2" customFormat="1">
      <c r="A317" s="534" t="s">
        <v>39</v>
      </c>
      <c r="B317" s="535" t="s">
        <v>1251</v>
      </c>
      <c r="C317" s="536" t="s">
        <v>102</v>
      </c>
      <c r="D317" s="7" t="s">
        <v>147</v>
      </c>
      <c r="E317" s="537">
        <v>0</v>
      </c>
      <c r="F317" s="412" t="s">
        <v>1243</v>
      </c>
      <c r="G317" s="538" t="s">
        <v>1244</v>
      </c>
      <c r="H317" s="539"/>
      <c r="I317" s="540"/>
      <c r="J317" s="540"/>
      <c r="K317" s="540"/>
      <c r="L317" s="540"/>
      <c r="M317" s="541"/>
      <c r="N317" s="542" t="str">
        <f t="shared" si="7"/>
        <v/>
      </c>
      <c r="O317" s="543" t="str">
        <f t="shared" si="8"/>
        <v/>
      </c>
      <c r="P317" s="544"/>
    </row>
    <row r="318" spans="1:16" s="2" customFormat="1">
      <c r="A318" s="534" t="s">
        <v>39</v>
      </c>
      <c r="B318" s="535" t="s">
        <v>1251</v>
      </c>
      <c r="C318" s="551" t="s">
        <v>103</v>
      </c>
      <c r="D318" s="7" t="s">
        <v>147</v>
      </c>
      <c r="E318" s="537">
        <v>0</v>
      </c>
      <c r="F318" s="412" t="s">
        <v>1243</v>
      </c>
      <c r="G318" s="538" t="s">
        <v>1244</v>
      </c>
      <c r="H318" s="539"/>
      <c r="I318" s="540"/>
      <c r="J318" s="540"/>
      <c r="K318" s="540"/>
      <c r="L318" s="540"/>
      <c r="M318" s="541"/>
      <c r="N318" s="542" t="str">
        <f t="shared" si="7"/>
        <v/>
      </c>
      <c r="O318" s="543" t="str">
        <f t="shared" si="8"/>
        <v/>
      </c>
      <c r="P318" s="544"/>
    </row>
    <row r="319" spans="1:16" s="2" customFormat="1">
      <c r="A319" s="534" t="s">
        <v>39</v>
      </c>
      <c r="B319" s="535" t="s">
        <v>1251</v>
      </c>
      <c r="C319" s="554" t="s">
        <v>104</v>
      </c>
      <c r="D319" s="7" t="s">
        <v>147</v>
      </c>
      <c r="E319" s="537">
        <v>0</v>
      </c>
      <c r="F319" s="412" t="s">
        <v>1243</v>
      </c>
      <c r="G319" s="538" t="s">
        <v>1244</v>
      </c>
      <c r="H319" s="539"/>
      <c r="I319" s="540"/>
      <c r="J319" s="540"/>
      <c r="K319" s="540"/>
      <c r="L319" s="540"/>
      <c r="M319" s="541"/>
      <c r="N319" s="542" t="str">
        <f t="shared" si="7"/>
        <v/>
      </c>
      <c r="O319" s="543" t="str">
        <f t="shared" si="8"/>
        <v/>
      </c>
      <c r="P319" s="544"/>
    </row>
    <row r="320" spans="1:16" s="2" customFormat="1">
      <c r="A320" s="534" t="s">
        <v>39</v>
      </c>
      <c r="B320" s="535" t="s">
        <v>1251</v>
      </c>
      <c r="C320" s="555" t="s">
        <v>105</v>
      </c>
      <c r="D320" s="7" t="s">
        <v>147</v>
      </c>
      <c r="E320" s="537">
        <v>0</v>
      </c>
      <c r="F320" s="412" t="s">
        <v>1243</v>
      </c>
      <c r="G320" s="538" t="s">
        <v>1244</v>
      </c>
      <c r="H320" s="539"/>
      <c r="I320" s="540"/>
      <c r="J320" s="540"/>
      <c r="K320" s="540"/>
      <c r="L320" s="540"/>
      <c r="M320" s="541"/>
      <c r="N320" s="542" t="str">
        <f t="shared" si="7"/>
        <v/>
      </c>
      <c r="O320" s="543" t="str">
        <f t="shared" si="8"/>
        <v/>
      </c>
      <c r="P320" s="544"/>
    </row>
    <row r="321" spans="1:16" s="560" customFormat="1">
      <c r="A321" s="557" t="s">
        <v>39</v>
      </c>
      <c r="B321" s="558" t="s">
        <v>1251</v>
      </c>
      <c r="C321" s="556" t="s">
        <v>101</v>
      </c>
      <c r="D321" s="162" t="s">
        <v>147</v>
      </c>
      <c r="E321" s="537">
        <v>0</v>
      </c>
      <c r="F321" s="412" t="s">
        <v>1243</v>
      </c>
      <c r="G321" s="77" t="s">
        <v>1244</v>
      </c>
      <c r="H321" s="539"/>
      <c r="I321" s="540"/>
      <c r="J321" s="540"/>
      <c r="K321" s="540"/>
      <c r="L321" s="540"/>
      <c r="M321" s="541"/>
      <c r="N321" s="542" t="str">
        <f t="shared" si="7"/>
        <v/>
      </c>
      <c r="O321" s="543" t="str">
        <f t="shared" si="8"/>
        <v/>
      </c>
      <c r="P321" s="559"/>
    </row>
    <row r="323" spans="1:16">
      <c r="A323" s="6" t="s">
        <v>39</v>
      </c>
      <c r="B323" s="535" t="s">
        <v>1242</v>
      </c>
      <c r="C323" s="6" t="s">
        <v>106</v>
      </c>
      <c r="D323" s="6">
        <v>0</v>
      </c>
      <c r="E323" s="561">
        <f>D323/$D$332</f>
        <v>0</v>
      </c>
      <c r="F323" s="34" t="s">
        <v>250</v>
      </c>
      <c r="G323" s="561">
        <f>E330</f>
        <v>0.36860068259385664</v>
      </c>
    </row>
    <row r="324" spans="1:16">
      <c r="A324" s="6" t="s">
        <v>39</v>
      </c>
      <c r="B324" s="535" t="s">
        <v>1245</v>
      </c>
      <c r="C324" s="6" t="s">
        <v>106</v>
      </c>
      <c r="D324" s="6">
        <f>E283*C270</f>
        <v>0.78</v>
      </c>
      <c r="E324" s="561">
        <f t="shared" ref="E324:E331" si="9">D324/$D$332</f>
        <v>1.3310580204778157E-2</v>
      </c>
      <c r="F324" s="34" t="s">
        <v>249</v>
      </c>
      <c r="G324" s="561">
        <f>E331</f>
        <v>0</v>
      </c>
    </row>
    <row r="325" spans="1:16">
      <c r="A325" s="6" t="s">
        <v>39</v>
      </c>
      <c r="B325" s="535" t="s">
        <v>1246</v>
      </c>
      <c r="C325" s="6" t="s">
        <v>106</v>
      </c>
      <c r="D325" s="6">
        <v>0</v>
      </c>
      <c r="E325" s="561">
        <f t="shared" si="9"/>
        <v>0</v>
      </c>
      <c r="F325" s="34" t="s">
        <v>216</v>
      </c>
      <c r="G325" s="561">
        <f>E328</f>
        <v>0.20723549488054607</v>
      </c>
    </row>
    <row r="326" spans="1:16">
      <c r="A326" s="6" t="s">
        <v>39</v>
      </c>
      <c r="B326" s="535" t="s">
        <v>1247</v>
      </c>
      <c r="C326" s="6" t="s">
        <v>106</v>
      </c>
      <c r="D326" s="6">
        <f>E293*C270</f>
        <v>7.3579999999999997</v>
      </c>
      <c r="E326" s="561">
        <f t="shared" si="9"/>
        <v>0.12556313993174059</v>
      </c>
      <c r="F326" s="34" t="s">
        <v>248</v>
      </c>
      <c r="G326" s="561">
        <f>E329</f>
        <v>0</v>
      </c>
    </row>
    <row r="327" spans="1:16">
      <c r="A327" s="6" t="s">
        <v>39</v>
      </c>
      <c r="B327" s="535" t="s">
        <v>1248</v>
      </c>
      <c r="C327" s="6" t="s">
        <v>106</v>
      </c>
      <c r="D327" s="6">
        <f>E298*C270</f>
        <v>16.718</v>
      </c>
      <c r="E327" s="561">
        <f t="shared" si="9"/>
        <v>0.28529010238907848</v>
      </c>
      <c r="F327" s="34" t="s">
        <v>215</v>
      </c>
      <c r="G327" s="561">
        <f>E327</f>
        <v>0.28529010238907848</v>
      </c>
    </row>
    <row r="328" spans="1:16">
      <c r="A328" s="6" t="s">
        <v>39</v>
      </c>
      <c r="B328" s="535" t="s">
        <v>1155</v>
      </c>
      <c r="C328" s="6" t="s">
        <v>106</v>
      </c>
      <c r="D328" s="6">
        <f>E303*C270+E306*C273</f>
        <v>12.144</v>
      </c>
      <c r="E328" s="561">
        <f t="shared" si="9"/>
        <v>0.20723549488054607</v>
      </c>
      <c r="F328" s="34" t="s">
        <v>214</v>
      </c>
      <c r="G328" s="6">
        <v>0</v>
      </c>
    </row>
    <row r="329" spans="1:16">
      <c r="A329" s="6" t="s">
        <v>39</v>
      </c>
      <c r="B329" s="535" t="s">
        <v>1249</v>
      </c>
      <c r="C329" s="6" t="s">
        <v>106</v>
      </c>
      <c r="D329" s="6">
        <v>0</v>
      </c>
      <c r="E329" s="561">
        <f t="shared" si="9"/>
        <v>0</v>
      </c>
      <c r="F329" s="34" t="s">
        <v>213</v>
      </c>
      <c r="G329" s="561">
        <f>E326</f>
        <v>0.12556313993174059</v>
      </c>
    </row>
    <row r="330" spans="1:16">
      <c r="A330" s="6" t="s">
        <v>39</v>
      </c>
      <c r="B330" s="535" t="s">
        <v>1250</v>
      </c>
      <c r="C330" s="6" t="s">
        <v>106</v>
      </c>
      <c r="D330" s="6">
        <f>E312*C269+E314*C271+E316*C273</f>
        <v>21.6</v>
      </c>
      <c r="E330" s="561">
        <f t="shared" si="9"/>
        <v>0.36860068259385664</v>
      </c>
      <c r="F330" s="34" t="s">
        <v>191</v>
      </c>
      <c r="G330" s="561">
        <f>E325</f>
        <v>0</v>
      </c>
    </row>
    <row r="331" spans="1:16">
      <c r="A331" s="6" t="s">
        <v>39</v>
      </c>
      <c r="B331" s="535" t="s">
        <v>1251</v>
      </c>
      <c r="C331" s="6" t="s">
        <v>106</v>
      </c>
      <c r="D331" s="6">
        <v>0</v>
      </c>
      <c r="E331" s="561">
        <f t="shared" si="9"/>
        <v>0</v>
      </c>
      <c r="F331" s="34" t="s">
        <v>150</v>
      </c>
      <c r="G331" s="561">
        <f>E324</f>
        <v>1.3310580204778157E-2</v>
      </c>
    </row>
    <row r="332" spans="1:16">
      <c r="D332" s="6">
        <f>SUM(D323:D331)</f>
        <v>58.6</v>
      </c>
      <c r="F332" s="34" t="s">
        <v>146</v>
      </c>
      <c r="G332" s="561">
        <f>E323</f>
        <v>0</v>
      </c>
    </row>
    <row r="333" spans="1:16">
      <c r="E333" s="561">
        <f>SUM(E323:E332)</f>
        <v>1</v>
      </c>
      <c r="G333" s="561">
        <f>SUM(G323:G332)</f>
        <v>1</v>
      </c>
    </row>
  </sheetData>
  <mergeCells count="77">
    <mergeCell ref="Z21:AC21"/>
    <mergeCell ref="AK21:AN21"/>
    <mergeCell ref="Z61:AC61"/>
    <mergeCell ref="AK61:AN61"/>
    <mergeCell ref="Z62:AC62"/>
    <mergeCell ref="AK62:AN62"/>
    <mergeCell ref="Z18:AC18"/>
    <mergeCell ref="AK18:AN18"/>
    <mergeCell ref="Z19:AC19"/>
    <mergeCell ref="AK19:AN19"/>
    <mergeCell ref="Z20:AC20"/>
    <mergeCell ref="AK20:AN20"/>
    <mergeCell ref="Z15:AC15"/>
    <mergeCell ref="AK15:AN15"/>
    <mergeCell ref="Z16:AC16"/>
    <mergeCell ref="AK16:AN16"/>
    <mergeCell ref="Z17:AC17"/>
    <mergeCell ref="AK17:AN17"/>
    <mergeCell ref="O145:P180"/>
    <mergeCell ref="O192:P227"/>
    <mergeCell ref="O229:P264"/>
    <mergeCell ref="F29:I29"/>
    <mergeCell ref="F30:I30"/>
    <mergeCell ref="A43:R43"/>
    <mergeCell ref="N135:N136"/>
    <mergeCell ref="C135:C136"/>
    <mergeCell ref="E135:G135"/>
    <mergeCell ref="B135:B136"/>
    <mergeCell ref="D135:D136"/>
    <mergeCell ref="H135:H136"/>
    <mergeCell ref="I135:I136"/>
    <mergeCell ref="J135:J136"/>
    <mergeCell ref="K135:K136"/>
    <mergeCell ref="A135:A136"/>
    <mergeCell ref="A1:R1"/>
    <mergeCell ref="A2:A3"/>
    <mergeCell ref="B2:B3"/>
    <mergeCell ref="C2:C3"/>
    <mergeCell ref="G2:G3"/>
    <mergeCell ref="D2:D3"/>
    <mergeCell ref="H2:H3"/>
    <mergeCell ref="I2:O3"/>
    <mergeCell ref="I4:O4"/>
    <mergeCell ref="I5:O5"/>
    <mergeCell ref="I6:O6"/>
    <mergeCell ref="I7:O7"/>
    <mergeCell ref="I8:O8"/>
    <mergeCell ref="I9:O9"/>
    <mergeCell ref="I10:O10"/>
    <mergeCell ref="I11:O11"/>
    <mergeCell ref="I12:O12"/>
    <mergeCell ref="L135:L136"/>
    <mergeCell ref="M135:M136"/>
    <mergeCell ref="F32:I32"/>
    <mergeCell ref="A14:R14"/>
    <mergeCell ref="A28:R28"/>
    <mergeCell ref="F26:I26"/>
    <mergeCell ref="F22:I22"/>
    <mergeCell ref="A42:R42"/>
    <mergeCell ref="F15:I15"/>
    <mergeCell ref="F16:I16"/>
    <mergeCell ref="F18:I18"/>
    <mergeCell ref="F19:I19"/>
    <mergeCell ref="F20:I20"/>
    <mergeCell ref="F21:I21"/>
    <mergeCell ref="F24:I24"/>
    <mergeCell ref="F25:I25"/>
    <mergeCell ref="F23:I23"/>
    <mergeCell ref="A133:P134"/>
    <mergeCell ref="F38:I38"/>
    <mergeCell ref="F39:I39"/>
    <mergeCell ref="F40:I40"/>
    <mergeCell ref="F33:I33"/>
    <mergeCell ref="F34:I34"/>
    <mergeCell ref="F35:I35"/>
    <mergeCell ref="F36:I36"/>
    <mergeCell ref="F37:I37"/>
  </mergeCells>
  <conditionalFormatting sqref="H45:M54">
    <cfRule type="cellIs" dxfId="55" priority="43" stopIfTrue="1" operator="notBetween">
      <formula>1</formula>
      <formula>4</formula>
    </cfRule>
    <cfRule type="dataBar" priority="45">
      <dataBar>
        <cfvo type="min"/>
        <cfvo type="num" val="4"/>
        <color rgb="FFFFC000"/>
      </dataBar>
      <extLst>
        <ext xmlns:x14="http://schemas.microsoft.com/office/spreadsheetml/2009/9/main" uri="{B025F937-C7B1-47D3-B67F-A62EFF666E3E}">
          <x14:id>{AE1269A0-EE84-437B-B9F8-57E7D041A84B}</x14:id>
        </ext>
      </extLst>
    </cfRule>
  </conditionalFormatting>
  <conditionalFormatting sqref="H56:M65">
    <cfRule type="cellIs" dxfId="54" priority="38" stopIfTrue="1" operator="notBetween">
      <formula>1</formula>
      <formula>4</formula>
    </cfRule>
    <cfRule type="dataBar" priority="40">
      <dataBar>
        <cfvo type="min"/>
        <cfvo type="num" val="4"/>
        <color rgb="FFFFC000"/>
      </dataBar>
      <extLst>
        <ext xmlns:x14="http://schemas.microsoft.com/office/spreadsheetml/2009/9/main" uri="{B025F937-C7B1-47D3-B67F-A62EFF666E3E}">
          <x14:id>{A2B31512-0BB9-4CEF-9AF8-3DEA76556831}</x14:id>
        </ext>
      </extLst>
    </cfRule>
  </conditionalFormatting>
  <conditionalFormatting sqref="H67:M76">
    <cfRule type="cellIs" dxfId="53" priority="33" stopIfTrue="1" operator="notBetween">
      <formula>1</formula>
      <formula>4</formula>
    </cfRule>
    <cfRule type="dataBar" priority="35">
      <dataBar>
        <cfvo type="min"/>
        <cfvo type="num" val="4"/>
        <color rgb="FFFFC000"/>
      </dataBar>
      <extLst>
        <ext xmlns:x14="http://schemas.microsoft.com/office/spreadsheetml/2009/9/main" uri="{B025F937-C7B1-47D3-B67F-A62EFF666E3E}">
          <x14:id>{18108CB0-7D47-4682-A141-FB0E6AF5ECFB}</x14:id>
        </ext>
      </extLst>
    </cfRule>
  </conditionalFormatting>
  <conditionalFormatting sqref="H78:M87">
    <cfRule type="cellIs" dxfId="52" priority="28" stopIfTrue="1" operator="notBetween">
      <formula>1</formula>
      <formula>4</formula>
    </cfRule>
    <cfRule type="dataBar" priority="30">
      <dataBar>
        <cfvo type="min"/>
        <cfvo type="num" val="4"/>
        <color rgb="FFFFC000"/>
      </dataBar>
      <extLst>
        <ext xmlns:x14="http://schemas.microsoft.com/office/spreadsheetml/2009/9/main" uri="{B025F937-C7B1-47D3-B67F-A62EFF666E3E}">
          <x14:id>{99BE0726-BC4C-480E-A9E9-21FB9F00D5AE}</x14:id>
        </ext>
      </extLst>
    </cfRule>
  </conditionalFormatting>
  <conditionalFormatting sqref="H89:M98">
    <cfRule type="cellIs" dxfId="51" priority="23" stopIfTrue="1" operator="notBetween">
      <formula>1</formula>
      <formula>4</formula>
    </cfRule>
    <cfRule type="dataBar" priority="25">
      <dataBar>
        <cfvo type="min"/>
        <cfvo type="num" val="4"/>
        <color rgb="FFFFC000"/>
      </dataBar>
      <extLst>
        <ext xmlns:x14="http://schemas.microsoft.com/office/spreadsheetml/2009/9/main" uri="{B025F937-C7B1-47D3-B67F-A62EFF666E3E}">
          <x14:id>{F3E37435-57D2-43D0-93FD-DBA20CD935F6}</x14:id>
        </ext>
      </extLst>
    </cfRule>
  </conditionalFormatting>
  <conditionalFormatting sqref="H100:M109">
    <cfRule type="cellIs" dxfId="50" priority="18" stopIfTrue="1" operator="notBetween">
      <formula>1</formula>
      <formula>4</formula>
    </cfRule>
    <cfRule type="dataBar" priority="20">
      <dataBar>
        <cfvo type="min"/>
        <cfvo type="num" val="4"/>
        <color rgb="FFFFC000"/>
      </dataBar>
      <extLst>
        <ext xmlns:x14="http://schemas.microsoft.com/office/spreadsheetml/2009/9/main" uri="{B025F937-C7B1-47D3-B67F-A62EFF666E3E}">
          <x14:id>{2A2E44AF-A7AE-43F8-80A2-DB40F113CFF6}</x14:id>
        </ext>
      </extLst>
    </cfRule>
  </conditionalFormatting>
  <conditionalFormatting sqref="H111:M120">
    <cfRule type="cellIs" dxfId="49" priority="13" stopIfTrue="1" operator="notBetween">
      <formula>1</formula>
      <formula>4</formula>
    </cfRule>
    <cfRule type="dataBar" priority="15">
      <dataBar>
        <cfvo type="min"/>
        <cfvo type="num" val="4"/>
        <color rgb="FFFFC000"/>
      </dataBar>
      <extLst>
        <ext xmlns:x14="http://schemas.microsoft.com/office/spreadsheetml/2009/9/main" uri="{B025F937-C7B1-47D3-B67F-A62EFF666E3E}">
          <x14:id>{DAADFCB8-4AEA-492A-831B-7747BF895993}</x14:id>
        </ext>
      </extLst>
    </cfRule>
  </conditionalFormatting>
  <conditionalFormatting sqref="H122:M132">
    <cfRule type="cellIs" dxfId="48" priority="8" stopIfTrue="1" operator="notBetween">
      <formula>1</formula>
      <formula>4</formula>
    </cfRule>
    <cfRule type="dataBar" priority="10">
      <dataBar>
        <cfvo type="min"/>
        <cfvo type="num" val="4"/>
        <color rgb="FFFFC000"/>
      </dataBar>
      <extLst>
        <ext xmlns:x14="http://schemas.microsoft.com/office/spreadsheetml/2009/9/main" uri="{B025F937-C7B1-47D3-B67F-A62EFF666E3E}">
          <x14:id>{06D7AD8D-708F-4344-A167-707497521382}</x14:id>
        </ext>
      </extLst>
    </cfRule>
  </conditionalFormatting>
  <conditionalFormatting sqref="H277:M321">
    <cfRule type="dataBar" priority="3">
      <dataBar>
        <cfvo type="min"/>
        <cfvo type="max"/>
        <color rgb="FFFFB628"/>
      </dataBar>
      <extLst>
        <ext xmlns:x14="http://schemas.microsoft.com/office/spreadsheetml/2009/9/main" uri="{B025F937-C7B1-47D3-B67F-A62EFF666E3E}">
          <x14:id>{C7CDE64E-3B03-452E-9ED8-50C5DFB38417}</x14:id>
        </ext>
      </extLst>
    </cfRule>
  </conditionalFormatting>
  <conditionalFormatting sqref="H45:N54">
    <cfRule type="containsBlanks" dxfId="47" priority="42">
      <formula>LEN(TRIM(H45))=0</formula>
    </cfRule>
  </conditionalFormatting>
  <conditionalFormatting sqref="H56:N65">
    <cfRule type="containsBlanks" dxfId="46" priority="37">
      <formula>LEN(TRIM(H56))=0</formula>
    </cfRule>
  </conditionalFormatting>
  <conditionalFormatting sqref="H67:N76">
    <cfRule type="containsBlanks" dxfId="45" priority="32">
      <formula>LEN(TRIM(H67))=0</formula>
    </cfRule>
  </conditionalFormatting>
  <conditionalFormatting sqref="H78:N87">
    <cfRule type="containsBlanks" dxfId="44" priority="27">
      <formula>LEN(TRIM(H78))=0</formula>
    </cfRule>
  </conditionalFormatting>
  <conditionalFormatting sqref="H89:N98">
    <cfRule type="containsBlanks" dxfId="43" priority="22">
      <formula>LEN(TRIM(H89))=0</formula>
    </cfRule>
  </conditionalFormatting>
  <conditionalFormatting sqref="H100:N109">
    <cfRule type="containsBlanks" dxfId="42" priority="17">
      <formula>LEN(TRIM(H100))=0</formula>
    </cfRule>
  </conditionalFormatting>
  <conditionalFormatting sqref="H111:N120">
    <cfRule type="containsBlanks" dxfId="41" priority="12">
      <formula>LEN(TRIM(H111))=0</formula>
    </cfRule>
  </conditionalFormatting>
  <conditionalFormatting sqref="H122:N132">
    <cfRule type="containsBlanks" dxfId="40" priority="1">
      <formula>LEN(TRIM(H122))=0</formula>
    </cfRule>
  </conditionalFormatting>
  <conditionalFormatting sqref="I137:M141">
    <cfRule type="dataBar" priority="48">
      <dataBar>
        <cfvo type="min"/>
        <cfvo type="num" val="4"/>
        <color rgb="FFFFC000"/>
      </dataBar>
      <extLst>
        <ext xmlns:x14="http://schemas.microsoft.com/office/spreadsheetml/2009/9/main" uri="{B025F937-C7B1-47D3-B67F-A62EFF666E3E}">
          <x14:id>{272D6FCC-4DBC-4895-A70B-0627532E6A6D}</x14:id>
        </ext>
      </extLst>
    </cfRule>
  </conditionalFormatting>
  <conditionalFormatting sqref="I137:N141">
    <cfRule type="containsBlanks" dxfId="39" priority="47">
      <formula>LEN(TRIM(I137))=0</formula>
    </cfRule>
  </conditionalFormatting>
  <conditionalFormatting sqref="N45:N54">
    <cfRule type="dataBar" priority="46">
      <dataBar>
        <cfvo type="min"/>
        <cfvo type="max"/>
        <color rgb="FF3FCDFF"/>
      </dataBar>
      <extLst>
        <ext xmlns:x14="http://schemas.microsoft.com/office/spreadsheetml/2009/9/main" uri="{B025F937-C7B1-47D3-B67F-A62EFF666E3E}">
          <x14:id>{F10CC281-3121-452B-A6A8-D5C0FC5753FD}</x14:id>
        </ext>
      </extLst>
    </cfRule>
  </conditionalFormatting>
  <conditionalFormatting sqref="N56:N65">
    <cfRule type="dataBar" priority="41">
      <dataBar>
        <cfvo type="min"/>
        <cfvo type="max"/>
        <color rgb="FF3FCDFF"/>
      </dataBar>
      <extLst>
        <ext xmlns:x14="http://schemas.microsoft.com/office/spreadsheetml/2009/9/main" uri="{B025F937-C7B1-47D3-B67F-A62EFF666E3E}">
          <x14:id>{281D998C-4541-4A1E-9940-D9677E167FBD}</x14:id>
        </ext>
      </extLst>
    </cfRule>
  </conditionalFormatting>
  <conditionalFormatting sqref="N67:N76">
    <cfRule type="dataBar" priority="36">
      <dataBar>
        <cfvo type="min"/>
        <cfvo type="max"/>
        <color rgb="FF3FCDFF"/>
      </dataBar>
      <extLst>
        <ext xmlns:x14="http://schemas.microsoft.com/office/spreadsheetml/2009/9/main" uri="{B025F937-C7B1-47D3-B67F-A62EFF666E3E}">
          <x14:id>{09ADA542-2B57-4DC1-8906-C8E7BF092402}</x14:id>
        </ext>
      </extLst>
    </cfRule>
  </conditionalFormatting>
  <conditionalFormatting sqref="N78:N87">
    <cfRule type="dataBar" priority="31">
      <dataBar>
        <cfvo type="min"/>
        <cfvo type="max"/>
        <color rgb="FF3FCDFF"/>
      </dataBar>
      <extLst>
        <ext xmlns:x14="http://schemas.microsoft.com/office/spreadsheetml/2009/9/main" uri="{B025F937-C7B1-47D3-B67F-A62EFF666E3E}">
          <x14:id>{7A0AEC27-C9E7-4BA9-8795-3FC9B87519E1}</x14:id>
        </ext>
      </extLst>
    </cfRule>
  </conditionalFormatting>
  <conditionalFormatting sqref="N89:N98">
    <cfRule type="dataBar" priority="26">
      <dataBar>
        <cfvo type="min"/>
        <cfvo type="max"/>
        <color rgb="FF3FCDFF"/>
      </dataBar>
      <extLst>
        <ext xmlns:x14="http://schemas.microsoft.com/office/spreadsheetml/2009/9/main" uri="{B025F937-C7B1-47D3-B67F-A62EFF666E3E}">
          <x14:id>{963CD6C7-C710-4F66-B6BA-11653E3ED733}</x14:id>
        </ext>
      </extLst>
    </cfRule>
  </conditionalFormatting>
  <conditionalFormatting sqref="N100:N109">
    <cfRule type="dataBar" priority="21">
      <dataBar>
        <cfvo type="min"/>
        <cfvo type="max"/>
        <color rgb="FF3FCDFF"/>
      </dataBar>
      <extLst>
        <ext xmlns:x14="http://schemas.microsoft.com/office/spreadsheetml/2009/9/main" uri="{B025F937-C7B1-47D3-B67F-A62EFF666E3E}">
          <x14:id>{4BAC4C1B-F20E-447C-8D92-D3A10DB51528}</x14:id>
        </ext>
      </extLst>
    </cfRule>
  </conditionalFormatting>
  <conditionalFormatting sqref="N111:N120">
    <cfRule type="dataBar" priority="16">
      <dataBar>
        <cfvo type="min"/>
        <cfvo type="max"/>
        <color rgb="FF3FCDFF"/>
      </dataBar>
      <extLst>
        <ext xmlns:x14="http://schemas.microsoft.com/office/spreadsheetml/2009/9/main" uri="{B025F937-C7B1-47D3-B67F-A62EFF666E3E}">
          <x14:id>{1F409E72-5E4E-4FD7-9C31-4BBEE445F75A}</x14:id>
        </ext>
      </extLst>
    </cfRule>
  </conditionalFormatting>
  <conditionalFormatting sqref="N122:N132">
    <cfRule type="dataBar" priority="2">
      <dataBar>
        <cfvo type="min"/>
        <cfvo type="max"/>
        <color rgb="FF3FCDFF"/>
      </dataBar>
      <extLst>
        <ext xmlns:x14="http://schemas.microsoft.com/office/spreadsheetml/2009/9/main" uri="{B025F937-C7B1-47D3-B67F-A62EFF666E3E}">
          <x14:id>{7C4B8C1A-FC0F-49D7-96D8-0D4B7FB9B9EE}</x14:id>
        </ext>
      </extLst>
    </cfRule>
  </conditionalFormatting>
  <conditionalFormatting sqref="N137:N141">
    <cfRule type="dataBar" priority="50">
      <dataBar>
        <cfvo type="min"/>
        <cfvo type="max"/>
        <color rgb="FF3FCDFF"/>
      </dataBar>
      <extLst>
        <ext xmlns:x14="http://schemas.microsoft.com/office/spreadsheetml/2009/9/main" uri="{B025F937-C7B1-47D3-B67F-A62EFF666E3E}">
          <x14:id>{1AC60BA5-C120-4820-B992-143295980028}</x14:id>
        </ext>
      </extLst>
    </cfRule>
  </conditionalFormatting>
  <conditionalFormatting sqref="N277:O321">
    <cfRule type="dataBar" priority="4">
      <dataBar>
        <cfvo type="min"/>
        <cfvo type="max"/>
        <color rgb="FF3FCDFF"/>
      </dataBar>
      <extLst>
        <ext xmlns:x14="http://schemas.microsoft.com/office/spreadsheetml/2009/9/main" uri="{B025F937-C7B1-47D3-B67F-A62EFF666E3E}">
          <x14:id>{5C6E1826-9445-4C40-BAB6-FDACDE982A8D}</x14:id>
        </ext>
      </extLst>
    </cfRule>
  </conditionalFormatting>
  <conditionalFormatting sqref="O45:O54">
    <cfRule type="containsText" dxfId="38" priority="44" operator="containsText" text="Actual TC">
      <formula>NOT(ISERROR(SEARCH("Actual TC",O45)))</formula>
    </cfRule>
  </conditionalFormatting>
  <conditionalFormatting sqref="O56:O65">
    <cfRule type="containsText" dxfId="37" priority="39" operator="containsText" text="Actual TC">
      <formula>NOT(ISERROR(SEARCH("Actual TC",O56)))</formula>
    </cfRule>
  </conditionalFormatting>
  <conditionalFormatting sqref="O67:O76">
    <cfRule type="containsText" dxfId="36" priority="34" operator="containsText" text="Actual TC">
      <formula>NOT(ISERROR(SEARCH("Actual TC",O67)))</formula>
    </cfRule>
  </conditionalFormatting>
  <conditionalFormatting sqref="O78:O87">
    <cfRule type="containsText" dxfId="35" priority="29" operator="containsText" text="Actual TC">
      <formula>NOT(ISERROR(SEARCH("Actual TC",O78)))</formula>
    </cfRule>
  </conditionalFormatting>
  <conditionalFormatting sqref="O89:O98">
    <cfRule type="containsText" dxfId="34" priority="24" operator="containsText" text="Actual TC">
      <formula>NOT(ISERROR(SEARCH("Actual TC",O89)))</formula>
    </cfRule>
  </conditionalFormatting>
  <conditionalFormatting sqref="O100:O109">
    <cfRule type="containsText" dxfId="33" priority="19" operator="containsText" text="Actual TC">
      <formula>NOT(ISERROR(SEARCH("Actual TC",O100)))</formula>
    </cfRule>
  </conditionalFormatting>
  <conditionalFormatting sqref="O111:O120">
    <cfRule type="containsText" dxfId="32" priority="14" operator="containsText" text="Actual TC">
      <formula>NOT(ISERROR(SEARCH("Actual TC",O111)))</formula>
    </cfRule>
  </conditionalFormatting>
  <conditionalFormatting sqref="O122:O132">
    <cfRule type="containsText" dxfId="31" priority="9" operator="containsText" text="Actual TC">
      <formula>NOT(ISERROR(SEARCH("Actual TC",O122)))</formula>
    </cfRule>
  </conditionalFormatting>
  <hyperlinks>
    <hyperlink ref="I4" r:id="rId1" display="https://onlinelibrary.wiley.com/doi/full/10.1111/jiec.13175" xr:uid="{1E9EA70F-AA98-471B-ACA7-9D1FE0EB2AB1}"/>
    <hyperlink ref="I5" r:id="rId2" display="https://onlinelibrary.wiley.com/doi/full/10.1111/jiec.13175" xr:uid="{C4B86E96-83A3-428E-9AC6-A084A1B043CB}"/>
    <hyperlink ref="I6" r:id="rId3" display="https://onlinelibrary.wiley.com/doi/full/10.1111/jiec.13175" xr:uid="{8D2DEB7F-0C4B-4F36-A2F5-F80F282A1E1E}"/>
    <hyperlink ref="I7" r:id="rId4" display="https://onlinelibrary.wiley.com/doi/full/10.1111/jiec.13175" xr:uid="{C8AB0DF3-B6C9-4E51-A0F7-79433F74890C}"/>
    <hyperlink ref="I8" r:id="rId5" display="https://onlinelibrary.wiley.com/doi/full/10.1111/jiec.13175" xr:uid="{F23009EA-4894-4A35-80C6-DCBE09AA056E}"/>
    <hyperlink ref="I9" r:id="rId6" display="https://onlinelibrary.wiley.com/doi/full/10.1111/jiec.13175" xr:uid="{B98D7C29-0CEC-4902-BB9B-1FC6AD9C9F12}"/>
    <hyperlink ref="I10" r:id="rId7" display="https://onlinelibrary.wiley.com/doi/full/10.1111/jiec.13175" xr:uid="{DAF44331-7569-423C-AAA5-5C37C2484777}"/>
    <hyperlink ref="I11" r:id="rId8" display="https://onlinelibrary.wiley.com/doi/full/10.1111/jiec.13175" xr:uid="{D822EBAB-D6FC-48E3-912D-E4264AC0674D}"/>
    <hyperlink ref="F30" r:id="rId9" xr:uid="{7F02ADBC-67CA-456C-87DB-D057484599ED}"/>
    <hyperlink ref="F16" r:id="rId10" xr:uid="{EB14E65E-8AE6-425E-AD34-D6515635A571}"/>
    <hyperlink ref="Z16" r:id="rId11" xr:uid="{C6CE3853-05A3-4BFC-9317-91B32B517819}"/>
    <hyperlink ref="Z17" r:id="rId12" xr:uid="{52DCF53C-1C8C-4299-B64A-C151FD608EE4}"/>
    <hyperlink ref="Z18" r:id="rId13" xr:uid="{B0544C2E-D851-4131-9B5D-37C35B6F3A6B}"/>
    <hyperlink ref="Z19" r:id="rId14" xr:uid="{7C6BF9BF-371D-474F-80F3-2F037B2D5405}"/>
    <hyperlink ref="Z20" r:id="rId15" xr:uid="{760FC56F-F4F5-44EC-A548-33A694AFFA1E}"/>
    <hyperlink ref="AK16" r:id="rId16" xr:uid="{F51199D4-9C29-4127-AD50-1FFB8657685C}"/>
    <hyperlink ref="AK17" r:id="rId17" xr:uid="{17E90986-D039-471C-93B9-9452240A8715}"/>
    <hyperlink ref="AK18" r:id="rId18" xr:uid="{2ACC9EE2-8FC5-4C4E-A52D-A93451C4EC5B}"/>
    <hyperlink ref="AK19" r:id="rId19" xr:uid="{867588E7-B35E-4EAB-AD91-EC5D98385B36}"/>
    <hyperlink ref="AK20" r:id="rId20" xr:uid="{7EA0B90A-309E-4ACB-A813-1D176189FAD9}"/>
  </hyperlinks>
  <pageMargins left="0.7" right="0.7" top="0.75" bottom="0.75" header="0.3" footer="0.3"/>
  <pageSetup paperSize="9" orientation="portrait" horizontalDpi="4294967293" verticalDpi="0" r:id="rId21"/>
  <drawing r:id="rId22"/>
  <extLst>
    <ext xmlns:x14="http://schemas.microsoft.com/office/spreadsheetml/2009/9/main" uri="{78C0D931-6437-407d-A8EE-F0AAD7539E65}">
      <x14:conditionalFormattings>
        <x14:conditionalFormatting xmlns:xm="http://schemas.microsoft.com/office/excel/2006/main">
          <x14:cfRule type="dataBar" id="{AE1269A0-EE84-437B-B9F8-57E7D041A84B}">
            <x14:dataBar minLength="0" maxLength="100" gradient="0">
              <x14:cfvo type="autoMin"/>
              <x14:cfvo type="num">
                <xm:f>4</xm:f>
              </x14:cfvo>
              <x14:negativeFillColor rgb="FFFF0000"/>
              <x14:axisColor rgb="FF000000"/>
            </x14:dataBar>
          </x14:cfRule>
          <xm:sqref>H45:M54</xm:sqref>
        </x14:conditionalFormatting>
        <x14:conditionalFormatting xmlns:xm="http://schemas.microsoft.com/office/excel/2006/main">
          <x14:cfRule type="dataBar" id="{A2B31512-0BB9-4CEF-9AF8-3DEA76556831}">
            <x14:dataBar minLength="0" maxLength="100" gradient="0">
              <x14:cfvo type="autoMin"/>
              <x14:cfvo type="num">
                <xm:f>4</xm:f>
              </x14:cfvo>
              <x14:negativeFillColor rgb="FFFF0000"/>
              <x14:axisColor rgb="FF000000"/>
            </x14:dataBar>
          </x14:cfRule>
          <xm:sqref>H56:M65</xm:sqref>
        </x14:conditionalFormatting>
        <x14:conditionalFormatting xmlns:xm="http://schemas.microsoft.com/office/excel/2006/main">
          <x14:cfRule type="dataBar" id="{18108CB0-7D47-4682-A141-FB0E6AF5ECFB}">
            <x14:dataBar minLength="0" maxLength="100" gradient="0">
              <x14:cfvo type="autoMin"/>
              <x14:cfvo type="num">
                <xm:f>4</xm:f>
              </x14:cfvo>
              <x14:negativeFillColor rgb="FFFF0000"/>
              <x14:axisColor rgb="FF000000"/>
            </x14:dataBar>
          </x14:cfRule>
          <xm:sqref>H67:M76</xm:sqref>
        </x14:conditionalFormatting>
        <x14:conditionalFormatting xmlns:xm="http://schemas.microsoft.com/office/excel/2006/main">
          <x14:cfRule type="dataBar" id="{99BE0726-BC4C-480E-A9E9-21FB9F00D5AE}">
            <x14:dataBar minLength="0" maxLength="100" gradient="0">
              <x14:cfvo type="autoMin"/>
              <x14:cfvo type="num">
                <xm:f>4</xm:f>
              </x14:cfvo>
              <x14:negativeFillColor rgb="FFFF0000"/>
              <x14:axisColor rgb="FF000000"/>
            </x14:dataBar>
          </x14:cfRule>
          <xm:sqref>H78:M87</xm:sqref>
        </x14:conditionalFormatting>
        <x14:conditionalFormatting xmlns:xm="http://schemas.microsoft.com/office/excel/2006/main">
          <x14:cfRule type="dataBar" id="{F3E37435-57D2-43D0-93FD-DBA20CD935F6}">
            <x14:dataBar minLength="0" maxLength="100" gradient="0">
              <x14:cfvo type="autoMin"/>
              <x14:cfvo type="num">
                <xm:f>4</xm:f>
              </x14:cfvo>
              <x14:negativeFillColor rgb="FFFF0000"/>
              <x14:axisColor rgb="FF000000"/>
            </x14:dataBar>
          </x14:cfRule>
          <xm:sqref>H89:M98</xm:sqref>
        </x14:conditionalFormatting>
        <x14:conditionalFormatting xmlns:xm="http://schemas.microsoft.com/office/excel/2006/main">
          <x14:cfRule type="dataBar" id="{2A2E44AF-A7AE-43F8-80A2-DB40F113CFF6}">
            <x14:dataBar minLength="0" maxLength="100" gradient="0">
              <x14:cfvo type="autoMin"/>
              <x14:cfvo type="num">
                <xm:f>4</xm:f>
              </x14:cfvo>
              <x14:negativeFillColor rgb="FFFF0000"/>
              <x14:axisColor rgb="FF000000"/>
            </x14:dataBar>
          </x14:cfRule>
          <xm:sqref>H100:M109</xm:sqref>
        </x14:conditionalFormatting>
        <x14:conditionalFormatting xmlns:xm="http://schemas.microsoft.com/office/excel/2006/main">
          <x14:cfRule type="dataBar" id="{DAADFCB8-4AEA-492A-831B-7747BF895993}">
            <x14:dataBar minLength="0" maxLength="100" gradient="0">
              <x14:cfvo type="autoMin"/>
              <x14:cfvo type="num">
                <xm:f>4</xm:f>
              </x14:cfvo>
              <x14:negativeFillColor rgb="FFFF0000"/>
              <x14:axisColor rgb="FF000000"/>
            </x14:dataBar>
          </x14:cfRule>
          <xm:sqref>H111:M120</xm:sqref>
        </x14:conditionalFormatting>
        <x14:conditionalFormatting xmlns:xm="http://schemas.microsoft.com/office/excel/2006/main">
          <x14:cfRule type="dataBar" id="{06D7AD8D-708F-4344-A167-707497521382}">
            <x14:dataBar minLength="0" maxLength="100" gradient="0">
              <x14:cfvo type="autoMin"/>
              <x14:cfvo type="num">
                <xm:f>4</xm:f>
              </x14:cfvo>
              <x14:negativeFillColor rgb="FFFF0000"/>
              <x14:axisColor rgb="FF000000"/>
            </x14:dataBar>
          </x14:cfRule>
          <xm:sqref>H122:M132</xm:sqref>
        </x14:conditionalFormatting>
        <x14:conditionalFormatting xmlns:xm="http://schemas.microsoft.com/office/excel/2006/main">
          <x14:cfRule type="dataBar" id="{C7CDE64E-3B03-452E-9ED8-50C5DFB38417}">
            <x14:dataBar minLength="0" maxLength="100" gradient="0">
              <x14:cfvo type="autoMin"/>
              <x14:cfvo type="autoMax"/>
              <x14:negativeFillColor rgb="FFFF0000"/>
              <x14:axisColor rgb="FF000000"/>
            </x14:dataBar>
          </x14:cfRule>
          <xm:sqref>H277:M321</xm:sqref>
        </x14:conditionalFormatting>
        <x14:conditionalFormatting xmlns:xm="http://schemas.microsoft.com/office/excel/2006/main">
          <x14:cfRule type="dataBar" id="{272D6FCC-4DBC-4895-A70B-0627532E6A6D}">
            <x14:dataBar minLength="0" maxLength="100" gradient="0">
              <x14:cfvo type="autoMin"/>
              <x14:cfvo type="num">
                <xm:f>4</xm:f>
              </x14:cfvo>
              <x14:negativeFillColor rgb="FFFF0000"/>
              <x14:axisColor rgb="FF000000"/>
            </x14:dataBar>
          </x14:cfRule>
          <xm:sqref>I137:M141</xm:sqref>
        </x14:conditionalFormatting>
        <x14:conditionalFormatting xmlns:xm="http://schemas.microsoft.com/office/excel/2006/main">
          <x14:cfRule type="dataBar" id="{F10CC281-3121-452B-A6A8-D5C0FC5753FD}">
            <x14:dataBar minLength="0" maxLength="100" gradient="0">
              <x14:cfvo type="autoMin"/>
              <x14:cfvo type="autoMax"/>
              <x14:negativeFillColor rgb="FFFF0000"/>
              <x14:axisColor rgb="FF000000"/>
            </x14:dataBar>
          </x14:cfRule>
          <xm:sqref>N45:N54</xm:sqref>
        </x14:conditionalFormatting>
        <x14:conditionalFormatting xmlns:xm="http://schemas.microsoft.com/office/excel/2006/main">
          <x14:cfRule type="dataBar" id="{281D998C-4541-4A1E-9940-D9677E167FBD}">
            <x14:dataBar minLength="0" maxLength="100" gradient="0">
              <x14:cfvo type="autoMin"/>
              <x14:cfvo type="autoMax"/>
              <x14:negativeFillColor rgb="FFFF0000"/>
              <x14:axisColor rgb="FF000000"/>
            </x14:dataBar>
          </x14:cfRule>
          <xm:sqref>N56:N65</xm:sqref>
        </x14:conditionalFormatting>
        <x14:conditionalFormatting xmlns:xm="http://schemas.microsoft.com/office/excel/2006/main">
          <x14:cfRule type="dataBar" id="{09ADA542-2B57-4DC1-8906-C8E7BF092402}">
            <x14:dataBar minLength="0" maxLength="100" gradient="0">
              <x14:cfvo type="autoMin"/>
              <x14:cfvo type="autoMax"/>
              <x14:negativeFillColor rgb="FFFF0000"/>
              <x14:axisColor rgb="FF000000"/>
            </x14:dataBar>
          </x14:cfRule>
          <xm:sqref>N67:N76</xm:sqref>
        </x14:conditionalFormatting>
        <x14:conditionalFormatting xmlns:xm="http://schemas.microsoft.com/office/excel/2006/main">
          <x14:cfRule type="dataBar" id="{7A0AEC27-C9E7-4BA9-8795-3FC9B87519E1}">
            <x14:dataBar minLength="0" maxLength="100" gradient="0">
              <x14:cfvo type="autoMin"/>
              <x14:cfvo type="autoMax"/>
              <x14:negativeFillColor rgb="FFFF0000"/>
              <x14:axisColor rgb="FF000000"/>
            </x14:dataBar>
          </x14:cfRule>
          <xm:sqref>N78:N87</xm:sqref>
        </x14:conditionalFormatting>
        <x14:conditionalFormatting xmlns:xm="http://schemas.microsoft.com/office/excel/2006/main">
          <x14:cfRule type="dataBar" id="{963CD6C7-C710-4F66-B6BA-11653E3ED733}">
            <x14:dataBar minLength="0" maxLength="100" gradient="0">
              <x14:cfvo type="autoMin"/>
              <x14:cfvo type="autoMax"/>
              <x14:negativeFillColor rgb="FFFF0000"/>
              <x14:axisColor rgb="FF000000"/>
            </x14:dataBar>
          </x14:cfRule>
          <xm:sqref>N89:N98</xm:sqref>
        </x14:conditionalFormatting>
        <x14:conditionalFormatting xmlns:xm="http://schemas.microsoft.com/office/excel/2006/main">
          <x14:cfRule type="dataBar" id="{4BAC4C1B-F20E-447C-8D92-D3A10DB51528}">
            <x14:dataBar minLength="0" maxLength="100" gradient="0">
              <x14:cfvo type="autoMin"/>
              <x14:cfvo type="autoMax"/>
              <x14:negativeFillColor rgb="FFFF0000"/>
              <x14:axisColor rgb="FF000000"/>
            </x14:dataBar>
          </x14:cfRule>
          <xm:sqref>N100:N109</xm:sqref>
        </x14:conditionalFormatting>
        <x14:conditionalFormatting xmlns:xm="http://schemas.microsoft.com/office/excel/2006/main">
          <x14:cfRule type="dataBar" id="{1F409E72-5E4E-4FD7-9C31-4BBEE445F75A}">
            <x14:dataBar minLength="0" maxLength="100" gradient="0">
              <x14:cfvo type="autoMin"/>
              <x14:cfvo type="autoMax"/>
              <x14:negativeFillColor rgb="FFFF0000"/>
              <x14:axisColor rgb="FF000000"/>
            </x14:dataBar>
          </x14:cfRule>
          <xm:sqref>N111:N120</xm:sqref>
        </x14:conditionalFormatting>
        <x14:conditionalFormatting xmlns:xm="http://schemas.microsoft.com/office/excel/2006/main">
          <x14:cfRule type="dataBar" id="{7C4B8C1A-FC0F-49D7-96D8-0D4B7FB9B9EE}">
            <x14:dataBar minLength="0" maxLength="100" gradient="0">
              <x14:cfvo type="autoMin"/>
              <x14:cfvo type="autoMax"/>
              <x14:negativeFillColor rgb="FFFF0000"/>
              <x14:axisColor rgb="FF000000"/>
            </x14:dataBar>
          </x14:cfRule>
          <xm:sqref>N122:N132</xm:sqref>
        </x14:conditionalFormatting>
        <x14:conditionalFormatting xmlns:xm="http://schemas.microsoft.com/office/excel/2006/main">
          <x14:cfRule type="dataBar" id="{1AC60BA5-C120-4820-B992-143295980028}">
            <x14:dataBar minLength="0" maxLength="100" gradient="0">
              <x14:cfvo type="autoMin"/>
              <x14:cfvo type="autoMax"/>
              <x14:negativeFillColor rgb="FFFF0000"/>
              <x14:axisColor rgb="FF000000"/>
            </x14:dataBar>
          </x14:cfRule>
          <xm:sqref>N137:N141</xm:sqref>
        </x14:conditionalFormatting>
        <x14:conditionalFormatting xmlns:xm="http://schemas.microsoft.com/office/excel/2006/main">
          <x14:cfRule type="dataBar" id="{5C6E1826-9445-4C40-BAB6-FDACDE982A8D}">
            <x14:dataBar minLength="0" maxLength="100" gradient="0">
              <x14:cfvo type="autoMin"/>
              <x14:cfvo type="autoMax"/>
              <x14:negativeFillColor rgb="FFFF0000"/>
              <x14:axisColor rgb="FF000000"/>
            </x14:dataBar>
          </x14:cfRule>
          <xm:sqref>N277:O321</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57D20-71CC-4F8F-AC90-292054341AB9}">
  <sheetPr>
    <tabColor theme="8"/>
  </sheetPr>
  <dimension ref="A1:P23"/>
  <sheetViews>
    <sheetView workbookViewId="0">
      <selection activeCell="F30" sqref="F30"/>
    </sheetView>
  </sheetViews>
  <sheetFormatPr defaultRowHeight="15"/>
  <cols>
    <col min="1" max="1" width="38.140625" bestFit="1" customWidth="1"/>
    <col min="2" max="2" width="27.28515625" bestFit="1" customWidth="1"/>
    <col min="5" max="5" width="11.7109375" customWidth="1"/>
    <col min="7" max="7" width="69.5703125" bestFit="1" customWidth="1"/>
  </cols>
  <sheetData>
    <row r="1" spans="1:15">
      <c r="A1" s="481" t="s">
        <v>1252</v>
      </c>
      <c r="B1" s="685" t="s">
        <v>1253</v>
      </c>
      <c r="C1" s="480"/>
      <c r="D1" s="480"/>
      <c r="E1" s="480"/>
      <c r="F1" s="480"/>
      <c r="G1" s="480"/>
      <c r="H1" s="480"/>
      <c r="I1" s="480"/>
      <c r="J1" s="480"/>
      <c r="K1" s="480"/>
      <c r="L1" s="480"/>
      <c r="M1" s="480"/>
      <c r="N1" s="480"/>
      <c r="O1" s="480"/>
    </row>
    <row r="3" spans="1:15" ht="15.75" thickBot="1">
      <c r="A3" s="227" t="s">
        <v>1254</v>
      </c>
      <c r="B3" s="9" t="s">
        <v>1255</v>
      </c>
      <c r="C3" s="9" t="s">
        <v>147</v>
      </c>
      <c r="D3" s="9" t="s">
        <v>147</v>
      </c>
      <c r="E3" s="315">
        <f>0.004*0.0001/100</f>
        <v>4.0000000000000002E-9</v>
      </c>
      <c r="F3" s="676">
        <v>2</v>
      </c>
      <c r="G3" s="227" t="s">
        <v>265</v>
      </c>
      <c r="H3" s="15">
        <v>2</v>
      </c>
      <c r="I3" s="15">
        <v>1</v>
      </c>
      <c r="J3" s="15">
        <v>2</v>
      </c>
      <c r="K3" s="15">
        <v>3</v>
      </c>
      <c r="L3" s="15">
        <v>3</v>
      </c>
      <c r="M3" s="15">
        <v>1</v>
      </c>
      <c r="N3" s="178">
        <f>IF( OR( ISBLANK(H3),ISBLANK(J3), ISBLANK(K3), ISBLANK(L3), ISBLANK(M3) ), "", 1.5*SQRT(   EXP(2.21*(H3-1)) + EXP(2.21*(J3-1)) + EXP(2.21*(K3-1)) + EXP(2.21*(L3-1)) + EXP(2.21*M3)   )/100*2.45 )</f>
        <v>0.51126068492676302</v>
      </c>
      <c r="O3" s="227"/>
    </row>
    <row r="4" spans="1:15">
      <c r="A4" s="227" t="s">
        <v>1254</v>
      </c>
      <c r="B4" s="9" t="s">
        <v>1255</v>
      </c>
      <c r="C4" s="9" t="s">
        <v>147</v>
      </c>
      <c r="D4" s="9" t="s">
        <v>147</v>
      </c>
      <c r="E4" s="315">
        <f>0.004*0.04/100</f>
        <v>1.6000000000000001E-6</v>
      </c>
      <c r="F4" s="676">
        <v>2</v>
      </c>
      <c r="G4" s="227" t="s">
        <v>265</v>
      </c>
      <c r="H4" s="13">
        <v>2</v>
      </c>
      <c r="I4" s="13">
        <v>1</v>
      </c>
      <c r="J4" s="13">
        <v>2</v>
      </c>
      <c r="K4" s="13">
        <v>3</v>
      </c>
      <c r="L4" s="13">
        <v>3</v>
      </c>
      <c r="M4" s="13">
        <v>1</v>
      </c>
      <c r="N4" s="178">
        <f>IF( OR( ISBLANK(H4),ISBLANK(J4), ISBLANK(K4), ISBLANK(L4), ISBLANK(M4) ), "", 1.5*SQRT(   EXP(2.21*(H4-1)) + EXP(2.21*(J4-1)) + EXP(2.21*(K4-1)) + EXP(2.21*(L4-1)) + EXP(2.21*M4)   )/100*2.45 )</f>
        <v>0.51126068492676302</v>
      </c>
      <c r="O4" s="227"/>
    </row>
    <row r="5" spans="1:15">
      <c r="A5" s="227" t="s">
        <v>1254</v>
      </c>
      <c r="B5" s="9" t="s">
        <v>264</v>
      </c>
      <c r="C5" s="9" t="s">
        <v>147</v>
      </c>
      <c r="D5" s="9" t="s">
        <v>147</v>
      </c>
      <c r="E5" s="315">
        <f>(1-0.004)*0.0001/100</f>
        <v>9.9600000000000008E-7</v>
      </c>
      <c r="F5" s="676">
        <v>2</v>
      </c>
      <c r="G5" s="227" t="s">
        <v>265</v>
      </c>
      <c r="H5" s="15">
        <v>2</v>
      </c>
      <c r="I5" s="15">
        <v>1</v>
      </c>
      <c r="J5" s="15">
        <v>2</v>
      </c>
      <c r="K5" s="15">
        <v>3</v>
      </c>
      <c r="L5" s="15">
        <v>3</v>
      </c>
      <c r="M5" s="15">
        <v>1</v>
      </c>
      <c r="N5" s="178">
        <f>IF( OR( ISBLANK(H5),ISBLANK(J5), ISBLANK(K5), ISBLANK(L5), ISBLANK(M5) ), "", 1.5*SQRT(   EXP(2.21*(H5-1)) + EXP(2.21*(J5-1)) + EXP(2.21*(K5-1)) + EXP(2.21*(L5-1)) + EXP(2.21*M5)   )/100*2.45 )</f>
        <v>0.51126068492676302</v>
      </c>
      <c r="O5" s="227"/>
    </row>
    <row r="6" spans="1:15">
      <c r="A6" s="227" t="s">
        <v>1254</v>
      </c>
      <c r="B6" s="9" t="s">
        <v>264</v>
      </c>
      <c r="C6" s="9" t="s">
        <v>147</v>
      </c>
      <c r="D6" s="9" t="s">
        <v>147</v>
      </c>
      <c r="E6" s="315">
        <f>(1-0.004)*0.04/100</f>
        <v>3.9839999999999998E-4</v>
      </c>
      <c r="F6" s="676">
        <v>2</v>
      </c>
      <c r="G6" s="227" t="s">
        <v>265</v>
      </c>
      <c r="H6" s="71">
        <v>2</v>
      </c>
      <c r="I6" s="71">
        <v>1</v>
      </c>
      <c r="J6" s="71">
        <v>2</v>
      </c>
      <c r="K6" s="71">
        <v>3</v>
      </c>
      <c r="L6" s="71">
        <v>3</v>
      </c>
      <c r="M6" s="71">
        <v>1</v>
      </c>
      <c r="N6" s="181">
        <f>IF( OR( ISBLANK(H6),ISBLANK(J6), ISBLANK(K6), ISBLANK(L6), ISBLANK(M6) ), "", 1.5*SQRT(   EXP(2.21*(H6-1)) + EXP(2.21*(J6-1)) + EXP(2.21*(K6-1)) + EXP(2.21*(L6-1)) + EXP(2.21*M6)   )/100*2.45 )</f>
        <v>0.51126068492676302</v>
      </c>
      <c r="O6" s="227"/>
    </row>
    <row r="7" spans="1:15">
      <c r="E7" s="16"/>
    </row>
    <row r="8" spans="1:15" ht="15.75" thickBot="1">
      <c r="A8" s="616" t="s">
        <v>428</v>
      </c>
      <c r="B8" s="9" t="s">
        <v>245</v>
      </c>
      <c r="C8" s="122" t="s">
        <v>147</v>
      </c>
      <c r="D8" s="9" t="s">
        <v>147</v>
      </c>
      <c r="E8" s="315">
        <f>0.004*0.0001/100</f>
        <v>4.0000000000000002E-9</v>
      </c>
      <c r="F8" s="315">
        <v>2</v>
      </c>
      <c r="G8" s="227" t="s">
        <v>265</v>
      </c>
      <c r="H8" s="15">
        <v>2</v>
      </c>
      <c r="I8" s="15">
        <v>1</v>
      </c>
      <c r="J8" s="15">
        <v>2</v>
      </c>
      <c r="K8" s="15">
        <v>3</v>
      </c>
      <c r="L8" s="15">
        <v>3</v>
      </c>
      <c r="M8" s="15">
        <v>2</v>
      </c>
      <c r="N8" s="178">
        <f t="shared" ref="N8:N13" si="0">IF( OR( ISBLANK(H8),ISBLANK(J8), ISBLANK(K8), ISBLANK(L8), ISBLANK(M8) ), "", 1.5*SQRT(   EXP(2.21*(H8-1)) + EXP(2.21*(J8-1)) + EXP(2.21*(K8-1)) + EXP(2.21*(L8-1)) + EXP(2.21*M8)   )/100*2.45 )</f>
        <v>0.60108474454521421</v>
      </c>
      <c r="O8" s="227"/>
    </row>
    <row r="9" spans="1:15">
      <c r="A9" s="616" t="s">
        <v>428</v>
      </c>
      <c r="B9" s="9" t="s">
        <v>245</v>
      </c>
      <c r="C9" s="122" t="s">
        <v>147</v>
      </c>
      <c r="D9" s="9" t="s">
        <v>147</v>
      </c>
      <c r="E9" s="315">
        <f>0.004*0.04/100</f>
        <v>1.6000000000000001E-6</v>
      </c>
      <c r="F9" s="315">
        <v>2</v>
      </c>
      <c r="G9" s="227" t="s">
        <v>265</v>
      </c>
      <c r="H9" s="13">
        <v>2</v>
      </c>
      <c r="I9" s="13">
        <v>1</v>
      </c>
      <c r="J9" s="13">
        <v>2</v>
      </c>
      <c r="K9" s="13">
        <v>3</v>
      </c>
      <c r="L9" s="13">
        <v>3</v>
      </c>
      <c r="M9" s="13">
        <v>2</v>
      </c>
      <c r="N9" s="178">
        <f t="shared" si="0"/>
        <v>0.60108474454521421</v>
      </c>
      <c r="O9" s="227"/>
    </row>
    <row r="10" spans="1:15">
      <c r="A10" s="616" t="s">
        <v>428</v>
      </c>
      <c r="B10" s="9" t="s">
        <v>264</v>
      </c>
      <c r="C10" s="122" t="s">
        <v>147</v>
      </c>
      <c r="D10" s="9" t="s">
        <v>147</v>
      </c>
      <c r="E10" s="315">
        <f>(1-0.008)*0.0001/100</f>
        <v>9.9199999999999999E-7</v>
      </c>
      <c r="F10" s="315">
        <v>2</v>
      </c>
      <c r="G10" s="227" t="s">
        <v>265</v>
      </c>
      <c r="H10" s="15">
        <v>2</v>
      </c>
      <c r="I10" s="15">
        <v>1</v>
      </c>
      <c r="J10" s="15">
        <v>2</v>
      </c>
      <c r="K10" s="15">
        <v>3</v>
      </c>
      <c r="L10" s="15">
        <v>3</v>
      </c>
      <c r="M10" s="15">
        <v>2</v>
      </c>
      <c r="N10" s="178">
        <f t="shared" si="0"/>
        <v>0.60108474454521421</v>
      </c>
      <c r="O10" s="227"/>
    </row>
    <row r="11" spans="1:15">
      <c r="A11" s="616" t="s">
        <v>428</v>
      </c>
      <c r="B11" s="9" t="s">
        <v>264</v>
      </c>
      <c r="C11" s="122" t="s">
        <v>147</v>
      </c>
      <c r="D11" s="9" t="s">
        <v>147</v>
      </c>
      <c r="E11" s="315">
        <f>(1-0.008)*0.04/100</f>
        <v>3.968E-4</v>
      </c>
      <c r="F11" s="315">
        <v>2</v>
      </c>
      <c r="G11" s="227" t="s">
        <v>265</v>
      </c>
      <c r="H11" s="71">
        <v>2</v>
      </c>
      <c r="I11" s="71">
        <v>1</v>
      </c>
      <c r="J11" s="71">
        <v>2</v>
      </c>
      <c r="K11" s="71">
        <v>3</v>
      </c>
      <c r="L11" s="71">
        <v>3</v>
      </c>
      <c r="M11" s="71">
        <v>2</v>
      </c>
      <c r="N11" s="181">
        <f t="shared" si="0"/>
        <v>0.60108474454521421</v>
      </c>
      <c r="O11" s="227"/>
    </row>
    <row r="12" spans="1:15">
      <c r="A12" s="616" t="s">
        <v>428</v>
      </c>
      <c r="B12" s="9" t="s">
        <v>244</v>
      </c>
      <c r="C12" s="122" t="s">
        <v>147</v>
      </c>
      <c r="D12" s="9" t="s">
        <v>147</v>
      </c>
      <c r="E12" s="315">
        <f>0.004*0.0001/100</f>
        <v>4.0000000000000002E-9</v>
      </c>
      <c r="F12" s="315">
        <v>2</v>
      </c>
      <c r="G12" s="227" t="s">
        <v>265</v>
      </c>
      <c r="H12" s="71">
        <v>2</v>
      </c>
      <c r="I12" s="71">
        <v>1</v>
      </c>
      <c r="J12" s="71">
        <v>2</v>
      </c>
      <c r="K12" s="71">
        <v>3</v>
      </c>
      <c r="L12" s="71">
        <v>3</v>
      </c>
      <c r="M12" s="71">
        <v>2</v>
      </c>
      <c r="N12" s="181">
        <f t="shared" si="0"/>
        <v>0.60108474454521421</v>
      </c>
      <c r="O12" s="227"/>
    </row>
    <row r="13" spans="1:15">
      <c r="A13" s="616" t="s">
        <v>428</v>
      </c>
      <c r="B13" s="9" t="s">
        <v>244</v>
      </c>
      <c r="C13" s="122" t="s">
        <v>147</v>
      </c>
      <c r="D13" s="9" t="s">
        <v>147</v>
      </c>
      <c r="E13" s="315">
        <f>0.004*0.04/100</f>
        <v>1.6000000000000001E-6</v>
      </c>
      <c r="F13" s="315">
        <v>2</v>
      </c>
      <c r="G13" s="227" t="s">
        <v>265</v>
      </c>
      <c r="H13" s="71">
        <v>2</v>
      </c>
      <c r="I13" s="71">
        <v>1</v>
      </c>
      <c r="J13" s="71">
        <v>2</v>
      </c>
      <c r="K13" s="71">
        <v>3</v>
      </c>
      <c r="L13" s="71">
        <v>3</v>
      </c>
      <c r="M13" s="71">
        <v>2</v>
      </c>
      <c r="N13" s="181">
        <f t="shared" si="0"/>
        <v>0.60108474454521421</v>
      </c>
      <c r="O13" s="227"/>
    </row>
    <row r="14" spans="1:15">
      <c r="E14" s="16"/>
    </row>
    <row r="15" spans="1:15" ht="15.75" thickBot="1">
      <c r="A15" s="9" t="s">
        <v>293</v>
      </c>
      <c r="B15" s="122" t="s">
        <v>1255</v>
      </c>
      <c r="C15" s="9" t="s">
        <v>147</v>
      </c>
      <c r="D15" s="9" t="s">
        <v>147</v>
      </c>
      <c r="E15" s="315">
        <f>0.004*0.0001/100</f>
        <v>4.0000000000000002E-9</v>
      </c>
      <c r="F15" s="315">
        <v>2</v>
      </c>
      <c r="G15" s="227" t="s">
        <v>265</v>
      </c>
      <c r="H15" s="15">
        <v>2</v>
      </c>
      <c r="I15" s="15">
        <v>1</v>
      </c>
      <c r="J15" s="15">
        <v>2</v>
      </c>
      <c r="K15" s="15">
        <v>3</v>
      </c>
      <c r="L15" s="15">
        <v>3</v>
      </c>
      <c r="M15" s="15">
        <v>1</v>
      </c>
      <c r="N15" s="178">
        <f>IF( OR( ISBLANK(H15),ISBLANK(J15), ISBLANK(K15), ISBLANK(L15), ISBLANK(M15) ), "", 1.5*SQRT(   EXP(2.21*(H15-1)) + EXP(2.21*(J15-1)) + EXP(2.21*(K15-1)) + EXP(2.21*(L15-1)) + EXP(2.21*M15)   )/100*2.45 )</f>
        <v>0.51126068492676302</v>
      </c>
      <c r="O15" s="227"/>
    </row>
    <row r="16" spans="1:15">
      <c r="A16" s="9" t="s">
        <v>293</v>
      </c>
      <c r="B16" s="122" t="s">
        <v>1255</v>
      </c>
      <c r="C16" s="9" t="s">
        <v>147</v>
      </c>
      <c r="D16" s="9" t="s">
        <v>147</v>
      </c>
      <c r="E16" s="315">
        <f>0.004*0.04/100</f>
        <v>1.6000000000000001E-6</v>
      </c>
      <c r="F16" s="315">
        <v>2</v>
      </c>
      <c r="G16" s="227" t="s">
        <v>265</v>
      </c>
      <c r="H16" s="13">
        <v>2</v>
      </c>
      <c r="I16" s="13">
        <v>1</v>
      </c>
      <c r="J16" s="13">
        <v>2</v>
      </c>
      <c r="K16" s="13">
        <v>3</v>
      </c>
      <c r="L16" s="13">
        <v>3</v>
      </c>
      <c r="M16" s="13">
        <v>1</v>
      </c>
      <c r="N16" s="178">
        <f>IF( OR( ISBLANK(H16),ISBLANK(J16), ISBLANK(K16), ISBLANK(L16), ISBLANK(M16) ), "", 1.5*SQRT(   EXP(2.21*(H16-1)) + EXP(2.21*(J16-1)) + EXP(2.21*(K16-1)) + EXP(2.21*(L16-1)) + EXP(2.21*M16)   )/100*2.45 )</f>
        <v>0.51126068492676302</v>
      </c>
      <c r="O16" s="227"/>
    </row>
    <row r="17" spans="1:16">
      <c r="A17" s="9" t="s">
        <v>293</v>
      </c>
      <c r="B17" s="122" t="s">
        <v>264</v>
      </c>
      <c r="C17" s="9" t="s">
        <v>147</v>
      </c>
      <c r="D17" s="9" t="s">
        <v>147</v>
      </c>
      <c r="E17" s="315">
        <f>(1-0.004)*0.0001/100</f>
        <v>9.9600000000000008E-7</v>
      </c>
      <c r="F17" s="315">
        <v>2</v>
      </c>
      <c r="G17" s="227" t="s">
        <v>265</v>
      </c>
      <c r="H17" s="15">
        <v>2</v>
      </c>
      <c r="I17" s="15">
        <v>1</v>
      </c>
      <c r="J17" s="15">
        <v>2</v>
      </c>
      <c r="K17" s="15">
        <v>3</v>
      </c>
      <c r="L17" s="15">
        <v>3</v>
      </c>
      <c r="M17" s="15">
        <v>1</v>
      </c>
      <c r="N17" s="178">
        <f>IF( OR( ISBLANK(H17),ISBLANK(J17), ISBLANK(K17), ISBLANK(L17), ISBLANK(M17) ), "", 1.5*SQRT(   EXP(2.21*(H17-1)) + EXP(2.21*(J17-1)) + EXP(2.21*(K17-1)) + EXP(2.21*(L17-1)) + EXP(2.21*M17)   )/100*2.45 )</f>
        <v>0.51126068492676302</v>
      </c>
      <c r="O17" s="227"/>
    </row>
    <row r="18" spans="1:16">
      <c r="A18" s="9" t="s">
        <v>293</v>
      </c>
      <c r="B18" s="122" t="s">
        <v>264</v>
      </c>
      <c r="C18" s="9" t="s">
        <v>147</v>
      </c>
      <c r="D18" s="9" t="s">
        <v>147</v>
      </c>
      <c r="E18" s="315">
        <f>(1-0.004)*0.04/100</f>
        <v>3.9839999999999998E-4</v>
      </c>
      <c r="F18" s="315">
        <v>2</v>
      </c>
      <c r="G18" s="227" t="s">
        <v>265</v>
      </c>
      <c r="H18" s="71">
        <v>2</v>
      </c>
      <c r="I18" s="71">
        <v>1</v>
      </c>
      <c r="J18" s="71">
        <v>2</v>
      </c>
      <c r="K18" s="71">
        <v>3</v>
      </c>
      <c r="L18" s="71">
        <v>3</v>
      </c>
      <c r="M18" s="71">
        <v>1</v>
      </c>
      <c r="N18" s="181">
        <f>IF( OR( ISBLANK(H18),ISBLANK(J18), ISBLANK(K18), ISBLANK(L18), ISBLANK(M18) ), "", 1.5*SQRT(   EXP(2.21*(H18-1)) + EXP(2.21*(J18-1)) + EXP(2.21*(K18-1)) + EXP(2.21*(L18-1)) + EXP(2.21*M18)   )/100*2.45 )</f>
        <v>0.51126068492676302</v>
      </c>
      <c r="O18" s="227"/>
    </row>
    <row r="19" spans="1:16">
      <c r="E19" s="16"/>
    </row>
    <row r="20" spans="1:16">
      <c r="A20" s="9" t="s">
        <v>118</v>
      </c>
      <c r="B20" s="9" t="s">
        <v>448</v>
      </c>
      <c r="C20" s="9" t="s">
        <v>147</v>
      </c>
      <c r="D20" s="9" t="s">
        <v>147</v>
      </c>
      <c r="E20" s="789">
        <v>9.9999999999999995E-7</v>
      </c>
      <c r="F20" s="9">
        <v>2</v>
      </c>
      <c r="G20" s="187" t="s">
        <v>402</v>
      </c>
      <c r="H20" s="10">
        <v>2</v>
      </c>
      <c r="I20" s="10">
        <v>2</v>
      </c>
      <c r="J20" s="10">
        <v>3</v>
      </c>
      <c r="K20" s="10">
        <v>3</v>
      </c>
      <c r="L20" s="10">
        <v>3</v>
      </c>
      <c r="M20" s="10">
        <v>2</v>
      </c>
      <c r="N20" s="411">
        <f>IF( OR( ISBLANK(H20),ISBLANK(J20), ISBLANK(K20), ISBLANK(L20), ISBLANK(M20) ), "", 1.5*SQRT(   EXP(2.21*(H20-1)) + EXP(2.21*(J20-1)) + EXP(2.21*(K20-1)) + EXP(2.21*(L20-1)) + EXP(2.21*M20)   )/100*2.45 )</f>
        <v>0.67913051197703389</v>
      </c>
      <c r="O20" s="411">
        <f>IF( OR( ISBLANK(I20),ISBLANK(J20), ISBLANK(K20), ISBLANK(L20), ISBLANK(M20) ), "", 1.5*SQRT( EXP(2.21*(I20-1)) + EXP(2.21*(J20-1)) + EXP(2.21*(K20-1)) + EXP(2.21*(L20-1)) + EXP(2.21*M20)   )/100*2.45 )</f>
        <v>0.67913051197703389</v>
      </c>
      <c r="P20" s="9" t="s">
        <v>449</v>
      </c>
    </row>
    <row r="21" spans="1:16">
      <c r="A21" s="9" t="s">
        <v>118</v>
      </c>
      <c r="B21" s="9" t="s">
        <v>448</v>
      </c>
      <c r="C21" s="9" t="s">
        <v>147</v>
      </c>
      <c r="D21" s="9" t="s">
        <v>147</v>
      </c>
      <c r="E21" s="789">
        <v>4.0000000000000002E-4</v>
      </c>
      <c r="F21" s="9">
        <v>2</v>
      </c>
      <c r="G21" s="187" t="s">
        <v>402</v>
      </c>
      <c r="H21" s="10">
        <v>2</v>
      </c>
      <c r="I21" s="10">
        <v>2</v>
      </c>
      <c r="J21" s="10">
        <v>3</v>
      </c>
      <c r="K21" s="10">
        <v>3</v>
      </c>
      <c r="L21" s="10">
        <v>3</v>
      </c>
      <c r="M21" s="10">
        <v>2</v>
      </c>
      <c r="N21" s="411">
        <f>IF( OR( ISBLANK(H21),ISBLANK(J21), ISBLANK(K21), ISBLANK(L21), ISBLANK(M21) ), "", 1.5*SQRT(   EXP(2.21*(H21-1)) + EXP(2.21*(J21-1)) + EXP(2.21*(K21-1)) + EXP(2.21*(L21-1)) + EXP(2.21*M21)   )/100*2.45 )</f>
        <v>0.67913051197703389</v>
      </c>
      <c r="O21" s="411">
        <f>IF( OR( ISBLANK(I21),ISBLANK(J21), ISBLANK(K21), ISBLANK(L21), ISBLANK(M21) ), "", 1.5*SQRT( EXP(2.21*(I21-1)) + EXP(2.21*(J21-1)) + EXP(2.21*(K21-1)) + EXP(2.21*(L21-1)) + EXP(2.21*M21)   )/100*2.45 )</f>
        <v>0.67913051197703389</v>
      </c>
      <c r="P21" s="9" t="s">
        <v>449</v>
      </c>
    </row>
    <row r="23" spans="1:16">
      <c r="A23" s="7" t="s">
        <v>1256</v>
      </c>
    </row>
  </sheetData>
  <conditionalFormatting sqref="H3:H6">
    <cfRule type="dataBar" priority="56">
      <dataBar>
        <cfvo type="min"/>
        <cfvo type="num" val="4"/>
        <color rgb="FFFFC000"/>
      </dataBar>
      <extLst>
        <ext xmlns:x14="http://schemas.microsoft.com/office/spreadsheetml/2009/9/main" uri="{B025F937-C7B1-47D3-B67F-A62EFF666E3E}">
          <x14:id>{B1B415F0-89FA-4A05-ADC7-31AFE6B05238}</x14:id>
        </ext>
      </extLst>
    </cfRule>
  </conditionalFormatting>
  <conditionalFormatting sqref="H8:H13">
    <cfRule type="dataBar" priority="36">
      <dataBar>
        <cfvo type="min"/>
        <cfvo type="num" val="4"/>
        <color rgb="FFFFC000"/>
      </dataBar>
      <extLst>
        <ext xmlns:x14="http://schemas.microsoft.com/office/spreadsheetml/2009/9/main" uri="{B025F937-C7B1-47D3-B67F-A62EFF666E3E}">
          <x14:id>{F041FF15-CB4B-4FEE-B5BB-00C70E24D585}</x14:id>
        </ext>
      </extLst>
    </cfRule>
  </conditionalFormatting>
  <conditionalFormatting sqref="H15:H18">
    <cfRule type="dataBar" priority="16">
      <dataBar>
        <cfvo type="min"/>
        <cfvo type="num" val="4"/>
        <color rgb="FFFFC000"/>
      </dataBar>
      <extLst>
        <ext xmlns:x14="http://schemas.microsoft.com/office/spreadsheetml/2009/9/main" uri="{B025F937-C7B1-47D3-B67F-A62EFF666E3E}">
          <x14:id>{CEAD9282-9821-4002-9A33-A49F68817248}</x14:id>
        </ext>
      </extLst>
    </cfRule>
  </conditionalFormatting>
  <conditionalFormatting sqref="H3:M6">
    <cfRule type="cellIs" dxfId="30" priority="52" stopIfTrue="1" operator="notBetween">
      <formula>1</formula>
      <formula>4</formula>
    </cfRule>
  </conditionalFormatting>
  <conditionalFormatting sqref="H8:M13">
    <cfRule type="cellIs" dxfId="29" priority="32" stopIfTrue="1" operator="notBetween">
      <formula>1</formula>
      <formula>4</formula>
    </cfRule>
  </conditionalFormatting>
  <conditionalFormatting sqref="H15:M18">
    <cfRule type="cellIs" dxfId="28" priority="12" stopIfTrue="1" operator="notBetween">
      <formula>1</formula>
      <formula>4</formula>
    </cfRule>
  </conditionalFormatting>
  <conditionalFormatting sqref="H20:M21">
    <cfRule type="dataBar" priority="2">
      <dataBar>
        <cfvo type="min"/>
        <cfvo type="num" val="4"/>
        <color rgb="FFFFC000"/>
      </dataBar>
      <extLst>
        <ext xmlns:x14="http://schemas.microsoft.com/office/spreadsheetml/2009/9/main" uri="{B025F937-C7B1-47D3-B67F-A62EFF666E3E}">
          <x14:id>{00E50AA6-3B51-4430-8713-D2B95C64276C}</x14:id>
        </ext>
      </extLst>
    </cfRule>
    <cfRule type="cellIs" dxfId="27" priority="4" stopIfTrue="1" operator="notBetween">
      <formula>1</formula>
      <formula>4</formula>
    </cfRule>
  </conditionalFormatting>
  <conditionalFormatting sqref="H3:N6">
    <cfRule type="containsBlanks" dxfId="26" priority="49">
      <formula>LEN(TRIM(H3))=0</formula>
    </cfRule>
  </conditionalFormatting>
  <conditionalFormatting sqref="H8:N13">
    <cfRule type="containsBlanks" dxfId="25" priority="29">
      <formula>LEN(TRIM(H8))=0</formula>
    </cfRule>
  </conditionalFormatting>
  <conditionalFormatting sqref="H15:N18">
    <cfRule type="containsBlanks" dxfId="24" priority="9">
      <formula>LEN(TRIM(H15))=0</formula>
    </cfRule>
  </conditionalFormatting>
  <conditionalFormatting sqref="H20:O21">
    <cfRule type="containsBlanks" dxfId="23" priority="1">
      <formula>LEN(TRIM(H20))=0</formula>
    </cfRule>
  </conditionalFormatting>
  <conditionalFormatting sqref="I3:I6">
    <cfRule type="dataBar" priority="59">
      <dataBar>
        <cfvo type="min"/>
        <cfvo type="num" val="4"/>
        <color rgb="FFFFC000"/>
      </dataBar>
      <extLst>
        <ext xmlns:x14="http://schemas.microsoft.com/office/spreadsheetml/2009/9/main" uri="{B025F937-C7B1-47D3-B67F-A62EFF666E3E}">
          <x14:id>{EA5B06FA-FBD4-4D1B-BD04-DBD4E75BE6C8}</x14:id>
        </ext>
      </extLst>
    </cfRule>
  </conditionalFormatting>
  <conditionalFormatting sqref="I8:I13">
    <cfRule type="dataBar" priority="39">
      <dataBar>
        <cfvo type="min"/>
        <cfvo type="num" val="4"/>
        <color rgb="FFFFC000"/>
      </dataBar>
      <extLst>
        <ext xmlns:x14="http://schemas.microsoft.com/office/spreadsheetml/2009/9/main" uri="{B025F937-C7B1-47D3-B67F-A62EFF666E3E}">
          <x14:id>{2A38161A-CA79-4B76-B291-670B84C04EBF}</x14:id>
        </ext>
      </extLst>
    </cfRule>
  </conditionalFormatting>
  <conditionalFormatting sqref="I15:I18">
    <cfRule type="dataBar" priority="19">
      <dataBar>
        <cfvo type="min"/>
        <cfvo type="num" val="4"/>
        <color rgb="FFFFC000"/>
      </dataBar>
      <extLst>
        <ext xmlns:x14="http://schemas.microsoft.com/office/spreadsheetml/2009/9/main" uri="{B025F937-C7B1-47D3-B67F-A62EFF666E3E}">
          <x14:id>{05D9FE1C-0580-4118-9DF4-E6A7600F25C9}</x14:id>
        </ext>
      </extLst>
    </cfRule>
  </conditionalFormatting>
  <conditionalFormatting sqref="J3:J6">
    <cfRule type="dataBar" priority="53">
      <dataBar>
        <cfvo type="min"/>
        <cfvo type="num" val="4"/>
        <color rgb="FFFFC000"/>
      </dataBar>
      <extLst>
        <ext xmlns:x14="http://schemas.microsoft.com/office/spreadsheetml/2009/9/main" uri="{B025F937-C7B1-47D3-B67F-A62EFF666E3E}">
          <x14:id>{A0703011-F311-442F-B721-69322ED610D6}</x14:id>
        </ext>
      </extLst>
    </cfRule>
  </conditionalFormatting>
  <conditionalFormatting sqref="J8:J13">
    <cfRule type="dataBar" priority="33">
      <dataBar>
        <cfvo type="min"/>
        <cfvo type="num" val="4"/>
        <color rgb="FFFFC000"/>
      </dataBar>
      <extLst>
        <ext xmlns:x14="http://schemas.microsoft.com/office/spreadsheetml/2009/9/main" uri="{B025F937-C7B1-47D3-B67F-A62EFF666E3E}">
          <x14:id>{829A8AD5-4648-4D6D-B80E-FBA4845D0FA9}</x14:id>
        </ext>
      </extLst>
    </cfRule>
  </conditionalFormatting>
  <conditionalFormatting sqref="J15:J18">
    <cfRule type="dataBar" priority="13">
      <dataBar>
        <cfvo type="min"/>
        <cfvo type="num" val="4"/>
        <color rgb="FFFFC000"/>
      </dataBar>
      <extLst>
        <ext xmlns:x14="http://schemas.microsoft.com/office/spreadsheetml/2009/9/main" uri="{B025F937-C7B1-47D3-B67F-A62EFF666E3E}">
          <x14:id>{87CF3383-9CDA-4CB4-9DD7-3E6DFCD43C67}</x14:id>
        </ext>
      </extLst>
    </cfRule>
  </conditionalFormatting>
  <conditionalFormatting sqref="K3:K6">
    <cfRule type="dataBar" priority="68">
      <dataBar>
        <cfvo type="min"/>
        <cfvo type="num" val="4"/>
        <color rgb="FFFFC000"/>
      </dataBar>
      <extLst>
        <ext xmlns:x14="http://schemas.microsoft.com/office/spreadsheetml/2009/9/main" uri="{B025F937-C7B1-47D3-B67F-A62EFF666E3E}">
          <x14:id>{5B536303-3909-4794-875D-5EB4BB24D3E5}</x14:id>
        </ext>
      </extLst>
    </cfRule>
  </conditionalFormatting>
  <conditionalFormatting sqref="K8:K13">
    <cfRule type="dataBar" priority="48">
      <dataBar>
        <cfvo type="min"/>
        <cfvo type="num" val="4"/>
        <color rgb="FFFFC000"/>
      </dataBar>
      <extLst>
        <ext xmlns:x14="http://schemas.microsoft.com/office/spreadsheetml/2009/9/main" uri="{B025F937-C7B1-47D3-B67F-A62EFF666E3E}">
          <x14:id>{CAEB5974-37D4-4A99-99C0-A63AC40023DE}</x14:id>
        </ext>
      </extLst>
    </cfRule>
  </conditionalFormatting>
  <conditionalFormatting sqref="K15:K18">
    <cfRule type="dataBar" priority="28">
      <dataBar>
        <cfvo type="min"/>
        <cfvo type="num" val="4"/>
        <color rgb="FFFFC000"/>
      </dataBar>
      <extLst>
        <ext xmlns:x14="http://schemas.microsoft.com/office/spreadsheetml/2009/9/main" uri="{B025F937-C7B1-47D3-B67F-A62EFF666E3E}">
          <x14:id>{DD402FCA-45B2-4974-94F7-EC7FA300C99E}</x14:id>
        </ext>
      </extLst>
    </cfRule>
  </conditionalFormatting>
  <conditionalFormatting sqref="L3:L6">
    <cfRule type="dataBar" priority="65">
      <dataBar>
        <cfvo type="min"/>
        <cfvo type="num" val="4"/>
        <color rgb="FFFFC000"/>
      </dataBar>
      <extLst>
        <ext xmlns:x14="http://schemas.microsoft.com/office/spreadsheetml/2009/9/main" uri="{B025F937-C7B1-47D3-B67F-A62EFF666E3E}">
          <x14:id>{CBFBEC0B-1E3A-4717-8B6A-493202C50762}</x14:id>
        </ext>
      </extLst>
    </cfRule>
  </conditionalFormatting>
  <conditionalFormatting sqref="L8:L13">
    <cfRule type="dataBar" priority="45">
      <dataBar>
        <cfvo type="min"/>
        <cfvo type="num" val="4"/>
        <color rgb="FFFFC000"/>
      </dataBar>
      <extLst>
        <ext xmlns:x14="http://schemas.microsoft.com/office/spreadsheetml/2009/9/main" uri="{B025F937-C7B1-47D3-B67F-A62EFF666E3E}">
          <x14:id>{90658C68-C595-4D0F-ABFC-7D172670F329}</x14:id>
        </ext>
      </extLst>
    </cfRule>
  </conditionalFormatting>
  <conditionalFormatting sqref="L15:L18">
    <cfRule type="dataBar" priority="25">
      <dataBar>
        <cfvo type="min"/>
        <cfvo type="num" val="4"/>
        <color rgb="FFFFC000"/>
      </dataBar>
      <extLst>
        <ext xmlns:x14="http://schemas.microsoft.com/office/spreadsheetml/2009/9/main" uri="{B025F937-C7B1-47D3-B67F-A62EFF666E3E}">
          <x14:id>{9DEDFAD9-2BDE-4383-985B-D3508DECD198}</x14:id>
        </ext>
      </extLst>
    </cfRule>
  </conditionalFormatting>
  <conditionalFormatting sqref="M3:M6">
    <cfRule type="dataBar" priority="62">
      <dataBar>
        <cfvo type="min"/>
        <cfvo type="num" val="4"/>
        <color rgb="FFFFC000"/>
      </dataBar>
      <extLst>
        <ext xmlns:x14="http://schemas.microsoft.com/office/spreadsheetml/2009/9/main" uri="{B025F937-C7B1-47D3-B67F-A62EFF666E3E}">
          <x14:id>{639FBE73-C9D0-4D88-9441-DBC276217C9F}</x14:id>
        </ext>
      </extLst>
    </cfRule>
  </conditionalFormatting>
  <conditionalFormatting sqref="M8:M13">
    <cfRule type="dataBar" priority="42">
      <dataBar>
        <cfvo type="min"/>
        <cfvo type="num" val="4"/>
        <color rgb="FFFFC000"/>
      </dataBar>
      <extLst>
        <ext xmlns:x14="http://schemas.microsoft.com/office/spreadsheetml/2009/9/main" uri="{B025F937-C7B1-47D3-B67F-A62EFF666E3E}">
          <x14:id>{E4AF88EA-6F83-4423-95D8-53CA44287717}</x14:id>
        </ext>
      </extLst>
    </cfRule>
  </conditionalFormatting>
  <conditionalFormatting sqref="M15:M18">
    <cfRule type="dataBar" priority="22">
      <dataBar>
        <cfvo type="min"/>
        <cfvo type="num" val="4"/>
        <color rgb="FFFFC000"/>
      </dataBar>
      <extLst>
        <ext xmlns:x14="http://schemas.microsoft.com/office/spreadsheetml/2009/9/main" uri="{B025F937-C7B1-47D3-B67F-A62EFF666E3E}">
          <x14:id>{67F46E21-E2D7-4598-A3E0-4D5FC574F52F}</x14:id>
        </ext>
      </extLst>
    </cfRule>
  </conditionalFormatting>
  <conditionalFormatting sqref="N3:N6">
    <cfRule type="dataBar" priority="50">
      <dataBar>
        <cfvo type="min"/>
        <cfvo type="max"/>
        <color rgb="FF3FCDFF"/>
      </dataBar>
      <extLst>
        <ext xmlns:x14="http://schemas.microsoft.com/office/spreadsheetml/2009/9/main" uri="{B025F937-C7B1-47D3-B67F-A62EFF666E3E}">
          <x14:id>{795E9577-5BAA-4B70-80D1-3A9580758BEF}</x14:id>
        </ext>
      </extLst>
    </cfRule>
  </conditionalFormatting>
  <conditionalFormatting sqref="N8:N13">
    <cfRule type="dataBar" priority="30">
      <dataBar>
        <cfvo type="min"/>
        <cfvo type="max"/>
        <color rgb="FF3FCDFF"/>
      </dataBar>
      <extLst>
        <ext xmlns:x14="http://schemas.microsoft.com/office/spreadsheetml/2009/9/main" uri="{B025F937-C7B1-47D3-B67F-A62EFF666E3E}">
          <x14:id>{4CE2BAF4-5D47-4685-97F0-E5B2257F6C49}</x14:id>
        </ext>
      </extLst>
    </cfRule>
  </conditionalFormatting>
  <conditionalFormatting sqref="N15:N18">
    <cfRule type="dataBar" priority="10">
      <dataBar>
        <cfvo type="min"/>
        <cfvo type="max"/>
        <color rgb="FF3FCDFF"/>
      </dataBar>
      <extLst>
        <ext xmlns:x14="http://schemas.microsoft.com/office/spreadsheetml/2009/9/main" uri="{B025F937-C7B1-47D3-B67F-A62EFF666E3E}">
          <x14:id>{9F027037-FDD2-450A-8F4E-E9739F83C86D}</x14:id>
        </ext>
      </extLst>
    </cfRule>
  </conditionalFormatting>
  <conditionalFormatting sqref="N20:N21">
    <cfRule type="dataBar" priority="6">
      <dataBar>
        <cfvo type="min"/>
        <cfvo type="max"/>
        <color rgb="FF3FCDFF"/>
      </dataBar>
      <extLst>
        <ext xmlns:x14="http://schemas.microsoft.com/office/spreadsheetml/2009/9/main" uri="{B025F937-C7B1-47D3-B67F-A62EFF666E3E}">
          <x14:id>{E498EC96-D658-4143-A678-485B8BE8E6F0}</x14:id>
        </ext>
      </extLst>
    </cfRule>
  </conditionalFormatting>
  <conditionalFormatting sqref="O20:O21">
    <cfRule type="dataBar" priority="7">
      <dataBar>
        <cfvo type="min"/>
        <cfvo type="max"/>
        <color rgb="FF3FCDFF"/>
      </dataBar>
      <extLst>
        <ext xmlns:x14="http://schemas.microsoft.com/office/spreadsheetml/2009/9/main" uri="{B025F937-C7B1-47D3-B67F-A62EFF666E3E}">
          <x14:id>{527FB0B7-B316-4548-85C3-057BFA8B4BBF}</x14:id>
        </ext>
      </extLst>
    </cfRule>
  </conditionalFormatting>
  <conditionalFormatting sqref="P20:P21">
    <cfRule type="containsText" dxfId="22" priority="5" operator="containsText" text="Actual TC">
      <formula>NOT(ISERROR(SEARCH("Actual TC",P20)))</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B1B415F0-89FA-4A05-ADC7-31AFE6B05238}">
            <x14:dataBar minLength="0" maxLength="100" gradient="0">
              <x14:cfvo type="autoMin"/>
              <x14:cfvo type="num">
                <xm:f>4</xm:f>
              </x14:cfvo>
              <x14:negativeFillColor rgb="FFFF0000"/>
              <x14:axisColor rgb="FF000000"/>
            </x14:dataBar>
          </x14:cfRule>
          <xm:sqref>H3:H6</xm:sqref>
        </x14:conditionalFormatting>
        <x14:conditionalFormatting xmlns:xm="http://schemas.microsoft.com/office/excel/2006/main">
          <x14:cfRule type="dataBar" id="{F041FF15-CB4B-4FEE-B5BB-00C70E24D585}">
            <x14:dataBar minLength="0" maxLength="100" gradient="0">
              <x14:cfvo type="autoMin"/>
              <x14:cfvo type="num">
                <xm:f>4</xm:f>
              </x14:cfvo>
              <x14:negativeFillColor rgb="FFFF0000"/>
              <x14:axisColor rgb="FF000000"/>
            </x14:dataBar>
          </x14:cfRule>
          <xm:sqref>H8:H13</xm:sqref>
        </x14:conditionalFormatting>
        <x14:conditionalFormatting xmlns:xm="http://schemas.microsoft.com/office/excel/2006/main">
          <x14:cfRule type="dataBar" id="{CEAD9282-9821-4002-9A33-A49F68817248}">
            <x14:dataBar minLength="0" maxLength="100" gradient="0">
              <x14:cfvo type="autoMin"/>
              <x14:cfvo type="num">
                <xm:f>4</xm:f>
              </x14:cfvo>
              <x14:negativeFillColor rgb="FFFF0000"/>
              <x14:axisColor rgb="FF000000"/>
            </x14:dataBar>
          </x14:cfRule>
          <xm:sqref>H15:H18</xm:sqref>
        </x14:conditionalFormatting>
        <x14:conditionalFormatting xmlns:xm="http://schemas.microsoft.com/office/excel/2006/main">
          <x14:cfRule type="dataBar" id="{00E50AA6-3B51-4430-8713-D2B95C64276C}">
            <x14:dataBar minLength="0" maxLength="100" gradient="0">
              <x14:cfvo type="autoMin"/>
              <x14:cfvo type="num">
                <xm:f>4</xm:f>
              </x14:cfvo>
              <x14:negativeFillColor rgb="FFFF0000"/>
              <x14:axisColor rgb="FF000000"/>
            </x14:dataBar>
          </x14:cfRule>
          <xm:sqref>H20:M21</xm:sqref>
        </x14:conditionalFormatting>
        <x14:conditionalFormatting xmlns:xm="http://schemas.microsoft.com/office/excel/2006/main">
          <x14:cfRule type="dataBar" id="{EA5B06FA-FBD4-4D1B-BD04-DBD4E75BE6C8}">
            <x14:dataBar minLength="0" maxLength="100" gradient="0">
              <x14:cfvo type="autoMin"/>
              <x14:cfvo type="num">
                <xm:f>4</xm:f>
              </x14:cfvo>
              <x14:negativeFillColor rgb="FFFF0000"/>
              <x14:axisColor rgb="FF000000"/>
            </x14:dataBar>
          </x14:cfRule>
          <xm:sqref>I3:I6</xm:sqref>
        </x14:conditionalFormatting>
        <x14:conditionalFormatting xmlns:xm="http://schemas.microsoft.com/office/excel/2006/main">
          <x14:cfRule type="dataBar" id="{2A38161A-CA79-4B76-B291-670B84C04EBF}">
            <x14:dataBar minLength="0" maxLength="100" gradient="0">
              <x14:cfvo type="autoMin"/>
              <x14:cfvo type="num">
                <xm:f>4</xm:f>
              </x14:cfvo>
              <x14:negativeFillColor rgb="FFFF0000"/>
              <x14:axisColor rgb="FF000000"/>
            </x14:dataBar>
          </x14:cfRule>
          <xm:sqref>I8:I13</xm:sqref>
        </x14:conditionalFormatting>
        <x14:conditionalFormatting xmlns:xm="http://schemas.microsoft.com/office/excel/2006/main">
          <x14:cfRule type="dataBar" id="{05D9FE1C-0580-4118-9DF4-E6A7600F25C9}">
            <x14:dataBar minLength="0" maxLength="100" gradient="0">
              <x14:cfvo type="autoMin"/>
              <x14:cfvo type="num">
                <xm:f>4</xm:f>
              </x14:cfvo>
              <x14:negativeFillColor rgb="FFFF0000"/>
              <x14:axisColor rgb="FF000000"/>
            </x14:dataBar>
          </x14:cfRule>
          <xm:sqref>I15:I18</xm:sqref>
        </x14:conditionalFormatting>
        <x14:conditionalFormatting xmlns:xm="http://schemas.microsoft.com/office/excel/2006/main">
          <x14:cfRule type="dataBar" id="{A0703011-F311-442F-B721-69322ED610D6}">
            <x14:dataBar minLength="0" maxLength="100" gradient="0">
              <x14:cfvo type="autoMin"/>
              <x14:cfvo type="num">
                <xm:f>4</xm:f>
              </x14:cfvo>
              <x14:negativeFillColor rgb="FFFF0000"/>
              <x14:axisColor rgb="FF000000"/>
            </x14:dataBar>
          </x14:cfRule>
          <xm:sqref>J3:J6</xm:sqref>
        </x14:conditionalFormatting>
        <x14:conditionalFormatting xmlns:xm="http://schemas.microsoft.com/office/excel/2006/main">
          <x14:cfRule type="dataBar" id="{829A8AD5-4648-4D6D-B80E-FBA4845D0FA9}">
            <x14:dataBar minLength="0" maxLength="100" gradient="0">
              <x14:cfvo type="autoMin"/>
              <x14:cfvo type="num">
                <xm:f>4</xm:f>
              </x14:cfvo>
              <x14:negativeFillColor rgb="FFFF0000"/>
              <x14:axisColor rgb="FF000000"/>
            </x14:dataBar>
          </x14:cfRule>
          <xm:sqref>J8:J13</xm:sqref>
        </x14:conditionalFormatting>
        <x14:conditionalFormatting xmlns:xm="http://schemas.microsoft.com/office/excel/2006/main">
          <x14:cfRule type="dataBar" id="{87CF3383-9CDA-4CB4-9DD7-3E6DFCD43C67}">
            <x14:dataBar minLength="0" maxLength="100" gradient="0">
              <x14:cfvo type="autoMin"/>
              <x14:cfvo type="num">
                <xm:f>4</xm:f>
              </x14:cfvo>
              <x14:negativeFillColor rgb="FFFF0000"/>
              <x14:axisColor rgb="FF000000"/>
            </x14:dataBar>
          </x14:cfRule>
          <xm:sqref>J15:J18</xm:sqref>
        </x14:conditionalFormatting>
        <x14:conditionalFormatting xmlns:xm="http://schemas.microsoft.com/office/excel/2006/main">
          <x14:cfRule type="dataBar" id="{5B536303-3909-4794-875D-5EB4BB24D3E5}">
            <x14:dataBar minLength="0" maxLength="100" gradient="0">
              <x14:cfvo type="autoMin"/>
              <x14:cfvo type="num">
                <xm:f>4</xm:f>
              </x14:cfvo>
              <x14:negativeFillColor rgb="FFFF0000"/>
              <x14:axisColor rgb="FF000000"/>
            </x14:dataBar>
          </x14:cfRule>
          <xm:sqref>K3:K6</xm:sqref>
        </x14:conditionalFormatting>
        <x14:conditionalFormatting xmlns:xm="http://schemas.microsoft.com/office/excel/2006/main">
          <x14:cfRule type="dataBar" id="{CAEB5974-37D4-4A99-99C0-A63AC40023DE}">
            <x14:dataBar minLength="0" maxLength="100" gradient="0">
              <x14:cfvo type="autoMin"/>
              <x14:cfvo type="num">
                <xm:f>4</xm:f>
              </x14:cfvo>
              <x14:negativeFillColor rgb="FFFF0000"/>
              <x14:axisColor rgb="FF000000"/>
            </x14:dataBar>
          </x14:cfRule>
          <xm:sqref>K8:K13</xm:sqref>
        </x14:conditionalFormatting>
        <x14:conditionalFormatting xmlns:xm="http://schemas.microsoft.com/office/excel/2006/main">
          <x14:cfRule type="dataBar" id="{DD402FCA-45B2-4974-94F7-EC7FA300C99E}">
            <x14:dataBar minLength="0" maxLength="100" gradient="0">
              <x14:cfvo type="autoMin"/>
              <x14:cfvo type="num">
                <xm:f>4</xm:f>
              </x14:cfvo>
              <x14:negativeFillColor rgb="FFFF0000"/>
              <x14:axisColor rgb="FF000000"/>
            </x14:dataBar>
          </x14:cfRule>
          <xm:sqref>K15:K18</xm:sqref>
        </x14:conditionalFormatting>
        <x14:conditionalFormatting xmlns:xm="http://schemas.microsoft.com/office/excel/2006/main">
          <x14:cfRule type="dataBar" id="{CBFBEC0B-1E3A-4717-8B6A-493202C50762}">
            <x14:dataBar minLength="0" maxLength="100" gradient="0">
              <x14:cfvo type="autoMin"/>
              <x14:cfvo type="num">
                <xm:f>4</xm:f>
              </x14:cfvo>
              <x14:negativeFillColor rgb="FFFF0000"/>
              <x14:axisColor rgb="FF000000"/>
            </x14:dataBar>
          </x14:cfRule>
          <xm:sqref>L3:L6</xm:sqref>
        </x14:conditionalFormatting>
        <x14:conditionalFormatting xmlns:xm="http://schemas.microsoft.com/office/excel/2006/main">
          <x14:cfRule type="dataBar" id="{90658C68-C595-4D0F-ABFC-7D172670F329}">
            <x14:dataBar minLength="0" maxLength="100" gradient="0">
              <x14:cfvo type="autoMin"/>
              <x14:cfvo type="num">
                <xm:f>4</xm:f>
              </x14:cfvo>
              <x14:negativeFillColor rgb="FFFF0000"/>
              <x14:axisColor rgb="FF000000"/>
            </x14:dataBar>
          </x14:cfRule>
          <xm:sqref>L8:L13</xm:sqref>
        </x14:conditionalFormatting>
        <x14:conditionalFormatting xmlns:xm="http://schemas.microsoft.com/office/excel/2006/main">
          <x14:cfRule type="dataBar" id="{9DEDFAD9-2BDE-4383-985B-D3508DECD198}">
            <x14:dataBar minLength="0" maxLength="100" gradient="0">
              <x14:cfvo type="autoMin"/>
              <x14:cfvo type="num">
                <xm:f>4</xm:f>
              </x14:cfvo>
              <x14:negativeFillColor rgb="FFFF0000"/>
              <x14:axisColor rgb="FF000000"/>
            </x14:dataBar>
          </x14:cfRule>
          <xm:sqref>L15:L18</xm:sqref>
        </x14:conditionalFormatting>
        <x14:conditionalFormatting xmlns:xm="http://schemas.microsoft.com/office/excel/2006/main">
          <x14:cfRule type="dataBar" id="{639FBE73-C9D0-4D88-9441-DBC276217C9F}">
            <x14:dataBar minLength="0" maxLength="100" gradient="0">
              <x14:cfvo type="autoMin"/>
              <x14:cfvo type="num">
                <xm:f>4</xm:f>
              </x14:cfvo>
              <x14:negativeFillColor rgb="FFFF0000"/>
              <x14:axisColor rgb="FF000000"/>
            </x14:dataBar>
          </x14:cfRule>
          <xm:sqref>M3:M6</xm:sqref>
        </x14:conditionalFormatting>
        <x14:conditionalFormatting xmlns:xm="http://schemas.microsoft.com/office/excel/2006/main">
          <x14:cfRule type="dataBar" id="{E4AF88EA-6F83-4423-95D8-53CA44287717}">
            <x14:dataBar minLength="0" maxLength="100" gradient="0">
              <x14:cfvo type="autoMin"/>
              <x14:cfvo type="num">
                <xm:f>4</xm:f>
              </x14:cfvo>
              <x14:negativeFillColor rgb="FFFF0000"/>
              <x14:axisColor rgb="FF000000"/>
            </x14:dataBar>
          </x14:cfRule>
          <xm:sqref>M8:M13</xm:sqref>
        </x14:conditionalFormatting>
        <x14:conditionalFormatting xmlns:xm="http://schemas.microsoft.com/office/excel/2006/main">
          <x14:cfRule type="dataBar" id="{67F46E21-E2D7-4598-A3E0-4D5FC574F52F}">
            <x14:dataBar minLength="0" maxLength="100" gradient="0">
              <x14:cfvo type="autoMin"/>
              <x14:cfvo type="num">
                <xm:f>4</xm:f>
              </x14:cfvo>
              <x14:negativeFillColor rgb="FFFF0000"/>
              <x14:axisColor rgb="FF000000"/>
            </x14:dataBar>
          </x14:cfRule>
          <xm:sqref>M15:M18</xm:sqref>
        </x14:conditionalFormatting>
        <x14:conditionalFormatting xmlns:xm="http://schemas.microsoft.com/office/excel/2006/main">
          <x14:cfRule type="dataBar" id="{795E9577-5BAA-4B70-80D1-3A9580758BEF}">
            <x14:dataBar minLength="0" maxLength="100" gradient="0">
              <x14:cfvo type="autoMin"/>
              <x14:cfvo type="autoMax"/>
              <x14:negativeFillColor rgb="FFFF0000"/>
              <x14:axisColor rgb="FF000000"/>
            </x14:dataBar>
          </x14:cfRule>
          <xm:sqref>N3:N6</xm:sqref>
        </x14:conditionalFormatting>
        <x14:conditionalFormatting xmlns:xm="http://schemas.microsoft.com/office/excel/2006/main">
          <x14:cfRule type="dataBar" id="{4CE2BAF4-5D47-4685-97F0-E5B2257F6C49}">
            <x14:dataBar minLength="0" maxLength="100" gradient="0">
              <x14:cfvo type="autoMin"/>
              <x14:cfvo type="autoMax"/>
              <x14:negativeFillColor rgb="FFFF0000"/>
              <x14:axisColor rgb="FF000000"/>
            </x14:dataBar>
          </x14:cfRule>
          <xm:sqref>N8:N13</xm:sqref>
        </x14:conditionalFormatting>
        <x14:conditionalFormatting xmlns:xm="http://schemas.microsoft.com/office/excel/2006/main">
          <x14:cfRule type="dataBar" id="{9F027037-FDD2-450A-8F4E-E9739F83C86D}">
            <x14:dataBar minLength="0" maxLength="100" gradient="0">
              <x14:cfvo type="autoMin"/>
              <x14:cfvo type="autoMax"/>
              <x14:negativeFillColor rgb="FFFF0000"/>
              <x14:axisColor rgb="FF000000"/>
            </x14:dataBar>
          </x14:cfRule>
          <xm:sqref>N15:N18</xm:sqref>
        </x14:conditionalFormatting>
        <x14:conditionalFormatting xmlns:xm="http://schemas.microsoft.com/office/excel/2006/main">
          <x14:cfRule type="dataBar" id="{E498EC96-D658-4143-A678-485B8BE8E6F0}">
            <x14:dataBar minLength="0" maxLength="100" gradient="0">
              <x14:cfvo type="autoMin"/>
              <x14:cfvo type="autoMax"/>
              <x14:negativeFillColor rgb="FFFF0000"/>
              <x14:axisColor rgb="FF000000"/>
            </x14:dataBar>
          </x14:cfRule>
          <xm:sqref>N20:N21</xm:sqref>
        </x14:conditionalFormatting>
        <x14:conditionalFormatting xmlns:xm="http://schemas.microsoft.com/office/excel/2006/main">
          <x14:cfRule type="dataBar" id="{527FB0B7-B316-4548-85C3-057BFA8B4BBF}">
            <x14:dataBar minLength="0" maxLength="100" gradient="0">
              <x14:cfvo type="autoMin"/>
              <x14:cfvo type="autoMax"/>
              <x14:negativeFillColor rgb="FFFF0000"/>
              <x14:axisColor rgb="FF000000"/>
            </x14:dataBar>
          </x14:cfRule>
          <xm:sqref>O20:O21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9B5BF-1333-4C31-98CF-019E267587A0}">
  <sheetPr>
    <tabColor theme="8"/>
  </sheetPr>
  <dimension ref="A1:AF66"/>
  <sheetViews>
    <sheetView topLeftCell="A2" zoomScale="80" zoomScaleNormal="80" workbookViewId="0">
      <selection activeCell="H23" sqref="H23"/>
    </sheetView>
  </sheetViews>
  <sheetFormatPr defaultRowHeight="15"/>
  <cols>
    <col min="1" max="1" width="80.7109375" style="6" customWidth="1"/>
    <col min="2" max="29" width="20.7109375" style="6" customWidth="1"/>
    <col min="30" max="32" width="20.7109375" customWidth="1"/>
  </cols>
  <sheetData>
    <row r="1" spans="1:32" s="6" customFormat="1" ht="30" customHeight="1">
      <c r="A1" s="966" t="s">
        <v>1257</v>
      </c>
      <c r="B1" s="966"/>
      <c r="C1" s="966"/>
      <c r="D1" s="966"/>
      <c r="E1" s="966"/>
      <c r="F1" s="966"/>
      <c r="G1" s="966"/>
      <c r="H1" s="966"/>
      <c r="I1" s="966"/>
      <c r="J1" s="966"/>
      <c r="K1" s="966"/>
      <c r="L1" s="966"/>
      <c r="M1" s="966"/>
      <c r="N1" s="966"/>
      <c r="O1" s="966"/>
      <c r="P1" s="966"/>
      <c r="Q1" s="966"/>
      <c r="R1" s="966"/>
      <c r="S1" s="966"/>
    </row>
    <row r="2" spans="1:32" s="6" customFormat="1" ht="30" customHeight="1">
      <c r="A2" s="140" t="s">
        <v>1258</v>
      </c>
      <c r="B2" s="361" t="s">
        <v>109</v>
      </c>
      <c r="C2" s="361" t="s">
        <v>139</v>
      </c>
      <c r="D2" s="358" t="s">
        <v>1259</v>
      </c>
      <c r="E2" s="1093" t="s">
        <v>112</v>
      </c>
      <c r="F2" s="1094"/>
      <c r="G2" s="1094"/>
      <c r="H2" s="1094"/>
      <c r="I2" s="1094"/>
      <c r="J2" s="1095"/>
      <c r="K2" s="1088" t="s">
        <v>132</v>
      </c>
      <c r="L2" s="1088"/>
      <c r="M2" s="1088"/>
      <c r="N2" s="1088"/>
      <c r="O2" s="1088"/>
      <c r="P2" s="1088"/>
      <c r="Q2" s="1088"/>
      <c r="R2" s="1088"/>
      <c r="S2" s="1088"/>
      <c r="AD2"/>
      <c r="AE2"/>
      <c r="AF2"/>
    </row>
    <row r="3" spans="1:32">
      <c r="A3" s="9" t="s">
        <v>1260</v>
      </c>
      <c r="B3" s="365">
        <v>2011</v>
      </c>
      <c r="C3" s="363" t="s">
        <v>188</v>
      </c>
      <c r="D3" s="363">
        <v>1273</v>
      </c>
      <c r="E3" s="1090" t="s">
        <v>1261</v>
      </c>
      <c r="F3" s="1091"/>
      <c r="G3" s="1091"/>
      <c r="H3" s="1091"/>
      <c r="I3" s="1091"/>
      <c r="J3" s="1092"/>
      <c r="K3" s="1039" t="s">
        <v>1262</v>
      </c>
      <c r="L3" s="1039"/>
      <c r="M3" s="1039"/>
      <c r="N3" s="1039"/>
      <c r="O3" s="1039"/>
      <c r="P3" s="1039"/>
      <c r="Q3" s="1039"/>
      <c r="R3" s="1039"/>
      <c r="S3" s="1039"/>
    </row>
    <row r="4" spans="1:32">
      <c r="A4" s="9" t="s">
        <v>1263</v>
      </c>
      <c r="B4" s="363">
        <v>2011</v>
      </c>
      <c r="C4" s="363" t="s">
        <v>188</v>
      </c>
      <c r="D4" s="363">
        <v>308</v>
      </c>
      <c r="E4" s="1072" t="s">
        <v>1261</v>
      </c>
      <c r="F4" s="1072"/>
      <c r="G4" s="1072"/>
      <c r="H4" s="1072"/>
      <c r="I4" s="1072"/>
      <c r="J4" s="1072"/>
      <c r="K4" s="1039"/>
      <c r="L4" s="1039"/>
      <c r="M4" s="1039"/>
      <c r="N4" s="1039"/>
      <c r="O4" s="1039"/>
      <c r="P4" s="1039"/>
      <c r="Q4" s="1039"/>
      <c r="R4" s="1039"/>
      <c r="S4" s="1039"/>
    </row>
    <row r="5" spans="1:32">
      <c r="A5" s="362" t="s">
        <v>1264</v>
      </c>
      <c r="B5" s="363">
        <v>2011</v>
      </c>
      <c r="C5" s="363" t="s">
        <v>188</v>
      </c>
      <c r="D5" s="364">
        <f>SUM(D3:D4)</f>
        <v>1581</v>
      </c>
      <c r="E5" s="1040"/>
      <c r="F5" s="1089"/>
      <c r="G5" s="1089"/>
      <c r="H5" s="1089"/>
      <c r="I5" s="1089"/>
      <c r="J5" s="1041"/>
      <c r="K5" s="1039"/>
      <c r="L5" s="1039"/>
      <c r="M5" s="1039"/>
      <c r="N5" s="1039"/>
      <c r="O5" s="1039"/>
      <c r="P5" s="1039"/>
      <c r="Q5" s="1039"/>
      <c r="R5" s="1039"/>
      <c r="S5" s="1039"/>
    </row>
    <row r="6" spans="1:32">
      <c r="A6" s="7"/>
      <c r="B6" s="7"/>
      <c r="C6" s="7"/>
      <c r="D6" s="7"/>
      <c r="E6" s="7"/>
      <c r="F6" s="360"/>
      <c r="G6" s="360"/>
      <c r="H6" s="360"/>
      <c r="I6" s="360"/>
      <c r="J6" s="360"/>
      <c r="K6" s="1"/>
    </row>
    <row r="7" spans="1:32" s="6" customFormat="1" ht="30" customHeight="1">
      <c r="A7" s="966" t="s">
        <v>1265</v>
      </c>
      <c r="B7" s="966"/>
      <c r="C7" s="966"/>
      <c r="D7" s="966"/>
      <c r="E7" s="966"/>
      <c r="F7" s="966"/>
      <c r="G7" s="966"/>
      <c r="H7" s="966"/>
      <c r="I7" s="966"/>
      <c r="J7" s="966"/>
      <c r="K7" s="966"/>
      <c r="L7" s="966"/>
      <c r="M7" s="966"/>
      <c r="N7" s="966"/>
      <c r="O7" s="966"/>
      <c r="P7" s="966"/>
      <c r="Q7" s="966"/>
      <c r="R7" s="966"/>
      <c r="S7" s="966"/>
    </row>
    <row r="8" spans="1:32" s="6" customFormat="1" ht="30" customHeight="1">
      <c r="A8" s="140" t="s">
        <v>1266</v>
      </c>
      <c r="B8" s="361" t="s">
        <v>139</v>
      </c>
      <c r="C8" s="361" t="s">
        <v>1267</v>
      </c>
      <c r="D8" s="358" t="s">
        <v>1268</v>
      </c>
      <c r="E8" s="1088" t="s">
        <v>112</v>
      </c>
      <c r="F8" s="1088"/>
      <c r="G8" s="1088"/>
      <c r="H8" s="1088"/>
      <c r="I8" s="1088"/>
      <c r="J8" s="1088"/>
      <c r="K8" s="1088" t="s">
        <v>132</v>
      </c>
      <c r="L8" s="1088"/>
      <c r="M8" s="1088"/>
      <c r="N8" s="1088"/>
      <c r="O8" s="1088"/>
      <c r="P8" s="1088"/>
      <c r="Q8" s="1088"/>
      <c r="R8" s="1088"/>
      <c r="S8" s="1088"/>
      <c r="AD8"/>
      <c r="AE8"/>
      <c r="AF8"/>
    </row>
    <row r="9" spans="1:32">
      <c r="A9" s="9" t="s">
        <v>175</v>
      </c>
      <c r="B9" s="363" t="s">
        <v>188</v>
      </c>
      <c r="C9" s="363" t="s">
        <v>1269</v>
      </c>
      <c r="D9" s="363">
        <v>0.01</v>
      </c>
      <c r="E9" s="1072" t="s">
        <v>1270</v>
      </c>
      <c r="F9" s="1072"/>
      <c r="G9" s="1072"/>
      <c r="H9" s="1072"/>
      <c r="I9" s="1072"/>
      <c r="J9" s="1072"/>
      <c r="K9" s="1039" t="s">
        <v>1271</v>
      </c>
      <c r="L9" s="1039"/>
      <c r="M9" s="1039"/>
      <c r="N9" s="1039"/>
      <c r="O9" s="1039"/>
      <c r="P9" s="1039"/>
      <c r="Q9" s="1039"/>
      <c r="R9" s="1039"/>
      <c r="S9" s="1039"/>
    </row>
    <row r="10" spans="1:32">
      <c r="A10" s="7"/>
      <c r="B10" s="7"/>
      <c r="C10" s="7"/>
      <c r="D10" s="7"/>
      <c r="E10" s="7"/>
      <c r="F10" s="360"/>
      <c r="G10" s="360"/>
      <c r="H10" s="360"/>
      <c r="I10" s="360"/>
    </row>
    <row r="11" spans="1:32" s="6" customFormat="1" ht="30" customHeight="1">
      <c r="A11" s="966" t="s">
        <v>1272</v>
      </c>
      <c r="B11" s="966"/>
      <c r="C11" s="966"/>
      <c r="D11" s="966"/>
      <c r="E11" s="966"/>
      <c r="F11" s="966"/>
      <c r="G11" s="966"/>
      <c r="H11" s="966"/>
      <c r="I11" s="966"/>
      <c r="J11" s="966"/>
      <c r="K11" s="966"/>
      <c r="L11" s="966"/>
      <c r="M11" s="966"/>
      <c r="N11" s="966"/>
      <c r="O11" s="966"/>
      <c r="P11" s="966"/>
      <c r="Q11" s="966"/>
      <c r="R11" s="966"/>
      <c r="S11" s="966"/>
    </row>
    <row r="12" spans="1:32" s="6" customFormat="1" ht="30" customHeight="1">
      <c r="A12" s="140" t="s">
        <v>1266</v>
      </c>
      <c r="B12" s="361" t="s">
        <v>109</v>
      </c>
      <c r="C12" s="361" t="s">
        <v>139</v>
      </c>
      <c r="D12" s="361" t="s">
        <v>110</v>
      </c>
      <c r="E12" s="359" t="s">
        <v>1273</v>
      </c>
      <c r="AD12"/>
      <c r="AE12"/>
      <c r="AF12"/>
    </row>
    <row r="13" spans="1:32">
      <c r="A13" s="9" t="s">
        <v>175</v>
      </c>
      <c r="B13" s="363">
        <v>2011</v>
      </c>
      <c r="C13" s="363" t="s">
        <v>188</v>
      </c>
      <c r="D13" s="363" t="s">
        <v>1269</v>
      </c>
      <c r="E13" s="363">
        <f>D9*D5</f>
        <v>15.81</v>
      </c>
    </row>
    <row r="14" spans="1:32">
      <c r="A14" s="7"/>
      <c r="B14" s="7"/>
      <c r="C14" s="7"/>
      <c r="D14" s="7"/>
      <c r="E14" s="7"/>
      <c r="F14" s="360"/>
      <c r="G14" s="360"/>
      <c r="H14" s="360"/>
      <c r="I14" s="360"/>
      <c r="J14" s="360"/>
      <c r="K14" s="1"/>
    </row>
    <row r="15" spans="1:32" s="6" customFormat="1" ht="30" customHeight="1">
      <c r="A15" s="966" t="s">
        <v>1274</v>
      </c>
      <c r="B15" s="966"/>
      <c r="C15" s="966"/>
      <c r="D15" s="966"/>
      <c r="E15" s="966"/>
      <c r="F15" s="966"/>
      <c r="G15" s="966"/>
      <c r="H15" s="966"/>
      <c r="I15" s="966"/>
      <c r="J15" s="966"/>
      <c r="K15" s="966"/>
      <c r="L15" s="966"/>
      <c r="M15" s="966"/>
      <c r="N15" s="966"/>
      <c r="O15" s="966"/>
      <c r="P15" s="966"/>
      <c r="Q15" s="966"/>
      <c r="R15" s="966"/>
      <c r="S15" s="966"/>
    </row>
    <row r="16" spans="1:32" s="6" customFormat="1" ht="30" customHeight="1">
      <c r="A16" s="367" t="s">
        <v>138</v>
      </c>
      <c r="B16" s="361" t="s">
        <v>109</v>
      </c>
      <c r="C16" s="361" t="s">
        <v>139</v>
      </c>
      <c r="D16" s="361" t="s">
        <v>110</v>
      </c>
      <c r="E16" s="369" t="s">
        <v>1275</v>
      </c>
      <c r="F16" s="371" t="s">
        <v>1276</v>
      </c>
      <c r="G16"/>
      <c r="H16"/>
      <c r="I16"/>
      <c r="J16"/>
      <c r="K16"/>
      <c r="L16"/>
      <c r="M16"/>
      <c r="N16"/>
      <c r="O16"/>
    </row>
    <row r="17" spans="1:19">
      <c r="A17" s="9" t="s">
        <v>213</v>
      </c>
      <c r="B17" s="363">
        <v>2011</v>
      </c>
      <c r="C17" s="363" t="s">
        <v>188</v>
      </c>
      <c r="D17" s="365" t="s">
        <v>1269</v>
      </c>
      <c r="E17" s="411">
        <f xml:space="preserve"> 23.6015+23.72052+1.347871+10.4485+0.29442+0.127448</f>
        <v>59.540259000000006</v>
      </c>
      <c r="F17" s="411">
        <f xml:space="preserve"> 23.6015+23.72052+1.347871+10.4485+0.29442+0.127448</f>
        <v>59.540259000000006</v>
      </c>
      <c r="G17"/>
      <c r="H17"/>
      <c r="I17"/>
      <c r="J17"/>
      <c r="K17"/>
      <c r="L17"/>
      <c r="M17"/>
      <c r="N17"/>
      <c r="O17"/>
    </row>
    <row r="18" spans="1:19">
      <c r="A18" s="9" t="s">
        <v>215</v>
      </c>
      <c r="B18" s="363">
        <v>2011</v>
      </c>
      <c r="C18" s="363" t="s">
        <v>188</v>
      </c>
      <c r="D18" s="365" t="s">
        <v>1269</v>
      </c>
      <c r="E18" s="411">
        <f>6.221624+16.3967+7.014859+17.73089+0.649159</f>
        <v>48.013232000000002</v>
      </c>
      <c r="F18" s="411">
        <f>6.221624+16.3967+7.014859+17.73089+0.649159</f>
        <v>48.013232000000002</v>
      </c>
      <c r="G18"/>
      <c r="H18"/>
      <c r="I18"/>
      <c r="J18"/>
      <c r="K18"/>
      <c r="L18"/>
      <c r="M18"/>
      <c r="N18"/>
      <c r="O18"/>
    </row>
    <row r="19" spans="1:19">
      <c r="A19" s="9" t="s">
        <v>214</v>
      </c>
      <c r="B19" s="363">
        <v>2011</v>
      </c>
      <c r="C19" s="363" t="s">
        <v>188</v>
      </c>
      <c r="D19" s="365" t="s">
        <v>1269</v>
      </c>
      <c r="E19" s="411">
        <f>32.70976+0.28954+33.75779+1.09234+0.260305</f>
        <v>68.109735000000015</v>
      </c>
      <c r="F19" s="411">
        <f>32.70976+0.28954+33.75779+1.09234+0.260305</f>
        <v>68.109735000000015</v>
      </c>
      <c r="G19"/>
      <c r="H19"/>
      <c r="I19"/>
      <c r="J19"/>
      <c r="K19"/>
      <c r="L19"/>
      <c r="M19"/>
      <c r="N19"/>
      <c r="O19"/>
    </row>
    <row r="20" spans="1:19">
      <c r="A20" s="9" t="s">
        <v>216</v>
      </c>
      <c r="B20" s="363">
        <v>2011</v>
      </c>
      <c r="C20" s="363" t="s">
        <v>188</v>
      </c>
      <c r="D20" s="365" t="s">
        <v>1269</v>
      </c>
      <c r="E20" s="411">
        <f>7.458106+2.583978+37.90516+37.47286+12.81939+4.606734</f>
        <v>102.846228</v>
      </c>
      <c r="F20" s="411">
        <f>7.458106+2.583978+37.90516+37.47286+12.81939+4.606734</f>
        <v>102.846228</v>
      </c>
      <c r="G20"/>
      <c r="H20"/>
      <c r="I20"/>
      <c r="J20"/>
      <c r="K20"/>
      <c r="L20"/>
      <c r="M20"/>
      <c r="N20"/>
      <c r="O20"/>
    </row>
    <row r="21" spans="1:19">
      <c r="A21" s="9" t="s">
        <v>1131</v>
      </c>
      <c r="B21" s="363">
        <v>2011</v>
      </c>
      <c r="C21" s="363" t="s">
        <v>188</v>
      </c>
      <c r="D21" s="365" t="s">
        <v>1269</v>
      </c>
      <c r="E21" s="411">
        <f>54.34226+3.146061</f>
        <v>57.488321000000006</v>
      </c>
      <c r="F21" s="411">
        <f>54.34226+3.146061</f>
        <v>57.488321000000006</v>
      </c>
      <c r="G21"/>
      <c r="H21"/>
      <c r="I21"/>
      <c r="J21"/>
      <c r="K21"/>
      <c r="L21"/>
      <c r="M21"/>
      <c r="N21"/>
      <c r="O21"/>
    </row>
    <row r="22" spans="1:19">
      <c r="A22" s="9" t="s">
        <v>150</v>
      </c>
      <c r="B22" s="363">
        <v>2011</v>
      </c>
      <c r="C22" s="363" t="s">
        <v>188</v>
      </c>
      <c r="D22" s="365" t="s">
        <v>1269</v>
      </c>
      <c r="E22" s="445">
        <f>5.880256+2.755094</f>
        <v>8.6353500000000007</v>
      </c>
      <c r="F22" s="445">
        <f>5.880256+2.755094</f>
        <v>8.6353500000000007</v>
      </c>
      <c r="G22"/>
      <c r="H22"/>
      <c r="I22"/>
      <c r="J22"/>
      <c r="K22"/>
      <c r="L22"/>
      <c r="M22"/>
      <c r="N22"/>
      <c r="O22"/>
    </row>
    <row r="23" spans="1:19">
      <c r="A23" s="9" t="s">
        <v>146</v>
      </c>
      <c r="B23" s="363">
        <v>2011</v>
      </c>
      <c r="C23" s="363" t="s">
        <v>188</v>
      </c>
      <c r="D23" s="365" t="s">
        <v>1269</v>
      </c>
      <c r="E23" s="411">
        <f>1.110288</f>
        <v>1.1102879999999999</v>
      </c>
      <c r="F23" s="411">
        <f>1.110288</f>
        <v>1.1102879999999999</v>
      </c>
      <c r="G23"/>
      <c r="H23"/>
      <c r="I23"/>
      <c r="J23"/>
      <c r="K23"/>
      <c r="L23"/>
      <c r="M23"/>
      <c r="N23"/>
      <c r="O23"/>
    </row>
    <row r="24" spans="1:19">
      <c r="A24" s="9" t="s">
        <v>1133</v>
      </c>
      <c r="B24" s="363">
        <v>2011</v>
      </c>
      <c r="C24" s="363" t="s">
        <v>188</v>
      </c>
      <c r="D24" s="365" t="s">
        <v>1269</v>
      </c>
      <c r="E24" s="411">
        <f>0.652716+15.11199+4.053189</f>
        <v>19.817895</v>
      </c>
      <c r="F24" s="411">
        <f>0.652716+15.11199+4.053189</f>
        <v>19.817895</v>
      </c>
      <c r="G24"/>
      <c r="H24"/>
      <c r="I24"/>
      <c r="J24"/>
      <c r="K24"/>
      <c r="L24"/>
      <c r="M24"/>
      <c r="N24"/>
      <c r="O24"/>
    </row>
    <row r="25" spans="1:19">
      <c r="A25" s="9" t="s">
        <v>1046</v>
      </c>
      <c r="B25" s="363">
        <v>2011</v>
      </c>
      <c r="C25" s="363" t="s">
        <v>188</v>
      </c>
      <c r="D25" s="365" t="s">
        <v>1269</v>
      </c>
      <c r="E25" s="411">
        <f>0.603811+11.52565+0.606781+0.607851+2.806034</f>
        <v>16.150127000000001</v>
      </c>
      <c r="F25" s="411">
        <f>0.603811+11.52565+0.606781+0.607851+2.806034</f>
        <v>16.150127000000001</v>
      </c>
      <c r="G25"/>
      <c r="H25"/>
      <c r="I25"/>
      <c r="J25"/>
      <c r="K25"/>
      <c r="L25"/>
      <c r="M25"/>
      <c r="N25"/>
      <c r="O25"/>
    </row>
    <row r="26" spans="1:19">
      <c r="A26" s="9" t="s">
        <v>161</v>
      </c>
      <c r="B26" s="363">
        <v>2011</v>
      </c>
      <c r="C26" s="363" t="s">
        <v>188</v>
      </c>
      <c r="D26" s="365" t="s">
        <v>1269</v>
      </c>
      <c r="E26" s="411">
        <f>10.5957+9.646484+9.932176</f>
        <v>30.17436</v>
      </c>
      <c r="F26" s="411">
        <f>10.5957+9.646484+9.932176</f>
        <v>30.17436</v>
      </c>
      <c r="G26"/>
      <c r="H26"/>
      <c r="I26"/>
      <c r="J26"/>
      <c r="K26"/>
      <c r="L26"/>
      <c r="M26"/>
      <c r="N26"/>
      <c r="O26"/>
    </row>
    <row r="27" spans="1:19">
      <c r="A27" s="362" t="s">
        <v>1264</v>
      </c>
      <c r="B27" s="363">
        <v>2012</v>
      </c>
      <c r="C27" s="363" t="s">
        <v>188</v>
      </c>
      <c r="D27" s="365" t="s">
        <v>1269</v>
      </c>
      <c r="E27" s="501">
        <f>SUM(E17:E26)</f>
        <v>411.88579500000003</v>
      </c>
      <c r="F27" s="501">
        <f>SUM(F17:F26)</f>
        <v>411.88579500000003</v>
      </c>
      <c r="G27"/>
      <c r="H27"/>
      <c r="I27"/>
      <c r="J27"/>
      <c r="K27"/>
      <c r="L27"/>
      <c r="M27"/>
      <c r="N27"/>
      <c r="O27"/>
    </row>
    <row r="29" spans="1:19" s="6" customFormat="1" ht="30" customHeight="1">
      <c r="A29" s="966" t="s">
        <v>1277</v>
      </c>
      <c r="B29" s="966"/>
      <c r="C29" s="966"/>
      <c r="D29" s="966"/>
      <c r="E29" s="966"/>
      <c r="F29" s="966"/>
      <c r="G29" s="966"/>
      <c r="H29" s="966"/>
      <c r="I29" s="966"/>
      <c r="J29" s="966"/>
      <c r="K29" s="966"/>
      <c r="L29" s="966"/>
      <c r="M29" s="966"/>
      <c r="N29" s="966"/>
      <c r="O29" s="966"/>
      <c r="P29" s="966"/>
      <c r="Q29" s="966"/>
      <c r="R29" s="966"/>
      <c r="S29" s="966"/>
    </row>
    <row r="30" spans="1:19" s="6" customFormat="1" ht="30" customHeight="1">
      <c r="A30" s="367" t="s">
        <v>138</v>
      </c>
      <c r="B30" s="361" t="s">
        <v>109</v>
      </c>
      <c r="C30" s="361" t="s">
        <v>139</v>
      </c>
      <c r="D30" s="361" t="s">
        <v>110</v>
      </c>
      <c r="E30" s="358" t="s">
        <v>1278</v>
      </c>
      <c r="F30"/>
      <c r="G30"/>
      <c r="H30"/>
      <c r="I30"/>
      <c r="J30"/>
      <c r="K30"/>
      <c r="L30"/>
      <c r="M30"/>
      <c r="N30"/>
      <c r="O30"/>
    </row>
    <row r="31" spans="1:19">
      <c r="A31" s="9" t="s">
        <v>213</v>
      </c>
      <c r="B31" s="363">
        <v>2011</v>
      </c>
      <c r="C31" s="363" t="s">
        <v>188</v>
      </c>
      <c r="D31" s="363" t="s">
        <v>1269</v>
      </c>
      <c r="E31" s="372">
        <f t="shared" ref="E31:E40" si="0">E17/$E$27</f>
        <v>0.14455526197498508</v>
      </c>
      <c r="F31"/>
      <c r="G31"/>
      <c r="H31"/>
      <c r="I31"/>
      <c r="J31"/>
      <c r="K31"/>
      <c r="L31"/>
      <c r="M31"/>
      <c r="N31"/>
      <c r="O31"/>
    </row>
    <row r="32" spans="1:19">
      <c r="A32" s="9" t="s">
        <v>215</v>
      </c>
      <c r="B32" s="363">
        <v>2011</v>
      </c>
      <c r="C32" s="363" t="s">
        <v>188</v>
      </c>
      <c r="D32" s="363" t="s">
        <v>1269</v>
      </c>
      <c r="E32" s="372">
        <f t="shared" si="0"/>
        <v>0.11656928348305869</v>
      </c>
      <c r="F32"/>
      <c r="G32"/>
      <c r="H32"/>
      <c r="I32"/>
      <c r="J32"/>
      <c r="K32"/>
      <c r="L32"/>
      <c r="M32"/>
      <c r="N32"/>
      <c r="O32"/>
    </row>
    <row r="33" spans="1:19">
      <c r="A33" s="9" t="s">
        <v>214</v>
      </c>
      <c r="B33" s="363">
        <v>2011</v>
      </c>
      <c r="C33" s="363" t="s">
        <v>188</v>
      </c>
      <c r="D33" s="363" t="s">
        <v>1269</v>
      </c>
      <c r="E33" s="372">
        <f t="shared" si="0"/>
        <v>0.16536072820865311</v>
      </c>
      <c r="F33"/>
      <c r="G33"/>
      <c r="H33"/>
      <c r="I33"/>
      <c r="J33"/>
      <c r="K33"/>
      <c r="L33"/>
      <c r="M33"/>
      <c r="N33"/>
      <c r="O33"/>
    </row>
    <row r="34" spans="1:19">
      <c r="A34" s="9" t="s">
        <v>216</v>
      </c>
      <c r="B34" s="363">
        <v>2011</v>
      </c>
      <c r="C34" s="363" t="s">
        <v>188</v>
      </c>
      <c r="D34" s="363" t="s">
        <v>1269</v>
      </c>
      <c r="E34" s="372">
        <f t="shared" si="0"/>
        <v>0.24969598186798356</v>
      </c>
      <c r="F34"/>
      <c r="G34"/>
      <c r="H34"/>
      <c r="I34"/>
      <c r="J34"/>
      <c r="K34"/>
      <c r="L34"/>
      <c r="M34"/>
      <c r="N34"/>
      <c r="O34"/>
    </row>
    <row r="35" spans="1:19">
      <c r="A35" s="9" t="s">
        <v>1131</v>
      </c>
      <c r="B35" s="363">
        <v>2011</v>
      </c>
      <c r="C35" s="363" t="s">
        <v>188</v>
      </c>
      <c r="D35" s="363" t="s">
        <v>1269</v>
      </c>
      <c r="E35" s="372">
        <f t="shared" si="0"/>
        <v>0.13957344899452043</v>
      </c>
      <c r="F35"/>
      <c r="G35"/>
      <c r="H35"/>
      <c r="I35"/>
      <c r="J35"/>
      <c r="K35"/>
      <c r="L35"/>
      <c r="M35"/>
      <c r="N35"/>
      <c r="O35"/>
    </row>
    <row r="36" spans="1:19">
      <c r="A36" s="9" t="s">
        <v>150</v>
      </c>
      <c r="B36" s="363">
        <v>2011</v>
      </c>
      <c r="C36" s="363" t="s">
        <v>188</v>
      </c>
      <c r="D36" s="363" t="s">
        <v>1269</v>
      </c>
      <c r="E36" s="372">
        <f t="shared" si="0"/>
        <v>2.096539891597864E-2</v>
      </c>
      <c r="F36"/>
      <c r="G36"/>
      <c r="H36"/>
      <c r="I36"/>
      <c r="J36"/>
      <c r="K36"/>
      <c r="L36"/>
      <c r="M36"/>
      <c r="N36"/>
      <c r="O36"/>
    </row>
    <row r="37" spans="1:19">
      <c r="A37" s="9" t="s">
        <v>146</v>
      </c>
      <c r="B37" s="363">
        <v>2011</v>
      </c>
      <c r="C37" s="363" t="s">
        <v>188</v>
      </c>
      <c r="D37" s="363" t="s">
        <v>1269</v>
      </c>
      <c r="E37" s="372">
        <f t="shared" si="0"/>
        <v>2.6956210033900292E-3</v>
      </c>
      <c r="F37"/>
      <c r="G37"/>
      <c r="H37"/>
      <c r="I37"/>
      <c r="J37"/>
      <c r="K37"/>
      <c r="L37"/>
      <c r="M37"/>
      <c r="N37"/>
      <c r="O37"/>
    </row>
    <row r="38" spans="1:19">
      <c r="A38" s="9" t="s">
        <v>1133</v>
      </c>
      <c r="B38" s="363">
        <v>2011</v>
      </c>
      <c r="C38" s="363" t="s">
        <v>188</v>
      </c>
      <c r="D38" s="363" t="s">
        <v>1269</v>
      </c>
      <c r="E38" s="372">
        <f t="shared" si="0"/>
        <v>4.8115024214418461E-2</v>
      </c>
      <c r="F38"/>
      <c r="G38"/>
      <c r="H38"/>
      <c r="I38"/>
      <c r="J38"/>
      <c r="K38"/>
      <c r="L38"/>
      <c r="M38"/>
      <c r="N38"/>
      <c r="O38"/>
    </row>
    <row r="39" spans="1:19">
      <c r="A39" s="9" t="s">
        <v>1046</v>
      </c>
      <c r="B39" s="363">
        <v>2011</v>
      </c>
      <c r="C39" s="363" t="s">
        <v>188</v>
      </c>
      <c r="D39" s="363" t="s">
        <v>1269</v>
      </c>
      <c r="E39" s="372">
        <f t="shared" si="0"/>
        <v>3.9210206314592613E-2</v>
      </c>
      <c r="F39"/>
      <c r="G39"/>
      <c r="H39"/>
      <c r="I39"/>
      <c r="J39"/>
      <c r="K39"/>
      <c r="L39"/>
      <c r="M39"/>
      <c r="N39"/>
      <c r="O39"/>
    </row>
    <row r="40" spans="1:19">
      <c r="A40" s="9" t="s">
        <v>161</v>
      </c>
      <c r="B40" s="363">
        <v>2012</v>
      </c>
      <c r="C40" s="363" t="s">
        <v>188</v>
      </c>
      <c r="D40" s="363" t="s">
        <v>1269</v>
      </c>
      <c r="E40" s="372">
        <f t="shared" si="0"/>
        <v>7.3259045022419381E-2</v>
      </c>
      <c r="F40"/>
      <c r="G40"/>
      <c r="H40"/>
      <c r="I40"/>
      <c r="J40"/>
      <c r="K40"/>
      <c r="L40"/>
      <c r="M40"/>
      <c r="N40"/>
      <c r="O40"/>
    </row>
    <row r="41" spans="1:19">
      <c r="A41"/>
      <c r="B41"/>
      <c r="C41"/>
      <c r="D41"/>
      <c r="E41"/>
      <c r="F41"/>
      <c r="G41"/>
      <c r="H41"/>
      <c r="I41"/>
      <c r="J41"/>
      <c r="K41"/>
      <c r="L41"/>
      <c r="M41"/>
      <c r="N41"/>
      <c r="O41"/>
    </row>
    <row r="42" spans="1:19" s="6" customFormat="1" ht="18.75">
      <c r="A42" s="966" t="s">
        <v>1279</v>
      </c>
      <c r="B42" s="966"/>
      <c r="C42" s="966"/>
      <c r="D42" s="966"/>
      <c r="E42" s="966"/>
      <c r="F42" s="966"/>
      <c r="G42" s="966"/>
      <c r="H42" s="966"/>
      <c r="I42" s="966"/>
      <c r="J42" s="966"/>
      <c r="K42" s="966"/>
      <c r="L42" s="966"/>
      <c r="M42" s="966"/>
      <c r="N42" s="966"/>
      <c r="O42" s="966"/>
      <c r="P42" s="966"/>
      <c r="Q42" s="966"/>
      <c r="R42" s="966"/>
      <c r="S42" s="966"/>
    </row>
    <row r="43" spans="1:19">
      <c r="A43" s="140" t="s">
        <v>137</v>
      </c>
      <c r="B43" s="1005" t="s">
        <v>138</v>
      </c>
      <c r="C43" s="1006"/>
      <c r="D43" s="361" t="s">
        <v>139</v>
      </c>
      <c r="E43" s="358" t="s">
        <v>110</v>
      </c>
      <c r="F43" s="1087" t="s">
        <v>1280</v>
      </c>
      <c r="G43" s="1087"/>
      <c r="H43"/>
      <c r="I43"/>
      <c r="J43"/>
      <c r="K43"/>
      <c r="L43"/>
      <c r="M43"/>
      <c r="N43"/>
      <c r="O43"/>
    </row>
    <row r="44" spans="1:19">
      <c r="A44" s="9" t="s">
        <v>213</v>
      </c>
      <c r="B44" s="1039" t="s">
        <v>175</v>
      </c>
      <c r="C44" s="1039"/>
      <c r="D44" s="363" t="s">
        <v>188</v>
      </c>
      <c r="E44" s="366" t="s">
        <v>1269</v>
      </c>
      <c r="F44" s="1086">
        <f t="shared" ref="F44:F52" si="1">E31*$E$13</f>
        <v>2.2854186918245141</v>
      </c>
      <c r="G44" s="1086"/>
      <c r="H44"/>
      <c r="I44"/>
      <c r="J44"/>
      <c r="K44"/>
      <c r="L44"/>
      <c r="M44"/>
      <c r="N44"/>
      <c r="O44"/>
    </row>
    <row r="45" spans="1:19">
      <c r="A45" s="9" t="s">
        <v>215</v>
      </c>
      <c r="B45" s="1039" t="s">
        <v>175</v>
      </c>
      <c r="C45" s="1039"/>
      <c r="D45" s="363" t="s">
        <v>188</v>
      </c>
      <c r="E45" s="366" t="s">
        <v>1269</v>
      </c>
      <c r="F45" s="1086">
        <f t="shared" si="1"/>
        <v>1.8429603718671579</v>
      </c>
      <c r="G45" s="1086"/>
      <c r="H45"/>
      <c r="I45"/>
      <c r="J45"/>
      <c r="K45"/>
      <c r="L45"/>
      <c r="M45"/>
      <c r="N45"/>
      <c r="O45"/>
    </row>
    <row r="46" spans="1:19">
      <c r="A46" s="9" t="s">
        <v>214</v>
      </c>
      <c r="B46" s="1039" t="s">
        <v>175</v>
      </c>
      <c r="C46" s="1039"/>
      <c r="D46" s="363" t="s">
        <v>188</v>
      </c>
      <c r="E46" s="366" t="s">
        <v>1269</v>
      </c>
      <c r="F46" s="1086">
        <f t="shared" si="1"/>
        <v>2.6143531129788058</v>
      </c>
      <c r="G46" s="1086"/>
      <c r="H46"/>
      <c r="I46"/>
      <c r="J46"/>
      <c r="K46"/>
      <c r="L46"/>
      <c r="M46"/>
      <c r="N46"/>
      <c r="O46"/>
    </row>
    <row r="47" spans="1:19">
      <c r="A47" s="9" t="s">
        <v>216</v>
      </c>
      <c r="B47" s="1039" t="s">
        <v>175</v>
      </c>
      <c r="C47" s="1039"/>
      <c r="D47" s="363" t="s">
        <v>188</v>
      </c>
      <c r="E47" s="366" t="s">
        <v>1269</v>
      </c>
      <c r="F47" s="1086">
        <f t="shared" si="1"/>
        <v>3.9476934733328202</v>
      </c>
      <c r="G47" s="1086"/>
      <c r="H47"/>
      <c r="I47"/>
      <c r="J47"/>
      <c r="K47"/>
      <c r="L47"/>
      <c r="M47"/>
      <c r="N47"/>
      <c r="O47"/>
    </row>
    <row r="48" spans="1:19">
      <c r="A48" s="9" t="s">
        <v>1131</v>
      </c>
      <c r="B48" s="1039" t="s">
        <v>175</v>
      </c>
      <c r="C48" s="1039"/>
      <c r="D48" s="363" t="s">
        <v>188</v>
      </c>
      <c r="E48" s="366" t="s">
        <v>1269</v>
      </c>
      <c r="F48" s="1086">
        <f t="shared" si="1"/>
        <v>2.206656228603368</v>
      </c>
      <c r="G48" s="1086"/>
      <c r="H48"/>
      <c r="I48"/>
      <c r="J48"/>
      <c r="K48"/>
      <c r="L48"/>
      <c r="M48"/>
      <c r="N48"/>
      <c r="O48"/>
    </row>
    <row r="49" spans="1:32">
      <c r="A49" s="9" t="s">
        <v>150</v>
      </c>
      <c r="B49" s="1039" t="s">
        <v>175</v>
      </c>
      <c r="C49" s="1039"/>
      <c r="D49" s="363" t="s">
        <v>188</v>
      </c>
      <c r="E49" s="366" t="s">
        <v>1269</v>
      </c>
      <c r="F49" s="1086">
        <f t="shared" si="1"/>
        <v>0.3314629568616223</v>
      </c>
      <c r="G49" s="1086"/>
      <c r="H49"/>
      <c r="I49"/>
      <c r="J49"/>
      <c r="K49"/>
      <c r="L49"/>
      <c r="M49"/>
      <c r="N49"/>
      <c r="O49"/>
    </row>
    <row r="50" spans="1:32">
      <c r="A50" s="9" t="s">
        <v>146</v>
      </c>
      <c r="B50" s="1039" t="s">
        <v>175</v>
      </c>
      <c r="C50" s="1039"/>
      <c r="D50" s="363" t="s">
        <v>188</v>
      </c>
      <c r="E50" s="366" t="s">
        <v>1269</v>
      </c>
      <c r="F50" s="1086">
        <f t="shared" si="1"/>
        <v>4.2617768063596365E-2</v>
      </c>
      <c r="G50" s="1086"/>
      <c r="H50"/>
      <c r="I50"/>
      <c r="J50"/>
      <c r="K50"/>
      <c r="L50"/>
      <c r="M50"/>
      <c r="N50"/>
      <c r="O50"/>
    </row>
    <row r="51" spans="1:32">
      <c r="A51" s="9" t="s">
        <v>1133</v>
      </c>
      <c r="B51" s="1039" t="s">
        <v>175</v>
      </c>
      <c r="C51" s="1039"/>
      <c r="D51" s="363" t="s">
        <v>188</v>
      </c>
      <c r="E51" s="366" t="s">
        <v>1269</v>
      </c>
      <c r="F51" s="1086">
        <f t="shared" si="1"/>
        <v>0.76069853282995592</v>
      </c>
      <c r="G51" s="1086"/>
      <c r="H51"/>
      <c r="I51"/>
      <c r="J51"/>
      <c r="K51"/>
      <c r="L51"/>
      <c r="M51"/>
      <c r="N51"/>
      <c r="O51"/>
    </row>
    <row r="52" spans="1:32">
      <c r="A52" s="9" t="s">
        <v>1046</v>
      </c>
      <c r="B52" s="1039" t="s">
        <v>175</v>
      </c>
      <c r="C52" s="1039"/>
      <c r="D52" s="363" t="s">
        <v>188</v>
      </c>
      <c r="E52" s="366" t="s">
        <v>1269</v>
      </c>
      <c r="F52" s="1086">
        <f t="shared" si="1"/>
        <v>0.61991336183370926</v>
      </c>
      <c r="G52" s="1086"/>
      <c r="H52"/>
      <c r="I52"/>
      <c r="J52"/>
      <c r="K52"/>
      <c r="L52"/>
      <c r="M52"/>
      <c r="N52"/>
      <c r="O52"/>
    </row>
    <row r="53" spans="1:32">
      <c r="A53" s="9" t="s">
        <v>161</v>
      </c>
      <c r="B53" s="1039" t="s">
        <v>175</v>
      </c>
      <c r="C53" s="1039"/>
      <c r="D53" s="363" t="s">
        <v>188</v>
      </c>
      <c r="E53" s="366" t="s">
        <v>1269</v>
      </c>
      <c r="F53" s="1086">
        <f t="shared" ref="F53" si="2">E40*$E$13</f>
        <v>1.1582255018044505</v>
      </c>
      <c r="G53" s="1086"/>
      <c r="H53"/>
      <c r="I53"/>
      <c r="J53"/>
      <c r="K53"/>
      <c r="L53"/>
      <c r="M53"/>
      <c r="N53"/>
      <c r="O53"/>
    </row>
    <row r="54" spans="1:32">
      <c r="A54"/>
      <c r="B54"/>
      <c r="C54"/>
      <c r="D54"/>
      <c r="E54"/>
      <c r="F54"/>
      <c r="G54"/>
      <c r="H54"/>
      <c r="I54"/>
      <c r="J54"/>
      <c r="K54"/>
      <c r="L54"/>
      <c r="M54"/>
      <c r="N54"/>
      <c r="O54"/>
    </row>
    <row r="55" spans="1:32" s="6" customFormat="1" ht="18.75">
      <c r="A55" s="966" t="s">
        <v>15</v>
      </c>
      <c r="B55" s="966"/>
      <c r="C55" s="966"/>
      <c r="D55" s="966"/>
      <c r="E55" s="966"/>
      <c r="F55" s="966"/>
      <c r="G55" s="966"/>
      <c r="H55" s="966"/>
      <c r="I55" s="966"/>
      <c r="J55" s="966"/>
      <c r="K55" s="966"/>
      <c r="L55" s="966"/>
      <c r="M55" s="966"/>
      <c r="N55" s="966"/>
      <c r="O55" s="966"/>
      <c r="P55" s="966"/>
      <c r="Q55" s="966"/>
      <c r="R55" s="966"/>
      <c r="S55" s="966"/>
    </row>
    <row r="56" spans="1:32" s="6" customFormat="1">
      <c r="A56" s="140" t="s">
        <v>137</v>
      </c>
      <c r="B56" s="1005" t="s">
        <v>138</v>
      </c>
      <c r="C56" s="1006"/>
      <c r="D56" s="361" t="s">
        <v>139</v>
      </c>
      <c r="E56" s="358" t="s">
        <v>110</v>
      </c>
      <c r="F56" s="1087" t="s">
        <v>1281</v>
      </c>
      <c r="G56" s="1087"/>
      <c r="AD56"/>
      <c r="AE56"/>
      <c r="AF56"/>
    </row>
    <row r="57" spans="1:32">
      <c r="A57" s="9" t="s">
        <v>213</v>
      </c>
      <c r="B57" s="1039" t="s">
        <v>175</v>
      </c>
      <c r="C57" s="1039"/>
      <c r="D57" s="363" t="s">
        <v>188</v>
      </c>
      <c r="E57" s="366" t="s">
        <v>1269</v>
      </c>
      <c r="F57" s="1086">
        <f t="shared" ref="F57:F66" si="3">F44/F17</f>
        <v>3.8384426440343733E-2</v>
      </c>
      <c r="G57" s="1086"/>
    </row>
    <row r="58" spans="1:32">
      <c r="A58" s="9" t="s">
        <v>215</v>
      </c>
      <c r="B58" s="1039" t="s">
        <v>175</v>
      </c>
      <c r="C58" s="1039"/>
      <c r="D58" s="363" t="s">
        <v>188</v>
      </c>
      <c r="E58" s="366" t="s">
        <v>1269</v>
      </c>
      <c r="F58" s="1086">
        <f t="shared" si="3"/>
        <v>3.8384426440343733E-2</v>
      </c>
      <c r="G58" s="1086"/>
    </row>
    <row r="59" spans="1:32">
      <c r="A59" s="9" t="s">
        <v>214</v>
      </c>
      <c r="B59" s="1039" t="s">
        <v>175</v>
      </c>
      <c r="C59" s="1039"/>
      <c r="D59" s="363" t="s">
        <v>188</v>
      </c>
      <c r="E59" s="366" t="s">
        <v>1269</v>
      </c>
      <c r="F59" s="1086">
        <f t="shared" si="3"/>
        <v>3.838442644034374E-2</v>
      </c>
      <c r="G59" s="1086"/>
    </row>
    <row r="60" spans="1:32">
      <c r="A60" s="9" t="s">
        <v>216</v>
      </c>
      <c r="B60" s="1039" t="s">
        <v>175</v>
      </c>
      <c r="C60" s="1039"/>
      <c r="D60" s="363" t="s">
        <v>188</v>
      </c>
      <c r="E60" s="366" t="s">
        <v>1269</v>
      </c>
      <c r="F60" s="1086">
        <f t="shared" si="3"/>
        <v>3.8384426440343733E-2</v>
      </c>
      <c r="G60" s="1086"/>
    </row>
    <row r="61" spans="1:32">
      <c r="A61" s="9" t="s">
        <v>1131</v>
      </c>
      <c r="B61" s="1039" t="s">
        <v>175</v>
      </c>
      <c r="C61" s="1039"/>
      <c r="D61" s="363" t="s">
        <v>188</v>
      </c>
      <c r="E61" s="366" t="s">
        <v>1269</v>
      </c>
      <c r="F61" s="1086">
        <f t="shared" si="3"/>
        <v>3.8384426440343733E-2</v>
      </c>
      <c r="G61" s="1086"/>
    </row>
    <row r="62" spans="1:32">
      <c r="A62" s="9" t="s">
        <v>150</v>
      </c>
      <c r="B62" s="1039" t="s">
        <v>175</v>
      </c>
      <c r="C62" s="1039"/>
      <c r="D62" s="363" t="s">
        <v>188</v>
      </c>
      <c r="E62" s="366" t="s">
        <v>1269</v>
      </c>
      <c r="F62" s="1086">
        <f t="shared" si="3"/>
        <v>3.8384426440343733E-2</v>
      </c>
      <c r="G62" s="1086"/>
    </row>
    <row r="63" spans="1:32">
      <c r="A63" s="9" t="s">
        <v>146</v>
      </c>
      <c r="B63" s="1039" t="s">
        <v>175</v>
      </c>
      <c r="C63" s="1039"/>
      <c r="D63" s="363" t="s">
        <v>188</v>
      </c>
      <c r="E63" s="366" t="s">
        <v>1269</v>
      </c>
      <c r="F63" s="1086">
        <f t="shared" si="3"/>
        <v>3.838442644034374E-2</v>
      </c>
      <c r="G63" s="1086"/>
    </row>
    <row r="64" spans="1:32">
      <c r="A64" s="9" t="s">
        <v>1133</v>
      </c>
      <c r="B64" s="1039" t="s">
        <v>175</v>
      </c>
      <c r="C64" s="1039"/>
      <c r="D64" s="363" t="s">
        <v>188</v>
      </c>
      <c r="E64" s="366" t="s">
        <v>1269</v>
      </c>
      <c r="F64" s="1086">
        <f t="shared" si="3"/>
        <v>3.8384426440343733E-2</v>
      </c>
      <c r="G64" s="1086"/>
    </row>
    <row r="65" spans="1:7">
      <c r="A65" s="9" t="s">
        <v>1046</v>
      </c>
      <c r="B65" s="1039" t="s">
        <v>175</v>
      </c>
      <c r="C65" s="1039"/>
      <c r="D65" s="363" t="s">
        <v>188</v>
      </c>
      <c r="E65" s="366" t="s">
        <v>1269</v>
      </c>
      <c r="F65" s="1086">
        <f t="shared" si="3"/>
        <v>3.8384426440343733E-2</v>
      </c>
      <c r="G65" s="1086"/>
    </row>
    <row r="66" spans="1:7">
      <c r="A66" s="9" t="s">
        <v>161</v>
      </c>
      <c r="B66" s="1039" t="s">
        <v>175</v>
      </c>
      <c r="C66" s="1039"/>
      <c r="D66" s="363" t="s">
        <v>188</v>
      </c>
      <c r="E66" s="366" t="s">
        <v>1269</v>
      </c>
      <c r="F66" s="1086">
        <f t="shared" si="3"/>
        <v>3.838442644034374E-2</v>
      </c>
      <c r="G66" s="1086"/>
    </row>
  </sheetData>
  <mergeCells count="63">
    <mergeCell ref="A42:S42"/>
    <mergeCell ref="A29:S29"/>
    <mergeCell ref="E9:J9"/>
    <mergeCell ref="K2:S2"/>
    <mergeCell ref="K3:S3"/>
    <mergeCell ref="K4:S4"/>
    <mergeCell ref="E2:J2"/>
    <mergeCell ref="A1:S1"/>
    <mergeCell ref="A11:S11"/>
    <mergeCell ref="A15:S15"/>
    <mergeCell ref="K8:S8"/>
    <mergeCell ref="K9:S9"/>
    <mergeCell ref="E8:J8"/>
    <mergeCell ref="E5:J5"/>
    <mergeCell ref="E4:J4"/>
    <mergeCell ref="E3:J3"/>
    <mergeCell ref="A7:S7"/>
    <mergeCell ref="K5:S5"/>
    <mergeCell ref="B56:C56"/>
    <mergeCell ref="F56:G56"/>
    <mergeCell ref="B57:C57"/>
    <mergeCell ref="F57:G57"/>
    <mergeCell ref="B58:C58"/>
    <mergeCell ref="F58:G58"/>
    <mergeCell ref="B59:C59"/>
    <mergeCell ref="F59:G59"/>
    <mergeCell ref="B60:C60"/>
    <mergeCell ref="F60:G60"/>
    <mergeCell ref="B61:C61"/>
    <mergeCell ref="F61:G61"/>
    <mergeCell ref="B62:C62"/>
    <mergeCell ref="F62:G62"/>
    <mergeCell ref="B63:C63"/>
    <mergeCell ref="F63:G63"/>
    <mergeCell ref="B64:C64"/>
    <mergeCell ref="F64:G64"/>
    <mergeCell ref="B65:C65"/>
    <mergeCell ref="F65:G65"/>
    <mergeCell ref="B66:C66"/>
    <mergeCell ref="F66:G66"/>
    <mergeCell ref="B43:C43"/>
    <mergeCell ref="F43:G43"/>
    <mergeCell ref="B44:C44"/>
    <mergeCell ref="F44:G44"/>
    <mergeCell ref="B45:C45"/>
    <mergeCell ref="F45:G45"/>
    <mergeCell ref="B46:C46"/>
    <mergeCell ref="F46:G46"/>
    <mergeCell ref="B47:C47"/>
    <mergeCell ref="F47:G47"/>
    <mergeCell ref="B48:C48"/>
    <mergeCell ref="F48:G48"/>
    <mergeCell ref="B49:C49"/>
    <mergeCell ref="F49:G49"/>
    <mergeCell ref="B50:C50"/>
    <mergeCell ref="F50:G50"/>
    <mergeCell ref="B51:C51"/>
    <mergeCell ref="F51:G51"/>
    <mergeCell ref="A55:S55"/>
    <mergeCell ref="B52:C52"/>
    <mergeCell ref="F52:G52"/>
    <mergeCell ref="B53:C53"/>
    <mergeCell ref="F53:G53"/>
  </mergeCells>
  <hyperlinks>
    <hyperlink ref="E3" r:id="rId1" xr:uid="{EC478C41-FD79-4A80-90A5-A4C995E9C799}"/>
    <hyperlink ref="E4" r:id="rId2" xr:uid="{0BE46C12-9DCE-4514-AC21-F5B12C7BE577}"/>
    <hyperlink ref="E9" r:id="rId3" xr:uid="{8944310B-A01A-4335-80FB-61F4F7599E86}"/>
  </hyperlinks>
  <pageMargins left="0.7" right="0.7" top="0.75" bottom="0.75" header="0.3" footer="0.3"/>
  <pageSetup paperSize="9" orientation="portrait" horizontalDpi="4294967293" verticalDpi="0" r:id="rId4"/>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22641-4272-444A-947A-30524556CEF4}">
  <sheetPr>
    <tabColor theme="8"/>
  </sheetPr>
  <dimension ref="A1:AB76"/>
  <sheetViews>
    <sheetView workbookViewId="0">
      <selection activeCell="S18" sqref="S18"/>
    </sheetView>
  </sheetViews>
  <sheetFormatPr defaultRowHeight="15"/>
  <cols>
    <col min="1" max="1" width="9.7109375" bestFit="1" customWidth="1"/>
    <col min="6" max="6" width="27.28515625" bestFit="1" customWidth="1"/>
    <col min="7" max="7" width="26.5703125" customWidth="1"/>
    <col min="8" max="8" width="24.140625" bestFit="1" customWidth="1"/>
  </cols>
  <sheetData>
    <row r="1" spans="1:28">
      <c r="A1" t="s">
        <v>1189</v>
      </c>
      <c r="K1" t="s">
        <v>1282</v>
      </c>
    </row>
    <row r="2" spans="1:28">
      <c r="A2" s="140" t="s">
        <v>1186</v>
      </c>
      <c r="B2" s="140" t="s">
        <v>109</v>
      </c>
      <c r="C2" s="140" t="s">
        <v>190</v>
      </c>
      <c r="D2" s="140" t="s">
        <v>188</v>
      </c>
      <c r="E2" s="140" t="s">
        <v>1187</v>
      </c>
      <c r="F2" s="379" t="s">
        <v>112</v>
      </c>
      <c r="G2" s="228" t="s">
        <v>1188</v>
      </c>
      <c r="H2" s="228" t="s">
        <v>1283</v>
      </c>
      <c r="K2" s="140" t="s">
        <v>1186</v>
      </c>
      <c r="L2" s="140" t="s">
        <v>109</v>
      </c>
      <c r="M2" s="140" t="s">
        <v>190</v>
      </c>
      <c r="N2" s="140" t="s">
        <v>188</v>
      </c>
      <c r="O2" s="228" t="s">
        <v>1188</v>
      </c>
      <c r="P2" s="228" t="s">
        <v>1283</v>
      </c>
    </row>
    <row r="3" spans="1:28">
      <c r="A3" s="392" t="s">
        <v>1189</v>
      </c>
      <c r="B3" s="366">
        <v>1990</v>
      </c>
      <c r="C3" s="396">
        <v>418764395</v>
      </c>
      <c r="D3" s="396">
        <v>14951510</v>
      </c>
      <c r="E3" s="393"/>
      <c r="F3" s="394" t="s">
        <v>1284</v>
      </c>
      <c r="G3" s="378">
        <f t="shared" ref="G3:G12" si="0">D3/C3</f>
        <v>3.5703871146924991E-2</v>
      </c>
      <c r="H3" s="378">
        <f>C3/D3</f>
        <v>28.008167402489782</v>
      </c>
      <c r="K3" s="392" t="s">
        <v>1189</v>
      </c>
      <c r="L3" s="366">
        <v>2010</v>
      </c>
      <c r="M3" s="396">
        <f>B66</f>
        <v>441583436</v>
      </c>
      <c r="N3" s="396">
        <f>C66</f>
        <v>16615394</v>
      </c>
      <c r="O3" s="918">
        <f t="shared" ref="O3:O13" si="1">N3/M3</f>
        <v>3.7626850659316848E-2</v>
      </c>
      <c r="P3" s="378">
        <f t="shared" ref="P3:P13" si="2">M3/N3</f>
        <v>26.576765859419282</v>
      </c>
    </row>
    <row r="4" spans="1:28">
      <c r="A4" s="392" t="s">
        <v>1189</v>
      </c>
      <c r="B4" s="366">
        <v>1995</v>
      </c>
      <c r="C4" s="396">
        <v>424301173</v>
      </c>
      <c r="D4" s="396">
        <v>15459006</v>
      </c>
      <c r="E4" s="391"/>
      <c r="F4" s="395" t="s">
        <v>1284</v>
      </c>
      <c r="G4" s="378">
        <f t="shared" si="0"/>
        <v>3.6434040214166456E-2</v>
      </c>
      <c r="H4" s="378">
        <f t="shared" ref="H4:H12" si="3">C4/D4</f>
        <v>27.446859972756332</v>
      </c>
      <c r="K4" s="392" t="s">
        <v>1189</v>
      </c>
      <c r="L4" s="366">
        <v>2011</v>
      </c>
      <c r="M4" s="396">
        <f t="shared" ref="M4:M13" si="4">B67</f>
        <v>440916055</v>
      </c>
      <c r="N4" s="396">
        <f t="shared" ref="N4:N13" si="5">C67</f>
        <v>16693074</v>
      </c>
      <c r="O4" s="918">
        <f t="shared" si="1"/>
        <v>3.7859982213621142E-2</v>
      </c>
      <c r="P4" s="378">
        <f t="shared" si="2"/>
        <v>26.413113306752251</v>
      </c>
    </row>
    <row r="5" spans="1:28">
      <c r="A5" s="392" t="s">
        <v>1189</v>
      </c>
      <c r="B5" s="366">
        <v>2000</v>
      </c>
      <c r="C5" s="396">
        <v>428929021</v>
      </c>
      <c r="D5" s="396">
        <v>15925513</v>
      </c>
      <c r="E5" s="391"/>
      <c r="F5" s="395" t="s">
        <v>1284</v>
      </c>
      <c r="G5" s="378">
        <f t="shared" si="0"/>
        <v>3.7128550926378096E-2</v>
      </c>
      <c r="H5" s="378">
        <f t="shared" si="3"/>
        <v>26.933450809402498</v>
      </c>
      <c r="K5" s="392" t="s">
        <v>1189</v>
      </c>
      <c r="L5" s="366">
        <v>2012</v>
      </c>
      <c r="M5" s="396">
        <f t="shared" si="4"/>
        <v>441511575</v>
      </c>
      <c r="N5" s="396">
        <f t="shared" si="5"/>
        <v>16754962</v>
      </c>
      <c r="O5" s="918">
        <f t="shared" si="1"/>
        <v>3.7949088877228192E-2</v>
      </c>
      <c r="P5" s="378">
        <f t="shared" si="2"/>
        <v>26.351093783441584</v>
      </c>
    </row>
    <row r="6" spans="1:28">
      <c r="A6" s="392" t="s">
        <v>1189</v>
      </c>
      <c r="B6" s="366">
        <v>2005</v>
      </c>
      <c r="C6" s="396">
        <v>435116254</v>
      </c>
      <c r="D6" s="396">
        <v>16319868</v>
      </c>
      <c r="E6" s="391"/>
      <c r="F6" s="395" t="s">
        <v>1284</v>
      </c>
      <c r="G6" s="378">
        <f t="shared" si="0"/>
        <v>3.7506914186662396E-2</v>
      </c>
      <c r="H6" s="378">
        <f t="shared" si="3"/>
        <v>26.661750818082599</v>
      </c>
      <c r="K6" s="392" t="s">
        <v>1189</v>
      </c>
      <c r="L6" s="366">
        <v>2013</v>
      </c>
      <c r="M6" s="396">
        <f t="shared" si="4"/>
        <v>441904222</v>
      </c>
      <c r="N6" s="396">
        <f t="shared" si="5"/>
        <v>16804432</v>
      </c>
      <c r="O6" s="918">
        <f t="shared" si="1"/>
        <v>3.8027317150185543E-2</v>
      </c>
      <c r="P6" s="378">
        <f t="shared" si="2"/>
        <v>26.296885369288294</v>
      </c>
    </row>
    <row r="7" spans="1:28">
      <c r="A7" s="392" t="s">
        <v>1189</v>
      </c>
      <c r="B7" s="366">
        <v>2010</v>
      </c>
      <c r="C7" s="396">
        <v>441041446</v>
      </c>
      <c r="D7" s="396">
        <v>16615394</v>
      </c>
      <c r="E7" s="391"/>
      <c r="F7" s="395" t="s">
        <v>1284</v>
      </c>
      <c r="G7" s="378">
        <f t="shared" si="0"/>
        <v>3.7673089798458535E-2</v>
      </c>
      <c r="H7" s="378">
        <f t="shared" si="3"/>
        <v>26.544146109324881</v>
      </c>
      <c r="K7" s="392" t="s">
        <v>1189</v>
      </c>
      <c r="L7" s="366">
        <v>2014</v>
      </c>
      <c r="M7" s="396">
        <f t="shared" si="4"/>
        <v>442587737</v>
      </c>
      <c r="N7" s="396">
        <f t="shared" si="5"/>
        <v>16865008</v>
      </c>
      <c r="O7" s="918">
        <f t="shared" si="1"/>
        <v>3.8105457042972704E-2</v>
      </c>
      <c r="P7" s="378">
        <f t="shared" si="2"/>
        <v>26.242960394682292</v>
      </c>
    </row>
    <row r="8" spans="1:28">
      <c r="A8" s="392" t="s">
        <v>1189</v>
      </c>
      <c r="B8" s="366">
        <v>2015</v>
      </c>
      <c r="C8" s="396">
        <v>444234821</v>
      </c>
      <c r="D8" s="396">
        <v>16939923</v>
      </c>
      <c r="E8" s="391"/>
      <c r="F8" s="395" t="s">
        <v>1284</v>
      </c>
      <c r="G8" s="378">
        <f t="shared" si="0"/>
        <v>3.8132812195737352E-2</v>
      </c>
      <c r="H8" s="378">
        <f t="shared" si="3"/>
        <v>26.224134607931806</v>
      </c>
      <c r="K8" s="392" t="s">
        <v>1189</v>
      </c>
      <c r="L8" s="366">
        <v>2015</v>
      </c>
      <c r="M8" s="396">
        <f t="shared" si="4"/>
        <v>443449425</v>
      </c>
      <c r="N8" s="396">
        <f t="shared" si="5"/>
        <v>16939923</v>
      </c>
      <c r="O8" s="918">
        <f t="shared" si="1"/>
        <v>3.8200349453604544E-2</v>
      </c>
      <c r="P8" s="378">
        <f t="shared" si="2"/>
        <v>26.177770996951992</v>
      </c>
    </row>
    <row r="9" spans="1:28">
      <c r="A9" s="392" t="s">
        <v>1189</v>
      </c>
      <c r="B9" s="366">
        <v>2019</v>
      </c>
      <c r="C9" s="396">
        <v>447022255</v>
      </c>
      <c r="D9" s="396">
        <v>17344874</v>
      </c>
      <c r="E9" s="391"/>
      <c r="F9" s="395" t="s">
        <v>1284</v>
      </c>
      <c r="G9" s="378">
        <f t="shared" si="0"/>
        <v>3.8800918312221391E-2</v>
      </c>
      <c r="H9" s="378">
        <f t="shared" si="3"/>
        <v>25.772585894829792</v>
      </c>
      <c r="K9" s="392" t="s">
        <v>1189</v>
      </c>
      <c r="L9" s="366">
        <v>2016</v>
      </c>
      <c r="M9" s="396">
        <f t="shared" si="4"/>
        <v>444320232</v>
      </c>
      <c r="N9" s="396">
        <f t="shared" si="5"/>
        <v>17030314</v>
      </c>
      <c r="O9" s="918">
        <f t="shared" si="1"/>
        <v>3.8328918589509556E-2</v>
      </c>
      <c r="P9" s="378">
        <f t="shared" si="2"/>
        <v>26.089961230309669</v>
      </c>
    </row>
    <row r="10" spans="1:28">
      <c r="A10" s="392" t="s">
        <v>1189</v>
      </c>
      <c r="B10" s="366">
        <v>2020</v>
      </c>
      <c r="C10" s="396">
        <v>447346360</v>
      </c>
      <c r="D10" s="396">
        <v>17441500</v>
      </c>
      <c r="E10" s="393" t="s">
        <v>1190</v>
      </c>
      <c r="F10" s="394" t="s">
        <v>1284</v>
      </c>
      <c r="G10" s="378">
        <f>D10/C10</f>
        <v>3.8988805005588961E-2</v>
      </c>
      <c r="H10" s="378">
        <f t="shared" si="3"/>
        <v>25.648388040019494</v>
      </c>
      <c r="K10" s="392" t="s">
        <v>1189</v>
      </c>
      <c r="L10" s="366">
        <v>2017</v>
      </c>
      <c r="M10" s="396">
        <f t="shared" si="4"/>
        <v>444971270</v>
      </c>
      <c r="N10" s="396">
        <f t="shared" si="5"/>
        <v>17131296</v>
      </c>
      <c r="O10" s="918">
        <f t="shared" si="1"/>
        <v>3.849977999703217E-2</v>
      </c>
      <c r="P10" s="378">
        <f t="shared" si="2"/>
        <v>25.974174399881946</v>
      </c>
    </row>
    <row r="11" spans="1:28">
      <c r="A11" s="392" t="s">
        <v>1189</v>
      </c>
      <c r="B11" s="391">
        <v>2021</v>
      </c>
      <c r="C11" s="396">
        <v>446904604</v>
      </c>
      <c r="D11" s="396">
        <v>17533044</v>
      </c>
      <c r="E11" s="391"/>
      <c r="F11" s="395" t="s">
        <v>1284</v>
      </c>
      <c r="G11" s="378">
        <f t="shared" si="0"/>
        <v>3.923218477292751E-2</v>
      </c>
      <c r="H11" s="378">
        <f t="shared" si="3"/>
        <v>25.489276362963555</v>
      </c>
      <c r="K11" s="392" t="s">
        <v>1189</v>
      </c>
      <c r="L11" s="366">
        <v>2018</v>
      </c>
      <c r="M11" s="396">
        <f t="shared" si="4"/>
        <v>445982757</v>
      </c>
      <c r="N11" s="396">
        <f t="shared" si="5"/>
        <v>17231624</v>
      </c>
      <c r="O11" s="918">
        <f t="shared" si="1"/>
        <v>3.8637422029300567E-2</v>
      </c>
      <c r="P11" s="378">
        <f t="shared" si="2"/>
        <v>25.881643947198476</v>
      </c>
    </row>
    <row r="12" spans="1:28">
      <c r="A12" s="392" t="s">
        <v>1189</v>
      </c>
      <c r="B12" s="391">
        <v>2022</v>
      </c>
      <c r="C12" s="396">
        <v>447033117</v>
      </c>
      <c r="D12" s="396">
        <v>17700982</v>
      </c>
      <c r="E12" s="391"/>
      <c r="F12" s="395" t="s">
        <v>1284</v>
      </c>
      <c r="G12" s="378">
        <f t="shared" si="0"/>
        <v>3.9596578702691503E-2</v>
      </c>
      <c r="H12" s="378">
        <f t="shared" si="3"/>
        <v>25.254707168223774</v>
      </c>
      <c r="K12" s="392" t="s">
        <v>1189</v>
      </c>
      <c r="L12" s="366">
        <v>2019</v>
      </c>
      <c r="M12" s="396">
        <f t="shared" si="4"/>
        <v>446575615</v>
      </c>
      <c r="N12" s="396">
        <f t="shared" si="5"/>
        <v>17344874</v>
      </c>
      <c r="O12" s="918">
        <f t="shared" si="1"/>
        <v>3.8839724824652595E-2</v>
      </c>
      <c r="P12" s="378">
        <f t="shared" si="2"/>
        <v>25.746835347434637</v>
      </c>
    </row>
    <row r="13" spans="1:28">
      <c r="K13" s="392" t="s">
        <v>1189</v>
      </c>
      <c r="L13" s="366">
        <v>2020</v>
      </c>
      <c r="M13" s="396">
        <f t="shared" si="4"/>
        <v>446547542</v>
      </c>
      <c r="N13" s="396">
        <f t="shared" si="5"/>
        <v>17441500</v>
      </c>
      <c r="O13" s="918">
        <f t="shared" si="1"/>
        <v>3.9058551127351182E-2</v>
      </c>
      <c r="P13" s="378">
        <f t="shared" si="2"/>
        <v>25.602588194822694</v>
      </c>
    </row>
    <row r="14" spans="1:28">
      <c r="B14" s="399" t="s">
        <v>1285</v>
      </c>
      <c r="C14" s="397"/>
      <c r="D14" s="397"/>
      <c r="E14" s="397"/>
      <c r="F14" s="397"/>
      <c r="G14" s="397"/>
      <c r="H14" s="397"/>
      <c r="I14" s="397"/>
      <c r="J14" s="397"/>
      <c r="K14" s="397" t="s">
        <v>1286</v>
      </c>
      <c r="L14" s="397"/>
      <c r="M14" s="397"/>
      <c r="N14" s="397"/>
      <c r="O14" s="397"/>
      <c r="P14" s="397"/>
      <c r="Q14" s="397"/>
      <c r="R14" s="397"/>
      <c r="S14" s="397"/>
      <c r="T14" s="397"/>
      <c r="U14" s="397"/>
      <c r="V14" s="397"/>
      <c r="W14" s="397"/>
      <c r="X14" s="397"/>
      <c r="Y14" s="397"/>
      <c r="Z14" s="397"/>
      <c r="AA14" s="397"/>
      <c r="AB14" s="397"/>
    </row>
    <row r="15" spans="1:28">
      <c r="B15" s="399" t="s">
        <v>1287</v>
      </c>
      <c r="C15" s="398" t="s">
        <v>1288</v>
      </c>
      <c r="D15" s="397"/>
      <c r="E15" s="397"/>
      <c r="F15" s="397"/>
      <c r="G15" s="397"/>
      <c r="H15" s="397"/>
      <c r="I15" s="397"/>
      <c r="J15" s="397"/>
      <c r="L15" s="397"/>
      <c r="M15" s="397"/>
      <c r="N15" s="397"/>
      <c r="O15" s="397"/>
      <c r="P15" s="397"/>
      <c r="Q15" s="397"/>
      <c r="R15" s="397"/>
      <c r="S15" s="397"/>
      <c r="T15" s="397"/>
      <c r="U15" s="397"/>
      <c r="V15" s="397"/>
      <c r="W15" s="397"/>
      <c r="X15" s="397"/>
      <c r="Y15" s="397"/>
      <c r="Z15" s="397"/>
      <c r="AA15" s="397"/>
      <c r="AB15" s="397"/>
    </row>
    <row r="16" spans="1:28">
      <c r="B16" s="399" t="s">
        <v>1289</v>
      </c>
      <c r="C16" s="399" t="s">
        <v>1290</v>
      </c>
      <c r="D16" s="397"/>
      <c r="E16" s="397"/>
      <c r="F16" s="397"/>
      <c r="G16" s="397"/>
      <c r="H16" s="397"/>
      <c r="I16" s="397"/>
      <c r="J16" s="397"/>
      <c r="K16" s="397"/>
      <c r="L16" s="397"/>
      <c r="M16" s="397"/>
      <c r="N16" s="397"/>
      <c r="O16" s="397"/>
      <c r="P16" s="397"/>
      <c r="Q16" s="397"/>
      <c r="R16" s="397"/>
      <c r="S16" s="397"/>
      <c r="T16" s="397"/>
      <c r="U16" s="397"/>
      <c r="V16" s="397"/>
      <c r="W16" s="397"/>
      <c r="X16" s="397"/>
      <c r="Y16" s="397"/>
      <c r="Z16" s="397"/>
      <c r="AA16" s="397"/>
      <c r="AB16" s="397"/>
    </row>
    <row r="17" spans="2:28">
      <c r="B17" s="397"/>
      <c r="C17" s="397"/>
      <c r="D17" s="397"/>
      <c r="E17" s="397"/>
      <c r="F17" s="397"/>
      <c r="G17" s="397"/>
      <c r="H17" s="397"/>
      <c r="I17" s="397"/>
      <c r="J17" s="397"/>
      <c r="K17" s="397"/>
      <c r="L17" s="397"/>
      <c r="M17" s="397"/>
      <c r="N17" s="397"/>
      <c r="O17" s="397"/>
      <c r="P17" s="397"/>
      <c r="Q17" s="397"/>
      <c r="R17" s="397"/>
      <c r="S17" s="397"/>
      <c r="T17" s="397"/>
      <c r="U17" s="397"/>
      <c r="V17" s="397"/>
      <c r="W17" s="397"/>
      <c r="X17" s="397"/>
      <c r="Y17" s="397"/>
      <c r="Z17" s="397"/>
      <c r="AA17" s="397"/>
      <c r="AB17" s="397"/>
    </row>
    <row r="18" spans="2:28">
      <c r="B18" s="398" t="s">
        <v>1291</v>
      </c>
      <c r="C18" s="397"/>
      <c r="D18" s="399" t="s">
        <v>1292</v>
      </c>
      <c r="E18" s="397"/>
      <c r="F18" s="397"/>
      <c r="G18" s="397"/>
      <c r="H18" s="397"/>
      <c r="I18" s="397"/>
      <c r="J18" s="397"/>
      <c r="K18" s="397"/>
      <c r="L18" s="397"/>
      <c r="M18" s="397"/>
      <c r="N18" s="397"/>
      <c r="O18" s="397"/>
      <c r="P18" s="397"/>
      <c r="Q18" s="397"/>
      <c r="R18" s="397"/>
      <c r="S18" s="397"/>
      <c r="T18" s="397"/>
      <c r="U18" s="397"/>
      <c r="V18" s="397"/>
      <c r="W18" s="397"/>
      <c r="X18" s="397"/>
      <c r="Y18" s="397"/>
      <c r="Z18" s="397"/>
      <c r="AA18" s="397"/>
      <c r="AB18" s="397"/>
    </row>
    <row r="19" spans="2:28">
      <c r="B19" s="398" t="s">
        <v>1293</v>
      </c>
      <c r="C19" s="397"/>
      <c r="D19" s="399" t="s">
        <v>1294</v>
      </c>
      <c r="E19" s="397"/>
      <c r="F19" s="397"/>
      <c r="G19" s="397"/>
      <c r="H19" s="397"/>
      <c r="I19" s="397"/>
      <c r="J19" s="397"/>
      <c r="K19" s="397"/>
      <c r="L19" s="397"/>
      <c r="M19" s="397"/>
      <c r="N19" s="397"/>
      <c r="O19" s="397"/>
      <c r="P19" s="397"/>
      <c r="Q19" s="397"/>
      <c r="R19" s="397"/>
      <c r="S19" s="397"/>
      <c r="T19" s="397"/>
      <c r="U19" s="397"/>
      <c r="V19" s="397"/>
      <c r="W19" s="397"/>
      <c r="X19" s="397"/>
      <c r="Y19" s="397"/>
      <c r="Z19" s="397"/>
      <c r="AA19" s="397"/>
      <c r="AB19" s="397"/>
    </row>
    <row r="20" spans="2:28">
      <c r="B20" s="397"/>
      <c r="C20" s="397"/>
      <c r="D20" s="397"/>
      <c r="E20" s="397"/>
      <c r="F20" s="397"/>
      <c r="G20" s="397"/>
      <c r="H20" s="397"/>
      <c r="I20" s="397"/>
      <c r="J20" s="397"/>
      <c r="K20" s="397"/>
      <c r="L20" s="397"/>
      <c r="M20" s="397"/>
      <c r="N20" s="397"/>
      <c r="O20" s="397"/>
      <c r="P20" s="397"/>
      <c r="Q20" s="397"/>
      <c r="R20" s="397"/>
      <c r="S20" s="397"/>
      <c r="T20" s="397"/>
      <c r="U20" s="397"/>
      <c r="V20" s="397"/>
      <c r="W20" s="397"/>
      <c r="X20" s="397"/>
      <c r="Y20" s="397"/>
      <c r="Z20" s="397"/>
      <c r="AA20" s="397"/>
      <c r="AB20" s="397"/>
    </row>
    <row r="21" spans="2:28">
      <c r="B21" s="400" t="s">
        <v>1295</v>
      </c>
      <c r="C21" s="1096" t="s">
        <v>1296</v>
      </c>
      <c r="D21" s="1096" t="s">
        <v>262</v>
      </c>
      <c r="E21" s="1096" t="s">
        <v>1297</v>
      </c>
      <c r="F21" s="1096" t="s">
        <v>262</v>
      </c>
      <c r="G21" s="1096" t="s">
        <v>1298</v>
      </c>
      <c r="H21" s="1096" t="s">
        <v>262</v>
      </c>
      <c r="I21" s="1096" t="s">
        <v>1299</v>
      </c>
      <c r="J21" s="1096" t="s">
        <v>262</v>
      </c>
      <c r="K21" s="1096" t="s">
        <v>1300</v>
      </c>
      <c r="L21" s="1096" t="s">
        <v>262</v>
      </c>
      <c r="M21" s="1096" t="s">
        <v>1301</v>
      </c>
      <c r="N21" s="1096" t="s">
        <v>262</v>
      </c>
      <c r="O21" s="1096" t="s">
        <v>1302</v>
      </c>
      <c r="P21" s="1096" t="s">
        <v>262</v>
      </c>
      <c r="Q21" s="1096" t="s">
        <v>1303</v>
      </c>
      <c r="R21" s="1096" t="s">
        <v>262</v>
      </c>
      <c r="S21" s="1096" t="s">
        <v>1304</v>
      </c>
      <c r="T21" s="1096" t="s">
        <v>262</v>
      </c>
      <c r="U21" s="1096" t="s">
        <v>1305</v>
      </c>
      <c r="V21" s="1096" t="s">
        <v>262</v>
      </c>
      <c r="W21" s="1096" t="s">
        <v>1306</v>
      </c>
      <c r="X21" s="1096" t="s">
        <v>262</v>
      </c>
      <c r="Y21" s="1096" t="s">
        <v>1307</v>
      </c>
      <c r="Z21" s="1096" t="s">
        <v>262</v>
      </c>
      <c r="AA21" s="1096" t="s">
        <v>1308</v>
      </c>
      <c r="AB21" s="1096" t="s">
        <v>262</v>
      </c>
    </row>
    <row r="22" spans="2:28">
      <c r="B22" s="401" t="s">
        <v>1309</v>
      </c>
      <c r="C22" s="403" t="s">
        <v>262</v>
      </c>
      <c r="D22" s="403" t="s">
        <v>262</v>
      </c>
      <c r="E22" s="403" t="s">
        <v>262</v>
      </c>
      <c r="F22" s="403" t="s">
        <v>262</v>
      </c>
      <c r="G22" s="403" t="s">
        <v>262</v>
      </c>
      <c r="H22" s="403" t="s">
        <v>262</v>
      </c>
      <c r="I22" s="403" t="s">
        <v>262</v>
      </c>
      <c r="J22" s="403" t="s">
        <v>262</v>
      </c>
      <c r="K22" s="403" t="s">
        <v>262</v>
      </c>
      <c r="L22" s="403" t="s">
        <v>262</v>
      </c>
      <c r="M22" s="403" t="s">
        <v>262</v>
      </c>
      <c r="N22" s="403" t="s">
        <v>262</v>
      </c>
      <c r="O22" s="403" t="s">
        <v>262</v>
      </c>
      <c r="P22" s="403" t="s">
        <v>262</v>
      </c>
      <c r="Q22" s="403" t="s">
        <v>262</v>
      </c>
      <c r="R22" s="403" t="s">
        <v>262</v>
      </c>
      <c r="S22" s="403" t="s">
        <v>262</v>
      </c>
      <c r="T22" s="403" t="s">
        <v>262</v>
      </c>
      <c r="U22" s="403" t="s">
        <v>262</v>
      </c>
      <c r="V22" s="403" t="s">
        <v>262</v>
      </c>
      <c r="W22" s="403" t="s">
        <v>262</v>
      </c>
      <c r="X22" s="403" t="s">
        <v>262</v>
      </c>
      <c r="Y22" s="403" t="s">
        <v>262</v>
      </c>
      <c r="Z22" s="403" t="s">
        <v>262</v>
      </c>
      <c r="AA22" s="403" t="s">
        <v>262</v>
      </c>
      <c r="AB22" s="403" t="s">
        <v>262</v>
      </c>
    </row>
    <row r="23" spans="2:28">
      <c r="B23" s="402" t="s">
        <v>1310</v>
      </c>
      <c r="C23" s="405">
        <v>418764395</v>
      </c>
      <c r="D23" s="405" t="s">
        <v>262</v>
      </c>
      <c r="E23" s="405">
        <v>424301173</v>
      </c>
      <c r="F23" s="405" t="s">
        <v>262</v>
      </c>
      <c r="G23" s="405">
        <v>428929021</v>
      </c>
      <c r="H23" s="405" t="s">
        <v>1311</v>
      </c>
      <c r="I23" s="405">
        <v>443274551</v>
      </c>
      <c r="J23" s="405" t="s">
        <v>1311</v>
      </c>
      <c r="K23" s="405">
        <v>444234821</v>
      </c>
      <c r="L23" s="405" t="s">
        <v>1311</v>
      </c>
      <c r="M23" s="405">
        <v>445167186</v>
      </c>
      <c r="N23" s="405" t="s">
        <v>262</v>
      </c>
      <c r="O23" s="405">
        <v>445871494</v>
      </c>
      <c r="P23" s="405" t="s">
        <v>1311</v>
      </c>
      <c r="Q23" s="405">
        <v>446655355</v>
      </c>
      <c r="R23" s="405" t="s">
        <v>1312</v>
      </c>
      <c r="S23" s="405">
        <v>447022255</v>
      </c>
      <c r="T23" s="405" t="s">
        <v>1313</v>
      </c>
      <c r="U23" s="405">
        <v>447346360</v>
      </c>
      <c r="V23" s="405" t="s">
        <v>1314</v>
      </c>
      <c r="W23" s="405">
        <v>446904604</v>
      </c>
      <c r="X23" s="405" t="s">
        <v>1313</v>
      </c>
      <c r="Y23" s="405">
        <v>447033117</v>
      </c>
      <c r="Z23" s="405" t="s">
        <v>1313</v>
      </c>
      <c r="AA23" s="405" t="s">
        <v>1315</v>
      </c>
      <c r="AB23" s="405" t="s">
        <v>262</v>
      </c>
    </row>
    <row r="24" spans="2:28">
      <c r="B24" s="402" t="s">
        <v>1316</v>
      </c>
      <c r="C24" s="404">
        <v>476011981</v>
      </c>
      <c r="D24" s="404" t="s">
        <v>262</v>
      </c>
      <c r="E24" s="404">
        <v>482320203</v>
      </c>
      <c r="F24" s="404" t="s">
        <v>262</v>
      </c>
      <c r="G24" s="404">
        <v>487821535</v>
      </c>
      <c r="H24" s="404" t="s">
        <v>1311</v>
      </c>
      <c r="I24" s="404">
        <v>507876849</v>
      </c>
      <c r="J24" s="404" t="s">
        <v>1311</v>
      </c>
      <c r="K24" s="404">
        <v>509351040</v>
      </c>
      <c r="L24" s="404" t="s">
        <v>1311</v>
      </c>
      <c r="M24" s="404">
        <v>510778779</v>
      </c>
      <c r="N24" s="404" t="s">
        <v>262</v>
      </c>
      <c r="O24" s="404">
        <v>511930353</v>
      </c>
      <c r="P24" s="404" t="s">
        <v>1311</v>
      </c>
      <c r="Q24" s="404" t="s">
        <v>1315</v>
      </c>
      <c r="R24" s="404" t="s">
        <v>262</v>
      </c>
      <c r="S24" s="404">
        <v>513858582</v>
      </c>
      <c r="T24" s="404" t="s">
        <v>1313</v>
      </c>
      <c r="U24" s="404" t="s">
        <v>1315</v>
      </c>
      <c r="V24" s="404" t="s">
        <v>262</v>
      </c>
      <c r="W24" s="404" t="s">
        <v>1315</v>
      </c>
      <c r="X24" s="404" t="s">
        <v>262</v>
      </c>
      <c r="Y24" s="404" t="s">
        <v>1315</v>
      </c>
      <c r="Z24" s="404" t="s">
        <v>262</v>
      </c>
      <c r="AA24" s="404" t="s">
        <v>1315</v>
      </c>
      <c r="AB24" s="404" t="s">
        <v>262</v>
      </c>
    </row>
    <row r="25" spans="2:28">
      <c r="B25" s="402" t="s">
        <v>1317</v>
      </c>
      <c r="C25" s="405">
        <v>14951510</v>
      </c>
      <c r="D25" s="405" t="s">
        <v>262</v>
      </c>
      <c r="E25" s="405">
        <v>15459006</v>
      </c>
      <c r="F25" s="405" t="s">
        <v>262</v>
      </c>
      <c r="G25" s="405">
        <v>15925513</v>
      </c>
      <c r="H25" s="405" t="s">
        <v>262</v>
      </c>
      <c r="I25" s="405">
        <v>16865008</v>
      </c>
      <c r="J25" s="405" t="s">
        <v>262</v>
      </c>
      <c r="K25" s="405">
        <v>16939923</v>
      </c>
      <c r="L25" s="405" t="s">
        <v>262</v>
      </c>
      <c r="M25" s="405">
        <v>17030314</v>
      </c>
      <c r="N25" s="405" t="s">
        <v>262</v>
      </c>
      <c r="O25" s="405">
        <v>17131296</v>
      </c>
      <c r="P25" s="405" t="s">
        <v>262</v>
      </c>
      <c r="Q25" s="405">
        <v>17231624</v>
      </c>
      <c r="R25" s="405" t="s">
        <v>262</v>
      </c>
      <c r="S25" s="405">
        <v>17344874</v>
      </c>
      <c r="T25" s="405" t="s">
        <v>262</v>
      </c>
      <c r="U25" s="405">
        <v>17441500</v>
      </c>
      <c r="V25" s="405" t="s">
        <v>262</v>
      </c>
      <c r="W25" s="405">
        <v>17533044</v>
      </c>
      <c r="X25" s="405" t="s">
        <v>262</v>
      </c>
      <c r="Y25" s="405">
        <v>17700982</v>
      </c>
      <c r="Z25" s="405" t="s">
        <v>262</v>
      </c>
      <c r="AA25" s="405" t="s">
        <v>1315</v>
      </c>
      <c r="AB25" s="405" t="s">
        <v>262</v>
      </c>
    </row>
    <row r="27" spans="2:28">
      <c r="B27" s="398" t="s">
        <v>1318</v>
      </c>
      <c r="C27" s="397"/>
      <c r="D27" s="397"/>
      <c r="E27" s="397"/>
      <c r="F27" s="397"/>
      <c r="G27" s="397"/>
      <c r="H27" s="397"/>
      <c r="I27" s="397"/>
      <c r="J27" s="397"/>
      <c r="K27" s="397"/>
      <c r="L27" s="397"/>
      <c r="M27" s="397"/>
      <c r="N27" s="397"/>
      <c r="O27" s="397"/>
      <c r="P27" s="397"/>
      <c r="Q27" s="397"/>
      <c r="R27" s="397"/>
      <c r="S27" s="397"/>
      <c r="T27" s="397"/>
      <c r="U27" s="397"/>
      <c r="V27" s="397"/>
      <c r="W27" s="397"/>
      <c r="X27" s="397"/>
      <c r="Y27" s="397"/>
      <c r="Z27" s="397"/>
      <c r="AA27" s="397"/>
      <c r="AB27" s="397"/>
    </row>
    <row r="28" spans="2:28">
      <c r="B28" s="398" t="s">
        <v>1315</v>
      </c>
      <c r="C28" s="399" t="s">
        <v>1319</v>
      </c>
      <c r="D28" s="397"/>
      <c r="E28" s="397"/>
      <c r="F28" s="397"/>
      <c r="G28" s="397"/>
      <c r="H28" s="397"/>
      <c r="I28" s="397"/>
      <c r="J28" s="397"/>
      <c r="K28" s="397"/>
      <c r="L28" s="397"/>
      <c r="M28" s="397"/>
      <c r="N28" s="397"/>
      <c r="O28" s="397"/>
      <c r="P28" s="397"/>
      <c r="Q28" s="397"/>
      <c r="R28" s="397"/>
      <c r="S28" s="397"/>
      <c r="T28" s="397"/>
      <c r="U28" s="397"/>
      <c r="V28" s="397"/>
      <c r="W28" s="397"/>
      <c r="X28" s="397"/>
      <c r="Y28" s="397"/>
      <c r="Z28" s="397"/>
      <c r="AA28" s="397"/>
      <c r="AB28" s="397"/>
    </row>
    <row r="29" spans="2:28">
      <c r="B29" s="398" t="s">
        <v>1320</v>
      </c>
      <c r="C29" s="397"/>
      <c r="D29" s="397"/>
      <c r="E29" s="397"/>
      <c r="F29" s="397"/>
      <c r="G29" s="397"/>
      <c r="H29" s="397"/>
      <c r="I29" s="397"/>
      <c r="J29" s="397"/>
      <c r="K29" s="397"/>
      <c r="L29" s="397"/>
      <c r="M29" s="397"/>
      <c r="N29" s="397"/>
      <c r="O29" s="397"/>
      <c r="P29" s="397"/>
      <c r="Q29" s="397"/>
      <c r="R29" s="397"/>
      <c r="S29" s="397"/>
      <c r="T29" s="397"/>
      <c r="U29" s="397"/>
      <c r="V29" s="397"/>
      <c r="W29" s="397"/>
      <c r="X29" s="397"/>
      <c r="Y29" s="397"/>
      <c r="Z29" s="397"/>
      <c r="AA29" s="397"/>
      <c r="AB29" s="397"/>
    </row>
    <row r="30" spans="2:28">
      <c r="B30" s="398" t="s">
        <v>1313</v>
      </c>
      <c r="C30" s="399" t="s">
        <v>1321</v>
      </c>
    </row>
    <row r="31" spans="2:28">
      <c r="B31" s="398" t="s">
        <v>1311</v>
      </c>
      <c r="C31" s="399" t="s">
        <v>1322</v>
      </c>
    </row>
    <row r="32" spans="2:28">
      <c r="B32" s="398" t="s">
        <v>1312</v>
      </c>
      <c r="C32" s="399" t="s">
        <v>1323</v>
      </c>
    </row>
    <row r="33" spans="1:3">
      <c r="B33" s="398" t="s">
        <v>1314</v>
      </c>
      <c r="C33" s="399" t="s">
        <v>1324</v>
      </c>
    </row>
    <row r="34" spans="1:3">
      <c r="A34" t="s">
        <v>1325</v>
      </c>
    </row>
    <row r="35" spans="1:3">
      <c r="A35" s="400" t="s">
        <v>1295</v>
      </c>
      <c r="B35" s="402" t="s">
        <v>1310</v>
      </c>
      <c r="C35" s="402" t="s">
        <v>1317</v>
      </c>
    </row>
    <row r="36" spans="1:3">
      <c r="A36" s="406" t="s">
        <v>1296</v>
      </c>
      <c r="B36" s="405">
        <v>418764395</v>
      </c>
      <c r="C36" s="405">
        <v>14951510</v>
      </c>
    </row>
    <row r="37" spans="1:3">
      <c r="A37" s="406" t="s">
        <v>1297</v>
      </c>
      <c r="B37" s="405">
        <v>424301173</v>
      </c>
      <c r="C37" s="405">
        <v>15459006</v>
      </c>
    </row>
    <row r="38" spans="1:3">
      <c r="A38" s="406" t="s">
        <v>1298</v>
      </c>
      <c r="B38" s="405">
        <v>428929021</v>
      </c>
      <c r="C38" s="405">
        <v>15925513</v>
      </c>
    </row>
    <row r="39" spans="1:3">
      <c r="A39" s="406" t="s">
        <v>1299</v>
      </c>
      <c r="B39" s="405">
        <v>443274551</v>
      </c>
      <c r="C39" s="405">
        <v>16865008</v>
      </c>
    </row>
    <row r="40" spans="1:3">
      <c r="A40" s="406" t="s">
        <v>1300</v>
      </c>
      <c r="B40" s="405">
        <v>444234821</v>
      </c>
      <c r="C40" s="405">
        <v>16939923</v>
      </c>
    </row>
    <row r="41" spans="1:3">
      <c r="A41" s="406" t="s">
        <v>1301</v>
      </c>
      <c r="B41" s="405">
        <v>445167186</v>
      </c>
      <c r="C41" s="405">
        <v>17030314</v>
      </c>
    </row>
    <row r="42" spans="1:3">
      <c r="A42" s="406" t="s">
        <v>1302</v>
      </c>
      <c r="B42" s="405">
        <v>445871494</v>
      </c>
      <c r="C42" s="405">
        <v>17131296</v>
      </c>
    </row>
    <row r="43" spans="1:3">
      <c r="A43" s="406" t="s">
        <v>1303</v>
      </c>
      <c r="B43" s="405">
        <v>446655355</v>
      </c>
      <c r="C43" s="405">
        <v>17231624</v>
      </c>
    </row>
    <row r="44" spans="1:3">
      <c r="A44" s="406" t="s">
        <v>1304</v>
      </c>
      <c r="B44" s="405">
        <v>447022255</v>
      </c>
      <c r="C44" s="405">
        <v>17344874</v>
      </c>
    </row>
    <row r="45" spans="1:3">
      <c r="A45" s="406" t="s">
        <v>1305</v>
      </c>
      <c r="B45" s="405">
        <v>447346360</v>
      </c>
      <c r="C45" s="405">
        <v>17441500</v>
      </c>
    </row>
    <row r="46" spans="1:3">
      <c r="A46" s="406" t="s">
        <v>1306</v>
      </c>
      <c r="B46" s="405">
        <v>446904604</v>
      </c>
      <c r="C46" s="405">
        <v>17533044</v>
      </c>
    </row>
    <row r="47" spans="1:3">
      <c r="A47" s="406" t="s">
        <v>1307</v>
      </c>
      <c r="B47" s="405">
        <v>447033117</v>
      </c>
      <c r="C47" s="405">
        <v>17700982</v>
      </c>
    </row>
    <row r="48" spans="1:3">
      <c r="A48" s="406" t="s">
        <v>1308</v>
      </c>
      <c r="B48" s="405" t="s">
        <v>1315</v>
      </c>
      <c r="C48" s="405" t="s">
        <v>1315</v>
      </c>
    </row>
    <row r="49" spans="1:3">
      <c r="A49" s="406" t="s">
        <v>262</v>
      </c>
      <c r="B49" s="405" t="s">
        <v>262</v>
      </c>
      <c r="C49" s="405" t="s">
        <v>262</v>
      </c>
    </row>
    <row r="52" spans="1:3">
      <c r="A52" t="s">
        <v>1325</v>
      </c>
      <c r="B52" t="s">
        <v>190</v>
      </c>
      <c r="C52" t="s">
        <v>188</v>
      </c>
    </row>
    <row r="53" spans="1:3">
      <c r="A53" s="410" t="s">
        <v>1296</v>
      </c>
      <c r="B53" s="408">
        <v>418764395</v>
      </c>
      <c r="C53" s="409">
        <v>14951510</v>
      </c>
    </row>
    <row r="54" spans="1:3">
      <c r="A54" s="410" t="s">
        <v>1297</v>
      </c>
      <c r="B54" s="408">
        <v>424301173</v>
      </c>
      <c r="C54" s="409">
        <v>15459006</v>
      </c>
    </row>
    <row r="55" spans="1:3">
      <c r="A55" s="410" t="s">
        <v>1298</v>
      </c>
      <c r="B55" s="408">
        <v>428929021</v>
      </c>
      <c r="C55" s="409">
        <v>15925513</v>
      </c>
    </row>
    <row r="56" spans="1:3">
      <c r="A56" s="410" t="s">
        <v>1326</v>
      </c>
      <c r="B56" s="408">
        <v>435116254</v>
      </c>
      <c r="C56" s="409">
        <v>16319868</v>
      </c>
    </row>
    <row r="57" spans="1:3">
      <c r="A57" s="410" t="s">
        <v>1327</v>
      </c>
      <c r="B57" s="408">
        <v>441041446</v>
      </c>
      <c r="C57" s="409">
        <v>16615394</v>
      </c>
    </row>
    <row r="58" spans="1:3">
      <c r="A58" s="410" t="s">
        <v>1300</v>
      </c>
      <c r="B58" s="408">
        <v>444234821</v>
      </c>
      <c r="C58" s="409">
        <v>16939923</v>
      </c>
    </row>
    <row r="59" spans="1:3">
      <c r="A59" s="410" t="s">
        <v>1304</v>
      </c>
      <c r="B59" s="408">
        <v>447022255</v>
      </c>
      <c r="C59" s="409">
        <v>17344874</v>
      </c>
    </row>
    <row r="60" spans="1:3">
      <c r="A60" s="410" t="s">
        <v>1305</v>
      </c>
      <c r="B60" s="408">
        <v>447346360</v>
      </c>
      <c r="C60" s="409">
        <v>17441500</v>
      </c>
    </row>
    <row r="61" spans="1:3">
      <c r="A61" s="410" t="s">
        <v>1306</v>
      </c>
      <c r="B61" s="408">
        <v>446904604</v>
      </c>
      <c r="C61" s="409">
        <v>17533044</v>
      </c>
    </row>
    <row r="62" spans="1:3">
      <c r="A62" s="410" t="s">
        <v>1307</v>
      </c>
      <c r="B62" s="408">
        <v>447033117</v>
      </c>
      <c r="C62" s="409">
        <v>17700982</v>
      </c>
    </row>
    <row r="64" spans="1:3">
      <c r="A64" t="s">
        <v>1325</v>
      </c>
    </row>
    <row r="65" spans="1:5">
      <c r="B65" t="s">
        <v>1328</v>
      </c>
      <c r="C65" t="s">
        <v>188</v>
      </c>
      <c r="E65" t="s">
        <v>262</v>
      </c>
    </row>
    <row r="66" spans="1:5">
      <c r="A66" s="402" t="s">
        <v>1327</v>
      </c>
      <c r="B66" s="405">
        <v>441583436</v>
      </c>
      <c r="C66" s="405">
        <v>16615394</v>
      </c>
      <c r="E66" t="s">
        <v>262</v>
      </c>
    </row>
    <row r="67" spans="1:5">
      <c r="A67" s="402" t="s">
        <v>1329</v>
      </c>
      <c r="B67" s="404">
        <v>440916055</v>
      </c>
      <c r="C67" s="404">
        <v>16693074</v>
      </c>
      <c r="E67" t="s">
        <v>262</v>
      </c>
    </row>
    <row r="68" spans="1:5">
      <c r="A68" s="402" t="s">
        <v>1330</v>
      </c>
      <c r="B68" s="405">
        <v>441511575</v>
      </c>
      <c r="C68" s="405">
        <v>16754962</v>
      </c>
      <c r="E68" t="s">
        <v>262</v>
      </c>
    </row>
    <row r="69" spans="1:5">
      <c r="A69" s="402" t="s">
        <v>1331</v>
      </c>
      <c r="B69" s="404">
        <v>441904222</v>
      </c>
      <c r="C69" s="404">
        <v>16804432</v>
      </c>
      <c r="E69" t="s">
        <v>262</v>
      </c>
    </row>
    <row r="70" spans="1:5">
      <c r="A70" s="402" t="s">
        <v>1299</v>
      </c>
      <c r="B70" s="405">
        <v>442587737</v>
      </c>
      <c r="C70" s="405">
        <v>16865008</v>
      </c>
      <c r="E70" t="s">
        <v>262</v>
      </c>
    </row>
    <row r="71" spans="1:5">
      <c r="A71" s="402" t="s">
        <v>1300</v>
      </c>
      <c r="B71" s="404">
        <v>443449425</v>
      </c>
      <c r="C71" s="404">
        <v>16939923</v>
      </c>
      <c r="E71" t="s">
        <v>262</v>
      </c>
    </row>
    <row r="72" spans="1:5">
      <c r="A72" s="402" t="s">
        <v>1301</v>
      </c>
      <c r="B72" s="405">
        <v>444320232</v>
      </c>
      <c r="C72" s="405">
        <v>17030314</v>
      </c>
      <c r="E72" t="s">
        <v>262</v>
      </c>
    </row>
    <row r="73" spans="1:5">
      <c r="A73" s="402" t="s">
        <v>1302</v>
      </c>
      <c r="B73" s="404">
        <v>444971270</v>
      </c>
      <c r="C73" s="404">
        <v>17131296</v>
      </c>
      <c r="E73" t="s">
        <v>262</v>
      </c>
    </row>
    <row r="74" spans="1:5">
      <c r="A74" s="402" t="s">
        <v>1303</v>
      </c>
      <c r="B74" s="405">
        <v>445982757</v>
      </c>
      <c r="C74" s="405">
        <v>17231624</v>
      </c>
      <c r="E74" t="s">
        <v>262</v>
      </c>
    </row>
    <row r="75" spans="1:5">
      <c r="A75" s="402" t="s">
        <v>1304</v>
      </c>
      <c r="B75" s="404">
        <v>446575615</v>
      </c>
      <c r="C75" s="404">
        <v>17344874</v>
      </c>
      <c r="E75" t="s">
        <v>262</v>
      </c>
    </row>
    <row r="76" spans="1:5">
      <c r="A76" s="402" t="s">
        <v>1305</v>
      </c>
      <c r="B76" s="405">
        <v>446547542</v>
      </c>
      <c r="C76" s="405">
        <v>17441500</v>
      </c>
      <c r="E76" t="s">
        <v>262</v>
      </c>
    </row>
  </sheetData>
  <mergeCells count="13">
    <mergeCell ref="W21:X21"/>
    <mergeCell ref="Y21:Z21"/>
    <mergeCell ref="AA21:AB21"/>
    <mergeCell ref="M21:N21"/>
    <mergeCell ref="O21:P21"/>
    <mergeCell ref="Q21:R21"/>
    <mergeCell ref="S21:T21"/>
    <mergeCell ref="U21:V21"/>
    <mergeCell ref="C21:D21"/>
    <mergeCell ref="E21:F21"/>
    <mergeCell ref="G21:H21"/>
    <mergeCell ref="I21:J21"/>
    <mergeCell ref="K21:L21"/>
  </mergeCells>
  <hyperlinks>
    <hyperlink ref="F4" r:id="rId1" xr:uid="{A70A7494-E5AC-462B-A979-A54E2BD5229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5C4A0-B492-471D-BA0B-47AC3C4193E6}">
  <sheetPr>
    <tabColor theme="7" tint="0.59999389629810485"/>
  </sheetPr>
  <dimension ref="A1:O82"/>
  <sheetViews>
    <sheetView topLeftCell="A55" workbookViewId="0">
      <selection activeCell="F45" sqref="F45"/>
    </sheetView>
  </sheetViews>
  <sheetFormatPr defaultRowHeight="15"/>
  <cols>
    <col min="2" max="2" width="15.85546875" bestFit="1" customWidth="1"/>
    <col min="3" max="3" width="32.5703125" customWidth="1"/>
    <col min="4" max="4" width="28.42578125" bestFit="1" customWidth="1"/>
    <col min="5" max="5" width="32.140625" bestFit="1" customWidth="1"/>
    <col min="6" max="6" width="32.7109375" bestFit="1" customWidth="1"/>
    <col min="7" max="7" width="177.85546875" bestFit="1" customWidth="1"/>
    <col min="13" max="13" width="11" customWidth="1"/>
    <col min="15" max="15" width="20.140625" bestFit="1" customWidth="1"/>
  </cols>
  <sheetData>
    <row r="1" spans="1:15">
      <c r="A1" s="225" t="s">
        <v>109</v>
      </c>
      <c r="B1" s="225" t="s">
        <v>1332</v>
      </c>
      <c r="C1" s="225" t="s">
        <v>1333</v>
      </c>
      <c r="D1" s="225" t="s">
        <v>1334</v>
      </c>
      <c r="E1" s="225" t="s">
        <v>1335</v>
      </c>
      <c r="F1" s="225" t="s">
        <v>1336</v>
      </c>
      <c r="G1" s="225" t="s">
        <v>112</v>
      </c>
      <c r="H1" s="111" t="s">
        <v>142</v>
      </c>
      <c r="I1" s="112" t="s">
        <v>143</v>
      </c>
      <c r="J1" s="112" t="s">
        <v>69</v>
      </c>
      <c r="K1" s="112" t="s">
        <v>75</v>
      </c>
      <c r="L1" s="112" t="s">
        <v>81</v>
      </c>
      <c r="M1" s="113" t="s">
        <v>87</v>
      </c>
      <c r="O1" s="420" t="s">
        <v>1337</v>
      </c>
    </row>
    <row r="2" spans="1:15">
      <c r="A2" s="421">
        <v>1980</v>
      </c>
      <c r="B2" s="421">
        <v>22.5036767</v>
      </c>
      <c r="C2" s="517">
        <f t="shared" ref="C2:C39" si="0">B2/OECD_ref_2018</f>
        <v>0.36060378883928257</v>
      </c>
      <c r="D2">
        <f t="shared" ref="D2:D39" si="1">In_EU_2018*C2</f>
        <v>249.82991094574334</v>
      </c>
      <c r="E2">
        <f t="shared" ref="E2:E39" si="2">In_NL_2018_low*C2</f>
        <v>8.2211048318604494</v>
      </c>
      <c r="F2">
        <f t="shared" ref="F2:F39" si="3">IN_NL_2018_high*C2</f>
        <v>16.777422760387797</v>
      </c>
      <c r="G2" t="s">
        <v>1338</v>
      </c>
      <c r="H2" s="175">
        <v>2</v>
      </c>
      <c r="I2" s="66">
        <v>1</v>
      </c>
      <c r="J2" s="66">
        <v>1</v>
      </c>
      <c r="K2" s="66">
        <v>1</v>
      </c>
      <c r="L2" s="66">
        <v>1</v>
      </c>
      <c r="M2" s="66">
        <v>2</v>
      </c>
    </row>
    <row r="3" spans="1:15">
      <c r="A3" s="421">
        <v>1981</v>
      </c>
      <c r="B3" s="421">
        <v>22.558411880000001</v>
      </c>
      <c r="C3" s="517">
        <f t="shared" si="0"/>
        <v>0.36148087721705868</v>
      </c>
      <c r="D3">
        <f t="shared" si="1"/>
        <v>250.43756654475041</v>
      </c>
      <c r="E3">
        <f t="shared" si="2"/>
        <v>8.2411008377918176</v>
      </c>
      <c r="F3">
        <f t="shared" si="3"/>
        <v>16.818230103426366</v>
      </c>
      <c r="G3" t="s">
        <v>1338</v>
      </c>
      <c r="H3" s="175">
        <v>2</v>
      </c>
      <c r="I3" s="66">
        <v>1</v>
      </c>
      <c r="J3" s="66">
        <v>1</v>
      </c>
      <c r="K3" s="66">
        <v>1</v>
      </c>
      <c r="L3" s="66">
        <v>1</v>
      </c>
      <c r="M3" s="66">
        <v>2</v>
      </c>
    </row>
    <row r="4" spans="1:15">
      <c r="A4" s="421">
        <v>1982</v>
      </c>
      <c r="B4" s="421">
        <v>22.65352575</v>
      </c>
      <c r="C4" s="517">
        <f t="shared" si="0"/>
        <v>0.36300500246780787</v>
      </c>
      <c r="D4">
        <f t="shared" si="1"/>
        <v>251.49349575972195</v>
      </c>
      <c r="E4">
        <f t="shared" si="2"/>
        <v>8.2758480973911315</v>
      </c>
      <c r="F4">
        <f t="shared" si="3"/>
        <v>16.88914143176795</v>
      </c>
      <c r="G4" t="s">
        <v>1338</v>
      </c>
      <c r="H4" s="175">
        <v>2</v>
      </c>
      <c r="I4" s="66">
        <v>1</v>
      </c>
      <c r="J4" s="66">
        <v>1</v>
      </c>
      <c r="K4" s="66">
        <v>1</v>
      </c>
      <c r="L4" s="66">
        <v>1</v>
      </c>
      <c r="M4" s="66">
        <v>2</v>
      </c>
    </row>
    <row r="5" spans="1:15">
      <c r="A5" s="421">
        <v>1983</v>
      </c>
      <c r="B5" s="421">
        <v>24.461622120000001</v>
      </c>
      <c r="C5" s="517">
        <f t="shared" si="0"/>
        <v>0.39197833026221907</v>
      </c>
      <c r="D5">
        <f t="shared" si="1"/>
        <v>271.56650698896794</v>
      </c>
      <c r="E5">
        <f t="shared" si="2"/>
        <v>8.9363868174428802</v>
      </c>
      <c r="F5">
        <f t="shared" si="3"/>
        <v>18.237152141102953</v>
      </c>
      <c r="G5" t="s">
        <v>1338</v>
      </c>
      <c r="H5" s="175">
        <v>2</v>
      </c>
      <c r="I5" s="66">
        <v>1</v>
      </c>
      <c r="J5" s="66">
        <v>1</v>
      </c>
      <c r="K5" s="66">
        <v>1</v>
      </c>
      <c r="L5" s="66">
        <v>1</v>
      </c>
      <c r="M5" s="66">
        <v>2</v>
      </c>
    </row>
    <row r="6" spans="1:15">
      <c r="A6" s="421">
        <v>1984</v>
      </c>
      <c r="B6" s="421">
        <v>25.81452925</v>
      </c>
      <c r="C6" s="517">
        <f t="shared" si="0"/>
        <v>0.41365760709904276</v>
      </c>
      <c r="D6">
        <f t="shared" si="1"/>
        <v>286.58612677428778</v>
      </c>
      <c r="E6">
        <f t="shared" si="2"/>
        <v>9.430634557124522</v>
      </c>
      <c r="F6">
        <f t="shared" si="3"/>
        <v>19.245800424587799</v>
      </c>
      <c r="G6" t="s">
        <v>1338</v>
      </c>
      <c r="H6" s="175">
        <v>2</v>
      </c>
      <c r="I6" s="66">
        <v>1</v>
      </c>
      <c r="J6" s="66">
        <v>1</v>
      </c>
      <c r="K6" s="66">
        <v>1</v>
      </c>
      <c r="L6" s="66">
        <v>1</v>
      </c>
      <c r="M6" s="66">
        <v>2</v>
      </c>
    </row>
    <row r="7" spans="1:15">
      <c r="A7" s="421">
        <v>1985</v>
      </c>
      <c r="B7" s="421">
        <v>26.78568624</v>
      </c>
      <c r="C7" s="517">
        <f t="shared" si="0"/>
        <v>0.42921963702065791</v>
      </c>
      <c r="D7">
        <f t="shared" si="1"/>
        <v>297.36765672428197</v>
      </c>
      <c r="E7">
        <f t="shared" si="2"/>
        <v>9.7854202896703537</v>
      </c>
      <c r="F7">
        <f t="shared" si="3"/>
        <v>19.969838172069998</v>
      </c>
      <c r="G7" t="s">
        <v>1338</v>
      </c>
      <c r="H7" s="175">
        <v>2</v>
      </c>
      <c r="I7" s="66">
        <v>1</v>
      </c>
      <c r="J7" s="66">
        <v>1</v>
      </c>
      <c r="K7" s="66">
        <v>1</v>
      </c>
      <c r="L7" s="66">
        <v>1</v>
      </c>
      <c r="M7" s="66">
        <v>2</v>
      </c>
    </row>
    <row r="8" spans="1:15">
      <c r="A8" s="421">
        <v>1986</v>
      </c>
      <c r="B8" s="421">
        <v>28.008801429999998</v>
      </c>
      <c r="C8" s="517">
        <f t="shared" si="0"/>
        <v>0.44881909970316608</v>
      </c>
      <c r="D8">
        <f t="shared" si="1"/>
        <v>310.94636046535049</v>
      </c>
      <c r="E8">
        <f t="shared" si="2"/>
        <v>10.232252082202766</v>
      </c>
      <c r="F8">
        <f t="shared" si="3"/>
        <v>20.881721190158419</v>
      </c>
      <c r="G8" t="s">
        <v>1338</v>
      </c>
      <c r="H8" s="175">
        <v>2</v>
      </c>
      <c r="I8" s="66">
        <v>1</v>
      </c>
      <c r="J8" s="66">
        <v>1</v>
      </c>
      <c r="K8" s="66">
        <v>1</v>
      </c>
      <c r="L8" s="66">
        <v>1</v>
      </c>
      <c r="M8" s="66">
        <v>2</v>
      </c>
    </row>
    <row r="9" spans="1:15">
      <c r="A9" s="421">
        <v>1987</v>
      </c>
      <c r="B9" s="421">
        <v>29.841345990000001</v>
      </c>
      <c r="C9" s="517">
        <f t="shared" si="0"/>
        <v>0.47818419058863976</v>
      </c>
      <c r="D9">
        <f t="shared" si="1"/>
        <v>331.2907890817155</v>
      </c>
      <c r="E9">
        <f t="shared" si="2"/>
        <v>10.901722282013075</v>
      </c>
      <c r="F9">
        <f t="shared" si="3"/>
        <v>22.247959037432899</v>
      </c>
      <c r="G9" t="s">
        <v>1338</v>
      </c>
      <c r="H9" s="175">
        <v>2</v>
      </c>
      <c r="I9" s="66">
        <v>1</v>
      </c>
      <c r="J9" s="66">
        <v>1</v>
      </c>
      <c r="K9" s="66">
        <v>1</v>
      </c>
      <c r="L9" s="66">
        <v>1</v>
      </c>
      <c r="M9" s="66">
        <v>2</v>
      </c>
    </row>
    <row r="10" spans="1:15">
      <c r="A10" s="421">
        <v>1988</v>
      </c>
      <c r="B10" s="421">
        <v>31.233463759999999</v>
      </c>
      <c r="C10" s="517">
        <f t="shared" si="0"/>
        <v>0.5004917872122836</v>
      </c>
      <c r="D10">
        <f t="shared" si="1"/>
        <v>346.74571509854218</v>
      </c>
      <c r="E10">
        <f t="shared" si="2"/>
        <v>11.410294560136222</v>
      </c>
      <c r="F10">
        <f t="shared" si="3"/>
        <v>23.285840476581829</v>
      </c>
      <c r="G10" t="s">
        <v>1338</v>
      </c>
      <c r="H10" s="175">
        <v>2</v>
      </c>
      <c r="I10" s="66">
        <v>1</v>
      </c>
      <c r="J10" s="66">
        <v>1</v>
      </c>
      <c r="K10" s="66">
        <v>1</v>
      </c>
      <c r="L10" s="66">
        <v>1</v>
      </c>
      <c r="M10" s="66">
        <v>2</v>
      </c>
    </row>
    <row r="11" spans="1:15">
      <c r="A11" s="421">
        <v>1989</v>
      </c>
      <c r="B11" s="421">
        <v>31.640265190000001</v>
      </c>
      <c r="C11" s="517">
        <f t="shared" si="0"/>
        <v>0.5070104614235621</v>
      </c>
      <c r="D11">
        <f t="shared" si="1"/>
        <v>351.26191777885805</v>
      </c>
      <c r="E11">
        <f t="shared" si="2"/>
        <v>11.558908373175083</v>
      </c>
      <c r="F11">
        <f t="shared" si="3"/>
        <v>23.589127786545731</v>
      </c>
      <c r="G11" t="s">
        <v>1338</v>
      </c>
      <c r="H11" s="175">
        <v>2</v>
      </c>
      <c r="I11" s="66">
        <v>1</v>
      </c>
      <c r="J11" s="66">
        <v>1</v>
      </c>
      <c r="K11" s="66">
        <v>1</v>
      </c>
      <c r="L11" s="66">
        <v>1</v>
      </c>
      <c r="M11" s="66">
        <v>2</v>
      </c>
    </row>
    <row r="12" spans="1:15">
      <c r="A12" s="421">
        <v>1990</v>
      </c>
      <c r="B12" s="421">
        <v>32.819377369999998</v>
      </c>
      <c r="C12" s="517">
        <f t="shared" si="0"/>
        <v>0.52590481034453396</v>
      </c>
      <c r="D12">
        <f t="shared" si="1"/>
        <v>364.35211165479654</v>
      </c>
      <c r="E12">
        <f t="shared" si="2"/>
        <v>11.989664865526551</v>
      </c>
      <c r="F12">
        <f t="shared" si="3"/>
        <v>24.468204738703616</v>
      </c>
      <c r="G12" t="s">
        <v>1338</v>
      </c>
      <c r="H12" s="175">
        <v>2</v>
      </c>
      <c r="I12" s="66">
        <v>1</v>
      </c>
      <c r="J12" s="66">
        <v>1</v>
      </c>
      <c r="K12" s="66">
        <v>1</v>
      </c>
      <c r="L12" s="66">
        <v>1</v>
      </c>
      <c r="M12" s="66">
        <v>2</v>
      </c>
    </row>
    <row r="13" spans="1:15">
      <c r="A13" s="421">
        <v>1991</v>
      </c>
      <c r="B13" s="421">
        <v>33.445377110000003</v>
      </c>
      <c r="C13" s="517">
        <f t="shared" si="0"/>
        <v>0.53593596574486047</v>
      </c>
      <c r="D13">
        <f t="shared" si="1"/>
        <v>371.30179642769673</v>
      </c>
      <c r="E13">
        <f t="shared" si="2"/>
        <v>12.218356805775471</v>
      </c>
      <c r="F13">
        <f t="shared" si="3"/>
        <v>24.934913464832483</v>
      </c>
      <c r="G13" t="s">
        <v>1338</v>
      </c>
      <c r="H13" s="175">
        <v>2</v>
      </c>
      <c r="I13" s="66">
        <v>1</v>
      </c>
      <c r="J13" s="66">
        <v>1</v>
      </c>
      <c r="K13" s="66">
        <v>1</v>
      </c>
      <c r="L13" s="66">
        <v>1</v>
      </c>
      <c r="M13" s="66">
        <v>2</v>
      </c>
    </row>
    <row r="14" spans="1:15">
      <c r="A14" s="421">
        <v>1992</v>
      </c>
      <c r="B14" s="421">
        <v>34.929339040000002</v>
      </c>
      <c r="C14" s="517">
        <f t="shared" si="0"/>
        <v>0.55971529307812484</v>
      </c>
      <c r="D14">
        <f t="shared" si="1"/>
        <v>387.77635219745565</v>
      </c>
      <c r="E14">
        <f t="shared" si="2"/>
        <v>12.760481844081767</v>
      </c>
      <c r="F14">
        <f t="shared" si="3"/>
        <v>26.041268528133365</v>
      </c>
      <c r="G14" t="s">
        <v>1338</v>
      </c>
      <c r="H14" s="175">
        <v>2</v>
      </c>
      <c r="I14" s="66">
        <v>1</v>
      </c>
      <c r="J14" s="66">
        <v>1</v>
      </c>
      <c r="K14" s="66">
        <v>1</v>
      </c>
      <c r="L14" s="66">
        <v>1</v>
      </c>
      <c r="M14" s="66">
        <v>2</v>
      </c>
    </row>
    <row r="15" spans="1:15">
      <c r="A15" s="421">
        <v>1993</v>
      </c>
      <c r="B15" s="421">
        <v>35.716374469999998</v>
      </c>
      <c r="C15" s="517">
        <f t="shared" si="0"/>
        <v>0.57232691924891643</v>
      </c>
      <c r="D15">
        <f t="shared" si="1"/>
        <v>396.51381292484177</v>
      </c>
      <c r="E15">
        <f t="shared" si="2"/>
        <v>13.04800378383743</v>
      </c>
      <c r="F15">
        <f t="shared" si="3"/>
        <v>26.628036028953066</v>
      </c>
      <c r="G15" t="s">
        <v>1338</v>
      </c>
      <c r="H15" s="175">
        <v>2</v>
      </c>
      <c r="I15" s="66">
        <v>1</v>
      </c>
      <c r="J15" s="66">
        <v>1</v>
      </c>
      <c r="K15" s="66">
        <v>1</v>
      </c>
      <c r="L15" s="66">
        <v>1</v>
      </c>
      <c r="M15" s="66">
        <v>2</v>
      </c>
    </row>
    <row r="16" spans="1:15">
      <c r="A16" s="421">
        <v>1994</v>
      </c>
      <c r="B16" s="421">
        <v>38.469429210000001</v>
      </c>
      <c r="C16" s="517">
        <f t="shared" si="0"/>
        <v>0.61644246460448704</v>
      </c>
      <c r="D16">
        <f t="shared" si="1"/>
        <v>427.07750390263465</v>
      </c>
      <c r="E16">
        <f t="shared" si="2"/>
        <v>14.053757284792692</v>
      </c>
      <c r="F16">
        <f t="shared" si="3"/>
        <v>28.680552329788011</v>
      </c>
      <c r="G16" t="s">
        <v>1338</v>
      </c>
      <c r="H16" s="175">
        <v>2</v>
      </c>
      <c r="I16" s="66">
        <v>1</v>
      </c>
      <c r="J16" s="66">
        <v>1</v>
      </c>
      <c r="K16" s="66">
        <v>1</v>
      </c>
      <c r="L16" s="66">
        <v>1</v>
      </c>
      <c r="M16" s="66">
        <v>2</v>
      </c>
    </row>
    <row r="17" spans="1:13">
      <c r="A17" s="421">
        <v>1995</v>
      </c>
      <c r="B17" s="421">
        <v>39.184407389999997</v>
      </c>
      <c r="C17" s="517">
        <f t="shared" si="0"/>
        <v>0.62789942979655333</v>
      </c>
      <c r="D17">
        <f t="shared" si="1"/>
        <v>435.01500395735007</v>
      </c>
      <c r="E17">
        <f t="shared" si="2"/>
        <v>14.314955072542316</v>
      </c>
      <c r="F17">
        <f t="shared" si="3"/>
        <v>29.213598167151673</v>
      </c>
      <c r="G17" t="s">
        <v>1338</v>
      </c>
      <c r="H17" s="175">
        <v>2</v>
      </c>
      <c r="I17" s="66">
        <v>1</v>
      </c>
      <c r="J17" s="66">
        <v>1</v>
      </c>
      <c r="K17" s="66">
        <v>1</v>
      </c>
      <c r="L17" s="66">
        <v>1</v>
      </c>
      <c r="M17" s="66">
        <v>2</v>
      </c>
    </row>
    <row r="18" spans="1:13">
      <c r="A18" s="421">
        <v>1996</v>
      </c>
      <c r="B18" s="421">
        <v>41.199328379999997</v>
      </c>
      <c r="C18" s="517">
        <f t="shared" si="0"/>
        <v>0.660186960091805</v>
      </c>
      <c r="D18">
        <f t="shared" si="1"/>
        <v>457.38412782120338</v>
      </c>
      <c r="E18">
        <f t="shared" si="2"/>
        <v>15.051051529469555</v>
      </c>
      <c r="F18">
        <f t="shared" si="3"/>
        <v>30.715805194415317</v>
      </c>
      <c r="G18" t="s">
        <v>1338</v>
      </c>
      <c r="H18" s="175">
        <v>2</v>
      </c>
      <c r="I18" s="66">
        <v>1</v>
      </c>
      <c r="J18" s="66">
        <v>1</v>
      </c>
      <c r="K18" s="66">
        <v>1</v>
      </c>
      <c r="L18" s="66">
        <v>1</v>
      </c>
      <c r="M18" s="66">
        <v>2</v>
      </c>
    </row>
    <row r="19" spans="1:13">
      <c r="A19" s="421">
        <v>1997</v>
      </c>
      <c r="B19" s="421">
        <v>43.37690465</v>
      </c>
      <c r="C19" s="517">
        <f t="shared" si="0"/>
        <v>0.69508091381842041</v>
      </c>
      <c r="D19">
        <f t="shared" si="1"/>
        <v>481.5590079025398</v>
      </c>
      <c r="E19">
        <f t="shared" si="2"/>
        <v>15.846569658959998</v>
      </c>
      <c r="F19">
        <f t="shared" si="3"/>
        <v>32.33927846777506</v>
      </c>
      <c r="G19" t="s">
        <v>1338</v>
      </c>
      <c r="H19" s="175">
        <v>2</v>
      </c>
      <c r="I19" s="66">
        <v>1</v>
      </c>
      <c r="J19" s="66">
        <v>1</v>
      </c>
      <c r="K19" s="66">
        <v>1</v>
      </c>
      <c r="L19" s="66">
        <v>1</v>
      </c>
      <c r="M19" s="66">
        <v>2</v>
      </c>
    </row>
    <row r="20" spans="1:13">
      <c r="A20" s="421">
        <v>1998</v>
      </c>
      <c r="B20" s="421">
        <v>44.432741010000001</v>
      </c>
      <c r="C20" s="517">
        <f t="shared" si="0"/>
        <v>0.71199986430308837</v>
      </c>
      <c r="D20">
        <f t="shared" si="1"/>
        <v>493.28062598782259</v>
      </c>
      <c r="E20">
        <f t="shared" si="2"/>
        <v>16.232290690974732</v>
      </c>
      <c r="F20">
        <f t="shared" si="3"/>
        <v>33.126448191801046</v>
      </c>
      <c r="G20" t="s">
        <v>1338</v>
      </c>
      <c r="H20" s="175">
        <v>2</v>
      </c>
      <c r="I20" s="66">
        <v>1</v>
      </c>
      <c r="J20" s="66">
        <v>1</v>
      </c>
      <c r="K20" s="66">
        <v>1</v>
      </c>
      <c r="L20" s="66">
        <v>1</v>
      </c>
      <c r="M20" s="66">
        <v>2</v>
      </c>
    </row>
    <row r="21" spans="1:13">
      <c r="A21" s="421">
        <v>1999</v>
      </c>
      <c r="B21" s="421">
        <v>46.790113920000003</v>
      </c>
      <c r="C21" s="517">
        <f t="shared" si="0"/>
        <v>0.7497749183258422</v>
      </c>
      <c r="D21">
        <f t="shared" si="1"/>
        <v>519.45156116532667</v>
      </c>
      <c r="E21">
        <f t="shared" si="2"/>
        <v>17.093492621630713</v>
      </c>
      <c r="F21">
        <f t="shared" si="3"/>
        <v>34.883967304886937</v>
      </c>
      <c r="G21" t="s">
        <v>1338</v>
      </c>
      <c r="H21" s="175">
        <v>2</v>
      </c>
      <c r="I21" s="66">
        <v>1</v>
      </c>
      <c r="J21" s="66">
        <v>1</v>
      </c>
      <c r="K21" s="66">
        <v>1</v>
      </c>
      <c r="L21" s="66">
        <v>1</v>
      </c>
      <c r="M21" s="66">
        <v>2</v>
      </c>
    </row>
    <row r="22" spans="1:13">
      <c r="A22" s="421">
        <v>2000</v>
      </c>
      <c r="B22" s="421">
        <v>48.20224262</v>
      </c>
      <c r="C22" s="517">
        <f t="shared" si="0"/>
        <v>0.77240317442537498</v>
      </c>
      <c r="D22">
        <f t="shared" si="1"/>
        <v>535.128643273644</v>
      </c>
      <c r="E22">
        <f t="shared" si="2"/>
        <v>17.609375347531177</v>
      </c>
      <c r="F22">
        <f t="shared" si="3"/>
        <v>35.93676772091748</v>
      </c>
      <c r="G22" t="s">
        <v>1338</v>
      </c>
      <c r="H22" s="175">
        <v>2</v>
      </c>
      <c r="I22" s="66">
        <v>1</v>
      </c>
      <c r="J22" s="66">
        <v>1</v>
      </c>
      <c r="K22" s="66">
        <v>1</v>
      </c>
      <c r="L22" s="66">
        <v>1</v>
      </c>
      <c r="M22" s="66">
        <v>2</v>
      </c>
    </row>
    <row r="23" spans="1:13">
      <c r="A23" s="421">
        <v>2001</v>
      </c>
      <c r="B23" s="421">
        <v>48.30472391</v>
      </c>
      <c r="C23" s="517">
        <f t="shared" si="0"/>
        <v>0.77404535680969344</v>
      </c>
      <c r="D23">
        <f t="shared" si="1"/>
        <v>536.26636365132367</v>
      </c>
      <c r="E23">
        <f t="shared" si="2"/>
        <v>17.646814093191537</v>
      </c>
      <c r="F23">
        <f t="shared" si="3"/>
        <v>36.013171765922266</v>
      </c>
      <c r="G23" t="s">
        <v>1338</v>
      </c>
      <c r="H23" s="175">
        <v>2</v>
      </c>
      <c r="I23" s="66">
        <v>1</v>
      </c>
      <c r="J23" s="66">
        <v>1</v>
      </c>
      <c r="K23" s="66">
        <v>1</v>
      </c>
      <c r="L23" s="66">
        <v>1</v>
      </c>
      <c r="M23" s="66">
        <v>2</v>
      </c>
    </row>
    <row r="24" spans="1:13">
      <c r="A24" s="421">
        <v>2002</v>
      </c>
      <c r="B24" s="421">
        <v>50.256855190000003</v>
      </c>
      <c r="C24" s="517">
        <f t="shared" si="0"/>
        <v>0.80532673119415921</v>
      </c>
      <c r="D24">
        <f t="shared" si="1"/>
        <v>557.93841263862544</v>
      </c>
      <c r="E24">
        <f t="shared" si="2"/>
        <v>18.359972041218491</v>
      </c>
      <c r="F24">
        <f t="shared" si="3"/>
        <v>37.46856646452887</v>
      </c>
      <c r="G24" t="s">
        <v>1338</v>
      </c>
      <c r="H24" s="175">
        <v>2</v>
      </c>
      <c r="I24" s="66">
        <v>1</v>
      </c>
      <c r="J24" s="66">
        <v>1</v>
      </c>
      <c r="K24" s="66">
        <v>1</v>
      </c>
      <c r="L24" s="66">
        <v>1</v>
      </c>
      <c r="M24" s="66">
        <v>2</v>
      </c>
    </row>
    <row r="25" spans="1:13">
      <c r="A25" s="421">
        <v>2003</v>
      </c>
      <c r="B25" s="421">
        <v>51.157698490000001</v>
      </c>
      <c r="C25" s="517">
        <f t="shared" si="0"/>
        <v>0.81976203932007452</v>
      </c>
      <c r="D25">
        <f t="shared" si="1"/>
        <v>567.93933846134075</v>
      </c>
      <c r="E25">
        <f t="shared" si="2"/>
        <v>18.689070583874816</v>
      </c>
      <c r="F25">
        <f t="shared" si="3"/>
        <v>38.140182444728353</v>
      </c>
      <c r="G25" t="s">
        <v>1338</v>
      </c>
      <c r="H25" s="175">
        <v>2</v>
      </c>
      <c r="I25" s="66">
        <v>1</v>
      </c>
      <c r="J25" s="66">
        <v>1</v>
      </c>
      <c r="K25" s="66">
        <v>1</v>
      </c>
      <c r="L25" s="66">
        <v>1</v>
      </c>
      <c r="M25" s="66">
        <v>2</v>
      </c>
    </row>
    <row r="26" spans="1:13">
      <c r="A26" s="421">
        <v>2004</v>
      </c>
      <c r="B26" s="421">
        <v>53.148585580000002</v>
      </c>
      <c r="C26" s="517">
        <f t="shared" si="0"/>
        <v>0.8516644451969424</v>
      </c>
      <c r="D26">
        <f t="shared" si="1"/>
        <v>590.04164427689363</v>
      </c>
      <c r="E26">
        <f t="shared" si="2"/>
        <v>19.416386910601442</v>
      </c>
      <c r="F26">
        <f t="shared" si="3"/>
        <v>39.624471204401488</v>
      </c>
      <c r="G26" t="s">
        <v>1338</v>
      </c>
      <c r="H26" s="175">
        <v>2</v>
      </c>
      <c r="I26" s="66">
        <v>1</v>
      </c>
      <c r="J26" s="66">
        <v>1</v>
      </c>
      <c r="K26" s="66">
        <v>1</v>
      </c>
      <c r="L26" s="66">
        <v>1</v>
      </c>
      <c r="M26" s="66">
        <v>2</v>
      </c>
    </row>
    <row r="27" spans="1:13">
      <c r="A27" s="421">
        <v>2005</v>
      </c>
      <c r="B27" s="421">
        <v>53.354288410000002</v>
      </c>
      <c r="C27" s="517">
        <f t="shared" si="0"/>
        <v>0.85496067189188785</v>
      </c>
      <c r="D27">
        <f t="shared" si="1"/>
        <v>592.32530309341882</v>
      </c>
      <c r="E27">
        <f t="shared" si="2"/>
        <v>19.49153483208044</v>
      </c>
      <c r="F27">
        <f t="shared" si="3"/>
        <v>39.777831181436625</v>
      </c>
      <c r="G27" t="s">
        <v>1338</v>
      </c>
      <c r="H27" s="175">
        <v>2</v>
      </c>
      <c r="I27" s="66">
        <v>1</v>
      </c>
      <c r="J27" s="66">
        <v>1</v>
      </c>
      <c r="K27" s="66">
        <v>1</v>
      </c>
      <c r="L27" s="66">
        <v>1</v>
      </c>
      <c r="M27" s="66">
        <v>2</v>
      </c>
    </row>
    <row r="28" spans="1:13">
      <c r="A28" s="421">
        <v>2006</v>
      </c>
      <c r="B28" s="421">
        <v>55.338338159999999</v>
      </c>
      <c r="C28" s="517">
        <f t="shared" si="0"/>
        <v>0.88675351475190067</v>
      </c>
      <c r="D28">
        <f t="shared" si="1"/>
        <v>614.3517025552643</v>
      </c>
      <c r="E28">
        <f t="shared" si="2"/>
        <v>20.216353323024034</v>
      </c>
      <c r="F28">
        <f t="shared" si="3"/>
        <v>41.257022421034897</v>
      </c>
      <c r="G28" t="s">
        <v>1338</v>
      </c>
      <c r="H28" s="175">
        <v>2</v>
      </c>
      <c r="I28" s="66">
        <v>1</v>
      </c>
      <c r="J28" s="66">
        <v>1</v>
      </c>
      <c r="K28" s="66">
        <v>1</v>
      </c>
      <c r="L28" s="66">
        <v>1</v>
      </c>
      <c r="M28" s="66">
        <v>2</v>
      </c>
    </row>
    <row r="29" spans="1:13">
      <c r="A29" s="421">
        <v>2007</v>
      </c>
      <c r="B29" s="421">
        <v>56.97384194</v>
      </c>
      <c r="C29" s="517">
        <f t="shared" si="0"/>
        <v>0.91296118150748329</v>
      </c>
      <c r="D29">
        <f t="shared" si="1"/>
        <v>632.50863616019944</v>
      </c>
      <c r="E29">
        <f t="shared" si="2"/>
        <v>20.813840045195263</v>
      </c>
      <c r="F29">
        <f t="shared" si="3"/>
        <v>42.4763582082075</v>
      </c>
      <c r="G29" t="s">
        <v>1338</v>
      </c>
      <c r="H29" s="175">
        <v>2</v>
      </c>
      <c r="I29" s="66">
        <v>1</v>
      </c>
      <c r="J29" s="66">
        <v>1</v>
      </c>
      <c r="K29" s="66">
        <v>1</v>
      </c>
      <c r="L29" s="66">
        <v>1</v>
      </c>
      <c r="M29" s="66">
        <v>2</v>
      </c>
    </row>
    <row r="30" spans="1:13">
      <c r="A30" s="421">
        <v>2008</v>
      </c>
      <c r="B30" s="421">
        <v>52.894491530000003</v>
      </c>
      <c r="C30" s="517">
        <f t="shared" si="0"/>
        <v>0.84759278711310948</v>
      </c>
      <c r="D30">
        <f t="shared" si="1"/>
        <v>587.22075883983337</v>
      </c>
      <c r="E30">
        <f t="shared" si="2"/>
        <v>19.323560576040656</v>
      </c>
      <c r="F30">
        <f t="shared" si="3"/>
        <v>39.435033569183901</v>
      </c>
      <c r="G30" t="s">
        <v>1338</v>
      </c>
      <c r="H30" s="175">
        <v>2</v>
      </c>
      <c r="I30" s="66">
        <v>1</v>
      </c>
      <c r="J30" s="66">
        <v>1</v>
      </c>
      <c r="K30" s="66">
        <v>1</v>
      </c>
      <c r="L30" s="66">
        <v>1</v>
      </c>
      <c r="M30" s="66">
        <v>2</v>
      </c>
    </row>
    <row r="31" spans="1:13">
      <c r="A31" s="421">
        <v>2009</v>
      </c>
      <c r="B31" s="421">
        <v>52.81567038</v>
      </c>
      <c r="C31" s="517">
        <f t="shared" si="0"/>
        <v>0.84632973993599325</v>
      </c>
      <c r="D31">
        <f t="shared" si="1"/>
        <v>586.34570712505547</v>
      </c>
      <c r="E31">
        <f t="shared" si="2"/>
        <v>19.294765417553606</v>
      </c>
      <c r="F31">
        <f t="shared" si="3"/>
        <v>39.376269138213829</v>
      </c>
      <c r="G31" t="s">
        <v>1338</v>
      </c>
      <c r="H31" s="175">
        <v>2</v>
      </c>
      <c r="I31" s="66">
        <v>1</v>
      </c>
      <c r="J31" s="66">
        <v>1</v>
      </c>
      <c r="K31" s="66">
        <v>1</v>
      </c>
      <c r="L31" s="66">
        <v>1</v>
      </c>
      <c r="M31" s="66">
        <v>2</v>
      </c>
    </row>
    <row r="32" spans="1:13">
      <c r="A32" s="421">
        <v>2010</v>
      </c>
      <c r="B32" s="421">
        <v>55.750704589999998</v>
      </c>
      <c r="C32" s="517">
        <f t="shared" si="0"/>
        <v>0.89336136372833608</v>
      </c>
      <c r="D32">
        <f t="shared" si="1"/>
        <v>618.92968640462846</v>
      </c>
      <c r="E32">
        <f t="shared" si="2"/>
        <v>20.36700015711093</v>
      </c>
      <c r="F32">
        <f t="shared" si="3"/>
        <v>41.564458668921532</v>
      </c>
      <c r="G32" t="s">
        <v>1338</v>
      </c>
      <c r="H32" s="175">
        <v>2</v>
      </c>
      <c r="I32" s="66">
        <v>1</v>
      </c>
      <c r="J32" s="66">
        <v>1</v>
      </c>
      <c r="K32" s="66">
        <v>1</v>
      </c>
      <c r="L32" s="66">
        <v>1</v>
      </c>
      <c r="M32" s="66">
        <v>2</v>
      </c>
    </row>
    <row r="33" spans="1:13">
      <c r="A33" s="421">
        <v>2011</v>
      </c>
      <c r="B33" s="421">
        <v>56.366173369999998</v>
      </c>
      <c r="C33" s="517">
        <f t="shared" si="0"/>
        <v>0.90322376874503674</v>
      </c>
      <c r="D33">
        <f t="shared" si="1"/>
        <v>625.7624592242488</v>
      </c>
      <c r="E33">
        <f t="shared" si="2"/>
        <v>20.591844898197937</v>
      </c>
      <c r="F33">
        <f t="shared" si="3"/>
        <v>42.023316128328602</v>
      </c>
      <c r="G33" t="s">
        <v>1338</v>
      </c>
      <c r="H33" s="175">
        <v>2</v>
      </c>
      <c r="I33" s="66">
        <v>1</v>
      </c>
      <c r="J33" s="66">
        <v>1</v>
      </c>
      <c r="K33" s="66">
        <v>1</v>
      </c>
      <c r="L33" s="66">
        <v>1</v>
      </c>
      <c r="M33" s="66">
        <v>2</v>
      </c>
    </row>
    <row r="34" spans="1:13">
      <c r="A34" s="421">
        <v>2012</v>
      </c>
      <c r="B34" s="421">
        <v>56.799612029999999</v>
      </c>
      <c r="C34" s="517">
        <f t="shared" si="0"/>
        <v>0.91016928369839645</v>
      </c>
      <c r="D34">
        <f t="shared" si="1"/>
        <v>630.57438143908598</v>
      </c>
      <c r="E34">
        <f t="shared" si="2"/>
        <v>20.750189897086106</v>
      </c>
      <c r="F34">
        <f t="shared" si="3"/>
        <v>42.346462596190719</v>
      </c>
      <c r="G34" t="s">
        <v>1338</v>
      </c>
      <c r="H34" s="175">
        <v>2</v>
      </c>
      <c r="I34" s="66">
        <v>1</v>
      </c>
      <c r="J34" s="66">
        <v>1</v>
      </c>
      <c r="K34" s="66">
        <v>1</v>
      </c>
      <c r="L34" s="66">
        <v>1</v>
      </c>
      <c r="M34" s="66">
        <v>2</v>
      </c>
    </row>
    <row r="35" spans="1:13">
      <c r="A35" s="421">
        <v>2013</v>
      </c>
      <c r="B35" s="421">
        <v>57.459872150000002</v>
      </c>
      <c r="C35" s="517">
        <f t="shared" si="0"/>
        <v>0.92074943484727434</v>
      </c>
      <c r="D35">
        <f t="shared" si="1"/>
        <v>637.90441595654011</v>
      </c>
      <c r="E35">
        <f t="shared" si="2"/>
        <v>20.991397933229674</v>
      </c>
      <c r="F35">
        <f t="shared" si="3"/>
        <v>42.838713854184682</v>
      </c>
      <c r="G35" t="s">
        <v>1338</v>
      </c>
      <c r="H35" s="175">
        <v>2</v>
      </c>
      <c r="I35" s="66">
        <v>1</v>
      </c>
      <c r="J35" s="66">
        <v>1</v>
      </c>
      <c r="K35" s="66">
        <v>1</v>
      </c>
      <c r="L35" s="66">
        <v>1</v>
      </c>
      <c r="M35" s="66">
        <v>2</v>
      </c>
    </row>
    <row r="36" spans="1:13">
      <c r="A36" s="421">
        <v>2014</v>
      </c>
      <c r="B36" s="421">
        <v>56.68223965</v>
      </c>
      <c r="C36" s="517">
        <f t="shared" si="0"/>
        <v>0.90828848326310208</v>
      </c>
      <c r="D36">
        <f t="shared" si="1"/>
        <v>629.27134408950974</v>
      </c>
      <c r="E36">
        <f t="shared" si="2"/>
        <v>20.707311097625528</v>
      </c>
      <c r="F36">
        <f t="shared" si="3"/>
        <v>42.258956627014896</v>
      </c>
      <c r="G36" t="s">
        <v>1338</v>
      </c>
      <c r="H36" s="175">
        <v>2</v>
      </c>
      <c r="I36" s="66">
        <v>1</v>
      </c>
      <c r="J36" s="66">
        <v>1</v>
      </c>
      <c r="K36" s="66">
        <v>1</v>
      </c>
      <c r="L36" s="66">
        <v>1</v>
      </c>
      <c r="M36" s="66">
        <v>2</v>
      </c>
    </row>
    <row r="37" spans="1:13">
      <c r="A37" s="421">
        <v>2015</v>
      </c>
      <c r="B37" s="421">
        <v>56.774038679999997</v>
      </c>
      <c r="C37" s="517">
        <f t="shared" si="0"/>
        <v>0.90975949079982921</v>
      </c>
      <c r="D37">
        <f t="shared" si="1"/>
        <v>630.29047282102965</v>
      </c>
      <c r="E37">
        <f t="shared" si="2"/>
        <v>20.740847370793418</v>
      </c>
      <c r="F37">
        <f t="shared" si="3"/>
        <v>42.327396604883198</v>
      </c>
      <c r="G37" t="s">
        <v>1338</v>
      </c>
      <c r="H37" s="175">
        <v>2</v>
      </c>
      <c r="I37" s="66">
        <v>1</v>
      </c>
      <c r="J37" s="66">
        <v>1</v>
      </c>
      <c r="K37" s="66">
        <v>1</v>
      </c>
      <c r="L37" s="66">
        <v>1</v>
      </c>
      <c r="M37" s="66">
        <v>2</v>
      </c>
    </row>
    <row r="38" spans="1:13">
      <c r="A38" s="421">
        <v>2016</v>
      </c>
      <c r="B38" s="421">
        <v>58.404274020000003</v>
      </c>
      <c r="C38" s="517">
        <f t="shared" si="0"/>
        <v>0.93588273493191798</v>
      </c>
      <c r="D38">
        <f t="shared" si="1"/>
        <v>648.38891758818204</v>
      </c>
      <c r="E38">
        <f t="shared" si="2"/>
        <v>21.336409412028381</v>
      </c>
      <c r="F38">
        <f t="shared" si="3"/>
        <v>43.542804551892353</v>
      </c>
      <c r="G38" t="s">
        <v>1338</v>
      </c>
      <c r="H38" s="175">
        <v>2</v>
      </c>
      <c r="I38" s="66">
        <v>1</v>
      </c>
      <c r="J38" s="66">
        <v>1</v>
      </c>
      <c r="K38" s="66">
        <v>1</v>
      </c>
      <c r="L38" s="66">
        <v>1</v>
      </c>
      <c r="M38" s="66">
        <v>2</v>
      </c>
    </row>
    <row r="39" spans="1:13">
      <c r="A39" s="421">
        <v>2017</v>
      </c>
      <c r="B39" s="421">
        <v>60.762864729999997</v>
      </c>
      <c r="C39" s="517">
        <f t="shared" si="0"/>
        <v>0.97367730324559854</v>
      </c>
      <c r="D39">
        <f t="shared" si="1"/>
        <v>674.57337246158306</v>
      </c>
      <c r="E39">
        <f t="shared" si="2"/>
        <v>22.198056232717114</v>
      </c>
      <c r="F39">
        <f t="shared" si="3"/>
        <v>45.301231585302098</v>
      </c>
      <c r="G39" t="s">
        <v>1338</v>
      </c>
      <c r="H39" s="175">
        <v>2</v>
      </c>
      <c r="I39" s="66">
        <v>1</v>
      </c>
      <c r="J39" s="66">
        <v>1</v>
      </c>
      <c r="K39" s="66">
        <v>1</v>
      </c>
      <c r="L39" s="66">
        <v>1</v>
      </c>
      <c r="M39" s="66">
        <v>2</v>
      </c>
    </row>
    <row r="40" spans="1:13">
      <c r="A40" s="422">
        <v>2018</v>
      </c>
      <c r="B40" s="422">
        <v>62.40554702</v>
      </c>
      <c r="C40" s="518">
        <v>1</v>
      </c>
      <c r="D40" s="423">
        <f>In_EU_2018</f>
        <v>692.81</v>
      </c>
      <c r="E40" s="423">
        <f>In_NL_2018_low</f>
        <v>22.798165427830579</v>
      </c>
      <c r="F40" s="423">
        <f>IN_NL_2018_high</f>
        <v>46.525919248910952</v>
      </c>
      <c r="G40" t="s">
        <v>1338</v>
      </c>
      <c r="H40" s="175">
        <v>2</v>
      </c>
      <c r="I40" s="66">
        <v>1</v>
      </c>
      <c r="J40" s="66">
        <v>1</v>
      </c>
      <c r="K40" s="66">
        <v>1</v>
      </c>
      <c r="L40" s="66">
        <v>1</v>
      </c>
      <c r="M40" s="66">
        <v>2</v>
      </c>
    </row>
    <row r="41" spans="1:13">
      <c r="A41" s="422">
        <v>2019</v>
      </c>
      <c r="B41" s="422">
        <v>63.673394029999997</v>
      </c>
      <c r="C41" s="518">
        <v>1</v>
      </c>
      <c r="D41" s="423">
        <f>In_EU_2019</f>
        <v>695.5</v>
      </c>
      <c r="E41" s="423">
        <f>IN_NL_2019_low</f>
        <v>22.888549427830579</v>
      </c>
      <c r="F41" s="423">
        <f>IN_NL_2019_high</f>
        <v>46.706479507763902</v>
      </c>
      <c r="G41" t="s">
        <v>1338</v>
      </c>
      <c r="H41" s="175">
        <v>2</v>
      </c>
      <c r="I41" s="66">
        <v>1</v>
      </c>
      <c r="J41" s="66">
        <v>1</v>
      </c>
      <c r="K41" s="66">
        <v>1</v>
      </c>
      <c r="L41" s="66">
        <v>1</v>
      </c>
      <c r="M41" s="66">
        <v>2</v>
      </c>
    </row>
    <row r="42" spans="1:13">
      <c r="A42" s="421">
        <v>2020</v>
      </c>
      <c r="B42" s="421">
        <v>62.244721509999998</v>
      </c>
      <c r="C42" s="517">
        <f t="shared" ref="C42:C82" si="4">B42/OECD_ref_2019</f>
        <v>0.9775624883553895</v>
      </c>
      <c r="D42">
        <f t="shared" ref="D42:D82" si="5">In_EU_2019*C42</f>
        <v>679.89471065117345</v>
      </c>
      <c r="E42">
        <f t="shared" ref="E42:E82" si="6">IN_NL_2019_low*C42</f>
        <v>22.374987333515389</v>
      </c>
      <c r="F42">
        <f t="shared" ref="F42:F82" si="7">IN_NL_2019_high*C42</f>
        <v>45.658502329929689</v>
      </c>
      <c r="G42" t="s">
        <v>1338</v>
      </c>
      <c r="H42" s="175">
        <v>2</v>
      </c>
      <c r="I42" s="66">
        <v>1</v>
      </c>
      <c r="J42" s="66">
        <v>1</v>
      </c>
      <c r="K42" s="66">
        <v>1</v>
      </c>
      <c r="L42" s="66">
        <v>1</v>
      </c>
      <c r="M42" s="66">
        <v>2</v>
      </c>
    </row>
    <row r="43" spans="1:13">
      <c r="A43" s="421">
        <v>2021</v>
      </c>
      <c r="B43" s="421">
        <v>62.751095020000001</v>
      </c>
      <c r="C43" s="517">
        <f t="shared" si="4"/>
        <v>0.98551515866163109</v>
      </c>
      <c r="D43">
        <f t="shared" si="5"/>
        <v>685.4257928491644</v>
      </c>
      <c r="E43">
        <f t="shared" si="6"/>
        <v>22.557012420903039</v>
      </c>
      <c r="F43">
        <f t="shared" si="7"/>
        <v>46.029943562620161</v>
      </c>
      <c r="G43" t="s">
        <v>1338</v>
      </c>
      <c r="H43" s="175">
        <v>2</v>
      </c>
      <c r="I43" s="66">
        <v>1</v>
      </c>
      <c r="J43" s="66">
        <v>1</v>
      </c>
      <c r="K43" s="66">
        <v>1</v>
      </c>
      <c r="L43" s="66">
        <v>1</v>
      </c>
      <c r="M43" s="66">
        <v>2</v>
      </c>
    </row>
    <row r="44" spans="1:13">
      <c r="A44" s="421">
        <v>2022</v>
      </c>
      <c r="B44" s="421">
        <v>63.284099789999999</v>
      </c>
      <c r="C44" s="517">
        <f t="shared" si="4"/>
        <v>0.99388607681543439</v>
      </c>
      <c r="D44">
        <f t="shared" si="5"/>
        <v>691.24776642513461</v>
      </c>
      <c r="E44">
        <f t="shared" si="6"/>
        <v>22.74861059482269</v>
      </c>
      <c r="F44">
        <f t="shared" si="7"/>
        <v>46.420919679831947</v>
      </c>
      <c r="G44" t="s">
        <v>1338</v>
      </c>
      <c r="H44" s="175">
        <v>2</v>
      </c>
      <c r="I44" s="66">
        <v>1</v>
      </c>
      <c r="J44" s="66">
        <v>1</v>
      </c>
      <c r="K44" s="66">
        <v>1</v>
      </c>
      <c r="L44" s="66">
        <v>1</v>
      </c>
      <c r="M44" s="66">
        <v>2</v>
      </c>
    </row>
    <row r="45" spans="1:13">
      <c r="A45" s="421">
        <v>2023</v>
      </c>
      <c r="B45" s="421">
        <v>63.887207420000003</v>
      </c>
      <c r="C45" s="517">
        <f t="shared" si="4"/>
        <v>1.0033579706760922</v>
      </c>
      <c r="D45">
        <f t="shared" si="5"/>
        <v>697.8354686052221</v>
      </c>
      <c r="E45">
        <f t="shared" si="6"/>
        <v>22.965408505627522</v>
      </c>
      <c r="F45">
        <f t="shared" si="7"/>
        <v>46.863318496334479</v>
      </c>
      <c r="G45" t="s">
        <v>1338</v>
      </c>
      <c r="H45" s="175">
        <v>2</v>
      </c>
      <c r="I45" s="66">
        <v>1</v>
      </c>
      <c r="J45" s="66">
        <v>1</v>
      </c>
      <c r="K45" s="66">
        <v>1</v>
      </c>
      <c r="L45" s="66">
        <v>1</v>
      </c>
      <c r="M45" s="66">
        <v>2</v>
      </c>
    </row>
    <row r="46" spans="1:13">
      <c r="A46" s="421">
        <v>2024</v>
      </c>
      <c r="B46" s="421">
        <v>64.615952640000003</v>
      </c>
      <c r="C46" s="517">
        <f t="shared" si="4"/>
        <v>1.0148030213303207</v>
      </c>
      <c r="D46">
        <f t="shared" si="5"/>
        <v>705.7955013352381</v>
      </c>
      <c r="E46">
        <f t="shared" si="6"/>
        <v>23.227369113230857</v>
      </c>
      <c r="F46">
        <f t="shared" si="7"/>
        <v>47.397876520181519</v>
      </c>
      <c r="G46" t="s">
        <v>1338</v>
      </c>
      <c r="H46" s="175">
        <v>2</v>
      </c>
      <c r="I46" s="66">
        <v>1</v>
      </c>
      <c r="J46" s="66">
        <v>1</v>
      </c>
      <c r="K46" s="66">
        <v>1</v>
      </c>
      <c r="L46" s="66">
        <v>1</v>
      </c>
      <c r="M46" s="66">
        <v>2</v>
      </c>
    </row>
    <row r="47" spans="1:13">
      <c r="A47" s="421">
        <v>2025</v>
      </c>
      <c r="B47" s="421">
        <v>65.465784360000001</v>
      </c>
      <c r="C47" s="517">
        <f t="shared" si="4"/>
        <v>1.0281497532416053</v>
      </c>
      <c r="D47">
        <f t="shared" si="5"/>
        <v>715.0781533795365</v>
      </c>
      <c r="E47">
        <f t="shared" si="6"/>
        <v>23.532856446282295</v>
      </c>
      <c r="F47">
        <f t="shared" si="7"/>
        <v>48.021255380691549</v>
      </c>
      <c r="G47" t="s">
        <v>1338</v>
      </c>
      <c r="H47" s="175">
        <v>2</v>
      </c>
      <c r="I47" s="66">
        <v>1</v>
      </c>
      <c r="J47" s="66">
        <v>1</v>
      </c>
      <c r="K47" s="66">
        <v>1</v>
      </c>
      <c r="L47" s="66">
        <v>1</v>
      </c>
      <c r="M47" s="66">
        <v>2</v>
      </c>
    </row>
    <row r="48" spans="1:13">
      <c r="A48" s="421">
        <v>2026</v>
      </c>
      <c r="B48" s="421">
        <v>66.419471389999998</v>
      </c>
      <c r="C48" s="517">
        <f t="shared" si="4"/>
        <v>1.0431275480415914</v>
      </c>
      <c r="D48">
        <f t="shared" si="5"/>
        <v>725.49520966292675</v>
      </c>
      <c r="E48">
        <f t="shared" si="6"/>
        <v>23.87567644288168</v>
      </c>
      <c r="F48">
        <f t="shared" si="7"/>
        <v>48.720815446588588</v>
      </c>
      <c r="G48" t="s">
        <v>1338</v>
      </c>
      <c r="H48" s="175">
        <v>2</v>
      </c>
      <c r="I48" s="66">
        <v>1</v>
      </c>
      <c r="J48" s="66">
        <v>1</v>
      </c>
      <c r="K48" s="66">
        <v>1</v>
      </c>
      <c r="L48" s="66">
        <v>1</v>
      </c>
      <c r="M48" s="66">
        <v>2</v>
      </c>
    </row>
    <row r="49" spans="1:13">
      <c r="A49" s="421">
        <v>2027</v>
      </c>
      <c r="B49" s="421">
        <v>67.380646179999999</v>
      </c>
      <c r="C49" s="517">
        <f t="shared" si="4"/>
        <v>1.0582229392115223</v>
      </c>
      <c r="D49">
        <f t="shared" si="5"/>
        <v>735.99405422161374</v>
      </c>
      <c r="E49">
        <f t="shared" si="6"/>
        <v>24.221188049807083</v>
      </c>
      <c r="F49">
        <f t="shared" si="7"/>
        <v>49.425868024928654</v>
      </c>
      <c r="G49" t="s">
        <v>1338</v>
      </c>
      <c r="H49" s="175">
        <v>2</v>
      </c>
      <c r="I49" s="66">
        <v>1</v>
      </c>
      <c r="J49" s="66">
        <v>1</v>
      </c>
      <c r="K49" s="66">
        <v>1</v>
      </c>
      <c r="L49" s="66">
        <v>1</v>
      </c>
      <c r="M49" s="66">
        <v>2</v>
      </c>
    </row>
    <row r="50" spans="1:13">
      <c r="A50" s="421">
        <v>2028</v>
      </c>
      <c r="B50" s="421">
        <v>68.443224400000005</v>
      </c>
      <c r="C50" s="517">
        <f t="shared" si="4"/>
        <v>1.074910886134838</v>
      </c>
      <c r="D50">
        <f t="shared" si="5"/>
        <v>747.6005213067798</v>
      </c>
      <c r="E50">
        <f t="shared" si="6"/>
        <v>24.603150947810406</v>
      </c>
      <c r="F50">
        <f t="shared" si="7"/>
        <v>50.205303275929147</v>
      </c>
      <c r="G50" t="s">
        <v>1338</v>
      </c>
      <c r="H50" s="175">
        <v>2</v>
      </c>
      <c r="I50" s="66">
        <v>1</v>
      </c>
      <c r="J50" s="66">
        <v>1</v>
      </c>
      <c r="K50" s="66">
        <v>1</v>
      </c>
      <c r="L50" s="66">
        <v>1</v>
      </c>
      <c r="M50" s="66">
        <v>2</v>
      </c>
    </row>
    <row r="51" spans="1:13">
      <c r="A51" s="421">
        <v>2029</v>
      </c>
      <c r="B51" s="421">
        <v>69.561988159999999</v>
      </c>
      <c r="C51" s="517">
        <f t="shared" si="4"/>
        <v>1.0924812352114537</v>
      </c>
      <c r="D51">
        <f t="shared" si="5"/>
        <v>759.82069908956601</v>
      </c>
      <c r="E51">
        <f t="shared" si="6"/>
        <v>25.005310751114763</v>
      </c>
      <c r="F51">
        <f t="shared" si="7"/>
        <v>51.025952425020357</v>
      </c>
      <c r="G51" t="s">
        <v>1338</v>
      </c>
      <c r="H51" s="175">
        <v>2</v>
      </c>
      <c r="I51" s="66">
        <v>1</v>
      </c>
      <c r="J51" s="66">
        <v>1</v>
      </c>
      <c r="K51" s="66">
        <v>1</v>
      </c>
      <c r="L51" s="66">
        <v>1</v>
      </c>
      <c r="M51" s="66">
        <v>2</v>
      </c>
    </row>
    <row r="52" spans="1:13">
      <c r="A52" s="421">
        <v>2030</v>
      </c>
      <c r="B52" s="421">
        <v>70.721950910000004</v>
      </c>
      <c r="C52" s="517">
        <f t="shared" si="4"/>
        <v>1.1106986204737106</v>
      </c>
      <c r="D52">
        <f t="shared" si="5"/>
        <v>772.49089053946568</v>
      </c>
      <c r="E52">
        <f t="shared" si="6"/>
        <v>25.422280274135762</v>
      </c>
      <c r="F52">
        <f t="shared" si="7"/>
        <v>51.876822356456998</v>
      </c>
      <c r="G52" t="s">
        <v>1338</v>
      </c>
      <c r="H52" s="175">
        <v>2</v>
      </c>
      <c r="I52" s="66">
        <v>1</v>
      </c>
      <c r="J52" s="66">
        <v>1</v>
      </c>
      <c r="K52" s="66">
        <v>1</v>
      </c>
      <c r="L52" s="66">
        <v>1</v>
      </c>
      <c r="M52" s="66">
        <v>2</v>
      </c>
    </row>
    <row r="53" spans="1:13">
      <c r="A53" s="421">
        <v>2031</v>
      </c>
      <c r="B53" s="421">
        <v>71.938240480000005</v>
      </c>
      <c r="C53" s="517">
        <f t="shared" si="4"/>
        <v>1.1298006267124066</v>
      </c>
      <c r="D53">
        <f t="shared" si="5"/>
        <v>785.77633587847879</v>
      </c>
      <c r="E53">
        <f t="shared" si="6"/>
        <v>25.859497488100882</v>
      </c>
      <c r="F53">
        <f t="shared" si="7"/>
        <v>52.76900981940183</v>
      </c>
      <c r="G53" t="s">
        <v>1338</v>
      </c>
      <c r="H53" s="175">
        <v>2</v>
      </c>
      <c r="I53" s="66">
        <v>1</v>
      </c>
      <c r="J53" s="66">
        <v>1</v>
      </c>
      <c r="K53" s="66">
        <v>1</v>
      </c>
      <c r="L53" s="66">
        <v>1</v>
      </c>
      <c r="M53" s="66">
        <v>2</v>
      </c>
    </row>
    <row r="54" spans="1:13">
      <c r="A54" s="421">
        <v>2032</v>
      </c>
      <c r="B54" s="421">
        <v>73.165602570000004</v>
      </c>
      <c r="C54" s="517">
        <f t="shared" si="4"/>
        <v>1.1490765285030622</v>
      </c>
      <c r="D54">
        <f t="shared" si="5"/>
        <v>799.18272557387979</v>
      </c>
      <c r="E54">
        <f t="shared" si="6"/>
        <v>26.300694919002311</v>
      </c>
      <c r="F54">
        <f t="shared" si="7"/>
        <v>53.669319331380756</v>
      </c>
      <c r="G54" t="s">
        <v>1338</v>
      </c>
      <c r="H54" s="175">
        <v>2</v>
      </c>
      <c r="I54" s="66">
        <v>1</v>
      </c>
      <c r="J54" s="66">
        <v>1</v>
      </c>
      <c r="K54" s="66">
        <v>1</v>
      </c>
      <c r="L54" s="66">
        <v>1</v>
      </c>
      <c r="M54" s="66">
        <v>2</v>
      </c>
    </row>
    <row r="55" spans="1:13">
      <c r="A55" s="421">
        <v>2033</v>
      </c>
      <c r="B55" s="421">
        <v>74.40693358</v>
      </c>
      <c r="C55" s="517">
        <f t="shared" si="4"/>
        <v>1.1685718142328465</v>
      </c>
      <c r="D55">
        <f t="shared" si="5"/>
        <v>812.74169679894476</v>
      </c>
      <c r="E55">
        <f t="shared" si="6"/>
        <v>26.746913730038163</v>
      </c>
      <c r="F55">
        <f t="shared" si="7"/>
        <v>54.579875494816932</v>
      </c>
      <c r="G55" t="s">
        <v>1338</v>
      </c>
      <c r="H55" s="175">
        <v>2</v>
      </c>
      <c r="I55" s="66">
        <v>1</v>
      </c>
      <c r="J55" s="66">
        <v>1</v>
      </c>
      <c r="K55" s="66">
        <v>1</v>
      </c>
      <c r="L55" s="66">
        <v>1</v>
      </c>
      <c r="M55" s="66">
        <v>2</v>
      </c>
    </row>
    <row r="56" spans="1:13">
      <c r="A56" s="421">
        <v>2034</v>
      </c>
      <c r="B56" s="421">
        <v>75.68639623</v>
      </c>
      <c r="C56" s="517">
        <f t="shared" si="4"/>
        <v>1.188665962966259</v>
      </c>
      <c r="D56">
        <f t="shared" si="5"/>
        <v>826.71717724303312</v>
      </c>
      <c r="E56">
        <f t="shared" si="6"/>
        <v>27.206839646533052</v>
      </c>
      <c r="F56">
        <f t="shared" si="7"/>
        <v>55.518402440860022</v>
      </c>
      <c r="G56" t="s">
        <v>1338</v>
      </c>
      <c r="H56" s="175">
        <v>2</v>
      </c>
      <c r="I56" s="66">
        <v>1</v>
      </c>
      <c r="J56" s="66">
        <v>1</v>
      </c>
      <c r="K56" s="66">
        <v>1</v>
      </c>
      <c r="L56" s="66">
        <v>1</v>
      </c>
      <c r="M56" s="66">
        <v>2</v>
      </c>
    </row>
    <row r="57" spans="1:13">
      <c r="A57" s="421">
        <v>2035</v>
      </c>
      <c r="B57" s="421">
        <v>76.9915685</v>
      </c>
      <c r="C57" s="517">
        <f t="shared" si="4"/>
        <v>1.2091638850557438</v>
      </c>
      <c r="D57">
        <f t="shared" si="5"/>
        <v>840.97348205626986</v>
      </c>
      <c r="E57">
        <f t="shared" si="6"/>
        <v>27.676007349446046</v>
      </c>
      <c r="F57">
        <f t="shared" si="7"/>
        <v>56.475788218884283</v>
      </c>
      <c r="G57" t="s">
        <v>1338</v>
      </c>
      <c r="H57" s="175">
        <v>2</v>
      </c>
      <c r="I57" s="66">
        <v>1</v>
      </c>
      <c r="J57" s="66">
        <v>1</v>
      </c>
      <c r="K57" s="66">
        <v>1</v>
      </c>
      <c r="L57" s="66">
        <v>1</v>
      </c>
      <c r="M57" s="66">
        <v>2</v>
      </c>
    </row>
    <row r="58" spans="1:13">
      <c r="A58" s="421">
        <v>2036</v>
      </c>
      <c r="B58" s="421">
        <v>78.336995779999995</v>
      </c>
      <c r="C58" s="517">
        <f t="shared" si="4"/>
        <v>1.2302940179864006</v>
      </c>
      <c r="D58">
        <f t="shared" si="5"/>
        <v>855.66948950954156</v>
      </c>
      <c r="E58">
        <f t="shared" si="6"/>
        <v>28.159645441446013</v>
      </c>
      <c r="F58">
        <f t="shared" si="7"/>
        <v>57.462702339606331</v>
      </c>
      <c r="G58" t="s">
        <v>1338</v>
      </c>
      <c r="H58" s="175">
        <v>2</v>
      </c>
      <c r="I58" s="66">
        <v>1</v>
      </c>
      <c r="J58" s="66">
        <v>1</v>
      </c>
      <c r="K58" s="66">
        <v>1</v>
      </c>
      <c r="L58" s="66">
        <v>1</v>
      </c>
      <c r="M58" s="66">
        <v>2</v>
      </c>
    </row>
    <row r="59" spans="1:13">
      <c r="A59" s="421">
        <v>2037</v>
      </c>
      <c r="B59" s="421">
        <v>79.702670609999998</v>
      </c>
      <c r="C59" s="517">
        <f t="shared" si="4"/>
        <v>1.2517421416619905</v>
      </c>
      <c r="D59">
        <f t="shared" si="5"/>
        <v>870.58665952591434</v>
      </c>
      <c r="E59">
        <f t="shared" si="6"/>
        <v>28.650561880328976</v>
      </c>
      <c r="F59">
        <f t="shared" si="7"/>
        <v>58.464468688540258</v>
      </c>
      <c r="G59" t="s">
        <v>1338</v>
      </c>
      <c r="H59" s="175">
        <v>2</v>
      </c>
      <c r="I59" s="66">
        <v>1</v>
      </c>
      <c r="J59" s="66">
        <v>1</v>
      </c>
      <c r="K59" s="66">
        <v>1</v>
      </c>
      <c r="L59" s="66">
        <v>1</v>
      </c>
      <c r="M59" s="66">
        <v>2</v>
      </c>
    </row>
    <row r="60" spans="1:13">
      <c r="A60" s="421">
        <v>2038</v>
      </c>
      <c r="B60" s="421">
        <v>81.100178380000003</v>
      </c>
      <c r="C60" s="517">
        <f t="shared" si="4"/>
        <v>1.2736902063331084</v>
      </c>
      <c r="D60">
        <f t="shared" si="5"/>
        <v>885.85153850467691</v>
      </c>
      <c r="E60">
        <f t="shared" si="6"/>
        <v>29.152921243399081</v>
      </c>
      <c r="F60">
        <f t="shared" si="7"/>
        <v>59.489585521336899</v>
      </c>
      <c r="G60" t="s">
        <v>1338</v>
      </c>
      <c r="H60" s="175">
        <v>2</v>
      </c>
      <c r="I60" s="66">
        <v>1</v>
      </c>
      <c r="J60" s="66">
        <v>1</v>
      </c>
      <c r="K60" s="66">
        <v>1</v>
      </c>
      <c r="L60" s="66">
        <v>1</v>
      </c>
      <c r="M60" s="66">
        <v>2</v>
      </c>
    </row>
    <row r="61" spans="1:13">
      <c r="A61" s="421">
        <v>2039</v>
      </c>
      <c r="B61" s="421">
        <v>82.544736630000003</v>
      </c>
      <c r="C61" s="517">
        <f t="shared" si="4"/>
        <v>1.2963772056992704</v>
      </c>
      <c r="D61">
        <f t="shared" si="5"/>
        <v>901.63034656384252</v>
      </c>
      <c r="E61">
        <f t="shared" si="6"/>
        <v>29.672193749760641</v>
      </c>
      <c r="F61">
        <f t="shared" si="7"/>
        <v>60.549215392325202</v>
      </c>
      <c r="G61" t="s">
        <v>1338</v>
      </c>
      <c r="H61" s="175">
        <v>2</v>
      </c>
      <c r="I61" s="66">
        <v>1</v>
      </c>
      <c r="J61" s="66">
        <v>1</v>
      </c>
      <c r="K61" s="66">
        <v>1</v>
      </c>
      <c r="L61" s="66">
        <v>1</v>
      </c>
      <c r="M61" s="66">
        <v>2</v>
      </c>
    </row>
    <row r="62" spans="1:13">
      <c r="A62" s="421">
        <v>2040</v>
      </c>
      <c r="B62" s="421">
        <v>84.02895925</v>
      </c>
      <c r="C62" s="517">
        <f t="shared" si="4"/>
        <v>1.3196871398187033</v>
      </c>
      <c r="D62">
        <f t="shared" si="5"/>
        <v>917.84240574390822</v>
      </c>
      <c r="E62">
        <f t="shared" si="6"/>
        <v>30.205724329012757</v>
      </c>
      <c r="F62">
        <f t="shared" si="7"/>
        <v>61.637940352601824</v>
      </c>
      <c r="G62" t="s">
        <v>1338</v>
      </c>
      <c r="H62" s="175">
        <v>2</v>
      </c>
      <c r="I62" s="66">
        <v>1</v>
      </c>
      <c r="J62" s="66">
        <v>1</v>
      </c>
      <c r="K62" s="66">
        <v>1</v>
      </c>
      <c r="L62" s="66">
        <v>1</v>
      </c>
      <c r="M62" s="66">
        <v>2</v>
      </c>
    </row>
    <row r="63" spans="1:13">
      <c r="A63" s="421">
        <v>2041</v>
      </c>
      <c r="B63" s="421">
        <v>85.572727369999996</v>
      </c>
      <c r="C63" s="517">
        <f t="shared" si="4"/>
        <v>1.3439322447564526</v>
      </c>
      <c r="D63">
        <f t="shared" si="5"/>
        <v>934.70487622811277</v>
      </c>
      <c r="E63">
        <f t="shared" si="6"/>
        <v>30.760659611763369</v>
      </c>
      <c r="F63">
        <f t="shared" si="7"/>
        <v>62.770343849540396</v>
      </c>
      <c r="G63" t="s">
        <v>1338</v>
      </c>
      <c r="H63" s="175">
        <v>2</v>
      </c>
      <c r="I63" s="66">
        <v>1</v>
      </c>
      <c r="J63" s="66">
        <v>1</v>
      </c>
      <c r="K63" s="66">
        <v>1</v>
      </c>
      <c r="L63" s="66">
        <v>1</v>
      </c>
      <c r="M63" s="66">
        <v>2</v>
      </c>
    </row>
    <row r="64" spans="1:13">
      <c r="A64" s="421">
        <v>2042</v>
      </c>
      <c r="B64" s="421">
        <v>87.157978889999995</v>
      </c>
      <c r="C64" s="517">
        <f t="shared" si="4"/>
        <v>1.368828852580642</v>
      </c>
      <c r="D64">
        <f t="shared" si="5"/>
        <v>952.02046696983655</v>
      </c>
      <c r="E64">
        <f t="shared" si="6"/>
        <v>31.330506850532643</v>
      </c>
      <c r="F64">
        <f t="shared" si="7"/>
        <v>63.933176752693733</v>
      </c>
      <c r="G64" t="s">
        <v>1338</v>
      </c>
      <c r="H64" s="175">
        <v>2</v>
      </c>
      <c r="I64" s="66">
        <v>1</v>
      </c>
      <c r="J64" s="66">
        <v>1</v>
      </c>
      <c r="K64" s="66">
        <v>1</v>
      </c>
      <c r="L64" s="66">
        <v>1</v>
      </c>
      <c r="M64" s="66">
        <v>2</v>
      </c>
    </row>
    <row r="65" spans="1:13">
      <c r="A65" s="421">
        <v>2043</v>
      </c>
      <c r="B65" s="421">
        <v>88.811835630000004</v>
      </c>
      <c r="C65" s="517">
        <f t="shared" si="4"/>
        <v>1.3948029154556443</v>
      </c>
      <c r="D65">
        <f t="shared" si="5"/>
        <v>970.08542769940061</v>
      </c>
      <c r="E65">
        <f t="shared" si="6"/>
        <v>31.92501547248871</v>
      </c>
      <c r="F65">
        <f t="shared" si="7"/>
        <v>65.146333788098389</v>
      </c>
      <c r="G65" t="s">
        <v>1338</v>
      </c>
      <c r="H65" s="175">
        <v>2</v>
      </c>
      <c r="I65" s="66">
        <v>1</v>
      </c>
      <c r="J65" s="66">
        <v>1</v>
      </c>
      <c r="K65" s="66">
        <v>1</v>
      </c>
      <c r="L65" s="66">
        <v>1</v>
      </c>
      <c r="M65" s="66">
        <v>2</v>
      </c>
    </row>
    <row r="66" spans="1:13">
      <c r="A66" s="421">
        <v>2044</v>
      </c>
      <c r="B66" s="421">
        <v>90.524344569999997</v>
      </c>
      <c r="C66" s="517">
        <f t="shared" si="4"/>
        <v>1.4216981197413328</v>
      </c>
      <c r="D66">
        <f t="shared" si="5"/>
        <v>988.79104228009692</v>
      </c>
      <c r="E66">
        <f t="shared" si="6"/>
        <v>32.54060768515329</v>
      </c>
      <c r="F66">
        <f t="shared" si="7"/>
        <v>66.402514095925028</v>
      </c>
      <c r="G66" t="s">
        <v>1338</v>
      </c>
      <c r="H66" s="175">
        <v>2</v>
      </c>
      <c r="I66" s="66">
        <v>1</v>
      </c>
      <c r="J66" s="66">
        <v>1</v>
      </c>
      <c r="K66" s="66">
        <v>1</v>
      </c>
      <c r="L66" s="66">
        <v>1</v>
      </c>
      <c r="M66" s="66">
        <v>2</v>
      </c>
    </row>
    <row r="67" spans="1:13">
      <c r="A67" s="421">
        <v>2045</v>
      </c>
      <c r="B67" s="421">
        <v>92.270779849999997</v>
      </c>
      <c r="C67" s="517">
        <f t="shared" si="4"/>
        <v>1.4491261421768442</v>
      </c>
      <c r="D67">
        <f t="shared" si="5"/>
        <v>1007.8672318839951</v>
      </c>
      <c r="E67">
        <f t="shared" si="6"/>
        <v>33.168395332376143</v>
      </c>
      <c r="F67">
        <f t="shared" si="7"/>
        <v>67.683580463747731</v>
      </c>
      <c r="G67" t="s">
        <v>1338</v>
      </c>
      <c r="H67" s="175">
        <v>2</v>
      </c>
      <c r="I67" s="66">
        <v>1</v>
      </c>
      <c r="J67" s="66">
        <v>1</v>
      </c>
      <c r="K67" s="66">
        <v>1</v>
      </c>
      <c r="L67" s="66">
        <v>1</v>
      </c>
      <c r="M67" s="66">
        <v>2</v>
      </c>
    </row>
    <row r="68" spans="1:13">
      <c r="A68" s="421">
        <v>2046</v>
      </c>
      <c r="B68" s="421">
        <v>94.077414829999995</v>
      </c>
      <c r="C68" s="517">
        <f t="shared" si="4"/>
        <v>1.4774996097377031</v>
      </c>
      <c r="D68">
        <f t="shared" si="5"/>
        <v>1027.6009785725726</v>
      </c>
      <c r="E68">
        <f t="shared" si="6"/>
        <v>33.817822847081807</v>
      </c>
      <c r="F68">
        <f t="shared" si="7"/>
        <v>69.00880524494319</v>
      </c>
      <c r="G68" t="s">
        <v>1338</v>
      </c>
      <c r="H68" s="175">
        <v>2</v>
      </c>
      <c r="I68" s="66">
        <v>1</v>
      </c>
      <c r="J68" s="66">
        <v>1</v>
      </c>
      <c r="K68" s="66">
        <v>1</v>
      </c>
      <c r="L68" s="66">
        <v>1</v>
      </c>
      <c r="M68" s="66">
        <v>2</v>
      </c>
    </row>
    <row r="69" spans="1:13">
      <c r="A69" s="421">
        <v>2047</v>
      </c>
      <c r="B69" s="421">
        <v>95.914050689999996</v>
      </c>
      <c r="C69" s="517">
        <f t="shared" si="4"/>
        <v>1.5063442455228579</v>
      </c>
      <c r="D69">
        <f t="shared" si="5"/>
        <v>1047.6624227611478</v>
      </c>
      <c r="E69">
        <f t="shared" si="6"/>
        <v>34.478034718978094</v>
      </c>
      <c r="F69">
        <f t="shared" si="7"/>
        <v>70.35603663515144</v>
      </c>
      <c r="G69" t="s">
        <v>1338</v>
      </c>
      <c r="H69" s="175">
        <v>2</v>
      </c>
      <c r="I69" s="66">
        <v>1</v>
      </c>
      <c r="J69" s="66">
        <v>1</v>
      </c>
      <c r="K69" s="66">
        <v>1</v>
      </c>
      <c r="L69" s="66">
        <v>1</v>
      </c>
      <c r="M69" s="66">
        <v>2</v>
      </c>
    </row>
    <row r="70" spans="1:13">
      <c r="A70" s="421">
        <v>2048</v>
      </c>
      <c r="B70" s="421">
        <v>97.822312159999996</v>
      </c>
      <c r="C70" s="517">
        <f t="shared" si="4"/>
        <v>1.5363137720271451</v>
      </c>
      <c r="D70">
        <f t="shared" si="5"/>
        <v>1068.5062284448795</v>
      </c>
      <c r="E70">
        <f t="shared" si="6"/>
        <v>35.163993707700151</v>
      </c>
      <c r="F70">
        <f t="shared" si="7"/>
        <v>71.755807710681324</v>
      </c>
      <c r="G70" t="s">
        <v>1338</v>
      </c>
      <c r="H70" s="175">
        <v>2</v>
      </c>
      <c r="I70" s="66">
        <v>1</v>
      </c>
      <c r="J70" s="66">
        <v>1</v>
      </c>
      <c r="K70" s="66">
        <v>1</v>
      </c>
      <c r="L70" s="66">
        <v>1</v>
      </c>
      <c r="M70" s="66">
        <v>2</v>
      </c>
    </row>
    <row r="71" spans="1:13">
      <c r="A71" s="421">
        <v>2049</v>
      </c>
      <c r="B71" s="421">
        <v>99.774037800000002</v>
      </c>
      <c r="C71" s="517">
        <f t="shared" si="4"/>
        <v>1.5669659097014843</v>
      </c>
      <c r="D71">
        <f t="shared" si="5"/>
        <v>1089.8247901973823</v>
      </c>
      <c r="E71">
        <f t="shared" si="6"/>
        <v>35.865576675927933</v>
      </c>
      <c r="F71">
        <f t="shared" si="7"/>
        <v>73.187461150836995</v>
      </c>
      <c r="G71" t="s">
        <v>1338</v>
      </c>
      <c r="H71" s="175">
        <v>2</v>
      </c>
      <c r="I71" s="66">
        <v>1</v>
      </c>
      <c r="J71" s="66">
        <v>1</v>
      </c>
      <c r="K71" s="66">
        <v>1</v>
      </c>
      <c r="L71" s="66">
        <v>1</v>
      </c>
      <c r="M71" s="66">
        <v>2</v>
      </c>
    </row>
    <row r="72" spans="1:13">
      <c r="A72" s="421">
        <v>2050</v>
      </c>
      <c r="B72" s="421">
        <v>101.7943732</v>
      </c>
      <c r="C72" s="517">
        <f t="shared" si="4"/>
        <v>1.5986955737280022</v>
      </c>
      <c r="D72">
        <f t="shared" si="5"/>
        <v>1111.8927715278255</v>
      </c>
      <c r="E72">
        <f t="shared" si="6"/>
        <v>36.591822659327342</v>
      </c>
      <c r="F72">
        <f t="shared" si="7"/>
        <v>74.669442053479784</v>
      </c>
      <c r="G72" t="s">
        <v>1338</v>
      </c>
      <c r="H72" s="175">
        <v>2</v>
      </c>
      <c r="I72" s="66">
        <v>1</v>
      </c>
      <c r="J72" s="66">
        <v>1</v>
      </c>
      <c r="K72" s="66">
        <v>1</v>
      </c>
      <c r="L72" s="66">
        <v>1</v>
      </c>
      <c r="M72" s="66">
        <v>2</v>
      </c>
    </row>
    <row r="73" spans="1:13">
      <c r="A73" s="421">
        <v>2051</v>
      </c>
      <c r="B73" s="421">
        <v>103.8311403</v>
      </c>
      <c r="C73" s="517">
        <f t="shared" si="4"/>
        <v>1.630683300015066</v>
      </c>
      <c r="D73">
        <f t="shared" si="5"/>
        <v>1134.1402351604784</v>
      </c>
      <c r="E73">
        <f t="shared" si="6"/>
        <v>37.323975313532721</v>
      </c>
      <c r="F73">
        <f t="shared" si="7"/>
        <v>76.163476135806491</v>
      </c>
      <c r="G73" t="s">
        <v>1338</v>
      </c>
      <c r="H73" s="175">
        <v>2</v>
      </c>
      <c r="I73" s="66">
        <v>1</v>
      </c>
      <c r="J73" s="66">
        <v>1</v>
      </c>
      <c r="K73" s="66">
        <v>1</v>
      </c>
      <c r="L73" s="66">
        <v>1</v>
      </c>
      <c r="M73" s="66">
        <v>2</v>
      </c>
    </row>
    <row r="74" spans="1:13">
      <c r="A74" s="421">
        <v>2052</v>
      </c>
      <c r="B74" s="421">
        <v>105.9148888</v>
      </c>
      <c r="C74" s="517">
        <f t="shared" si="4"/>
        <v>1.6634088760856338</v>
      </c>
      <c r="D74">
        <f t="shared" si="5"/>
        <v>1156.9008733175583</v>
      </c>
      <c r="E74">
        <f t="shared" si="6"/>
        <v>38.073016278978137</v>
      </c>
      <c r="F74">
        <f t="shared" si="7"/>
        <v>77.691972583926244</v>
      </c>
      <c r="G74" t="s">
        <v>1338</v>
      </c>
      <c r="H74" s="175">
        <v>2</v>
      </c>
      <c r="I74" s="66">
        <v>1</v>
      </c>
      <c r="J74" s="66">
        <v>1</v>
      </c>
      <c r="K74" s="66">
        <v>1</v>
      </c>
      <c r="L74" s="66">
        <v>1</v>
      </c>
      <c r="M74" s="66">
        <v>2</v>
      </c>
    </row>
    <row r="75" spans="1:13">
      <c r="A75" s="421">
        <v>2053</v>
      </c>
      <c r="B75" s="421">
        <v>108.06990879999999</v>
      </c>
      <c r="C75" s="517">
        <f t="shared" si="4"/>
        <v>1.6972537815258031</v>
      </c>
      <c r="D75">
        <f t="shared" si="5"/>
        <v>1180.4400050511961</v>
      </c>
      <c r="E75">
        <f t="shared" si="6"/>
        <v>38.847677070025711</v>
      </c>
      <c r="F75">
        <f t="shared" si="7"/>
        <v>79.272748966309706</v>
      </c>
      <c r="G75" t="s">
        <v>1338</v>
      </c>
      <c r="H75" s="175">
        <v>2</v>
      </c>
      <c r="I75" s="66">
        <v>1</v>
      </c>
      <c r="J75" s="66">
        <v>1</v>
      </c>
      <c r="K75" s="66">
        <v>1</v>
      </c>
      <c r="L75" s="66">
        <v>1</v>
      </c>
      <c r="M75" s="66">
        <v>2</v>
      </c>
    </row>
    <row r="76" spans="1:13">
      <c r="A76" s="421">
        <v>2054</v>
      </c>
      <c r="B76" s="421">
        <v>110.2730487</v>
      </c>
      <c r="C76" s="517">
        <f t="shared" si="4"/>
        <v>1.7318544170590997</v>
      </c>
      <c r="D76">
        <f t="shared" si="5"/>
        <v>1204.5047470646039</v>
      </c>
      <c r="E76">
        <f t="shared" si="6"/>
        <v>39.639635426663915</v>
      </c>
      <c r="F76">
        <f t="shared" si="7"/>
        <v>80.88882284080124</v>
      </c>
      <c r="G76" t="s">
        <v>1338</v>
      </c>
      <c r="H76" s="175">
        <v>2</v>
      </c>
      <c r="I76" s="66">
        <v>1</v>
      </c>
      <c r="J76" s="66">
        <v>1</v>
      </c>
      <c r="K76" s="66">
        <v>1</v>
      </c>
      <c r="L76" s="66">
        <v>1</v>
      </c>
      <c r="M76" s="66">
        <v>2</v>
      </c>
    </row>
    <row r="77" spans="1:13">
      <c r="A77" s="421">
        <v>2055</v>
      </c>
      <c r="B77" s="421">
        <v>112.5594547</v>
      </c>
      <c r="C77" s="517">
        <f t="shared" si="4"/>
        <v>1.7677627589157117</v>
      </c>
      <c r="D77">
        <f t="shared" si="5"/>
        <v>1229.4789988258774</v>
      </c>
      <c r="E77">
        <f t="shared" si="6"/>
        <v>40.46152528412042</v>
      </c>
      <c r="F77">
        <f t="shared" si="7"/>
        <v>82.565975073884871</v>
      </c>
      <c r="G77" t="s">
        <v>1338</v>
      </c>
      <c r="H77" s="175">
        <v>2</v>
      </c>
      <c r="I77" s="66">
        <v>1</v>
      </c>
      <c r="J77" s="66">
        <v>1</v>
      </c>
      <c r="K77" s="66">
        <v>1</v>
      </c>
      <c r="L77" s="66">
        <v>1</v>
      </c>
      <c r="M77" s="66">
        <v>2</v>
      </c>
    </row>
    <row r="78" spans="1:13">
      <c r="A78" s="421">
        <v>2056</v>
      </c>
      <c r="B78" s="421">
        <v>114.8965238</v>
      </c>
      <c r="C78" s="517">
        <f t="shared" si="4"/>
        <v>1.8044667721947725</v>
      </c>
      <c r="D78">
        <f t="shared" si="5"/>
        <v>1255.0066400614642</v>
      </c>
      <c r="E78">
        <f t="shared" si="6"/>
        <v>41.301626906257951</v>
      </c>
      <c r="F78">
        <f t="shared" si="7"/>
        <v>84.280290317956016</v>
      </c>
      <c r="G78" t="s">
        <v>1338</v>
      </c>
      <c r="H78" s="175">
        <v>2</v>
      </c>
      <c r="I78" s="66">
        <v>1</v>
      </c>
      <c r="J78" s="66">
        <v>1</v>
      </c>
      <c r="K78" s="66">
        <v>1</v>
      </c>
      <c r="L78" s="66">
        <v>1</v>
      </c>
      <c r="M78" s="66">
        <v>2</v>
      </c>
    </row>
    <row r="79" spans="1:13">
      <c r="A79" s="421">
        <v>2057</v>
      </c>
      <c r="B79" s="421">
        <v>117.3261189</v>
      </c>
      <c r="C79" s="517">
        <f t="shared" si="4"/>
        <v>1.8426239198859304</v>
      </c>
      <c r="D79">
        <f t="shared" si="5"/>
        <v>1281.5449362806646</v>
      </c>
      <c r="E79">
        <f t="shared" si="6"/>
        <v>42.174988667212055</v>
      </c>
      <c r="F79">
        <f t="shared" si="7"/>
        <v>86.062476354667808</v>
      </c>
      <c r="G79" t="s">
        <v>1338</v>
      </c>
      <c r="H79" s="175">
        <v>2</v>
      </c>
      <c r="I79" s="66">
        <v>1</v>
      </c>
      <c r="J79" s="66">
        <v>1</v>
      </c>
      <c r="K79" s="66">
        <v>1</v>
      </c>
      <c r="L79" s="66">
        <v>1</v>
      </c>
      <c r="M79" s="66">
        <v>2</v>
      </c>
    </row>
    <row r="80" spans="1:13">
      <c r="A80" s="421">
        <v>2058</v>
      </c>
      <c r="B80" s="421">
        <v>119.8032601</v>
      </c>
      <c r="C80" s="517">
        <f t="shared" si="4"/>
        <v>1.8815277860569859</v>
      </c>
      <c r="D80">
        <f t="shared" si="5"/>
        <v>1308.6025752026337</v>
      </c>
      <c r="E80">
        <f t="shared" si="6"/>
        <v>43.065441731001961</v>
      </c>
      <c r="F80">
        <f t="shared" si="7"/>
        <v>87.879538982759001</v>
      </c>
      <c r="G80" t="s">
        <v>1338</v>
      </c>
      <c r="H80" s="175">
        <v>2</v>
      </c>
      <c r="I80" s="66">
        <v>1</v>
      </c>
      <c r="J80" s="66">
        <v>1</v>
      </c>
      <c r="K80" s="66">
        <v>1</v>
      </c>
      <c r="L80" s="66">
        <v>1</v>
      </c>
      <c r="M80" s="66">
        <v>2</v>
      </c>
    </row>
    <row r="81" spans="1:13">
      <c r="A81" s="421">
        <v>2059</v>
      </c>
      <c r="B81" s="421">
        <v>122.38200670000001</v>
      </c>
      <c r="C81" s="517">
        <f t="shared" si="4"/>
        <v>1.9220273799499237</v>
      </c>
      <c r="D81">
        <f t="shared" si="5"/>
        <v>1336.770042755172</v>
      </c>
      <c r="E81">
        <f t="shared" si="6"/>
        <v>43.992418687627534</v>
      </c>
      <c r="F81">
        <f t="shared" si="7"/>
        <v>89.771132434992253</v>
      </c>
      <c r="G81" t="s">
        <v>1338</v>
      </c>
      <c r="H81" s="175">
        <v>2</v>
      </c>
      <c r="I81" s="66">
        <v>1</v>
      </c>
      <c r="J81" s="66">
        <v>1</v>
      </c>
      <c r="K81" s="66">
        <v>1</v>
      </c>
      <c r="L81" s="66">
        <v>1</v>
      </c>
      <c r="M81" s="66">
        <v>2</v>
      </c>
    </row>
    <row r="82" spans="1:13">
      <c r="A82" s="421">
        <v>2060</v>
      </c>
      <c r="B82" s="421">
        <v>124.8903523</v>
      </c>
      <c r="C82" s="517">
        <f t="shared" si="4"/>
        <v>1.9614213158035423</v>
      </c>
      <c r="D82">
        <f t="shared" si="5"/>
        <v>1364.1685251413637</v>
      </c>
      <c r="E82">
        <f t="shared" si="6"/>
        <v>44.894088735569866</v>
      </c>
      <c r="F82">
        <f t="shared" si="7"/>
        <v>91.611084492669463</v>
      </c>
      <c r="G82" t="s">
        <v>1338</v>
      </c>
      <c r="H82" s="175">
        <v>2</v>
      </c>
      <c r="I82" s="66">
        <v>1</v>
      </c>
      <c r="J82" s="66">
        <v>1</v>
      </c>
      <c r="K82" s="66">
        <v>1</v>
      </c>
      <c r="L82" s="66">
        <v>1</v>
      </c>
      <c r="M82" s="66">
        <v>2</v>
      </c>
    </row>
  </sheetData>
  <conditionalFormatting sqref="H2:M82">
    <cfRule type="containsBlanks" dxfId="21" priority="1">
      <formula>LEN(TRIM(H2))=0</formula>
    </cfRule>
    <cfRule type="cellIs" dxfId="20" priority="2" stopIfTrue="1" operator="notBetween">
      <formula>1</formula>
      <formula>4</formula>
    </cfRule>
    <cfRule type="dataBar" priority="3">
      <dataBar>
        <cfvo type="min"/>
        <cfvo type="num" val="4"/>
        <color rgb="FFFFC000"/>
      </dataBar>
      <extLst>
        <ext xmlns:x14="http://schemas.microsoft.com/office/spreadsheetml/2009/9/main" uri="{B025F937-C7B1-47D3-B67F-A62EFF666E3E}">
          <x14:id>{AAACF436-2942-4CF6-8912-AC7886C5EC77}</x14:id>
        </ext>
      </extLst>
    </cfRule>
  </conditionalFormatting>
  <hyperlinks>
    <hyperlink ref="G2" r:id="rId1" display="https://www.oecd-ilibrary.org/environment/global-plastics-outlook_aa1edf33-en" xr:uid="{9EDD35E6-36EE-4BFE-8E25-D7C41537A6B6}"/>
    <hyperlink ref="G3:G82" r:id="rId2" display="https://www.oecd-ilibrary.org/environment/global-plastics-outlook_aa1edf33-en" xr:uid="{27CF6CBB-00F2-4703-B336-932F9AF163AF}"/>
  </hyperlinks>
  <pageMargins left="0.7" right="0.7" top="0.75" bottom="0.75" header="0.3" footer="0.3"/>
  <pageSetup orientation="portrait" r:id="rId3"/>
  <extLst>
    <ext xmlns:x14="http://schemas.microsoft.com/office/spreadsheetml/2009/9/main" uri="{78C0D931-6437-407d-A8EE-F0AAD7539E65}">
      <x14:conditionalFormattings>
        <x14:conditionalFormatting xmlns:xm="http://schemas.microsoft.com/office/excel/2006/main">
          <x14:cfRule type="dataBar" id="{AAACF436-2942-4CF6-8912-AC7886C5EC77}">
            <x14:dataBar minLength="0" maxLength="100" gradient="0">
              <x14:cfvo type="autoMin"/>
              <x14:cfvo type="num">
                <xm:f>4</xm:f>
              </x14:cfvo>
              <x14:negativeFillColor rgb="FFFF0000"/>
              <x14:axisColor rgb="FF000000"/>
            </x14:dataBar>
          </x14:cfRule>
          <xm:sqref>H2:M82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7F619-4994-4452-AA39-B74CDF0F95FE}">
  <sheetPr>
    <tabColor theme="3"/>
  </sheetPr>
  <dimension ref="A1:CO201"/>
  <sheetViews>
    <sheetView topLeftCell="T1" zoomScale="80" zoomScaleNormal="80" workbookViewId="0">
      <selection activeCell="AC3" sqref="AC3"/>
    </sheetView>
  </sheetViews>
  <sheetFormatPr defaultRowHeight="15"/>
  <cols>
    <col min="1" max="1" width="20.7109375" customWidth="1"/>
    <col min="2" max="93" width="30.7109375" customWidth="1"/>
  </cols>
  <sheetData>
    <row r="1" spans="1:93" s="4" customFormat="1" ht="30" customHeight="1" thickBot="1">
      <c r="A1" s="563" t="s">
        <v>109</v>
      </c>
      <c r="B1" s="563" t="s">
        <v>1063</v>
      </c>
      <c r="C1" s="563" t="s">
        <v>1339</v>
      </c>
      <c r="D1" s="563" t="s">
        <v>1242</v>
      </c>
      <c r="E1" s="563" t="s">
        <v>1245</v>
      </c>
      <c r="F1" s="563" t="s">
        <v>1058</v>
      </c>
      <c r="G1" s="563" t="s">
        <v>1340</v>
      </c>
      <c r="H1" s="563" t="s">
        <v>1150</v>
      </c>
      <c r="I1" s="563" t="s">
        <v>1246</v>
      </c>
      <c r="J1" s="563" t="s">
        <v>1247</v>
      </c>
      <c r="K1" s="563" t="s">
        <v>1341</v>
      </c>
      <c r="L1" s="563" t="s">
        <v>1248</v>
      </c>
      <c r="M1" s="563" t="s">
        <v>1155</v>
      </c>
      <c r="N1" s="563" t="s">
        <v>1147</v>
      </c>
      <c r="O1" s="563" t="s">
        <v>1342</v>
      </c>
      <c r="P1" s="563" t="s">
        <v>1249</v>
      </c>
      <c r="Q1" s="563" t="s">
        <v>1250</v>
      </c>
      <c r="R1" s="563" t="s">
        <v>1251</v>
      </c>
      <c r="S1" s="563" t="s">
        <v>1343</v>
      </c>
      <c r="T1" s="563" t="s">
        <v>1344</v>
      </c>
      <c r="U1" s="563" t="s">
        <v>1159</v>
      </c>
      <c r="V1" s="563" t="s">
        <v>1345</v>
      </c>
      <c r="W1" s="563" t="s">
        <v>1346</v>
      </c>
      <c r="X1" s="564" t="s">
        <v>1347</v>
      </c>
      <c r="Y1" s="597" t="s">
        <v>1348</v>
      </c>
      <c r="Z1" s="565" t="s">
        <v>1349</v>
      </c>
      <c r="AA1" s="564" t="s">
        <v>1350</v>
      </c>
      <c r="AB1" s="565" t="s">
        <v>1351</v>
      </c>
      <c r="AC1" s="564" t="s">
        <v>1352</v>
      </c>
      <c r="AD1" s="565" t="s">
        <v>1353</v>
      </c>
      <c r="AE1" s="566" t="s">
        <v>1354</v>
      </c>
      <c r="AF1" s="566" t="s">
        <v>1355</v>
      </c>
      <c r="AG1" s="567" t="s">
        <v>1356</v>
      </c>
      <c r="AH1" s="566" t="s">
        <v>1357</v>
      </c>
      <c r="AI1" s="564" t="s">
        <v>1358</v>
      </c>
      <c r="AJ1" s="565" t="s">
        <v>1359</v>
      </c>
      <c r="AK1" s="564" t="s">
        <v>1360</v>
      </c>
      <c r="AL1" s="565" t="s">
        <v>1361</v>
      </c>
      <c r="AM1" s="566" t="s">
        <v>1362</v>
      </c>
      <c r="AN1" s="564" t="s">
        <v>1363</v>
      </c>
      <c r="AO1" s="565" t="s">
        <v>1364</v>
      </c>
      <c r="AP1" s="568" t="s">
        <v>1365</v>
      </c>
      <c r="AQ1" s="569" t="s">
        <v>1366</v>
      </c>
      <c r="AR1" s="568" t="s">
        <v>1367</v>
      </c>
      <c r="AS1" s="569" t="s">
        <v>1368</v>
      </c>
      <c r="AT1" s="570" t="s">
        <v>1369</v>
      </c>
      <c r="AU1" s="571" t="s">
        <v>1370</v>
      </c>
      <c r="AV1" s="570" t="s">
        <v>1371</v>
      </c>
      <c r="AW1" s="571" t="s">
        <v>1372</v>
      </c>
      <c r="AX1" s="570" t="s">
        <v>1373</v>
      </c>
      <c r="AY1" s="571" t="s">
        <v>1374</v>
      </c>
      <c r="AZ1" s="570" t="s">
        <v>1375</v>
      </c>
      <c r="BA1" s="571" t="s">
        <v>1376</v>
      </c>
      <c r="BB1" s="568" t="s">
        <v>1377</v>
      </c>
      <c r="BC1" s="569" t="s">
        <v>1378</v>
      </c>
      <c r="BD1" s="568" t="s">
        <v>1379</v>
      </c>
      <c r="BE1" s="569" t="s">
        <v>1380</v>
      </c>
      <c r="BF1" s="568" t="s">
        <v>1381</v>
      </c>
      <c r="BG1" s="569" t="s">
        <v>1382</v>
      </c>
      <c r="BH1" s="568" t="s">
        <v>1383</v>
      </c>
      <c r="BI1" s="569" t="s">
        <v>1384</v>
      </c>
      <c r="BJ1" s="568" t="s">
        <v>1385</v>
      </c>
      <c r="BK1" s="569" t="s">
        <v>1386</v>
      </c>
      <c r="BL1" s="568" t="s">
        <v>1387</v>
      </c>
      <c r="BM1" s="569" t="s">
        <v>1388</v>
      </c>
      <c r="BN1" s="568" t="s">
        <v>1389</v>
      </c>
      <c r="BO1" s="569" t="s">
        <v>1390</v>
      </c>
      <c r="BP1" s="568" t="s">
        <v>1391</v>
      </c>
      <c r="BQ1" s="569" t="s">
        <v>1392</v>
      </c>
      <c r="BR1" s="568" t="s">
        <v>1393</v>
      </c>
      <c r="BS1" s="569" t="s">
        <v>1394</v>
      </c>
      <c r="BT1" s="568" t="s">
        <v>1395</v>
      </c>
      <c r="BU1" s="569" t="s">
        <v>1396</v>
      </c>
      <c r="BV1" s="568" t="s">
        <v>1397</v>
      </c>
      <c r="BW1" s="569" t="s">
        <v>1398</v>
      </c>
      <c r="BX1" s="568" t="s">
        <v>1399</v>
      </c>
      <c r="BY1" s="569" t="s">
        <v>1400</v>
      </c>
      <c r="BZ1" s="568" t="s">
        <v>1401</v>
      </c>
      <c r="CA1" s="569" t="s">
        <v>1402</v>
      </c>
      <c r="CB1" s="568" t="s">
        <v>1403</v>
      </c>
      <c r="CC1" s="569" t="s">
        <v>1404</v>
      </c>
      <c r="CD1" s="568" t="s">
        <v>1405</v>
      </c>
      <c r="CE1" s="569" t="s">
        <v>1406</v>
      </c>
      <c r="CF1" s="568" t="s">
        <v>1407</v>
      </c>
      <c r="CG1" s="569" t="s">
        <v>1408</v>
      </c>
      <c r="CH1" s="570" t="s">
        <v>1409</v>
      </c>
      <c r="CI1" s="571" t="s">
        <v>1410</v>
      </c>
      <c r="CJ1" s="570" t="s">
        <v>1411</v>
      </c>
      <c r="CK1" s="571" t="s">
        <v>1412</v>
      </c>
      <c r="CL1" s="570" t="s">
        <v>1413</v>
      </c>
      <c r="CM1" s="571" t="s">
        <v>1414</v>
      </c>
      <c r="CN1" s="570" t="s">
        <v>1415</v>
      </c>
      <c r="CO1" s="571" t="s">
        <v>1416</v>
      </c>
    </row>
    <row r="2" spans="1:93">
      <c r="A2" s="468">
        <v>0</v>
      </c>
      <c r="B2" s="596">
        <v>0.25</v>
      </c>
      <c r="C2" s="596">
        <v>0.25</v>
      </c>
      <c r="D2" s="596">
        <v>0.9</v>
      </c>
      <c r="E2" s="596">
        <v>0.9</v>
      </c>
      <c r="F2" s="596">
        <f t="shared" ref="F2:F33" si="0">1/80</f>
        <v>1.2500000000000001E-2</v>
      </c>
      <c r="G2" s="596">
        <v>0</v>
      </c>
      <c r="H2" s="596">
        <v>0.9</v>
      </c>
      <c r="I2" s="596">
        <v>0.9</v>
      </c>
      <c r="J2" s="596">
        <v>0.9</v>
      </c>
      <c r="K2" s="596">
        <v>0.9</v>
      </c>
      <c r="L2" s="596">
        <v>0.9</v>
      </c>
      <c r="M2" s="596">
        <v>0.9</v>
      </c>
      <c r="N2" s="596">
        <v>0.43</v>
      </c>
      <c r="O2" s="596">
        <v>0.01</v>
      </c>
      <c r="P2" s="596">
        <v>0.9</v>
      </c>
      <c r="Q2" s="596">
        <v>0.9</v>
      </c>
      <c r="R2" s="596">
        <v>0.9</v>
      </c>
      <c r="S2" s="596">
        <v>0.01</v>
      </c>
      <c r="T2" s="596">
        <v>0</v>
      </c>
      <c r="U2" s="596">
        <v>0.9</v>
      </c>
      <c r="V2" s="596">
        <v>0</v>
      </c>
      <c r="W2" s="611">
        <v>0.12</v>
      </c>
      <c r="X2" s="694">
        <v>0.3</v>
      </c>
      <c r="Y2" s="695">
        <v>0.72</v>
      </c>
      <c r="Z2" s="696">
        <v>0.39</v>
      </c>
      <c r="AA2" s="697">
        <v>0.230763365</v>
      </c>
      <c r="AB2" s="696">
        <v>0.1</v>
      </c>
      <c r="AC2" s="694">
        <v>0.230763365</v>
      </c>
      <c r="AD2" s="696">
        <v>0.1</v>
      </c>
      <c r="AE2" s="698">
        <v>0.9</v>
      </c>
      <c r="AF2" s="694">
        <v>0.25</v>
      </c>
      <c r="AG2" s="694">
        <v>0.25</v>
      </c>
      <c r="AH2" s="698">
        <v>0.05</v>
      </c>
      <c r="AI2" s="694">
        <v>0.15</v>
      </c>
      <c r="AJ2" s="696">
        <f>1/140</f>
        <v>7.1428571428571426E-3</v>
      </c>
      <c r="AK2" s="694">
        <v>1.7500000000000002E-2</v>
      </c>
      <c r="AL2" s="696">
        <f t="shared" ref="AL2:AL33" si="1">1/80</f>
        <v>1.2500000000000001E-2</v>
      </c>
      <c r="AM2" s="699">
        <v>0.27100000000000002</v>
      </c>
      <c r="AN2" s="694">
        <v>0.230763365</v>
      </c>
      <c r="AO2" s="696">
        <v>0.1</v>
      </c>
      <c r="AP2" s="700">
        <v>0</v>
      </c>
      <c r="AQ2" s="701">
        <f t="shared" ref="AQ2:AQ12" si="2">1/11</f>
        <v>9.0909090909090912E-2</v>
      </c>
      <c r="AR2" s="700">
        <v>0</v>
      </c>
      <c r="AS2" s="701">
        <f t="shared" ref="AS2:AS9" si="3">1/8</f>
        <v>0.125</v>
      </c>
      <c r="AT2" s="700">
        <v>0</v>
      </c>
      <c r="AU2" s="701">
        <f t="shared" ref="AU2:AU7" si="4">1/6</f>
        <v>0.16666666666666666</v>
      </c>
      <c r="AV2" s="702">
        <v>0</v>
      </c>
      <c r="AW2" s="703">
        <f>1/3</f>
        <v>0.33333333333333331</v>
      </c>
      <c r="AX2" s="700">
        <v>0</v>
      </c>
      <c r="AY2" s="701">
        <f t="shared" ref="AY2:AY17" si="5">1/16</f>
        <v>6.25E-2</v>
      </c>
      <c r="AZ2" s="702">
        <v>0</v>
      </c>
      <c r="BA2" s="701">
        <f t="shared" ref="BA2:BA9" si="6">1/8</f>
        <v>0.125</v>
      </c>
      <c r="BB2" s="702">
        <v>0</v>
      </c>
      <c r="BC2" s="701">
        <f t="shared" ref="BC2:BC8" si="7">1/7</f>
        <v>0.14285714285714285</v>
      </c>
      <c r="BD2" s="702">
        <v>0</v>
      </c>
      <c r="BE2" s="701">
        <v>0.2</v>
      </c>
      <c r="BF2" s="702">
        <v>0</v>
      </c>
      <c r="BG2" s="701">
        <f t="shared" ref="BG2:BG8" si="8">1/7</f>
        <v>0.14285714285714285</v>
      </c>
      <c r="BH2" s="702">
        <v>0</v>
      </c>
      <c r="BI2" s="701">
        <v>0.2</v>
      </c>
      <c r="BJ2" s="702">
        <v>0</v>
      </c>
      <c r="BK2" s="701">
        <f t="shared" ref="BK2:BK16" si="9">1/15</f>
        <v>6.6666666666666666E-2</v>
      </c>
      <c r="BL2" s="702">
        <v>0</v>
      </c>
      <c r="BM2" s="701">
        <v>0.1</v>
      </c>
      <c r="BN2" s="702">
        <v>0</v>
      </c>
      <c r="BO2" s="701">
        <f t="shared" ref="BO2:BO16" si="10">1/15</f>
        <v>6.6666666666666666E-2</v>
      </c>
      <c r="BP2" s="702">
        <v>0</v>
      </c>
      <c r="BQ2" s="701">
        <v>0.1</v>
      </c>
      <c r="BR2" s="702">
        <v>0</v>
      </c>
      <c r="BS2" s="701">
        <f t="shared" ref="BS2:BS21" si="11">1/20</f>
        <v>0.05</v>
      </c>
      <c r="BT2" s="702">
        <v>0</v>
      </c>
      <c r="BU2" s="701">
        <f t="shared" ref="BU2:BU16" si="12">1/15</f>
        <v>6.6666666666666666E-2</v>
      </c>
      <c r="BV2" s="700">
        <v>0</v>
      </c>
      <c r="BW2" s="703">
        <v>0.2</v>
      </c>
      <c r="BX2" s="700">
        <v>0</v>
      </c>
      <c r="BY2" s="703">
        <v>0.5</v>
      </c>
      <c r="BZ2" s="700">
        <v>0</v>
      </c>
      <c r="CA2" s="703">
        <v>0.2</v>
      </c>
      <c r="CB2" s="700">
        <v>0</v>
      </c>
      <c r="CC2" s="703">
        <v>0.2</v>
      </c>
      <c r="CD2" s="700">
        <v>0</v>
      </c>
      <c r="CE2" s="703">
        <v>0.1</v>
      </c>
      <c r="CF2" s="700">
        <v>0</v>
      </c>
      <c r="CG2" s="703">
        <f t="shared" ref="CG2:CG8" si="13">1/7</f>
        <v>0.14285714285714285</v>
      </c>
      <c r="CH2" s="700">
        <v>0</v>
      </c>
      <c r="CI2" s="703">
        <v>0.5</v>
      </c>
      <c r="CJ2" s="700">
        <v>0</v>
      </c>
      <c r="CK2" s="701">
        <v>0.25</v>
      </c>
      <c r="CL2" s="700">
        <v>0</v>
      </c>
      <c r="CM2" s="701">
        <f t="shared" ref="CM2:CM9" si="14">1/8</f>
        <v>0.125</v>
      </c>
      <c r="CN2" s="702">
        <v>0</v>
      </c>
      <c r="CO2" s="701">
        <v>0.1</v>
      </c>
    </row>
    <row r="3" spans="1:93">
      <c r="A3" s="468">
        <v>1</v>
      </c>
      <c r="B3" s="596">
        <v>0.25</v>
      </c>
      <c r="C3" s="596">
        <v>0.25</v>
      </c>
      <c r="D3" s="596">
        <v>0.1</v>
      </c>
      <c r="E3" s="596">
        <v>0.1</v>
      </c>
      <c r="F3" s="596">
        <f t="shared" si="0"/>
        <v>1.2500000000000001E-2</v>
      </c>
      <c r="G3" s="596">
        <v>0</v>
      </c>
      <c r="H3" s="596">
        <v>0.1</v>
      </c>
      <c r="I3" s="596">
        <v>0.1</v>
      </c>
      <c r="J3" s="596">
        <v>0.1</v>
      </c>
      <c r="K3" s="596">
        <v>0.1</v>
      </c>
      <c r="L3" s="596">
        <v>0.1</v>
      </c>
      <c r="M3" s="596">
        <v>0.1</v>
      </c>
      <c r="N3" s="596">
        <v>0.56999999999999995</v>
      </c>
      <c r="O3" s="596">
        <v>0.03</v>
      </c>
      <c r="P3" s="596">
        <v>0.1</v>
      </c>
      <c r="Q3" s="596">
        <v>0.1</v>
      </c>
      <c r="R3" s="596">
        <v>0.1</v>
      </c>
      <c r="S3" s="596">
        <v>0.03</v>
      </c>
      <c r="T3" s="596">
        <v>0</v>
      </c>
      <c r="U3" s="596">
        <v>0.1</v>
      </c>
      <c r="V3" s="596">
        <v>0</v>
      </c>
      <c r="W3" s="611">
        <v>0.11</v>
      </c>
      <c r="X3" s="704">
        <v>0.4</v>
      </c>
      <c r="Y3" s="705">
        <v>0.12</v>
      </c>
      <c r="Z3" s="706">
        <v>0.16</v>
      </c>
      <c r="AA3" s="707">
        <v>0.20243269999999999</v>
      </c>
      <c r="AB3" s="706">
        <v>0.1</v>
      </c>
      <c r="AC3" s="704">
        <v>0.20243269999999999</v>
      </c>
      <c r="AD3" s="706">
        <v>0.1</v>
      </c>
      <c r="AE3" s="708">
        <v>0.1</v>
      </c>
      <c r="AF3" s="704">
        <v>0.25</v>
      </c>
      <c r="AG3" s="704">
        <v>0.25</v>
      </c>
      <c r="AH3" s="708">
        <v>2.5000000000000001E-2</v>
      </c>
      <c r="AI3" s="709">
        <v>0.04</v>
      </c>
      <c r="AJ3" s="706">
        <f>1/140</f>
        <v>7.1428571428571426E-3</v>
      </c>
      <c r="AK3" s="704">
        <v>1.7500000000000002E-2</v>
      </c>
      <c r="AL3" s="706">
        <f t="shared" si="1"/>
        <v>1.2500000000000001E-2</v>
      </c>
      <c r="AM3" s="710">
        <v>0.14699999999999999</v>
      </c>
      <c r="AN3" s="704">
        <v>0.20243269999999999</v>
      </c>
      <c r="AO3" s="706">
        <v>0.1</v>
      </c>
      <c r="AP3" s="711">
        <v>0</v>
      </c>
      <c r="AQ3" s="712">
        <f t="shared" si="2"/>
        <v>9.0909090909090912E-2</v>
      </c>
      <c r="AR3" s="711">
        <v>0</v>
      </c>
      <c r="AS3" s="712">
        <f t="shared" si="3"/>
        <v>0.125</v>
      </c>
      <c r="AT3" s="711">
        <v>0</v>
      </c>
      <c r="AU3" s="712">
        <f t="shared" si="4"/>
        <v>0.16666666666666666</v>
      </c>
      <c r="AV3" s="713">
        <v>0</v>
      </c>
      <c r="AW3" s="714">
        <f>1/3</f>
        <v>0.33333333333333331</v>
      </c>
      <c r="AX3" s="711">
        <v>0</v>
      </c>
      <c r="AY3" s="712">
        <f t="shared" si="5"/>
        <v>6.25E-2</v>
      </c>
      <c r="AZ3" s="713">
        <v>0</v>
      </c>
      <c r="BA3" s="712">
        <f t="shared" si="6"/>
        <v>0.125</v>
      </c>
      <c r="BB3" s="713">
        <v>0</v>
      </c>
      <c r="BC3" s="712">
        <f t="shared" si="7"/>
        <v>0.14285714285714285</v>
      </c>
      <c r="BD3" s="713">
        <v>0</v>
      </c>
      <c r="BE3" s="712">
        <v>0.2</v>
      </c>
      <c r="BF3" s="713">
        <v>0</v>
      </c>
      <c r="BG3" s="712">
        <f t="shared" si="8"/>
        <v>0.14285714285714285</v>
      </c>
      <c r="BH3" s="713">
        <v>0</v>
      </c>
      <c r="BI3" s="712">
        <v>0.2</v>
      </c>
      <c r="BJ3" s="713">
        <v>0</v>
      </c>
      <c r="BK3" s="712">
        <f t="shared" si="9"/>
        <v>6.6666666666666666E-2</v>
      </c>
      <c r="BL3" s="713">
        <v>0</v>
      </c>
      <c r="BM3" s="712">
        <v>0.1</v>
      </c>
      <c r="BN3" s="713">
        <v>0</v>
      </c>
      <c r="BO3" s="712">
        <f t="shared" si="10"/>
        <v>6.6666666666666666E-2</v>
      </c>
      <c r="BP3" s="713">
        <v>0</v>
      </c>
      <c r="BQ3" s="712">
        <v>0.1</v>
      </c>
      <c r="BR3" s="713">
        <v>0</v>
      </c>
      <c r="BS3" s="712">
        <f t="shared" si="11"/>
        <v>0.05</v>
      </c>
      <c r="BT3" s="713">
        <v>0</v>
      </c>
      <c r="BU3" s="712">
        <f t="shared" si="12"/>
        <v>6.6666666666666666E-2</v>
      </c>
      <c r="BV3" s="711">
        <v>0</v>
      </c>
      <c r="BW3" s="714">
        <v>0.2</v>
      </c>
      <c r="BX3" s="711">
        <v>1</v>
      </c>
      <c r="BY3" s="714">
        <v>0.5</v>
      </c>
      <c r="BZ3" s="711">
        <v>0</v>
      </c>
      <c r="CA3" s="714">
        <v>0.2</v>
      </c>
      <c r="CB3" s="711">
        <v>0</v>
      </c>
      <c r="CC3" s="714">
        <v>0.2</v>
      </c>
      <c r="CD3" s="711">
        <v>0</v>
      </c>
      <c r="CE3" s="714">
        <v>0.1</v>
      </c>
      <c r="CF3" s="711">
        <v>0</v>
      </c>
      <c r="CG3" s="714">
        <f t="shared" si="13"/>
        <v>0.14285714285714285</v>
      </c>
      <c r="CH3" s="711">
        <v>1</v>
      </c>
      <c r="CI3" s="714">
        <v>0.5</v>
      </c>
      <c r="CJ3" s="711">
        <v>0</v>
      </c>
      <c r="CK3" s="712">
        <v>0.25</v>
      </c>
      <c r="CL3" s="711">
        <v>0</v>
      </c>
      <c r="CM3" s="712">
        <f t="shared" si="14"/>
        <v>0.125</v>
      </c>
      <c r="CN3" s="713">
        <v>0</v>
      </c>
      <c r="CO3" s="712">
        <v>0.1</v>
      </c>
    </row>
    <row r="4" spans="1:93">
      <c r="A4" s="468">
        <v>2</v>
      </c>
      <c r="B4" s="596">
        <v>0.25</v>
      </c>
      <c r="C4" s="596">
        <v>0.25</v>
      </c>
      <c r="D4" s="596">
        <v>0</v>
      </c>
      <c r="E4" s="596">
        <v>0</v>
      </c>
      <c r="F4" s="596">
        <f t="shared" si="0"/>
        <v>1.2500000000000001E-2</v>
      </c>
      <c r="G4" s="596">
        <v>0</v>
      </c>
      <c r="H4" s="596">
        <v>0</v>
      </c>
      <c r="I4" s="596">
        <v>0</v>
      </c>
      <c r="J4" s="596">
        <v>0</v>
      </c>
      <c r="K4" s="596">
        <v>0</v>
      </c>
      <c r="L4" s="596">
        <v>0</v>
      </c>
      <c r="M4" s="596">
        <v>0</v>
      </c>
      <c r="N4" s="596">
        <v>0</v>
      </c>
      <c r="O4" s="596">
        <v>0.08</v>
      </c>
      <c r="P4" s="596">
        <v>0</v>
      </c>
      <c r="Q4" s="596">
        <v>0</v>
      </c>
      <c r="R4" s="596">
        <v>0</v>
      </c>
      <c r="S4" s="596">
        <v>0.08</v>
      </c>
      <c r="T4" s="596">
        <v>0</v>
      </c>
      <c r="U4" s="596">
        <v>0</v>
      </c>
      <c r="V4" s="596">
        <v>0</v>
      </c>
      <c r="W4" s="611">
        <v>0.11</v>
      </c>
      <c r="X4" s="704">
        <v>0.15</v>
      </c>
      <c r="Y4" s="705">
        <v>0.08</v>
      </c>
      <c r="Z4" s="706">
        <v>0.15</v>
      </c>
      <c r="AA4" s="707">
        <v>9.7155494999999994E-2</v>
      </c>
      <c r="AB4" s="706">
        <v>0.1</v>
      </c>
      <c r="AC4" s="704">
        <v>9.7155494999999994E-2</v>
      </c>
      <c r="AD4" s="706">
        <v>0.1</v>
      </c>
      <c r="AE4" s="708">
        <v>0</v>
      </c>
      <c r="AF4" s="704">
        <v>0.25</v>
      </c>
      <c r="AG4" s="704">
        <v>0.25</v>
      </c>
      <c r="AH4" s="708">
        <v>2.5000000000000001E-2</v>
      </c>
      <c r="AI4" s="709">
        <v>0.04</v>
      </c>
      <c r="AJ4" s="706">
        <f t="shared" ref="AJ4:AJ67" si="15">1/140</f>
        <v>7.1428571428571426E-3</v>
      </c>
      <c r="AK4" s="704">
        <v>5.5555559999999997E-3</v>
      </c>
      <c r="AL4" s="706">
        <f t="shared" si="1"/>
        <v>1.2500000000000001E-2</v>
      </c>
      <c r="AM4" s="710">
        <v>7.400000000000001E-2</v>
      </c>
      <c r="AN4" s="704">
        <v>9.7155494999999994E-2</v>
      </c>
      <c r="AO4" s="706">
        <v>0.1</v>
      </c>
      <c r="AP4" s="711">
        <v>0</v>
      </c>
      <c r="AQ4" s="712">
        <f t="shared" si="2"/>
        <v>9.0909090909090912E-2</v>
      </c>
      <c r="AR4" s="711">
        <v>0</v>
      </c>
      <c r="AS4" s="712">
        <f t="shared" si="3"/>
        <v>0.125</v>
      </c>
      <c r="AT4" s="711">
        <v>0</v>
      </c>
      <c r="AU4" s="712">
        <f t="shared" si="4"/>
        <v>0.16666666666666666</v>
      </c>
      <c r="AV4" s="713">
        <v>1</v>
      </c>
      <c r="AW4" s="714">
        <f>1/3</f>
        <v>0.33333333333333331</v>
      </c>
      <c r="AX4" s="711">
        <v>0</v>
      </c>
      <c r="AY4" s="712">
        <f t="shared" si="5"/>
        <v>6.25E-2</v>
      </c>
      <c r="AZ4" s="713">
        <v>0</v>
      </c>
      <c r="BA4" s="712">
        <f t="shared" si="6"/>
        <v>0.125</v>
      </c>
      <c r="BB4" s="713">
        <v>0</v>
      </c>
      <c r="BC4" s="712">
        <f t="shared" si="7"/>
        <v>0.14285714285714285</v>
      </c>
      <c r="BD4" s="713">
        <v>0</v>
      </c>
      <c r="BE4" s="712">
        <v>0.2</v>
      </c>
      <c r="BF4" s="713">
        <v>0</v>
      </c>
      <c r="BG4" s="712">
        <f t="shared" si="8"/>
        <v>0.14285714285714285</v>
      </c>
      <c r="BH4" s="713">
        <v>0</v>
      </c>
      <c r="BI4" s="712">
        <v>0.2</v>
      </c>
      <c r="BJ4" s="713">
        <v>0</v>
      </c>
      <c r="BK4" s="712">
        <f t="shared" si="9"/>
        <v>6.6666666666666666E-2</v>
      </c>
      <c r="BL4" s="713">
        <v>0</v>
      </c>
      <c r="BM4" s="712">
        <v>0.1</v>
      </c>
      <c r="BN4" s="713">
        <v>0</v>
      </c>
      <c r="BO4" s="712">
        <f t="shared" si="10"/>
        <v>6.6666666666666666E-2</v>
      </c>
      <c r="BP4" s="713">
        <v>0</v>
      </c>
      <c r="BQ4" s="712">
        <v>0.1</v>
      </c>
      <c r="BR4" s="713">
        <v>0</v>
      </c>
      <c r="BS4" s="712">
        <f t="shared" si="11"/>
        <v>0.05</v>
      </c>
      <c r="BT4" s="713">
        <v>0</v>
      </c>
      <c r="BU4" s="712">
        <f t="shared" si="12"/>
        <v>6.6666666666666666E-2</v>
      </c>
      <c r="BV4" s="711">
        <v>0</v>
      </c>
      <c r="BW4" s="714">
        <v>0.2</v>
      </c>
      <c r="BX4" s="711">
        <v>0</v>
      </c>
      <c r="BY4" s="714">
        <v>0</v>
      </c>
      <c r="BZ4" s="711">
        <v>0</v>
      </c>
      <c r="CA4" s="714">
        <v>0.2</v>
      </c>
      <c r="CB4" s="711">
        <v>0</v>
      </c>
      <c r="CC4" s="714">
        <v>0.2</v>
      </c>
      <c r="CD4" s="711">
        <v>0</v>
      </c>
      <c r="CE4" s="714">
        <v>0.1</v>
      </c>
      <c r="CF4" s="711">
        <v>0</v>
      </c>
      <c r="CG4" s="714">
        <f t="shared" si="13"/>
        <v>0.14285714285714285</v>
      </c>
      <c r="CH4" s="711">
        <v>0</v>
      </c>
      <c r="CI4" s="714">
        <v>0</v>
      </c>
      <c r="CJ4" s="711">
        <v>0</v>
      </c>
      <c r="CK4" s="712">
        <v>0.25</v>
      </c>
      <c r="CL4" s="711">
        <v>0</v>
      </c>
      <c r="CM4" s="712">
        <f t="shared" si="14"/>
        <v>0.125</v>
      </c>
      <c r="CN4" s="713">
        <v>0</v>
      </c>
      <c r="CO4" s="712">
        <v>0.1</v>
      </c>
    </row>
    <row r="5" spans="1:93">
      <c r="A5" s="468">
        <v>3</v>
      </c>
      <c r="B5" s="596">
        <v>0.25</v>
      </c>
      <c r="C5" s="596">
        <v>0.25</v>
      </c>
      <c r="D5" s="596">
        <v>0</v>
      </c>
      <c r="E5" s="596">
        <v>0</v>
      </c>
      <c r="F5" s="596">
        <f t="shared" si="0"/>
        <v>1.2500000000000001E-2</v>
      </c>
      <c r="G5" s="596">
        <v>0</v>
      </c>
      <c r="H5" s="596">
        <v>0</v>
      </c>
      <c r="I5" s="596">
        <v>0</v>
      </c>
      <c r="J5" s="596">
        <v>0</v>
      </c>
      <c r="K5" s="596">
        <v>0</v>
      </c>
      <c r="L5" s="596">
        <v>0</v>
      </c>
      <c r="M5" s="596">
        <v>0</v>
      </c>
      <c r="N5" s="596">
        <v>0</v>
      </c>
      <c r="O5" s="596">
        <v>0.16</v>
      </c>
      <c r="P5" s="596">
        <v>0</v>
      </c>
      <c r="Q5" s="596">
        <v>0</v>
      </c>
      <c r="R5" s="596">
        <v>0</v>
      </c>
      <c r="S5" s="596">
        <v>0.16</v>
      </c>
      <c r="T5" s="596">
        <v>0</v>
      </c>
      <c r="U5" s="596">
        <v>0</v>
      </c>
      <c r="V5" s="596">
        <v>0</v>
      </c>
      <c r="W5" s="611">
        <v>0.11</v>
      </c>
      <c r="X5" s="704">
        <v>0.1</v>
      </c>
      <c r="Y5" s="705">
        <v>0.04</v>
      </c>
      <c r="Z5" s="706">
        <v>0.15</v>
      </c>
      <c r="AA5" s="707">
        <v>9.7155494999999994E-2</v>
      </c>
      <c r="AB5" s="706">
        <v>0.1</v>
      </c>
      <c r="AC5" s="704">
        <v>9.7155494999999994E-2</v>
      </c>
      <c r="AD5" s="706">
        <v>0.1</v>
      </c>
      <c r="AE5" s="708">
        <v>0</v>
      </c>
      <c r="AF5" s="704">
        <v>0.25</v>
      </c>
      <c r="AG5" s="704">
        <v>0.25</v>
      </c>
      <c r="AH5" s="708">
        <v>2.5000000000000001E-2</v>
      </c>
      <c r="AI5" s="709">
        <v>0.04</v>
      </c>
      <c r="AJ5" s="706">
        <f t="shared" si="15"/>
        <v>7.1428571428571426E-3</v>
      </c>
      <c r="AK5" s="704">
        <v>5.5555559999999997E-3</v>
      </c>
      <c r="AL5" s="706">
        <f t="shared" si="1"/>
        <v>1.2500000000000001E-2</v>
      </c>
      <c r="AM5" s="710">
        <v>7.400000000000001E-2</v>
      </c>
      <c r="AN5" s="704">
        <v>9.7155494999999994E-2</v>
      </c>
      <c r="AO5" s="706">
        <v>0.1</v>
      </c>
      <c r="AP5" s="711">
        <v>0</v>
      </c>
      <c r="AQ5" s="712">
        <f t="shared" si="2"/>
        <v>9.0909090909090912E-2</v>
      </c>
      <c r="AR5" s="711">
        <v>0</v>
      </c>
      <c r="AS5" s="712">
        <f t="shared" si="3"/>
        <v>0.125</v>
      </c>
      <c r="AT5" s="711">
        <v>0</v>
      </c>
      <c r="AU5" s="712">
        <f t="shared" si="4"/>
        <v>0.16666666666666666</v>
      </c>
      <c r="AV5" s="713">
        <v>0</v>
      </c>
      <c r="AW5" s="714">
        <v>0</v>
      </c>
      <c r="AX5" s="711">
        <v>0</v>
      </c>
      <c r="AY5" s="712">
        <f t="shared" si="5"/>
        <v>6.25E-2</v>
      </c>
      <c r="AZ5" s="713">
        <v>0</v>
      </c>
      <c r="BA5" s="712">
        <f t="shared" si="6"/>
        <v>0.125</v>
      </c>
      <c r="BB5" s="713">
        <v>0</v>
      </c>
      <c r="BC5" s="712">
        <f t="shared" si="7"/>
        <v>0.14285714285714285</v>
      </c>
      <c r="BD5" s="713">
        <v>0</v>
      </c>
      <c r="BE5" s="712">
        <v>0.2</v>
      </c>
      <c r="BF5" s="713">
        <v>0</v>
      </c>
      <c r="BG5" s="712">
        <f t="shared" si="8"/>
        <v>0.14285714285714285</v>
      </c>
      <c r="BH5" s="713">
        <v>0</v>
      </c>
      <c r="BI5" s="712">
        <v>0.2</v>
      </c>
      <c r="BJ5" s="713">
        <v>0</v>
      </c>
      <c r="BK5" s="712">
        <f t="shared" si="9"/>
        <v>6.6666666666666666E-2</v>
      </c>
      <c r="BL5" s="713">
        <v>0</v>
      </c>
      <c r="BM5" s="712">
        <v>0.1</v>
      </c>
      <c r="BN5" s="713">
        <v>0</v>
      </c>
      <c r="BO5" s="712">
        <f t="shared" si="10"/>
        <v>6.6666666666666666E-2</v>
      </c>
      <c r="BP5" s="713">
        <v>0</v>
      </c>
      <c r="BQ5" s="712">
        <v>0.1</v>
      </c>
      <c r="BR5" s="713">
        <v>0</v>
      </c>
      <c r="BS5" s="712">
        <f t="shared" si="11"/>
        <v>0.05</v>
      </c>
      <c r="BT5" s="713">
        <v>0</v>
      </c>
      <c r="BU5" s="712">
        <f t="shared" si="12"/>
        <v>6.6666666666666666E-2</v>
      </c>
      <c r="BV5" s="711">
        <v>0</v>
      </c>
      <c r="BW5" s="714">
        <v>0.2</v>
      </c>
      <c r="BX5" s="711">
        <v>0</v>
      </c>
      <c r="BY5" s="714">
        <v>0</v>
      </c>
      <c r="BZ5" s="711">
        <v>0</v>
      </c>
      <c r="CA5" s="714">
        <v>0.2</v>
      </c>
      <c r="CB5" s="711">
        <v>0</v>
      </c>
      <c r="CC5" s="714">
        <v>0.2</v>
      </c>
      <c r="CD5" s="711">
        <v>0</v>
      </c>
      <c r="CE5" s="714">
        <v>0.1</v>
      </c>
      <c r="CF5" s="711">
        <v>0</v>
      </c>
      <c r="CG5" s="714">
        <f t="shared" si="13"/>
        <v>0.14285714285714285</v>
      </c>
      <c r="CH5" s="711">
        <v>0</v>
      </c>
      <c r="CI5" s="714">
        <v>0</v>
      </c>
      <c r="CJ5" s="711">
        <v>1</v>
      </c>
      <c r="CK5" s="712">
        <v>0.25</v>
      </c>
      <c r="CL5" s="711">
        <v>0</v>
      </c>
      <c r="CM5" s="712">
        <f t="shared" si="14"/>
        <v>0.125</v>
      </c>
      <c r="CN5" s="713">
        <v>0</v>
      </c>
      <c r="CO5" s="712">
        <v>0.1</v>
      </c>
    </row>
    <row r="6" spans="1:93">
      <c r="A6" s="468">
        <v>4</v>
      </c>
      <c r="B6" s="596">
        <v>0</v>
      </c>
      <c r="C6" s="596">
        <v>0</v>
      </c>
      <c r="D6" s="596">
        <v>0</v>
      </c>
      <c r="E6" s="596">
        <v>0</v>
      </c>
      <c r="F6" s="596">
        <f t="shared" si="0"/>
        <v>1.2500000000000001E-2</v>
      </c>
      <c r="G6" s="596">
        <v>0</v>
      </c>
      <c r="H6" s="596">
        <v>0</v>
      </c>
      <c r="I6" s="596">
        <v>0</v>
      </c>
      <c r="J6" s="596">
        <v>0</v>
      </c>
      <c r="K6" s="596">
        <v>0</v>
      </c>
      <c r="L6" s="596">
        <v>0</v>
      </c>
      <c r="M6" s="596">
        <v>0</v>
      </c>
      <c r="N6" s="596">
        <v>0</v>
      </c>
      <c r="O6" s="596">
        <v>0.23</v>
      </c>
      <c r="P6" s="596">
        <v>0</v>
      </c>
      <c r="Q6" s="596">
        <v>0</v>
      </c>
      <c r="R6" s="596">
        <v>0</v>
      </c>
      <c r="S6" s="596">
        <v>0.23</v>
      </c>
      <c r="T6" s="596">
        <v>0</v>
      </c>
      <c r="U6" s="596">
        <v>0</v>
      </c>
      <c r="V6" s="596">
        <v>0.05</v>
      </c>
      <c r="W6" s="611">
        <v>0.1</v>
      </c>
      <c r="X6" s="704">
        <v>0.05</v>
      </c>
      <c r="Y6" s="705">
        <v>0.04</v>
      </c>
      <c r="Z6" s="706">
        <v>0.15</v>
      </c>
      <c r="AA6" s="707">
        <v>9.7155494999999994E-2</v>
      </c>
      <c r="AB6" s="706">
        <v>0.1</v>
      </c>
      <c r="AC6" s="704">
        <v>9.7155494999999994E-2</v>
      </c>
      <c r="AD6" s="706">
        <v>0.1</v>
      </c>
      <c r="AE6" s="708">
        <v>0</v>
      </c>
      <c r="AF6" s="704">
        <v>0</v>
      </c>
      <c r="AG6" s="704">
        <v>0</v>
      </c>
      <c r="AH6" s="708">
        <v>2.5000000000000001E-2</v>
      </c>
      <c r="AI6" s="709">
        <v>0.04</v>
      </c>
      <c r="AJ6" s="706">
        <f t="shared" si="15"/>
        <v>7.1428571428571426E-3</v>
      </c>
      <c r="AK6" s="704">
        <v>5.5555559999999997E-3</v>
      </c>
      <c r="AL6" s="706">
        <f t="shared" si="1"/>
        <v>1.2500000000000001E-2</v>
      </c>
      <c r="AM6" s="710">
        <v>3.7999999999999999E-2</v>
      </c>
      <c r="AN6" s="704">
        <v>9.7155494999999994E-2</v>
      </c>
      <c r="AO6" s="706">
        <v>0.1</v>
      </c>
      <c r="AP6" s="711">
        <v>0</v>
      </c>
      <c r="AQ6" s="712">
        <f t="shared" si="2"/>
        <v>9.0909090909090912E-2</v>
      </c>
      <c r="AR6" s="711">
        <v>0</v>
      </c>
      <c r="AS6" s="712">
        <f t="shared" si="3"/>
        <v>0.125</v>
      </c>
      <c r="AT6" s="711">
        <v>0</v>
      </c>
      <c r="AU6" s="712">
        <f t="shared" si="4"/>
        <v>0.16666666666666666</v>
      </c>
      <c r="AV6" s="713">
        <v>0</v>
      </c>
      <c r="AW6" s="714">
        <v>0</v>
      </c>
      <c r="AX6" s="711">
        <v>0</v>
      </c>
      <c r="AY6" s="712">
        <f t="shared" si="5"/>
        <v>6.25E-2</v>
      </c>
      <c r="AZ6" s="713">
        <v>0</v>
      </c>
      <c r="BA6" s="712">
        <f t="shared" si="6"/>
        <v>0.125</v>
      </c>
      <c r="BB6" s="713">
        <v>0</v>
      </c>
      <c r="BC6" s="712">
        <f t="shared" si="7"/>
        <v>0.14285714285714285</v>
      </c>
      <c r="BD6" s="713">
        <v>1</v>
      </c>
      <c r="BE6" s="712">
        <v>0.2</v>
      </c>
      <c r="BF6" s="713">
        <v>0</v>
      </c>
      <c r="BG6" s="712">
        <f t="shared" si="8"/>
        <v>0.14285714285714285</v>
      </c>
      <c r="BH6" s="713">
        <v>1</v>
      </c>
      <c r="BI6" s="712">
        <v>0.2</v>
      </c>
      <c r="BJ6" s="713">
        <v>0</v>
      </c>
      <c r="BK6" s="712">
        <f t="shared" si="9"/>
        <v>6.6666666666666666E-2</v>
      </c>
      <c r="BL6" s="713">
        <v>0</v>
      </c>
      <c r="BM6" s="712">
        <v>0.1</v>
      </c>
      <c r="BN6" s="713">
        <v>0</v>
      </c>
      <c r="BO6" s="712">
        <f t="shared" si="10"/>
        <v>6.6666666666666666E-2</v>
      </c>
      <c r="BP6" s="713">
        <v>0</v>
      </c>
      <c r="BQ6" s="712">
        <v>0.1</v>
      </c>
      <c r="BR6" s="713">
        <v>0</v>
      </c>
      <c r="BS6" s="712">
        <f t="shared" si="11"/>
        <v>0.05</v>
      </c>
      <c r="BT6" s="713">
        <v>0</v>
      </c>
      <c r="BU6" s="712">
        <f t="shared" si="12"/>
        <v>6.6666666666666666E-2</v>
      </c>
      <c r="BV6" s="711">
        <v>1</v>
      </c>
      <c r="BW6" s="714">
        <v>0.2</v>
      </c>
      <c r="BX6" s="711">
        <v>0</v>
      </c>
      <c r="BY6" s="714">
        <v>0</v>
      </c>
      <c r="BZ6" s="711">
        <v>1</v>
      </c>
      <c r="CA6" s="714">
        <v>0.2</v>
      </c>
      <c r="CB6" s="711">
        <v>1</v>
      </c>
      <c r="CC6" s="714">
        <v>0.2</v>
      </c>
      <c r="CD6" s="711">
        <v>0</v>
      </c>
      <c r="CE6" s="714">
        <v>0.1</v>
      </c>
      <c r="CF6" s="711">
        <v>0</v>
      </c>
      <c r="CG6" s="714">
        <f t="shared" si="13"/>
        <v>0.14285714285714285</v>
      </c>
      <c r="CH6" s="711">
        <v>0</v>
      </c>
      <c r="CI6" s="714">
        <v>0</v>
      </c>
      <c r="CJ6" s="711">
        <v>0</v>
      </c>
      <c r="CK6" s="712">
        <v>0</v>
      </c>
      <c r="CL6" s="711">
        <v>0</v>
      </c>
      <c r="CM6" s="712">
        <f t="shared" si="14"/>
        <v>0.125</v>
      </c>
      <c r="CN6" s="713">
        <v>0</v>
      </c>
      <c r="CO6" s="712">
        <v>0.1</v>
      </c>
    </row>
    <row r="7" spans="1:93">
      <c r="A7" s="468">
        <v>5</v>
      </c>
      <c r="B7" s="596">
        <v>0</v>
      </c>
      <c r="C7" s="596">
        <v>0</v>
      </c>
      <c r="D7" s="596">
        <v>0</v>
      </c>
      <c r="E7" s="596">
        <v>0</v>
      </c>
      <c r="F7" s="596">
        <f t="shared" si="0"/>
        <v>1.2500000000000001E-2</v>
      </c>
      <c r="G7" s="596">
        <v>0</v>
      </c>
      <c r="H7" s="596">
        <v>0</v>
      </c>
      <c r="I7" s="596">
        <v>0</v>
      </c>
      <c r="J7" s="596">
        <v>0</v>
      </c>
      <c r="K7" s="596">
        <v>0</v>
      </c>
      <c r="L7" s="596">
        <v>0</v>
      </c>
      <c r="M7" s="596">
        <v>0</v>
      </c>
      <c r="N7" s="596">
        <v>0</v>
      </c>
      <c r="O7" s="596">
        <v>0.23</v>
      </c>
      <c r="P7" s="596">
        <v>0</v>
      </c>
      <c r="Q7" s="596">
        <v>0</v>
      </c>
      <c r="R7" s="596">
        <v>0</v>
      </c>
      <c r="S7" s="596">
        <v>0.23</v>
      </c>
      <c r="T7" s="596">
        <v>0</v>
      </c>
      <c r="U7" s="596">
        <v>0</v>
      </c>
      <c r="V7" s="596">
        <v>0.05</v>
      </c>
      <c r="W7" s="611">
        <v>0.1</v>
      </c>
      <c r="X7" s="704">
        <v>0</v>
      </c>
      <c r="Y7" s="705">
        <v>0</v>
      </c>
      <c r="Z7" s="706">
        <v>0</v>
      </c>
      <c r="AA7" s="707">
        <v>5.5540304000000013E-2</v>
      </c>
      <c r="AB7" s="706">
        <v>0.1</v>
      </c>
      <c r="AC7" s="704">
        <v>5.5540304000000013E-2</v>
      </c>
      <c r="AD7" s="706">
        <v>0.1</v>
      </c>
      <c r="AE7" s="708">
        <v>0</v>
      </c>
      <c r="AF7" s="704">
        <v>0</v>
      </c>
      <c r="AG7" s="704">
        <v>0</v>
      </c>
      <c r="AH7" s="708">
        <v>0.08</v>
      </c>
      <c r="AI7" s="709">
        <v>0.04</v>
      </c>
      <c r="AJ7" s="706">
        <f t="shared" si="15"/>
        <v>7.1428571428571426E-3</v>
      </c>
      <c r="AK7" s="704">
        <v>0.03</v>
      </c>
      <c r="AL7" s="706">
        <f t="shared" si="1"/>
        <v>1.2500000000000001E-2</v>
      </c>
      <c r="AM7" s="710">
        <v>2.9000000000000001E-2</v>
      </c>
      <c r="AN7" s="704">
        <v>5.5540304000000013E-2</v>
      </c>
      <c r="AO7" s="706">
        <v>0.1</v>
      </c>
      <c r="AP7" s="711">
        <v>0</v>
      </c>
      <c r="AQ7" s="712">
        <f t="shared" si="2"/>
        <v>9.0909090909090912E-2</v>
      </c>
      <c r="AR7" s="711">
        <v>0</v>
      </c>
      <c r="AS7" s="712">
        <f t="shared" si="3"/>
        <v>0.125</v>
      </c>
      <c r="AT7" s="711">
        <v>1</v>
      </c>
      <c r="AU7" s="712">
        <f t="shared" si="4"/>
        <v>0.16666666666666666</v>
      </c>
      <c r="AV7" s="713">
        <v>0</v>
      </c>
      <c r="AW7" s="714">
        <v>0</v>
      </c>
      <c r="AX7" s="711">
        <v>0</v>
      </c>
      <c r="AY7" s="712">
        <f t="shared" si="5"/>
        <v>6.25E-2</v>
      </c>
      <c r="AZ7" s="713">
        <v>0</v>
      </c>
      <c r="BA7" s="712">
        <f t="shared" si="6"/>
        <v>0.125</v>
      </c>
      <c r="BB7" s="713">
        <v>0</v>
      </c>
      <c r="BC7" s="712">
        <f t="shared" si="7"/>
        <v>0.14285714285714285</v>
      </c>
      <c r="BD7" s="713">
        <v>0</v>
      </c>
      <c r="BE7" s="712">
        <v>0</v>
      </c>
      <c r="BF7" s="713">
        <v>0</v>
      </c>
      <c r="BG7" s="712">
        <f t="shared" si="8"/>
        <v>0.14285714285714285</v>
      </c>
      <c r="BH7" s="713">
        <v>0</v>
      </c>
      <c r="BI7" s="712">
        <v>0</v>
      </c>
      <c r="BJ7" s="713">
        <v>0</v>
      </c>
      <c r="BK7" s="712">
        <f t="shared" si="9"/>
        <v>6.6666666666666666E-2</v>
      </c>
      <c r="BL7" s="713">
        <v>0</v>
      </c>
      <c r="BM7" s="712">
        <v>0.1</v>
      </c>
      <c r="BN7" s="713">
        <v>0</v>
      </c>
      <c r="BO7" s="712">
        <f t="shared" si="10"/>
        <v>6.6666666666666666E-2</v>
      </c>
      <c r="BP7" s="713">
        <v>0</v>
      </c>
      <c r="BQ7" s="712">
        <v>0.1</v>
      </c>
      <c r="BR7" s="713">
        <v>0</v>
      </c>
      <c r="BS7" s="712">
        <f t="shared" si="11"/>
        <v>0.05</v>
      </c>
      <c r="BT7" s="713">
        <v>0</v>
      </c>
      <c r="BU7" s="712">
        <f t="shared" si="12"/>
        <v>6.6666666666666666E-2</v>
      </c>
      <c r="BV7" s="711">
        <v>0</v>
      </c>
      <c r="BW7" s="714">
        <v>0</v>
      </c>
      <c r="BX7" s="711">
        <v>0</v>
      </c>
      <c r="BY7" s="714">
        <v>0</v>
      </c>
      <c r="BZ7" s="711">
        <v>0</v>
      </c>
      <c r="CA7" s="714">
        <v>0</v>
      </c>
      <c r="CB7" s="711">
        <v>0</v>
      </c>
      <c r="CC7" s="714">
        <v>0</v>
      </c>
      <c r="CD7" s="711">
        <v>0</v>
      </c>
      <c r="CE7" s="714">
        <v>0.1</v>
      </c>
      <c r="CF7" s="711">
        <v>0</v>
      </c>
      <c r="CG7" s="714">
        <f t="shared" si="13"/>
        <v>0.14285714285714285</v>
      </c>
      <c r="CH7" s="711">
        <v>0</v>
      </c>
      <c r="CI7" s="714">
        <v>0</v>
      </c>
      <c r="CJ7" s="711">
        <v>0</v>
      </c>
      <c r="CK7" s="712">
        <v>0</v>
      </c>
      <c r="CL7" s="711">
        <v>0</v>
      </c>
      <c r="CM7" s="712">
        <f t="shared" si="14"/>
        <v>0.125</v>
      </c>
      <c r="CN7" s="713">
        <v>0</v>
      </c>
      <c r="CO7" s="712">
        <v>0.1</v>
      </c>
    </row>
    <row r="8" spans="1:93">
      <c r="A8" s="468">
        <v>6</v>
      </c>
      <c r="B8" s="596">
        <v>0</v>
      </c>
      <c r="C8" s="596">
        <v>0</v>
      </c>
      <c r="D8" s="596">
        <v>0</v>
      </c>
      <c r="E8" s="596">
        <v>0</v>
      </c>
      <c r="F8" s="596">
        <f t="shared" si="0"/>
        <v>1.2500000000000001E-2</v>
      </c>
      <c r="G8" s="596">
        <v>0</v>
      </c>
      <c r="H8" s="596">
        <v>0</v>
      </c>
      <c r="I8" s="596">
        <v>0</v>
      </c>
      <c r="J8" s="596">
        <v>0</v>
      </c>
      <c r="K8" s="596">
        <v>0</v>
      </c>
      <c r="L8" s="596">
        <v>0</v>
      </c>
      <c r="M8" s="596">
        <v>0</v>
      </c>
      <c r="N8" s="596">
        <v>0</v>
      </c>
      <c r="O8" s="596">
        <v>0.16</v>
      </c>
      <c r="P8" s="596">
        <v>0</v>
      </c>
      <c r="Q8" s="596">
        <v>0</v>
      </c>
      <c r="R8" s="596">
        <v>0</v>
      </c>
      <c r="S8" s="596">
        <v>0.16</v>
      </c>
      <c r="T8" s="596">
        <v>0</v>
      </c>
      <c r="U8" s="596">
        <v>0</v>
      </c>
      <c r="V8" s="596">
        <v>0.05</v>
      </c>
      <c r="W8" s="611">
        <f t="shared" ref="W8" si="16">1/15</f>
        <v>6.6666666666666666E-2</v>
      </c>
      <c r="X8" s="704">
        <v>0</v>
      </c>
      <c r="Y8" s="705">
        <v>0</v>
      </c>
      <c r="Z8" s="706">
        <v>0</v>
      </c>
      <c r="AA8" s="707">
        <v>5.5540304000000013E-2</v>
      </c>
      <c r="AB8" s="706">
        <v>0.1</v>
      </c>
      <c r="AC8" s="704">
        <v>5.5540304000000013E-2</v>
      </c>
      <c r="AD8" s="706">
        <v>0.1</v>
      </c>
      <c r="AE8" s="708">
        <v>0</v>
      </c>
      <c r="AF8" s="704">
        <v>0</v>
      </c>
      <c r="AG8" s="704">
        <v>0</v>
      </c>
      <c r="AH8" s="708">
        <v>0.08</v>
      </c>
      <c r="AI8" s="709">
        <v>0</v>
      </c>
      <c r="AJ8" s="706">
        <f t="shared" si="15"/>
        <v>7.1428571428571426E-3</v>
      </c>
      <c r="AK8" s="704">
        <v>0.03</v>
      </c>
      <c r="AL8" s="706">
        <f t="shared" si="1"/>
        <v>1.2500000000000001E-2</v>
      </c>
      <c r="AM8" s="710">
        <v>2.4E-2</v>
      </c>
      <c r="AN8" s="704">
        <v>5.5540304000000013E-2</v>
      </c>
      <c r="AO8" s="706">
        <v>0.1</v>
      </c>
      <c r="AP8" s="711">
        <v>0</v>
      </c>
      <c r="AQ8" s="712">
        <f t="shared" si="2"/>
        <v>9.0909090909090912E-2</v>
      </c>
      <c r="AR8" s="711">
        <v>0</v>
      </c>
      <c r="AS8" s="712">
        <f t="shared" si="3"/>
        <v>0.125</v>
      </c>
      <c r="AT8" s="711">
        <v>0</v>
      </c>
      <c r="AU8" s="712">
        <v>0</v>
      </c>
      <c r="AV8" s="713">
        <v>0</v>
      </c>
      <c r="AW8" s="714">
        <v>0</v>
      </c>
      <c r="AX8" s="711">
        <v>0</v>
      </c>
      <c r="AY8" s="712">
        <f t="shared" si="5"/>
        <v>6.25E-2</v>
      </c>
      <c r="AZ8" s="713">
        <v>0</v>
      </c>
      <c r="BA8" s="712">
        <f t="shared" si="6"/>
        <v>0.125</v>
      </c>
      <c r="BB8" s="713">
        <v>1</v>
      </c>
      <c r="BC8" s="712">
        <f t="shared" si="7"/>
        <v>0.14285714285714285</v>
      </c>
      <c r="BD8" s="713">
        <v>0</v>
      </c>
      <c r="BE8" s="712">
        <v>0</v>
      </c>
      <c r="BF8" s="713">
        <v>1</v>
      </c>
      <c r="BG8" s="712">
        <f t="shared" si="8"/>
        <v>0.14285714285714285</v>
      </c>
      <c r="BH8" s="713">
        <v>0</v>
      </c>
      <c r="BI8" s="712">
        <v>0</v>
      </c>
      <c r="BJ8" s="713">
        <v>0</v>
      </c>
      <c r="BK8" s="712">
        <f t="shared" si="9"/>
        <v>6.6666666666666666E-2</v>
      </c>
      <c r="BL8" s="713">
        <v>0</v>
      </c>
      <c r="BM8" s="712">
        <v>0.1</v>
      </c>
      <c r="BN8" s="713">
        <v>0</v>
      </c>
      <c r="BO8" s="712">
        <f t="shared" si="10"/>
        <v>6.6666666666666666E-2</v>
      </c>
      <c r="BP8" s="713">
        <v>0</v>
      </c>
      <c r="BQ8" s="712">
        <v>0.1</v>
      </c>
      <c r="BR8" s="713">
        <v>0</v>
      </c>
      <c r="BS8" s="712">
        <f t="shared" si="11"/>
        <v>0.05</v>
      </c>
      <c r="BT8" s="713">
        <v>0</v>
      </c>
      <c r="BU8" s="712">
        <f t="shared" si="12"/>
        <v>6.6666666666666666E-2</v>
      </c>
      <c r="BV8" s="711">
        <v>0</v>
      </c>
      <c r="BW8" s="714">
        <v>0</v>
      </c>
      <c r="BX8" s="711">
        <v>0</v>
      </c>
      <c r="BY8" s="714">
        <v>0</v>
      </c>
      <c r="BZ8" s="711">
        <v>0</v>
      </c>
      <c r="CA8" s="714">
        <v>0</v>
      </c>
      <c r="CB8" s="711">
        <v>0</v>
      </c>
      <c r="CC8" s="714">
        <v>0</v>
      </c>
      <c r="CD8" s="711">
        <v>0</v>
      </c>
      <c r="CE8" s="714">
        <v>0.1</v>
      </c>
      <c r="CF8" s="711">
        <v>1</v>
      </c>
      <c r="CG8" s="714">
        <f t="shared" si="13"/>
        <v>0.14285714285714285</v>
      </c>
      <c r="CH8" s="711">
        <v>0</v>
      </c>
      <c r="CI8" s="714">
        <v>0</v>
      </c>
      <c r="CJ8" s="711">
        <v>0</v>
      </c>
      <c r="CK8" s="712">
        <v>0</v>
      </c>
      <c r="CL8" s="711">
        <v>0</v>
      </c>
      <c r="CM8" s="712">
        <f t="shared" si="14"/>
        <v>0.125</v>
      </c>
      <c r="CN8" s="713">
        <v>0</v>
      </c>
      <c r="CO8" s="712">
        <v>0.1</v>
      </c>
    </row>
    <row r="9" spans="1:93">
      <c r="A9" s="468">
        <v>7</v>
      </c>
      <c r="B9" s="596">
        <v>0</v>
      </c>
      <c r="C9" s="596">
        <v>0</v>
      </c>
      <c r="D9" s="596">
        <v>0</v>
      </c>
      <c r="E9" s="596">
        <v>0</v>
      </c>
      <c r="F9" s="596">
        <f t="shared" si="0"/>
        <v>1.2500000000000001E-2</v>
      </c>
      <c r="G9" s="596">
        <v>0</v>
      </c>
      <c r="H9" s="596">
        <v>0</v>
      </c>
      <c r="I9" s="596">
        <v>0</v>
      </c>
      <c r="J9" s="596">
        <v>0</v>
      </c>
      <c r="K9" s="596">
        <v>0</v>
      </c>
      <c r="L9" s="596">
        <v>0</v>
      </c>
      <c r="M9" s="596">
        <v>0</v>
      </c>
      <c r="N9" s="596">
        <v>0</v>
      </c>
      <c r="O9" s="596">
        <v>0.08</v>
      </c>
      <c r="P9" s="596">
        <v>0</v>
      </c>
      <c r="Q9" s="596">
        <v>0</v>
      </c>
      <c r="R9" s="596">
        <v>0</v>
      </c>
      <c r="S9" s="596">
        <v>0.08</v>
      </c>
      <c r="T9" s="596">
        <v>0</v>
      </c>
      <c r="U9" s="596">
        <v>0</v>
      </c>
      <c r="V9" s="596">
        <v>0.1</v>
      </c>
      <c r="W9" s="611">
        <v>7.0000000000000007E-2</v>
      </c>
      <c r="X9" s="704">
        <v>0</v>
      </c>
      <c r="Y9" s="705">
        <v>0</v>
      </c>
      <c r="Z9" s="706">
        <v>0</v>
      </c>
      <c r="AA9" s="707">
        <v>5.5540304000000013E-2</v>
      </c>
      <c r="AB9" s="706">
        <v>0.1</v>
      </c>
      <c r="AC9" s="704">
        <v>5.5540304000000013E-2</v>
      </c>
      <c r="AD9" s="706">
        <v>0.1</v>
      </c>
      <c r="AE9" s="708">
        <v>0</v>
      </c>
      <c r="AF9" s="704">
        <v>0</v>
      </c>
      <c r="AG9" s="704">
        <v>0</v>
      </c>
      <c r="AH9" s="708">
        <v>0.08</v>
      </c>
      <c r="AI9" s="709">
        <v>0</v>
      </c>
      <c r="AJ9" s="706">
        <f t="shared" si="15"/>
        <v>7.1428571428571426E-3</v>
      </c>
      <c r="AK9" s="704">
        <v>0.03</v>
      </c>
      <c r="AL9" s="706">
        <f t="shared" si="1"/>
        <v>1.2500000000000001E-2</v>
      </c>
      <c r="AM9" s="710">
        <v>2.4E-2</v>
      </c>
      <c r="AN9" s="704">
        <v>5.5540304000000013E-2</v>
      </c>
      <c r="AO9" s="706">
        <v>0.1</v>
      </c>
      <c r="AP9" s="711">
        <v>0</v>
      </c>
      <c r="AQ9" s="712">
        <f t="shared" si="2"/>
        <v>9.0909090909090912E-2</v>
      </c>
      <c r="AR9" s="711">
        <v>1</v>
      </c>
      <c r="AS9" s="712">
        <f t="shared" si="3"/>
        <v>0.125</v>
      </c>
      <c r="AT9" s="711">
        <v>0</v>
      </c>
      <c r="AU9" s="712">
        <v>0</v>
      </c>
      <c r="AV9" s="713">
        <v>0</v>
      </c>
      <c r="AW9" s="714">
        <v>0</v>
      </c>
      <c r="AX9" s="711">
        <v>0</v>
      </c>
      <c r="AY9" s="712">
        <f t="shared" si="5"/>
        <v>6.25E-2</v>
      </c>
      <c r="AZ9" s="713">
        <v>1</v>
      </c>
      <c r="BA9" s="712">
        <f t="shared" si="6"/>
        <v>0.125</v>
      </c>
      <c r="BB9" s="713">
        <v>0</v>
      </c>
      <c r="BC9" s="712">
        <v>0</v>
      </c>
      <c r="BD9" s="713">
        <v>0</v>
      </c>
      <c r="BE9" s="712">
        <v>0</v>
      </c>
      <c r="BF9" s="713">
        <v>0</v>
      </c>
      <c r="BG9" s="712">
        <v>0</v>
      </c>
      <c r="BH9" s="713">
        <v>0</v>
      </c>
      <c r="BI9" s="712">
        <v>0</v>
      </c>
      <c r="BJ9" s="713">
        <v>0</v>
      </c>
      <c r="BK9" s="712">
        <f t="shared" si="9"/>
        <v>6.6666666666666666E-2</v>
      </c>
      <c r="BL9" s="713">
        <v>0</v>
      </c>
      <c r="BM9" s="712">
        <v>0.1</v>
      </c>
      <c r="BN9" s="713">
        <v>0</v>
      </c>
      <c r="BO9" s="712">
        <f t="shared" si="10"/>
        <v>6.6666666666666666E-2</v>
      </c>
      <c r="BP9" s="713">
        <v>0</v>
      </c>
      <c r="BQ9" s="712">
        <v>0.1</v>
      </c>
      <c r="BR9" s="713">
        <v>0</v>
      </c>
      <c r="BS9" s="712">
        <f t="shared" si="11"/>
        <v>0.05</v>
      </c>
      <c r="BT9" s="713">
        <v>0</v>
      </c>
      <c r="BU9" s="712">
        <f t="shared" si="12"/>
        <v>6.6666666666666666E-2</v>
      </c>
      <c r="BV9" s="711">
        <v>0</v>
      </c>
      <c r="BW9" s="714">
        <v>0</v>
      </c>
      <c r="BX9" s="711">
        <v>0</v>
      </c>
      <c r="BY9" s="714">
        <v>0</v>
      </c>
      <c r="BZ9" s="711">
        <v>0</v>
      </c>
      <c r="CA9" s="714">
        <v>0</v>
      </c>
      <c r="CB9" s="711">
        <v>0</v>
      </c>
      <c r="CC9" s="714">
        <v>0</v>
      </c>
      <c r="CD9" s="711">
        <v>0</v>
      </c>
      <c r="CE9" s="714">
        <v>0.1</v>
      </c>
      <c r="CF9" s="711">
        <v>0</v>
      </c>
      <c r="CG9" s="714">
        <v>0</v>
      </c>
      <c r="CH9" s="711">
        <v>0</v>
      </c>
      <c r="CI9" s="714">
        <v>0</v>
      </c>
      <c r="CJ9" s="711">
        <v>0</v>
      </c>
      <c r="CK9" s="712">
        <v>0</v>
      </c>
      <c r="CL9" s="711">
        <v>1</v>
      </c>
      <c r="CM9" s="712">
        <f t="shared" si="14"/>
        <v>0.125</v>
      </c>
      <c r="CN9" s="713">
        <v>0</v>
      </c>
      <c r="CO9" s="712">
        <v>0.1</v>
      </c>
    </row>
    <row r="10" spans="1:93">
      <c r="A10" s="468">
        <v>8</v>
      </c>
      <c r="B10" s="596">
        <v>0</v>
      </c>
      <c r="C10" s="596">
        <v>0</v>
      </c>
      <c r="D10" s="596">
        <v>0</v>
      </c>
      <c r="E10" s="596">
        <v>0</v>
      </c>
      <c r="F10" s="596">
        <f t="shared" si="0"/>
        <v>1.2500000000000001E-2</v>
      </c>
      <c r="G10" s="596">
        <v>0</v>
      </c>
      <c r="H10" s="596">
        <v>0</v>
      </c>
      <c r="I10" s="596">
        <v>0</v>
      </c>
      <c r="J10" s="596">
        <v>0</v>
      </c>
      <c r="K10" s="596">
        <v>0</v>
      </c>
      <c r="L10" s="596">
        <v>0</v>
      </c>
      <c r="M10" s="596">
        <v>0</v>
      </c>
      <c r="N10" s="596">
        <v>0</v>
      </c>
      <c r="O10" s="596">
        <v>0.02</v>
      </c>
      <c r="P10" s="596">
        <v>0</v>
      </c>
      <c r="Q10" s="596">
        <v>0</v>
      </c>
      <c r="R10" s="596">
        <v>0</v>
      </c>
      <c r="S10" s="596">
        <v>0.02</v>
      </c>
      <c r="T10" s="596">
        <v>0</v>
      </c>
      <c r="U10" s="596">
        <v>0</v>
      </c>
      <c r="V10" s="596">
        <v>0.15</v>
      </c>
      <c r="W10" s="611">
        <v>0.06</v>
      </c>
      <c r="X10" s="704">
        <v>0</v>
      </c>
      <c r="Y10" s="705">
        <v>0</v>
      </c>
      <c r="Z10" s="706">
        <v>0</v>
      </c>
      <c r="AA10" s="707">
        <v>5.5540304000000013E-2</v>
      </c>
      <c r="AB10" s="706">
        <v>0.1</v>
      </c>
      <c r="AC10" s="704">
        <v>5.5540304000000013E-2</v>
      </c>
      <c r="AD10" s="706">
        <v>0.1</v>
      </c>
      <c r="AE10" s="708">
        <v>0</v>
      </c>
      <c r="AF10" s="704">
        <v>0</v>
      </c>
      <c r="AG10" s="704">
        <v>0</v>
      </c>
      <c r="AH10" s="708">
        <v>0.08</v>
      </c>
      <c r="AI10" s="709">
        <v>0</v>
      </c>
      <c r="AJ10" s="706">
        <f t="shared" si="15"/>
        <v>7.1428571428571426E-3</v>
      </c>
      <c r="AK10" s="704">
        <v>0.03</v>
      </c>
      <c r="AL10" s="706">
        <f t="shared" si="1"/>
        <v>1.2500000000000001E-2</v>
      </c>
      <c r="AM10" s="710">
        <v>2.4E-2</v>
      </c>
      <c r="AN10" s="704">
        <v>5.5540304000000013E-2</v>
      </c>
      <c r="AO10" s="706">
        <v>0.1</v>
      </c>
      <c r="AP10" s="711">
        <v>0</v>
      </c>
      <c r="AQ10" s="712">
        <f t="shared" si="2"/>
        <v>9.0909090909090912E-2</v>
      </c>
      <c r="AR10" s="711">
        <v>0</v>
      </c>
      <c r="AS10" s="712">
        <v>0</v>
      </c>
      <c r="AT10" s="711">
        <v>0</v>
      </c>
      <c r="AU10" s="712">
        <v>0</v>
      </c>
      <c r="AV10" s="713">
        <v>0</v>
      </c>
      <c r="AW10" s="714">
        <v>0</v>
      </c>
      <c r="AX10" s="711">
        <v>0</v>
      </c>
      <c r="AY10" s="712">
        <f t="shared" si="5"/>
        <v>6.25E-2</v>
      </c>
      <c r="AZ10" s="713">
        <v>0</v>
      </c>
      <c r="BA10" s="712">
        <v>0</v>
      </c>
      <c r="BB10" s="713">
        <v>0</v>
      </c>
      <c r="BC10" s="712">
        <v>0</v>
      </c>
      <c r="BD10" s="713">
        <v>0</v>
      </c>
      <c r="BE10" s="712">
        <v>0</v>
      </c>
      <c r="BF10" s="713">
        <v>0</v>
      </c>
      <c r="BG10" s="712">
        <v>0</v>
      </c>
      <c r="BH10" s="713">
        <v>0</v>
      </c>
      <c r="BI10" s="712">
        <v>0</v>
      </c>
      <c r="BJ10" s="713">
        <v>0</v>
      </c>
      <c r="BK10" s="712">
        <f t="shared" si="9"/>
        <v>6.6666666666666666E-2</v>
      </c>
      <c r="BL10" s="713">
        <v>0</v>
      </c>
      <c r="BM10" s="712">
        <v>0.1</v>
      </c>
      <c r="BN10" s="713">
        <v>0</v>
      </c>
      <c r="BO10" s="712">
        <f t="shared" si="10"/>
        <v>6.6666666666666666E-2</v>
      </c>
      <c r="BP10" s="713">
        <v>0</v>
      </c>
      <c r="BQ10" s="712">
        <v>0.1</v>
      </c>
      <c r="BR10" s="713">
        <v>0</v>
      </c>
      <c r="BS10" s="712">
        <f t="shared" si="11"/>
        <v>0.05</v>
      </c>
      <c r="BT10" s="713">
        <v>0</v>
      </c>
      <c r="BU10" s="712">
        <f t="shared" si="12"/>
        <v>6.6666666666666666E-2</v>
      </c>
      <c r="BV10" s="711">
        <v>0</v>
      </c>
      <c r="BW10" s="714">
        <v>0</v>
      </c>
      <c r="BX10" s="711">
        <v>0</v>
      </c>
      <c r="BY10" s="714">
        <v>0</v>
      </c>
      <c r="BZ10" s="711">
        <v>0</v>
      </c>
      <c r="CA10" s="714">
        <v>0</v>
      </c>
      <c r="CB10" s="711">
        <v>0</v>
      </c>
      <c r="CC10" s="714">
        <v>0</v>
      </c>
      <c r="CD10" s="711">
        <v>0</v>
      </c>
      <c r="CE10" s="714">
        <v>0.1</v>
      </c>
      <c r="CF10" s="711">
        <v>0</v>
      </c>
      <c r="CG10" s="714">
        <v>0</v>
      </c>
      <c r="CH10" s="711">
        <v>0</v>
      </c>
      <c r="CI10" s="714">
        <v>0</v>
      </c>
      <c r="CJ10" s="711">
        <v>0</v>
      </c>
      <c r="CK10" s="712">
        <v>0</v>
      </c>
      <c r="CL10" s="711">
        <v>0</v>
      </c>
      <c r="CM10" s="712">
        <v>0</v>
      </c>
      <c r="CN10" s="713">
        <v>0</v>
      </c>
      <c r="CO10" s="712">
        <v>0.1</v>
      </c>
    </row>
    <row r="11" spans="1:93">
      <c r="A11" s="468">
        <v>9</v>
      </c>
      <c r="B11" s="596">
        <v>0</v>
      </c>
      <c r="C11" s="596">
        <v>0</v>
      </c>
      <c r="D11" s="596">
        <v>0</v>
      </c>
      <c r="E11" s="596">
        <v>0</v>
      </c>
      <c r="F11" s="596">
        <f t="shared" si="0"/>
        <v>1.2500000000000001E-2</v>
      </c>
      <c r="G11" s="596">
        <v>0</v>
      </c>
      <c r="H11" s="596">
        <v>0</v>
      </c>
      <c r="I11" s="596">
        <v>0</v>
      </c>
      <c r="J11" s="596">
        <v>0</v>
      </c>
      <c r="K11" s="596">
        <v>0</v>
      </c>
      <c r="L11" s="596">
        <v>0</v>
      </c>
      <c r="M11" s="596">
        <v>0</v>
      </c>
      <c r="N11" s="596">
        <v>0</v>
      </c>
      <c r="O11" s="596">
        <v>0</v>
      </c>
      <c r="P11" s="596">
        <v>0</v>
      </c>
      <c r="Q11" s="596">
        <v>0</v>
      </c>
      <c r="R11" s="596">
        <v>0</v>
      </c>
      <c r="S11" s="596">
        <v>0</v>
      </c>
      <c r="T11" s="596">
        <v>0</v>
      </c>
      <c r="U11" s="596">
        <v>0</v>
      </c>
      <c r="V11" s="596">
        <v>0.4</v>
      </c>
      <c r="W11" s="611">
        <v>0.05</v>
      </c>
      <c r="X11" s="704">
        <v>0</v>
      </c>
      <c r="Y11" s="705">
        <v>0</v>
      </c>
      <c r="Z11" s="706">
        <v>0</v>
      </c>
      <c r="AA11" s="707">
        <v>5.3176234000000155E-2</v>
      </c>
      <c r="AB11" s="706">
        <v>0.1</v>
      </c>
      <c r="AC11" s="704">
        <v>5.3176234000000155E-2</v>
      </c>
      <c r="AD11" s="706">
        <v>0.1</v>
      </c>
      <c r="AE11" s="708">
        <v>0</v>
      </c>
      <c r="AF11" s="704">
        <v>0</v>
      </c>
      <c r="AG11" s="704">
        <v>0</v>
      </c>
      <c r="AH11" s="708">
        <v>0.08</v>
      </c>
      <c r="AI11" s="709">
        <v>0</v>
      </c>
      <c r="AJ11" s="706">
        <f t="shared" si="15"/>
        <v>7.1428571428571426E-3</v>
      </c>
      <c r="AK11" s="704">
        <v>0.03</v>
      </c>
      <c r="AL11" s="706">
        <f t="shared" si="1"/>
        <v>1.2500000000000001E-2</v>
      </c>
      <c r="AM11" s="710">
        <v>2.4E-2</v>
      </c>
      <c r="AN11" s="704">
        <v>5.3176234000000155E-2</v>
      </c>
      <c r="AO11" s="706">
        <v>0.1</v>
      </c>
      <c r="AP11" s="711">
        <v>0</v>
      </c>
      <c r="AQ11" s="712">
        <f t="shared" si="2"/>
        <v>9.0909090909090912E-2</v>
      </c>
      <c r="AR11" s="711">
        <v>0</v>
      </c>
      <c r="AS11" s="712">
        <v>0</v>
      </c>
      <c r="AT11" s="711">
        <v>0</v>
      </c>
      <c r="AU11" s="712">
        <v>0</v>
      </c>
      <c r="AV11" s="713">
        <v>0</v>
      </c>
      <c r="AW11" s="714">
        <v>0</v>
      </c>
      <c r="AX11" s="711">
        <v>0</v>
      </c>
      <c r="AY11" s="712">
        <f t="shared" si="5"/>
        <v>6.25E-2</v>
      </c>
      <c r="AZ11" s="713">
        <v>0</v>
      </c>
      <c r="BA11" s="712">
        <v>0</v>
      </c>
      <c r="BB11" s="713">
        <v>0</v>
      </c>
      <c r="BC11" s="712">
        <v>0</v>
      </c>
      <c r="BD11" s="713">
        <v>0</v>
      </c>
      <c r="BE11" s="712">
        <v>0</v>
      </c>
      <c r="BF11" s="713">
        <v>0</v>
      </c>
      <c r="BG11" s="712">
        <v>0</v>
      </c>
      <c r="BH11" s="713">
        <v>0</v>
      </c>
      <c r="BI11" s="712">
        <v>0</v>
      </c>
      <c r="BJ11" s="713">
        <v>0</v>
      </c>
      <c r="BK11" s="712">
        <f t="shared" si="9"/>
        <v>6.6666666666666666E-2</v>
      </c>
      <c r="BL11" s="713">
        <v>1</v>
      </c>
      <c r="BM11" s="712">
        <v>0.1</v>
      </c>
      <c r="BN11" s="713">
        <v>0</v>
      </c>
      <c r="BO11" s="712">
        <f t="shared" si="10"/>
        <v>6.6666666666666666E-2</v>
      </c>
      <c r="BP11" s="713">
        <v>1</v>
      </c>
      <c r="BQ11" s="712">
        <v>0.1</v>
      </c>
      <c r="BR11" s="713">
        <v>0</v>
      </c>
      <c r="BS11" s="712">
        <f t="shared" si="11"/>
        <v>0.05</v>
      </c>
      <c r="BT11" s="713">
        <v>0</v>
      </c>
      <c r="BU11" s="712">
        <f t="shared" si="12"/>
        <v>6.6666666666666666E-2</v>
      </c>
      <c r="BV11" s="711">
        <v>0</v>
      </c>
      <c r="BW11" s="714">
        <v>0</v>
      </c>
      <c r="BX11" s="711">
        <v>0</v>
      </c>
      <c r="BY11" s="714">
        <v>0</v>
      </c>
      <c r="BZ11" s="711">
        <v>0</v>
      </c>
      <c r="CA11" s="714">
        <v>0</v>
      </c>
      <c r="CB11" s="711">
        <v>0</v>
      </c>
      <c r="CC11" s="714">
        <v>0</v>
      </c>
      <c r="CD11" s="711">
        <v>1</v>
      </c>
      <c r="CE11" s="714">
        <v>0.1</v>
      </c>
      <c r="CF11" s="711">
        <v>0</v>
      </c>
      <c r="CG11" s="714">
        <v>0</v>
      </c>
      <c r="CH11" s="711">
        <v>0</v>
      </c>
      <c r="CI11" s="714">
        <v>0</v>
      </c>
      <c r="CJ11" s="711">
        <v>0</v>
      </c>
      <c r="CK11" s="712">
        <v>0</v>
      </c>
      <c r="CL11" s="711">
        <v>0</v>
      </c>
      <c r="CM11" s="712">
        <v>0</v>
      </c>
      <c r="CN11" s="713">
        <v>1</v>
      </c>
      <c r="CO11" s="712">
        <v>0.1</v>
      </c>
    </row>
    <row r="12" spans="1:93">
      <c r="A12" s="468">
        <v>10</v>
      </c>
      <c r="B12" s="596">
        <v>0</v>
      </c>
      <c r="C12" s="596">
        <v>0</v>
      </c>
      <c r="D12" s="596">
        <v>0</v>
      </c>
      <c r="E12" s="596">
        <v>0</v>
      </c>
      <c r="F12" s="596">
        <f t="shared" si="0"/>
        <v>1.2500000000000001E-2</v>
      </c>
      <c r="G12" s="596">
        <v>0</v>
      </c>
      <c r="H12" s="596">
        <v>0</v>
      </c>
      <c r="I12" s="596">
        <v>0</v>
      </c>
      <c r="J12" s="596">
        <v>0</v>
      </c>
      <c r="K12" s="596">
        <v>0</v>
      </c>
      <c r="L12" s="596">
        <v>0</v>
      </c>
      <c r="M12" s="596">
        <v>0</v>
      </c>
      <c r="N12" s="596">
        <v>0</v>
      </c>
      <c r="O12" s="596">
        <v>0</v>
      </c>
      <c r="P12" s="596">
        <v>0</v>
      </c>
      <c r="Q12" s="596">
        <v>0</v>
      </c>
      <c r="R12" s="596">
        <v>0</v>
      </c>
      <c r="S12" s="596">
        <v>0</v>
      </c>
      <c r="T12" s="596">
        <v>0</v>
      </c>
      <c r="U12" s="596">
        <v>0</v>
      </c>
      <c r="V12" s="596">
        <v>0.15</v>
      </c>
      <c r="W12" s="611">
        <v>0.05</v>
      </c>
      <c r="X12" s="704">
        <v>0</v>
      </c>
      <c r="Y12" s="705">
        <v>0</v>
      </c>
      <c r="Z12" s="706">
        <v>0</v>
      </c>
      <c r="AA12" s="707">
        <v>0</v>
      </c>
      <c r="AB12" s="706">
        <v>0</v>
      </c>
      <c r="AC12" s="704">
        <v>0</v>
      </c>
      <c r="AD12" s="706">
        <v>0</v>
      </c>
      <c r="AE12" s="708">
        <v>0</v>
      </c>
      <c r="AF12" s="704">
        <v>0</v>
      </c>
      <c r="AG12" s="704">
        <v>0</v>
      </c>
      <c r="AH12" s="708">
        <v>0.08</v>
      </c>
      <c r="AI12" s="709">
        <v>0.01</v>
      </c>
      <c r="AJ12" s="706">
        <f t="shared" si="15"/>
        <v>7.1428571428571426E-3</v>
      </c>
      <c r="AK12" s="704">
        <v>2.8000000000000001E-2</v>
      </c>
      <c r="AL12" s="706">
        <f t="shared" si="1"/>
        <v>1.2500000000000001E-2</v>
      </c>
      <c r="AM12" s="710">
        <v>1.6E-2</v>
      </c>
      <c r="AN12" s="704">
        <v>0</v>
      </c>
      <c r="AO12" s="706">
        <v>0</v>
      </c>
      <c r="AP12" s="711">
        <v>1</v>
      </c>
      <c r="AQ12" s="712">
        <f t="shared" si="2"/>
        <v>9.0909090909090912E-2</v>
      </c>
      <c r="AR12" s="711">
        <v>0</v>
      </c>
      <c r="AS12" s="712">
        <v>0</v>
      </c>
      <c r="AT12" s="711">
        <v>0</v>
      </c>
      <c r="AU12" s="712">
        <v>0</v>
      </c>
      <c r="AV12" s="713">
        <v>0</v>
      </c>
      <c r="AW12" s="714">
        <v>0</v>
      </c>
      <c r="AX12" s="711">
        <v>0</v>
      </c>
      <c r="AY12" s="712">
        <f t="shared" si="5"/>
        <v>6.25E-2</v>
      </c>
      <c r="AZ12" s="713">
        <v>0</v>
      </c>
      <c r="BA12" s="712">
        <v>0</v>
      </c>
      <c r="BB12" s="713">
        <v>0</v>
      </c>
      <c r="BC12" s="712">
        <v>0</v>
      </c>
      <c r="BD12" s="713">
        <v>0</v>
      </c>
      <c r="BE12" s="712">
        <v>0</v>
      </c>
      <c r="BF12" s="713">
        <v>0</v>
      </c>
      <c r="BG12" s="712">
        <v>0</v>
      </c>
      <c r="BH12" s="713">
        <v>0</v>
      </c>
      <c r="BI12" s="712">
        <v>0</v>
      </c>
      <c r="BJ12" s="713">
        <v>0</v>
      </c>
      <c r="BK12" s="712">
        <f t="shared" si="9"/>
        <v>6.6666666666666666E-2</v>
      </c>
      <c r="BL12" s="713">
        <v>0</v>
      </c>
      <c r="BM12" s="712">
        <v>0</v>
      </c>
      <c r="BN12" s="713">
        <v>0</v>
      </c>
      <c r="BO12" s="712">
        <f t="shared" si="10"/>
        <v>6.6666666666666666E-2</v>
      </c>
      <c r="BP12" s="713">
        <v>0</v>
      </c>
      <c r="BQ12" s="712">
        <v>0</v>
      </c>
      <c r="BR12" s="713">
        <v>0</v>
      </c>
      <c r="BS12" s="712">
        <f t="shared" si="11"/>
        <v>0.05</v>
      </c>
      <c r="BT12" s="713">
        <v>0</v>
      </c>
      <c r="BU12" s="712">
        <f t="shared" si="12"/>
        <v>6.6666666666666666E-2</v>
      </c>
      <c r="BV12" s="711">
        <v>0</v>
      </c>
      <c r="BW12" s="714">
        <v>0</v>
      </c>
      <c r="BX12" s="711">
        <v>0</v>
      </c>
      <c r="BY12" s="714">
        <v>0</v>
      </c>
      <c r="BZ12" s="711">
        <v>0</v>
      </c>
      <c r="CA12" s="714">
        <v>0</v>
      </c>
      <c r="CB12" s="711">
        <v>0</v>
      </c>
      <c r="CC12" s="714">
        <v>0</v>
      </c>
      <c r="CD12" s="711">
        <v>0</v>
      </c>
      <c r="CE12" s="714">
        <v>0</v>
      </c>
      <c r="CF12" s="711">
        <v>0</v>
      </c>
      <c r="CG12" s="714">
        <v>0</v>
      </c>
      <c r="CH12" s="711">
        <v>0</v>
      </c>
      <c r="CI12" s="714">
        <v>0</v>
      </c>
      <c r="CJ12" s="711">
        <v>0</v>
      </c>
      <c r="CK12" s="712">
        <v>0</v>
      </c>
      <c r="CL12" s="711">
        <v>0</v>
      </c>
      <c r="CM12" s="712">
        <v>0</v>
      </c>
      <c r="CN12" s="713">
        <v>0</v>
      </c>
      <c r="CO12" s="712">
        <v>0</v>
      </c>
    </row>
    <row r="13" spans="1:93">
      <c r="A13" s="468">
        <v>11</v>
      </c>
      <c r="B13" s="596">
        <v>0</v>
      </c>
      <c r="C13" s="596">
        <v>0</v>
      </c>
      <c r="D13" s="596">
        <v>0</v>
      </c>
      <c r="E13" s="596">
        <v>0</v>
      </c>
      <c r="F13" s="596">
        <f t="shared" si="0"/>
        <v>1.2500000000000001E-2</v>
      </c>
      <c r="G13" s="596">
        <v>0</v>
      </c>
      <c r="H13" s="596">
        <v>0</v>
      </c>
      <c r="I13" s="596">
        <v>0</v>
      </c>
      <c r="J13" s="596">
        <v>0</v>
      </c>
      <c r="K13" s="596">
        <v>0</v>
      </c>
      <c r="L13" s="596">
        <v>0</v>
      </c>
      <c r="M13" s="596">
        <v>0</v>
      </c>
      <c r="N13" s="596">
        <v>0</v>
      </c>
      <c r="O13" s="596">
        <v>0</v>
      </c>
      <c r="P13" s="596">
        <v>0</v>
      </c>
      <c r="Q13" s="596">
        <v>0</v>
      </c>
      <c r="R13" s="596">
        <v>0</v>
      </c>
      <c r="S13" s="596">
        <v>0</v>
      </c>
      <c r="T13" s="596">
        <v>0</v>
      </c>
      <c r="U13" s="596">
        <v>0</v>
      </c>
      <c r="V13" s="596">
        <v>0.05</v>
      </c>
      <c r="W13" s="611">
        <v>0.05</v>
      </c>
      <c r="X13" s="704">
        <v>0</v>
      </c>
      <c r="Y13" s="705">
        <v>0</v>
      </c>
      <c r="Z13" s="706">
        <v>0</v>
      </c>
      <c r="AA13" s="707">
        <v>0</v>
      </c>
      <c r="AB13" s="706">
        <v>0</v>
      </c>
      <c r="AC13" s="704">
        <v>0</v>
      </c>
      <c r="AD13" s="706">
        <v>0</v>
      </c>
      <c r="AE13" s="708">
        <v>0</v>
      </c>
      <c r="AF13" s="704">
        <v>0</v>
      </c>
      <c r="AG13" s="704">
        <v>0</v>
      </c>
      <c r="AH13" s="708">
        <v>0.08</v>
      </c>
      <c r="AI13" s="709">
        <v>0.01</v>
      </c>
      <c r="AJ13" s="706">
        <f t="shared" si="15"/>
        <v>7.1428571428571426E-3</v>
      </c>
      <c r="AK13" s="704">
        <v>2.8000000000000001E-2</v>
      </c>
      <c r="AL13" s="706">
        <f t="shared" si="1"/>
        <v>1.2500000000000001E-2</v>
      </c>
      <c r="AM13" s="710">
        <v>1.6E-2</v>
      </c>
      <c r="AN13" s="704">
        <v>0</v>
      </c>
      <c r="AO13" s="706">
        <v>0</v>
      </c>
      <c r="AP13" s="711">
        <v>0</v>
      </c>
      <c r="AQ13" s="712">
        <v>0</v>
      </c>
      <c r="AR13" s="711">
        <v>0</v>
      </c>
      <c r="AS13" s="712">
        <v>0</v>
      </c>
      <c r="AT13" s="711">
        <v>0</v>
      </c>
      <c r="AU13" s="712">
        <v>0</v>
      </c>
      <c r="AV13" s="713">
        <v>0</v>
      </c>
      <c r="AW13" s="714">
        <v>0</v>
      </c>
      <c r="AX13" s="711">
        <v>0</v>
      </c>
      <c r="AY13" s="712">
        <f t="shared" si="5"/>
        <v>6.25E-2</v>
      </c>
      <c r="AZ13" s="713">
        <v>0</v>
      </c>
      <c r="BA13" s="712">
        <v>0</v>
      </c>
      <c r="BB13" s="713">
        <v>0</v>
      </c>
      <c r="BC13" s="712">
        <v>0</v>
      </c>
      <c r="BD13" s="713">
        <v>0</v>
      </c>
      <c r="BE13" s="712">
        <v>0</v>
      </c>
      <c r="BF13" s="713">
        <v>0</v>
      </c>
      <c r="BG13" s="712">
        <v>0</v>
      </c>
      <c r="BH13" s="713">
        <v>0</v>
      </c>
      <c r="BI13" s="712">
        <v>0</v>
      </c>
      <c r="BJ13" s="713">
        <v>0</v>
      </c>
      <c r="BK13" s="712">
        <f t="shared" si="9"/>
        <v>6.6666666666666666E-2</v>
      </c>
      <c r="BL13" s="713">
        <v>0</v>
      </c>
      <c r="BM13" s="712">
        <v>0</v>
      </c>
      <c r="BN13" s="713">
        <v>0</v>
      </c>
      <c r="BO13" s="712">
        <f t="shared" si="10"/>
        <v>6.6666666666666666E-2</v>
      </c>
      <c r="BP13" s="713">
        <v>0</v>
      </c>
      <c r="BQ13" s="712">
        <v>0</v>
      </c>
      <c r="BR13" s="713">
        <v>0</v>
      </c>
      <c r="BS13" s="712">
        <f t="shared" si="11"/>
        <v>0.05</v>
      </c>
      <c r="BT13" s="713">
        <v>0</v>
      </c>
      <c r="BU13" s="712">
        <f t="shared" si="12"/>
        <v>6.6666666666666666E-2</v>
      </c>
      <c r="BV13" s="711">
        <v>0</v>
      </c>
      <c r="BW13" s="714">
        <v>0</v>
      </c>
      <c r="BX13" s="711">
        <v>0</v>
      </c>
      <c r="BY13" s="714">
        <v>0</v>
      </c>
      <c r="BZ13" s="711">
        <v>0</v>
      </c>
      <c r="CA13" s="714">
        <v>0</v>
      </c>
      <c r="CB13" s="711">
        <v>0</v>
      </c>
      <c r="CC13" s="714">
        <v>0</v>
      </c>
      <c r="CD13" s="711">
        <v>0</v>
      </c>
      <c r="CE13" s="714">
        <v>0</v>
      </c>
      <c r="CF13" s="711">
        <v>0</v>
      </c>
      <c r="CG13" s="714">
        <v>0</v>
      </c>
      <c r="CH13" s="711">
        <v>0</v>
      </c>
      <c r="CI13" s="714">
        <v>0</v>
      </c>
      <c r="CJ13" s="711">
        <v>0</v>
      </c>
      <c r="CK13" s="712">
        <v>0</v>
      </c>
      <c r="CL13" s="711">
        <v>0</v>
      </c>
      <c r="CM13" s="712">
        <v>0</v>
      </c>
      <c r="CN13" s="713">
        <v>0</v>
      </c>
      <c r="CO13" s="712">
        <v>0</v>
      </c>
    </row>
    <row r="14" spans="1:93">
      <c r="A14" s="468">
        <v>12</v>
      </c>
      <c r="B14" s="596">
        <v>0</v>
      </c>
      <c r="C14" s="596">
        <v>0</v>
      </c>
      <c r="D14" s="596">
        <v>0</v>
      </c>
      <c r="E14" s="596">
        <v>0</v>
      </c>
      <c r="F14" s="596">
        <f t="shared" si="0"/>
        <v>1.2500000000000001E-2</v>
      </c>
      <c r="G14" s="596">
        <v>0</v>
      </c>
      <c r="H14" s="596">
        <v>0</v>
      </c>
      <c r="I14" s="596">
        <v>0</v>
      </c>
      <c r="J14" s="596">
        <v>0</v>
      </c>
      <c r="K14" s="596">
        <v>0</v>
      </c>
      <c r="L14" s="596">
        <v>0</v>
      </c>
      <c r="M14" s="596">
        <v>0</v>
      </c>
      <c r="N14" s="596">
        <v>0</v>
      </c>
      <c r="O14" s="596">
        <v>0</v>
      </c>
      <c r="P14" s="596">
        <v>0</v>
      </c>
      <c r="Q14" s="596">
        <v>0</v>
      </c>
      <c r="R14" s="596">
        <v>0</v>
      </c>
      <c r="S14" s="596">
        <v>0</v>
      </c>
      <c r="T14" s="596">
        <v>0</v>
      </c>
      <c r="U14" s="596">
        <v>0</v>
      </c>
      <c r="V14" s="596">
        <v>0</v>
      </c>
      <c r="W14" s="611">
        <v>0</v>
      </c>
      <c r="X14" s="704">
        <v>0</v>
      </c>
      <c r="Y14" s="705">
        <v>0</v>
      </c>
      <c r="Z14" s="706">
        <v>0</v>
      </c>
      <c r="AA14" s="707">
        <v>0</v>
      </c>
      <c r="AB14" s="706">
        <v>0</v>
      </c>
      <c r="AC14" s="704">
        <v>0</v>
      </c>
      <c r="AD14" s="706">
        <v>0</v>
      </c>
      <c r="AE14" s="708">
        <v>0</v>
      </c>
      <c r="AF14" s="704">
        <v>0</v>
      </c>
      <c r="AG14" s="704">
        <v>0</v>
      </c>
      <c r="AH14" s="708">
        <v>0.08</v>
      </c>
      <c r="AI14" s="709">
        <v>0.01</v>
      </c>
      <c r="AJ14" s="706">
        <f t="shared" si="15"/>
        <v>7.1428571428571426E-3</v>
      </c>
      <c r="AK14" s="704">
        <v>2.8000000000000001E-2</v>
      </c>
      <c r="AL14" s="706">
        <f t="shared" si="1"/>
        <v>1.2500000000000001E-2</v>
      </c>
      <c r="AM14" s="710">
        <v>1.6E-2</v>
      </c>
      <c r="AN14" s="704">
        <v>0</v>
      </c>
      <c r="AO14" s="706">
        <v>0</v>
      </c>
      <c r="AP14" s="711">
        <v>0</v>
      </c>
      <c r="AQ14" s="712">
        <v>0</v>
      </c>
      <c r="AR14" s="711">
        <v>0</v>
      </c>
      <c r="AS14" s="712">
        <v>0</v>
      </c>
      <c r="AT14" s="711">
        <v>0</v>
      </c>
      <c r="AU14" s="712">
        <v>0</v>
      </c>
      <c r="AV14" s="713">
        <v>0</v>
      </c>
      <c r="AW14" s="714">
        <v>0</v>
      </c>
      <c r="AX14" s="711">
        <v>0</v>
      </c>
      <c r="AY14" s="712">
        <f t="shared" si="5"/>
        <v>6.25E-2</v>
      </c>
      <c r="AZ14" s="713">
        <v>0</v>
      </c>
      <c r="BA14" s="712">
        <v>0</v>
      </c>
      <c r="BB14" s="713">
        <v>0</v>
      </c>
      <c r="BC14" s="712">
        <v>0</v>
      </c>
      <c r="BD14" s="713">
        <v>0</v>
      </c>
      <c r="BE14" s="712">
        <v>0</v>
      </c>
      <c r="BF14" s="713">
        <v>0</v>
      </c>
      <c r="BG14" s="712">
        <v>0</v>
      </c>
      <c r="BH14" s="713">
        <v>0</v>
      </c>
      <c r="BI14" s="712">
        <v>0</v>
      </c>
      <c r="BJ14" s="713">
        <v>0</v>
      </c>
      <c r="BK14" s="712">
        <f t="shared" si="9"/>
        <v>6.6666666666666666E-2</v>
      </c>
      <c r="BL14" s="713">
        <v>0</v>
      </c>
      <c r="BM14" s="712">
        <v>0</v>
      </c>
      <c r="BN14" s="713">
        <v>0</v>
      </c>
      <c r="BO14" s="712">
        <f t="shared" si="10"/>
        <v>6.6666666666666666E-2</v>
      </c>
      <c r="BP14" s="713">
        <v>0</v>
      </c>
      <c r="BQ14" s="712">
        <v>0</v>
      </c>
      <c r="BR14" s="713">
        <v>0</v>
      </c>
      <c r="BS14" s="712">
        <f t="shared" si="11"/>
        <v>0.05</v>
      </c>
      <c r="BT14" s="713">
        <v>0</v>
      </c>
      <c r="BU14" s="712">
        <f t="shared" si="12"/>
        <v>6.6666666666666666E-2</v>
      </c>
      <c r="BV14" s="711">
        <v>0</v>
      </c>
      <c r="BW14" s="714">
        <v>0</v>
      </c>
      <c r="BX14" s="711">
        <v>0</v>
      </c>
      <c r="BY14" s="714">
        <v>0</v>
      </c>
      <c r="BZ14" s="711">
        <v>0</v>
      </c>
      <c r="CA14" s="714">
        <v>0</v>
      </c>
      <c r="CB14" s="711">
        <v>0</v>
      </c>
      <c r="CC14" s="714">
        <v>0</v>
      </c>
      <c r="CD14" s="711">
        <v>0</v>
      </c>
      <c r="CE14" s="714">
        <v>0</v>
      </c>
      <c r="CF14" s="711">
        <v>0</v>
      </c>
      <c r="CG14" s="714">
        <v>0</v>
      </c>
      <c r="CH14" s="711">
        <v>0</v>
      </c>
      <c r="CI14" s="714">
        <v>0</v>
      </c>
      <c r="CJ14" s="711">
        <v>0</v>
      </c>
      <c r="CK14" s="712">
        <v>0</v>
      </c>
      <c r="CL14" s="711">
        <v>0</v>
      </c>
      <c r="CM14" s="712">
        <v>0</v>
      </c>
      <c r="CN14" s="713">
        <v>0</v>
      </c>
      <c r="CO14" s="712">
        <v>0</v>
      </c>
    </row>
    <row r="15" spans="1:93">
      <c r="A15" s="468">
        <v>13</v>
      </c>
      <c r="B15" s="596">
        <v>0</v>
      </c>
      <c r="C15" s="596">
        <v>0</v>
      </c>
      <c r="D15" s="596">
        <v>0</v>
      </c>
      <c r="E15" s="596">
        <v>0</v>
      </c>
      <c r="F15" s="596">
        <f t="shared" si="0"/>
        <v>1.2500000000000001E-2</v>
      </c>
      <c r="G15" s="596">
        <v>0</v>
      </c>
      <c r="H15" s="596">
        <v>0</v>
      </c>
      <c r="I15" s="596">
        <v>0</v>
      </c>
      <c r="J15" s="596">
        <v>0</v>
      </c>
      <c r="K15" s="596">
        <v>0</v>
      </c>
      <c r="L15" s="596">
        <v>0</v>
      </c>
      <c r="M15" s="596">
        <v>0</v>
      </c>
      <c r="N15" s="596">
        <v>0</v>
      </c>
      <c r="O15" s="596">
        <v>0</v>
      </c>
      <c r="P15" s="596">
        <v>0</v>
      </c>
      <c r="Q15" s="596">
        <v>0</v>
      </c>
      <c r="R15" s="596">
        <v>0</v>
      </c>
      <c r="S15" s="596">
        <v>0</v>
      </c>
      <c r="T15" s="596">
        <v>0</v>
      </c>
      <c r="U15" s="596">
        <v>0</v>
      </c>
      <c r="V15" s="596">
        <v>0</v>
      </c>
      <c r="W15" s="611">
        <v>0</v>
      </c>
      <c r="X15" s="704">
        <v>0</v>
      </c>
      <c r="Y15" s="705">
        <v>0</v>
      </c>
      <c r="Z15" s="706">
        <v>0</v>
      </c>
      <c r="AA15" s="707">
        <v>0</v>
      </c>
      <c r="AB15" s="706">
        <v>0</v>
      </c>
      <c r="AC15" s="704">
        <v>0</v>
      </c>
      <c r="AD15" s="706">
        <v>0</v>
      </c>
      <c r="AE15" s="708">
        <v>0</v>
      </c>
      <c r="AF15" s="704">
        <v>0</v>
      </c>
      <c r="AG15" s="704">
        <v>0</v>
      </c>
      <c r="AH15" s="708">
        <v>0.08</v>
      </c>
      <c r="AI15" s="709">
        <v>0.01</v>
      </c>
      <c r="AJ15" s="706">
        <f t="shared" si="15"/>
        <v>7.1428571428571426E-3</v>
      </c>
      <c r="AK15" s="704">
        <v>2.8000000000000001E-2</v>
      </c>
      <c r="AL15" s="706">
        <f t="shared" si="1"/>
        <v>1.2500000000000001E-2</v>
      </c>
      <c r="AM15" s="710">
        <v>1.6E-2</v>
      </c>
      <c r="AN15" s="704">
        <v>0</v>
      </c>
      <c r="AO15" s="706">
        <v>0</v>
      </c>
      <c r="AP15" s="711">
        <v>0</v>
      </c>
      <c r="AQ15" s="712">
        <v>0</v>
      </c>
      <c r="AR15" s="711">
        <v>0</v>
      </c>
      <c r="AS15" s="712">
        <v>0</v>
      </c>
      <c r="AT15" s="711">
        <v>0</v>
      </c>
      <c r="AU15" s="712">
        <v>0</v>
      </c>
      <c r="AV15" s="713">
        <v>0</v>
      </c>
      <c r="AW15" s="714">
        <v>0</v>
      </c>
      <c r="AX15" s="711">
        <v>0</v>
      </c>
      <c r="AY15" s="712">
        <f t="shared" si="5"/>
        <v>6.25E-2</v>
      </c>
      <c r="AZ15" s="713">
        <v>0</v>
      </c>
      <c r="BA15" s="712">
        <v>0</v>
      </c>
      <c r="BB15" s="713">
        <v>0</v>
      </c>
      <c r="BC15" s="712">
        <v>0</v>
      </c>
      <c r="BD15" s="713">
        <v>0</v>
      </c>
      <c r="BE15" s="712">
        <v>0</v>
      </c>
      <c r="BF15" s="713">
        <v>0</v>
      </c>
      <c r="BG15" s="712">
        <v>0</v>
      </c>
      <c r="BH15" s="713">
        <v>0</v>
      </c>
      <c r="BI15" s="712">
        <v>0</v>
      </c>
      <c r="BJ15" s="713">
        <v>0</v>
      </c>
      <c r="BK15" s="712">
        <f t="shared" si="9"/>
        <v>6.6666666666666666E-2</v>
      </c>
      <c r="BL15" s="713">
        <v>0</v>
      </c>
      <c r="BM15" s="712">
        <v>0</v>
      </c>
      <c r="BN15" s="713">
        <v>0</v>
      </c>
      <c r="BO15" s="712">
        <f t="shared" si="10"/>
        <v>6.6666666666666666E-2</v>
      </c>
      <c r="BP15" s="713">
        <v>0</v>
      </c>
      <c r="BQ15" s="712">
        <v>0</v>
      </c>
      <c r="BR15" s="713">
        <v>0</v>
      </c>
      <c r="BS15" s="712">
        <f t="shared" si="11"/>
        <v>0.05</v>
      </c>
      <c r="BT15" s="713">
        <v>0</v>
      </c>
      <c r="BU15" s="712">
        <f t="shared" si="12"/>
        <v>6.6666666666666666E-2</v>
      </c>
      <c r="BV15" s="711">
        <v>0</v>
      </c>
      <c r="BW15" s="714">
        <v>0</v>
      </c>
      <c r="BX15" s="711">
        <v>0</v>
      </c>
      <c r="BY15" s="714">
        <v>0</v>
      </c>
      <c r="BZ15" s="711">
        <v>0</v>
      </c>
      <c r="CA15" s="714">
        <v>0</v>
      </c>
      <c r="CB15" s="711">
        <v>0</v>
      </c>
      <c r="CC15" s="714">
        <v>0</v>
      </c>
      <c r="CD15" s="711">
        <v>0</v>
      </c>
      <c r="CE15" s="714">
        <v>0</v>
      </c>
      <c r="CF15" s="711">
        <v>0</v>
      </c>
      <c r="CG15" s="714">
        <v>0</v>
      </c>
      <c r="CH15" s="711">
        <v>0</v>
      </c>
      <c r="CI15" s="714">
        <v>0</v>
      </c>
      <c r="CJ15" s="711">
        <v>0</v>
      </c>
      <c r="CK15" s="712">
        <v>0</v>
      </c>
      <c r="CL15" s="711">
        <v>0</v>
      </c>
      <c r="CM15" s="712">
        <v>0</v>
      </c>
      <c r="CN15" s="713">
        <v>0</v>
      </c>
      <c r="CO15" s="712">
        <v>0</v>
      </c>
    </row>
    <row r="16" spans="1:93">
      <c r="A16" s="468">
        <v>14</v>
      </c>
      <c r="B16" s="596">
        <v>0</v>
      </c>
      <c r="C16" s="596">
        <v>0</v>
      </c>
      <c r="D16" s="596">
        <v>0</v>
      </c>
      <c r="E16" s="596">
        <v>0</v>
      </c>
      <c r="F16" s="596">
        <f t="shared" si="0"/>
        <v>1.2500000000000001E-2</v>
      </c>
      <c r="G16" s="596">
        <v>0</v>
      </c>
      <c r="H16" s="596">
        <v>0</v>
      </c>
      <c r="I16" s="596">
        <v>0</v>
      </c>
      <c r="J16" s="596">
        <v>0</v>
      </c>
      <c r="K16" s="596">
        <v>0</v>
      </c>
      <c r="L16" s="596">
        <v>0</v>
      </c>
      <c r="M16" s="596">
        <v>0</v>
      </c>
      <c r="N16" s="596">
        <v>0</v>
      </c>
      <c r="O16" s="596">
        <v>0</v>
      </c>
      <c r="P16" s="596">
        <v>0</v>
      </c>
      <c r="Q16" s="596">
        <v>0</v>
      </c>
      <c r="R16" s="596">
        <v>0</v>
      </c>
      <c r="S16" s="596">
        <v>0</v>
      </c>
      <c r="T16" s="596">
        <v>0</v>
      </c>
      <c r="U16" s="596">
        <v>0</v>
      </c>
      <c r="V16" s="596">
        <v>0</v>
      </c>
      <c r="W16" s="611">
        <v>0</v>
      </c>
      <c r="X16" s="704">
        <v>0</v>
      </c>
      <c r="Y16" s="705">
        <v>0</v>
      </c>
      <c r="Z16" s="706">
        <v>0</v>
      </c>
      <c r="AA16" s="707">
        <v>0</v>
      </c>
      <c r="AB16" s="706">
        <v>0</v>
      </c>
      <c r="AC16" s="704">
        <v>0</v>
      </c>
      <c r="AD16" s="706">
        <v>0</v>
      </c>
      <c r="AE16" s="708">
        <v>0</v>
      </c>
      <c r="AF16" s="704">
        <v>0</v>
      </c>
      <c r="AG16" s="704">
        <v>0</v>
      </c>
      <c r="AH16" s="708">
        <v>0.08</v>
      </c>
      <c r="AI16" s="709">
        <v>0.01</v>
      </c>
      <c r="AJ16" s="706">
        <f t="shared" si="15"/>
        <v>7.1428571428571426E-3</v>
      </c>
      <c r="AK16" s="704">
        <v>2.8000000000000001E-2</v>
      </c>
      <c r="AL16" s="706">
        <f t="shared" si="1"/>
        <v>1.2500000000000001E-2</v>
      </c>
      <c r="AM16" s="710">
        <v>1.6E-2</v>
      </c>
      <c r="AN16" s="704">
        <v>0</v>
      </c>
      <c r="AO16" s="706">
        <v>0</v>
      </c>
      <c r="AP16" s="711">
        <v>0</v>
      </c>
      <c r="AQ16" s="712">
        <v>0</v>
      </c>
      <c r="AR16" s="711">
        <v>0</v>
      </c>
      <c r="AS16" s="712">
        <v>0</v>
      </c>
      <c r="AT16" s="711">
        <v>0</v>
      </c>
      <c r="AU16" s="712">
        <v>0</v>
      </c>
      <c r="AV16" s="713">
        <v>0</v>
      </c>
      <c r="AW16" s="714">
        <v>0</v>
      </c>
      <c r="AX16" s="711">
        <v>0</v>
      </c>
      <c r="AY16" s="712">
        <f t="shared" si="5"/>
        <v>6.25E-2</v>
      </c>
      <c r="AZ16" s="713">
        <v>0</v>
      </c>
      <c r="BA16" s="712">
        <v>0</v>
      </c>
      <c r="BB16" s="713">
        <v>0</v>
      </c>
      <c r="BC16" s="712">
        <v>0</v>
      </c>
      <c r="BD16" s="713">
        <v>0</v>
      </c>
      <c r="BE16" s="712">
        <v>0</v>
      </c>
      <c r="BF16" s="713">
        <v>0</v>
      </c>
      <c r="BG16" s="712">
        <v>0</v>
      </c>
      <c r="BH16" s="713">
        <v>0</v>
      </c>
      <c r="BI16" s="712">
        <v>0</v>
      </c>
      <c r="BJ16" s="713">
        <v>1</v>
      </c>
      <c r="BK16" s="712">
        <f t="shared" si="9"/>
        <v>6.6666666666666666E-2</v>
      </c>
      <c r="BL16" s="713">
        <v>0</v>
      </c>
      <c r="BM16" s="712">
        <v>0</v>
      </c>
      <c r="BN16" s="713">
        <v>1</v>
      </c>
      <c r="BO16" s="712">
        <f t="shared" si="10"/>
        <v>6.6666666666666666E-2</v>
      </c>
      <c r="BP16" s="713">
        <v>0</v>
      </c>
      <c r="BQ16" s="712">
        <v>0</v>
      </c>
      <c r="BR16" s="713">
        <v>0</v>
      </c>
      <c r="BS16" s="712">
        <f t="shared" si="11"/>
        <v>0.05</v>
      </c>
      <c r="BT16" s="713">
        <v>1</v>
      </c>
      <c r="BU16" s="712">
        <f t="shared" si="12"/>
        <v>6.6666666666666666E-2</v>
      </c>
      <c r="BV16" s="711">
        <v>0</v>
      </c>
      <c r="BW16" s="714">
        <v>0</v>
      </c>
      <c r="BX16" s="711">
        <v>0</v>
      </c>
      <c r="BY16" s="714">
        <v>0</v>
      </c>
      <c r="BZ16" s="711">
        <v>0</v>
      </c>
      <c r="CA16" s="714">
        <v>0</v>
      </c>
      <c r="CB16" s="711">
        <v>0</v>
      </c>
      <c r="CC16" s="714">
        <v>0</v>
      </c>
      <c r="CD16" s="711">
        <v>0</v>
      </c>
      <c r="CE16" s="714">
        <v>0</v>
      </c>
      <c r="CF16" s="711">
        <v>0</v>
      </c>
      <c r="CG16" s="714">
        <v>0</v>
      </c>
      <c r="CH16" s="711">
        <v>0</v>
      </c>
      <c r="CI16" s="714">
        <v>0</v>
      </c>
      <c r="CJ16" s="711">
        <v>0</v>
      </c>
      <c r="CK16" s="712">
        <v>0</v>
      </c>
      <c r="CL16" s="711">
        <v>0</v>
      </c>
      <c r="CM16" s="712">
        <v>0</v>
      </c>
      <c r="CN16" s="713">
        <v>0</v>
      </c>
      <c r="CO16" s="712">
        <v>0</v>
      </c>
    </row>
    <row r="17" spans="1:93">
      <c r="A17" s="468">
        <v>15</v>
      </c>
      <c r="B17" s="596">
        <v>0</v>
      </c>
      <c r="C17" s="596">
        <v>0</v>
      </c>
      <c r="D17" s="596">
        <v>0</v>
      </c>
      <c r="E17" s="596">
        <v>0</v>
      </c>
      <c r="F17" s="596">
        <f t="shared" si="0"/>
        <v>1.2500000000000001E-2</v>
      </c>
      <c r="G17" s="596">
        <v>0</v>
      </c>
      <c r="H17" s="596">
        <v>0</v>
      </c>
      <c r="I17" s="596">
        <v>0</v>
      </c>
      <c r="J17" s="596">
        <v>0</v>
      </c>
      <c r="K17" s="596">
        <v>0</v>
      </c>
      <c r="L17" s="596">
        <v>0</v>
      </c>
      <c r="M17" s="596">
        <v>0</v>
      </c>
      <c r="N17" s="596">
        <v>0</v>
      </c>
      <c r="O17" s="596">
        <v>0</v>
      </c>
      <c r="P17" s="596">
        <v>0</v>
      </c>
      <c r="Q17" s="596">
        <v>0</v>
      </c>
      <c r="R17" s="596">
        <v>0</v>
      </c>
      <c r="S17" s="596">
        <v>0</v>
      </c>
      <c r="T17" s="596">
        <v>0</v>
      </c>
      <c r="U17" s="596">
        <v>0</v>
      </c>
      <c r="V17" s="596">
        <v>0</v>
      </c>
      <c r="W17" s="612">
        <v>0</v>
      </c>
      <c r="X17" s="704">
        <v>0</v>
      </c>
      <c r="Y17" s="705">
        <v>0</v>
      </c>
      <c r="Z17" s="706">
        <v>0</v>
      </c>
      <c r="AA17" s="707">
        <v>0</v>
      </c>
      <c r="AB17" s="706">
        <v>0</v>
      </c>
      <c r="AC17" s="704">
        <v>0</v>
      </c>
      <c r="AD17" s="706">
        <v>0</v>
      </c>
      <c r="AE17" s="708">
        <v>0</v>
      </c>
      <c r="AF17" s="704">
        <v>0</v>
      </c>
      <c r="AG17" s="704">
        <v>0</v>
      </c>
      <c r="AH17" s="708">
        <v>0.01</v>
      </c>
      <c r="AI17" s="709">
        <v>0.01</v>
      </c>
      <c r="AJ17" s="706">
        <f t="shared" si="15"/>
        <v>7.1428571428571426E-3</v>
      </c>
      <c r="AK17" s="704">
        <v>2.8000000000000001E-2</v>
      </c>
      <c r="AL17" s="706">
        <f t="shared" si="1"/>
        <v>1.2500000000000001E-2</v>
      </c>
      <c r="AM17" s="710">
        <v>6.0000000000000001E-3</v>
      </c>
      <c r="AN17" s="704">
        <v>0</v>
      </c>
      <c r="AO17" s="706">
        <v>0</v>
      </c>
      <c r="AP17" s="711">
        <v>0</v>
      </c>
      <c r="AQ17" s="712">
        <v>0</v>
      </c>
      <c r="AR17" s="711">
        <v>0</v>
      </c>
      <c r="AS17" s="712">
        <v>0</v>
      </c>
      <c r="AT17" s="711">
        <v>0</v>
      </c>
      <c r="AU17" s="712">
        <v>0</v>
      </c>
      <c r="AV17" s="713">
        <v>0</v>
      </c>
      <c r="AW17" s="714">
        <v>0</v>
      </c>
      <c r="AX17" s="711">
        <v>1</v>
      </c>
      <c r="AY17" s="712">
        <f t="shared" si="5"/>
        <v>6.25E-2</v>
      </c>
      <c r="AZ17" s="713">
        <v>0</v>
      </c>
      <c r="BA17" s="712">
        <v>0</v>
      </c>
      <c r="BB17" s="713">
        <v>0</v>
      </c>
      <c r="BC17" s="712">
        <v>0</v>
      </c>
      <c r="BD17" s="713">
        <v>0</v>
      </c>
      <c r="BE17" s="712">
        <v>0</v>
      </c>
      <c r="BF17" s="713">
        <v>0</v>
      </c>
      <c r="BG17" s="712">
        <v>0</v>
      </c>
      <c r="BH17" s="713">
        <v>0</v>
      </c>
      <c r="BI17" s="712">
        <v>0</v>
      </c>
      <c r="BJ17" s="713">
        <v>0</v>
      </c>
      <c r="BK17" s="712">
        <v>0</v>
      </c>
      <c r="BL17" s="713">
        <v>0</v>
      </c>
      <c r="BM17" s="712">
        <v>0</v>
      </c>
      <c r="BN17" s="713">
        <v>0</v>
      </c>
      <c r="BO17" s="712">
        <v>0</v>
      </c>
      <c r="BP17" s="713">
        <v>0</v>
      </c>
      <c r="BQ17" s="712">
        <v>0</v>
      </c>
      <c r="BR17" s="713">
        <v>0</v>
      </c>
      <c r="BS17" s="712">
        <f t="shared" si="11"/>
        <v>0.05</v>
      </c>
      <c r="BT17" s="713">
        <v>0</v>
      </c>
      <c r="BU17" s="712">
        <v>0</v>
      </c>
      <c r="BV17" s="711">
        <v>0</v>
      </c>
      <c r="BW17" s="714">
        <v>0</v>
      </c>
      <c r="BX17" s="711">
        <v>0</v>
      </c>
      <c r="BY17" s="714">
        <v>0</v>
      </c>
      <c r="BZ17" s="711">
        <v>0</v>
      </c>
      <c r="CA17" s="714">
        <v>0</v>
      </c>
      <c r="CB17" s="711">
        <v>0</v>
      </c>
      <c r="CC17" s="714">
        <v>0</v>
      </c>
      <c r="CD17" s="711">
        <v>0</v>
      </c>
      <c r="CE17" s="714">
        <v>0</v>
      </c>
      <c r="CF17" s="711">
        <v>0</v>
      </c>
      <c r="CG17" s="714">
        <v>0</v>
      </c>
      <c r="CH17" s="711">
        <v>0</v>
      </c>
      <c r="CI17" s="714">
        <v>0</v>
      </c>
      <c r="CJ17" s="711">
        <v>0</v>
      </c>
      <c r="CK17" s="712">
        <v>0</v>
      </c>
      <c r="CL17" s="711">
        <v>0</v>
      </c>
      <c r="CM17" s="712">
        <v>0</v>
      </c>
      <c r="CN17" s="713">
        <v>0</v>
      </c>
      <c r="CO17" s="712">
        <v>0</v>
      </c>
    </row>
    <row r="18" spans="1:93">
      <c r="A18" s="468">
        <v>16</v>
      </c>
      <c r="B18" s="596">
        <v>0</v>
      </c>
      <c r="C18" s="596">
        <v>0</v>
      </c>
      <c r="D18" s="596">
        <v>0</v>
      </c>
      <c r="E18" s="596">
        <v>0</v>
      </c>
      <c r="F18" s="596">
        <f t="shared" si="0"/>
        <v>1.2500000000000001E-2</v>
      </c>
      <c r="G18" s="596">
        <v>0</v>
      </c>
      <c r="H18" s="596">
        <v>0</v>
      </c>
      <c r="I18" s="596">
        <v>0</v>
      </c>
      <c r="J18" s="596">
        <v>0</v>
      </c>
      <c r="K18" s="596">
        <v>0</v>
      </c>
      <c r="L18" s="596">
        <v>0</v>
      </c>
      <c r="M18" s="596">
        <v>0</v>
      </c>
      <c r="N18" s="596">
        <v>0</v>
      </c>
      <c r="O18" s="596">
        <v>0</v>
      </c>
      <c r="P18" s="596">
        <v>0</v>
      </c>
      <c r="Q18" s="596">
        <v>0</v>
      </c>
      <c r="R18" s="596">
        <v>0</v>
      </c>
      <c r="S18" s="596">
        <v>0</v>
      </c>
      <c r="T18" s="596">
        <v>0</v>
      </c>
      <c r="U18" s="596">
        <v>0</v>
      </c>
      <c r="V18" s="596">
        <v>0</v>
      </c>
      <c r="W18" s="612">
        <v>0</v>
      </c>
      <c r="X18" s="704">
        <v>0</v>
      </c>
      <c r="Y18" s="705">
        <v>0</v>
      </c>
      <c r="Z18" s="706">
        <v>0</v>
      </c>
      <c r="AA18" s="707">
        <v>0</v>
      </c>
      <c r="AB18" s="706">
        <v>0</v>
      </c>
      <c r="AC18" s="704">
        <v>0</v>
      </c>
      <c r="AD18" s="706">
        <v>0</v>
      </c>
      <c r="AE18" s="708">
        <v>0</v>
      </c>
      <c r="AF18" s="704">
        <v>0</v>
      </c>
      <c r="AG18" s="704">
        <v>0</v>
      </c>
      <c r="AH18" s="708">
        <v>0.01</v>
      </c>
      <c r="AI18" s="709">
        <v>0.01</v>
      </c>
      <c r="AJ18" s="706">
        <f t="shared" si="15"/>
        <v>7.1428571428571426E-3</v>
      </c>
      <c r="AK18" s="704">
        <v>2.8000000000000001E-2</v>
      </c>
      <c r="AL18" s="706">
        <f t="shared" si="1"/>
        <v>1.2500000000000001E-2</v>
      </c>
      <c r="AM18" s="710">
        <v>6.0000000000000001E-3</v>
      </c>
      <c r="AN18" s="704">
        <v>0</v>
      </c>
      <c r="AO18" s="706">
        <v>0</v>
      </c>
      <c r="AP18" s="711">
        <v>0</v>
      </c>
      <c r="AQ18" s="712">
        <v>0</v>
      </c>
      <c r="AR18" s="711">
        <v>0</v>
      </c>
      <c r="AS18" s="712">
        <v>0</v>
      </c>
      <c r="AT18" s="711">
        <v>0</v>
      </c>
      <c r="AU18" s="712">
        <v>0</v>
      </c>
      <c r="AV18" s="713">
        <v>0</v>
      </c>
      <c r="AW18" s="714">
        <v>0</v>
      </c>
      <c r="AX18" s="711">
        <v>0</v>
      </c>
      <c r="AY18" s="712">
        <v>0</v>
      </c>
      <c r="AZ18" s="713">
        <v>0</v>
      </c>
      <c r="BA18" s="712">
        <v>0</v>
      </c>
      <c r="BB18" s="713">
        <v>0</v>
      </c>
      <c r="BC18" s="712">
        <v>0</v>
      </c>
      <c r="BD18" s="713">
        <v>0</v>
      </c>
      <c r="BE18" s="712">
        <v>0</v>
      </c>
      <c r="BF18" s="713">
        <v>0</v>
      </c>
      <c r="BG18" s="712">
        <v>0</v>
      </c>
      <c r="BH18" s="713">
        <v>0</v>
      </c>
      <c r="BI18" s="712">
        <v>0</v>
      </c>
      <c r="BJ18" s="713">
        <v>0</v>
      </c>
      <c r="BK18" s="712">
        <v>0</v>
      </c>
      <c r="BL18" s="713">
        <v>0</v>
      </c>
      <c r="BM18" s="712">
        <v>0</v>
      </c>
      <c r="BN18" s="713">
        <v>0</v>
      </c>
      <c r="BO18" s="712">
        <v>0</v>
      </c>
      <c r="BP18" s="713">
        <v>0</v>
      </c>
      <c r="BQ18" s="712">
        <v>0</v>
      </c>
      <c r="BR18" s="713">
        <v>0</v>
      </c>
      <c r="BS18" s="712">
        <f t="shared" si="11"/>
        <v>0.05</v>
      </c>
      <c r="BT18" s="713">
        <v>0</v>
      </c>
      <c r="BU18" s="712">
        <v>0</v>
      </c>
      <c r="BV18" s="711">
        <v>0</v>
      </c>
      <c r="BW18" s="714">
        <v>0</v>
      </c>
      <c r="BX18" s="711">
        <v>0</v>
      </c>
      <c r="BY18" s="714">
        <v>0</v>
      </c>
      <c r="BZ18" s="711">
        <v>0</v>
      </c>
      <c r="CA18" s="714">
        <v>0</v>
      </c>
      <c r="CB18" s="711">
        <v>0</v>
      </c>
      <c r="CC18" s="714">
        <v>0</v>
      </c>
      <c r="CD18" s="711">
        <v>0</v>
      </c>
      <c r="CE18" s="714">
        <v>0</v>
      </c>
      <c r="CF18" s="711">
        <v>0</v>
      </c>
      <c r="CG18" s="714">
        <v>0</v>
      </c>
      <c r="CH18" s="711">
        <v>0</v>
      </c>
      <c r="CI18" s="714">
        <v>0</v>
      </c>
      <c r="CJ18" s="711">
        <v>0</v>
      </c>
      <c r="CK18" s="712">
        <v>0</v>
      </c>
      <c r="CL18" s="711">
        <v>0</v>
      </c>
      <c r="CM18" s="712">
        <v>0</v>
      </c>
      <c r="CN18" s="713">
        <v>0</v>
      </c>
      <c r="CO18" s="712">
        <v>0</v>
      </c>
    </row>
    <row r="19" spans="1:93">
      <c r="A19" s="468">
        <v>17</v>
      </c>
      <c r="B19" s="596">
        <v>0</v>
      </c>
      <c r="C19" s="596">
        <v>0</v>
      </c>
      <c r="D19" s="596">
        <v>0</v>
      </c>
      <c r="E19" s="596">
        <v>0</v>
      </c>
      <c r="F19" s="596">
        <f t="shared" si="0"/>
        <v>1.2500000000000001E-2</v>
      </c>
      <c r="G19" s="596">
        <v>0</v>
      </c>
      <c r="H19" s="596">
        <v>0</v>
      </c>
      <c r="I19" s="596">
        <v>0</v>
      </c>
      <c r="J19" s="596">
        <v>0</v>
      </c>
      <c r="K19" s="596">
        <v>0</v>
      </c>
      <c r="L19" s="596">
        <v>0</v>
      </c>
      <c r="M19" s="596">
        <v>0</v>
      </c>
      <c r="N19" s="596">
        <v>0</v>
      </c>
      <c r="O19" s="596">
        <v>0</v>
      </c>
      <c r="P19" s="596">
        <v>0</v>
      </c>
      <c r="Q19" s="596">
        <v>0</v>
      </c>
      <c r="R19" s="596">
        <v>0</v>
      </c>
      <c r="S19" s="596">
        <v>0</v>
      </c>
      <c r="T19" s="596">
        <v>0</v>
      </c>
      <c r="U19" s="596">
        <v>0</v>
      </c>
      <c r="V19" s="596">
        <v>0</v>
      </c>
      <c r="W19" s="612">
        <v>0</v>
      </c>
      <c r="X19" s="704">
        <v>0</v>
      </c>
      <c r="Y19" s="705">
        <v>0</v>
      </c>
      <c r="Z19" s="706">
        <v>0</v>
      </c>
      <c r="AA19" s="707">
        <v>0</v>
      </c>
      <c r="AB19" s="706">
        <v>0</v>
      </c>
      <c r="AC19" s="704">
        <v>0</v>
      </c>
      <c r="AD19" s="706">
        <v>0</v>
      </c>
      <c r="AE19" s="708">
        <v>0</v>
      </c>
      <c r="AF19" s="704">
        <v>0</v>
      </c>
      <c r="AG19" s="704">
        <v>0</v>
      </c>
      <c r="AH19" s="708">
        <v>0.01</v>
      </c>
      <c r="AI19" s="709">
        <v>0.01</v>
      </c>
      <c r="AJ19" s="706">
        <f t="shared" si="15"/>
        <v>7.1428571428571426E-3</v>
      </c>
      <c r="AK19" s="704">
        <v>2.8000000000000001E-2</v>
      </c>
      <c r="AL19" s="706">
        <f t="shared" si="1"/>
        <v>1.2500000000000001E-2</v>
      </c>
      <c r="AM19" s="710">
        <v>6.0000000000000001E-3</v>
      </c>
      <c r="AN19" s="704">
        <v>0</v>
      </c>
      <c r="AO19" s="706">
        <v>0</v>
      </c>
      <c r="AP19" s="711">
        <v>0</v>
      </c>
      <c r="AQ19" s="712">
        <v>0</v>
      </c>
      <c r="AR19" s="711">
        <v>0</v>
      </c>
      <c r="AS19" s="712">
        <v>0</v>
      </c>
      <c r="AT19" s="711">
        <v>0</v>
      </c>
      <c r="AU19" s="712">
        <v>0</v>
      </c>
      <c r="AV19" s="713">
        <v>0</v>
      </c>
      <c r="AW19" s="714">
        <v>0</v>
      </c>
      <c r="AX19" s="711">
        <v>0</v>
      </c>
      <c r="AY19" s="712">
        <v>0</v>
      </c>
      <c r="AZ19" s="713">
        <v>0</v>
      </c>
      <c r="BA19" s="712">
        <v>0</v>
      </c>
      <c r="BB19" s="713">
        <v>0</v>
      </c>
      <c r="BC19" s="712">
        <v>0</v>
      </c>
      <c r="BD19" s="713">
        <v>0</v>
      </c>
      <c r="BE19" s="712">
        <v>0</v>
      </c>
      <c r="BF19" s="713">
        <v>0</v>
      </c>
      <c r="BG19" s="712">
        <v>0</v>
      </c>
      <c r="BH19" s="713">
        <v>0</v>
      </c>
      <c r="BI19" s="712">
        <v>0</v>
      </c>
      <c r="BJ19" s="713">
        <v>0</v>
      </c>
      <c r="BK19" s="712">
        <v>0</v>
      </c>
      <c r="BL19" s="713">
        <v>0</v>
      </c>
      <c r="BM19" s="712">
        <v>0</v>
      </c>
      <c r="BN19" s="713">
        <v>0</v>
      </c>
      <c r="BO19" s="712">
        <v>0</v>
      </c>
      <c r="BP19" s="713">
        <v>0</v>
      </c>
      <c r="BQ19" s="712">
        <v>0</v>
      </c>
      <c r="BR19" s="713">
        <v>0</v>
      </c>
      <c r="BS19" s="712">
        <f t="shared" si="11"/>
        <v>0.05</v>
      </c>
      <c r="BT19" s="713">
        <v>0</v>
      </c>
      <c r="BU19" s="712">
        <v>0</v>
      </c>
      <c r="BV19" s="711">
        <v>0</v>
      </c>
      <c r="BW19" s="714">
        <v>0</v>
      </c>
      <c r="BX19" s="711">
        <v>0</v>
      </c>
      <c r="BY19" s="714">
        <v>0</v>
      </c>
      <c r="BZ19" s="711">
        <v>0</v>
      </c>
      <c r="CA19" s="714">
        <v>0</v>
      </c>
      <c r="CB19" s="711">
        <v>0</v>
      </c>
      <c r="CC19" s="714">
        <v>0</v>
      </c>
      <c r="CD19" s="711">
        <v>0</v>
      </c>
      <c r="CE19" s="714">
        <v>0</v>
      </c>
      <c r="CF19" s="711">
        <v>0</v>
      </c>
      <c r="CG19" s="714">
        <v>0</v>
      </c>
      <c r="CH19" s="711">
        <v>0</v>
      </c>
      <c r="CI19" s="714">
        <v>0</v>
      </c>
      <c r="CJ19" s="711">
        <v>0</v>
      </c>
      <c r="CK19" s="712">
        <v>0</v>
      </c>
      <c r="CL19" s="711">
        <v>0</v>
      </c>
      <c r="CM19" s="712">
        <v>0</v>
      </c>
      <c r="CN19" s="713">
        <v>0</v>
      </c>
      <c r="CO19" s="712">
        <v>0</v>
      </c>
    </row>
    <row r="20" spans="1:93">
      <c r="A20" s="468">
        <v>18</v>
      </c>
      <c r="B20" s="596">
        <v>0</v>
      </c>
      <c r="C20" s="596">
        <v>0</v>
      </c>
      <c r="D20" s="596">
        <v>0</v>
      </c>
      <c r="E20" s="596">
        <v>0</v>
      </c>
      <c r="F20" s="596">
        <f t="shared" si="0"/>
        <v>1.2500000000000001E-2</v>
      </c>
      <c r="G20" s="596">
        <v>0</v>
      </c>
      <c r="H20" s="596">
        <v>0</v>
      </c>
      <c r="I20" s="596">
        <v>0</v>
      </c>
      <c r="J20" s="596">
        <v>0</v>
      </c>
      <c r="K20" s="596">
        <v>0</v>
      </c>
      <c r="L20" s="596">
        <v>0</v>
      </c>
      <c r="M20" s="596">
        <v>0</v>
      </c>
      <c r="N20" s="596">
        <v>0</v>
      </c>
      <c r="O20" s="596">
        <v>0</v>
      </c>
      <c r="P20" s="596">
        <v>0</v>
      </c>
      <c r="Q20" s="596">
        <v>0</v>
      </c>
      <c r="R20" s="596">
        <v>0</v>
      </c>
      <c r="S20" s="596">
        <v>0</v>
      </c>
      <c r="T20" s="596">
        <v>0</v>
      </c>
      <c r="U20" s="596">
        <v>0</v>
      </c>
      <c r="V20" s="596">
        <v>0</v>
      </c>
      <c r="W20" s="612">
        <v>0</v>
      </c>
      <c r="X20" s="704">
        <v>0</v>
      </c>
      <c r="Y20" s="705">
        <v>0</v>
      </c>
      <c r="Z20" s="706">
        <v>0</v>
      </c>
      <c r="AA20" s="707">
        <v>0</v>
      </c>
      <c r="AB20" s="706">
        <v>0</v>
      </c>
      <c r="AC20" s="704">
        <v>0</v>
      </c>
      <c r="AD20" s="706">
        <v>0</v>
      </c>
      <c r="AE20" s="708">
        <v>0</v>
      </c>
      <c r="AF20" s="704">
        <v>0</v>
      </c>
      <c r="AG20" s="704">
        <v>0</v>
      </c>
      <c r="AH20" s="708">
        <v>0.01</v>
      </c>
      <c r="AI20" s="709">
        <v>0.01</v>
      </c>
      <c r="AJ20" s="706">
        <f t="shared" si="15"/>
        <v>7.1428571428571426E-3</v>
      </c>
      <c r="AK20" s="704">
        <v>2.8000000000000001E-2</v>
      </c>
      <c r="AL20" s="706">
        <f t="shared" si="1"/>
        <v>1.2500000000000001E-2</v>
      </c>
      <c r="AM20" s="710">
        <v>6.0000000000000001E-3</v>
      </c>
      <c r="AN20" s="704">
        <v>0</v>
      </c>
      <c r="AO20" s="706">
        <v>0</v>
      </c>
      <c r="AP20" s="711">
        <v>0</v>
      </c>
      <c r="AQ20" s="712">
        <v>0</v>
      </c>
      <c r="AR20" s="711">
        <v>0</v>
      </c>
      <c r="AS20" s="712">
        <v>0</v>
      </c>
      <c r="AT20" s="711">
        <v>0</v>
      </c>
      <c r="AU20" s="712">
        <v>0</v>
      </c>
      <c r="AV20" s="713">
        <v>0</v>
      </c>
      <c r="AW20" s="714">
        <v>0</v>
      </c>
      <c r="AX20" s="711">
        <v>0</v>
      </c>
      <c r="AY20" s="712">
        <v>0</v>
      </c>
      <c r="AZ20" s="713">
        <v>0</v>
      </c>
      <c r="BA20" s="712">
        <v>0</v>
      </c>
      <c r="BB20" s="713">
        <v>0</v>
      </c>
      <c r="BC20" s="712">
        <v>0</v>
      </c>
      <c r="BD20" s="713">
        <v>0</v>
      </c>
      <c r="BE20" s="712">
        <v>0</v>
      </c>
      <c r="BF20" s="713">
        <v>0</v>
      </c>
      <c r="BG20" s="712">
        <v>0</v>
      </c>
      <c r="BH20" s="713">
        <v>0</v>
      </c>
      <c r="BI20" s="712">
        <v>0</v>
      </c>
      <c r="BJ20" s="713">
        <v>0</v>
      </c>
      <c r="BK20" s="712">
        <v>0</v>
      </c>
      <c r="BL20" s="713">
        <v>0</v>
      </c>
      <c r="BM20" s="712">
        <v>0</v>
      </c>
      <c r="BN20" s="713">
        <v>0</v>
      </c>
      <c r="BO20" s="712">
        <v>0</v>
      </c>
      <c r="BP20" s="713">
        <v>0</v>
      </c>
      <c r="BQ20" s="712">
        <v>0</v>
      </c>
      <c r="BR20" s="713">
        <v>0</v>
      </c>
      <c r="BS20" s="712">
        <f t="shared" si="11"/>
        <v>0.05</v>
      </c>
      <c r="BT20" s="713">
        <v>0</v>
      </c>
      <c r="BU20" s="712">
        <v>0</v>
      </c>
      <c r="BV20" s="711">
        <v>0</v>
      </c>
      <c r="BW20" s="714">
        <v>0</v>
      </c>
      <c r="BX20" s="711">
        <v>0</v>
      </c>
      <c r="BY20" s="714">
        <v>0</v>
      </c>
      <c r="BZ20" s="711">
        <v>0</v>
      </c>
      <c r="CA20" s="714">
        <v>0</v>
      </c>
      <c r="CB20" s="711">
        <v>0</v>
      </c>
      <c r="CC20" s="714">
        <v>0</v>
      </c>
      <c r="CD20" s="711">
        <v>0</v>
      </c>
      <c r="CE20" s="714">
        <v>0</v>
      </c>
      <c r="CF20" s="711">
        <v>0</v>
      </c>
      <c r="CG20" s="714">
        <v>0</v>
      </c>
      <c r="CH20" s="711">
        <v>0</v>
      </c>
      <c r="CI20" s="714">
        <v>0</v>
      </c>
      <c r="CJ20" s="711">
        <v>0</v>
      </c>
      <c r="CK20" s="712">
        <v>0</v>
      </c>
      <c r="CL20" s="711">
        <v>0</v>
      </c>
      <c r="CM20" s="712">
        <v>0</v>
      </c>
      <c r="CN20" s="713">
        <v>0</v>
      </c>
      <c r="CO20" s="712">
        <v>0</v>
      </c>
    </row>
    <row r="21" spans="1:93">
      <c r="A21" s="468">
        <v>19</v>
      </c>
      <c r="B21" s="596">
        <v>0</v>
      </c>
      <c r="C21" s="596">
        <v>0</v>
      </c>
      <c r="D21" s="596">
        <v>0</v>
      </c>
      <c r="E21" s="596">
        <v>0</v>
      </c>
      <c r="F21" s="596">
        <f t="shared" si="0"/>
        <v>1.2500000000000001E-2</v>
      </c>
      <c r="G21" s="596">
        <v>0</v>
      </c>
      <c r="H21" s="596">
        <v>0</v>
      </c>
      <c r="I21" s="596">
        <v>0</v>
      </c>
      <c r="J21" s="596">
        <v>0</v>
      </c>
      <c r="K21" s="596">
        <v>0</v>
      </c>
      <c r="L21" s="596">
        <v>0</v>
      </c>
      <c r="M21" s="596">
        <v>0</v>
      </c>
      <c r="N21" s="596">
        <v>0</v>
      </c>
      <c r="O21" s="596">
        <v>0</v>
      </c>
      <c r="P21" s="596">
        <v>0</v>
      </c>
      <c r="Q21" s="596">
        <v>0</v>
      </c>
      <c r="R21" s="596">
        <v>0</v>
      </c>
      <c r="S21" s="596">
        <v>0</v>
      </c>
      <c r="T21" s="596">
        <v>0</v>
      </c>
      <c r="U21" s="596">
        <v>0</v>
      </c>
      <c r="V21" s="596">
        <v>0</v>
      </c>
      <c r="W21" s="612">
        <v>0</v>
      </c>
      <c r="X21" s="704">
        <v>0</v>
      </c>
      <c r="Y21" s="705">
        <v>0</v>
      </c>
      <c r="Z21" s="706">
        <v>0</v>
      </c>
      <c r="AA21" s="707">
        <v>0</v>
      </c>
      <c r="AB21" s="706">
        <v>0</v>
      </c>
      <c r="AC21" s="704">
        <v>0</v>
      </c>
      <c r="AD21" s="706">
        <v>0</v>
      </c>
      <c r="AE21" s="708">
        <v>0</v>
      </c>
      <c r="AF21" s="704">
        <v>0</v>
      </c>
      <c r="AG21" s="704">
        <v>0</v>
      </c>
      <c r="AH21" s="708">
        <v>0.01</v>
      </c>
      <c r="AI21" s="709">
        <v>0.01</v>
      </c>
      <c r="AJ21" s="706">
        <f t="shared" si="15"/>
        <v>7.1428571428571426E-3</v>
      </c>
      <c r="AK21" s="704">
        <v>2.8000000000000001E-2</v>
      </c>
      <c r="AL21" s="706">
        <f t="shared" si="1"/>
        <v>1.2500000000000001E-2</v>
      </c>
      <c r="AM21" s="710">
        <v>6.0000000000000001E-3</v>
      </c>
      <c r="AN21" s="704">
        <v>0</v>
      </c>
      <c r="AO21" s="706">
        <v>0</v>
      </c>
      <c r="AP21" s="711">
        <v>0</v>
      </c>
      <c r="AQ21" s="712">
        <v>0</v>
      </c>
      <c r="AR21" s="711">
        <v>0</v>
      </c>
      <c r="AS21" s="712">
        <v>0</v>
      </c>
      <c r="AT21" s="711">
        <v>0</v>
      </c>
      <c r="AU21" s="712">
        <v>0</v>
      </c>
      <c r="AV21" s="713">
        <v>0</v>
      </c>
      <c r="AW21" s="714">
        <v>0</v>
      </c>
      <c r="AX21" s="711">
        <v>0</v>
      </c>
      <c r="AY21" s="712">
        <v>0</v>
      </c>
      <c r="AZ21" s="713">
        <v>0</v>
      </c>
      <c r="BA21" s="712">
        <v>0</v>
      </c>
      <c r="BB21" s="713">
        <v>0</v>
      </c>
      <c r="BC21" s="712">
        <v>0</v>
      </c>
      <c r="BD21" s="713">
        <v>0</v>
      </c>
      <c r="BE21" s="712">
        <v>0</v>
      </c>
      <c r="BF21" s="713">
        <v>0</v>
      </c>
      <c r="BG21" s="712">
        <v>0</v>
      </c>
      <c r="BH21" s="713">
        <v>0</v>
      </c>
      <c r="BI21" s="712">
        <v>0</v>
      </c>
      <c r="BJ21" s="713">
        <v>0</v>
      </c>
      <c r="BK21" s="712">
        <v>0</v>
      </c>
      <c r="BL21" s="713">
        <v>0</v>
      </c>
      <c r="BM21" s="712">
        <v>0</v>
      </c>
      <c r="BN21" s="713">
        <v>0</v>
      </c>
      <c r="BO21" s="712">
        <v>0</v>
      </c>
      <c r="BP21" s="713">
        <v>0</v>
      </c>
      <c r="BQ21" s="712">
        <v>0</v>
      </c>
      <c r="BR21" s="713">
        <v>1</v>
      </c>
      <c r="BS21" s="712">
        <f t="shared" si="11"/>
        <v>0.05</v>
      </c>
      <c r="BT21" s="713">
        <v>0</v>
      </c>
      <c r="BU21" s="712">
        <v>0</v>
      </c>
      <c r="BV21" s="711">
        <v>0</v>
      </c>
      <c r="BW21" s="714">
        <v>0</v>
      </c>
      <c r="BX21" s="711">
        <v>0</v>
      </c>
      <c r="BY21" s="714">
        <v>0</v>
      </c>
      <c r="BZ21" s="711">
        <v>0</v>
      </c>
      <c r="CA21" s="714">
        <v>0</v>
      </c>
      <c r="CB21" s="711">
        <v>0</v>
      </c>
      <c r="CC21" s="714">
        <v>0</v>
      </c>
      <c r="CD21" s="711">
        <v>0</v>
      </c>
      <c r="CE21" s="714">
        <v>0</v>
      </c>
      <c r="CF21" s="711">
        <v>0</v>
      </c>
      <c r="CG21" s="714">
        <v>0</v>
      </c>
      <c r="CH21" s="711">
        <v>0</v>
      </c>
      <c r="CI21" s="714">
        <v>0</v>
      </c>
      <c r="CJ21" s="711">
        <v>0</v>
      </c>
      <c r="CK21" s="712">
        <v>0</v>
      </c>
      <c r="CL21" s="711">
        <v>0</v>
      </c>
      <c r="CM21" s="712">
        <v>0</v>
      </c>
      <c r="CN21" s="713">
        <v>0</v>
      </c>
      <c r="CO21" s="712">
        <v>0</v>
      </c>
    </row>
    <row r="22" spans="1:93">
      <c r="A22" s="468">
        <v>20</v>
      </c>
      <c r="B22" s="596">
        <v>0</v>
      </c>
      <c r="C22" s="596">
        <v>0</v>
      </c>
      <c r="D22" s="596">
        <v>0</v>
      </c>
      <c r="E22" s="596">
        <v>0</v>
      </c>
      <c r="F22" s="596">
        <f t="shared" si="0"/>
        <v>1.2500000000000001E-2</v>
      </c>
      <c r="G22" s="596">
        <v>0.01</v>
      </c>
      <c r="H22" s="596">
        <v>0</v>
      </c>
      <c r="I22" s="596">
        <v>0</v>
      </c>
      <c r="J22" s="596">
        <v>0</v>
      </c>
      <c r="K22" s="596">
        <v>0</v>
      </c>
      <c r="L22" s="596">
        <v>0</v>
      </c>
      <c r="M22" s="596">
        <v>0</v>
      </c>
      <c r="N22" s="596">
        <v>0</v>
      </c>
      <c r="O22" s="596">
        <v>0</v>
      </c>
      <c r="P22" s="596">
        <v>0</v>
      </c>
      <c r="Q22" s="596">
        <v>0</v>
      </c>
      <c r="R22" s="596">
        <v>0</v>
      </c>
      <c r="S22" s="596">
        <v>0</v>
      </c>
      <c r="T22" s="596">
        <v>0.01</v>
      </c>
      <c r="U22" s="596">
        <v>0</v>
      </c>
      <c r="V22" s="596">
        <v>0</v>
      </c>
      <c r="W22" s="612">
        <v>0</v>
      </c>
      <c r="X22" s="704">
        <v>0</v>
      </c>
      <c r="Y22" s="705">
        <v>0</v>
      </c>
      <c r="Z22" s="706">
        <v>0</v>
      </c>
      <c r="AA22" s="707">
        <v>0</v>
      </c>
      <c r="AB22" s="706">
        <v>0</v>
      </c>
      <c r="AC22" s="704">
        <v>0</v>
      </c>
      <c r="AD22" s="706">
        <v>0</v>
      </c>
      <c r="AE22" s="708">
        <v>0</v>
      </c>
      <c r="AF22" s="704">
        <v>0</v>
      </c>
      <c r="AG22" s="704">
        <v>0</v>
      </c>
      <c r="AH22" s="708">
        <v>0</v>
      </c>
      <c r="AI22" s="709">
        <v>0.01</v>
      </c>
      <c r="AJ22" s="706">
        <f t="shared" si="15"/>
        <v>7.1428571428571426E-3</v>
      </c>
      <c r="AK22" s="704">
        <v>1.6250000000000001E-2</v>
      </c>
      <c r="AL22" s="706">
        <f t="shared" si="1"/>
        <v>1.2500000000000001E-2</v>
      </c>
      <c r="AM22" s="710">
        <v>5.0000000000000001E-3</v>
      </c>
      <c r="AN22" s="704">
        <v>0</v>
      </c>
      <c r="AO22" s="706">
        <v>0</v>
      </c>
      <c r="AP22" s="711">
        <v>0</v>
      </c>
      <c r="AQ22" s="712">
        <v>0</v>
      </c>
      <c r="AR22" s="711">
        <v>0</v>
      </c>
      <c r="AS22" s="712">
        <v>0</v>
      </c>
      <c r="AT22" s="711">
        <v>0</v>
      </c>
      <c r="AU22" s="712">
        <v>0</v>
      </c>
      <c r="AV22" s="713">
        <v>0</v>
      </c>
      <c r="AW22" s="714">
        <v>0</v>
      </c>
      <c r="AX22" s="711">
        <v>0</v>
      </c>
      <c r="AY22" s="712">
        <v>0</v>
      </c>
      <c r="AZ22" s="713">
        <v>0</v>
      </c>
      <c r="BA22" s="712">
        <v>0</v>
      </c>
      <c r="BB22" s="713">
        <v>0</v>
      </c>
      <c r="BC22" s="712">
        <v>0</v>
      </c>
      <c r="BD22" s="713">
        <v>0</v>
      </c>
      <c r="BE22" s="712">
        <v>0</v>
      </c>
      <c r="BF22" s="713">
        <v>0</v>
      </c>
      <c r="BG22" s="712">
        <v>0</v>
      </c>
      <c r="BH22" s="713">
        <v>0</v>
      </c>
      <c r="BI22" s="712">
        <v>0</v>
      </c>
      <c r="BJ22" s="713">
        <v>0</v>
      </c>
      <c r="BK22" s="712">
        <v>0</v>
      </c>
      <c r="BL22" s="713">
        <v>0</v>
      </c>
      <c r="BM22" s="712">
        <v>0</v>
      </c>
      <c r="BN22" s="713">
        <v>0</v>
      </c>
      <c r="BO22" s="712">
        <v>0</v>
      </c>
      <c r="BP22" s="713">
        <v>0</v>
      </c>
      <c r="BQ22" s="712">
        <v>0</v>
      </c>
      <c r="BR22" s="713">
        <v>0</v>
      </c>
      <c r="BS22" s="712">
        <v>0</v>
      </c>
      <c r="BT22" s="713">
        <v>0</v>
      </c>
      <c r="BU22" s="712">
        <v>0</v>
      </c>
      <c r="BV22" s="711">
        <v>0</v>
      </c>
      <c r="BW22" s="714">
        <v>0</v>
      </c>
      <c r="BX22" s="711">
        <v>0</v>
      </c>
      <c r="BY22" s="714">
        <v>0</v>
      </c>
      <c r="BZ22" s="711">
        <v>0</v>
      </c>
      <c r="CA22" s="714">
        <v>0</v>
      </c>
      <c r="CB22" s="711">
        <v>0</v>
      </c>
      <c r="CC22" s="714">
        <v>0</v>
      </c>
      <c r="CD22" s="711">
        <v>0</v>
      </c>
      <c r="CE22" s="714">
        <v>0</v>
      </c>
      <c r="CF22" s="711">
        <v>0</v>
      </c>
      <c r="CG22" s="714">
        <v>0</v>
      </c>
      <c r="CH22" s="711">
        <v>0</v>
      </c>
      <c r="CI22" s="714">
        <v>0</v>
      </c>
      <c r="CJ22" s="711">
        <v>0</v>
      </c>
      <c r="CK22" s="712">
        <v>0</v>
      </c>
      <c r="CL22" s="711">
        <v>0</v>
      </c>
      <c r="CM22" s="712">
        <v>0</v>
      </c>
      <c r="CN22" s="713">
        <v>0</v>
      </c>
      <c r="CO22" s="712">
        <v>0</v>
      </c>
    </row>
    <row r="23" spans="1:93">
      <c r="A23" s="468">
        <v>21</v>
      </c>
      <c r="B23" s="596">
        <v>0</v>
      </c>
      <c r="C23" s="596">
        <v>0</v>
      </c>
      <c r="D23" s="596">
        <v>0</v>
      </c>
      <c r="E23" s="596">
        <v>0</v>
      </c>
      <c r="F23" s="596">
        <f t="shared" si="0"/>
        <v>1.2500000000000001E-2</v>
      </c>
      <c r="G23" s="596">
        <v>0.01</v>
      </c>
      <c r="H23" s="596">
        <v>0</v>
      </c>
      <c r="I23" s="596">
        <v>0</v>
      </c>
      <c r="J23" s="596">
        <v>0</v>
      </c>
      <c r="K23" s="596">
        <v>0</v>
      </c>
      <c r="L23" s="596">
        <v>0</v>
      </c>
      <c r="M23" s="596">
        <v>0</v>
      </c>
      <c r="N23" s="596">
        <v>0</v>
      </c>
      <c r="O23" s="596">
        <v>0</v>
      </c>
      <c r="P23" s="596">
        <v>0</v>
      </c>
      <c r="Q23" s="596">
        <v>0</v>
      </c>
      <c r="R23" s="596">
        <v>0</v>
      </c>
      <c r="S23" s="596">
        <v>0</v>
      </c>
      <c r="T23" s="596">
        <v>0.01</v>
      </c>
      <c r="U23" s="596">
        <v>0</v>
      </c>
      <c r="V23" s="596">
        <v>0</v>
      </c>
      <c r="W23" s="612">
        <v>0</v>
      </c>
      <c r="X23" s="704">
        <v>0</v>
      </c>
      <c r="Y23" s="705">
        <v>0</v>
      </c>
      <c r="Z23" s="706">
        <v>0</v>
      </c>
      <c r="AA23" s="707">
        <v>0</v>
      </c>
      <c r="AB23" s="706">
        <v>0</v>
      </c>
      <c r="AC23" s="704">
        <v>0</v>
      </c>
      <c r="AD23" s="706">
        <v>0</v>
      </c>
      <c r="AE23" s="708">
        <v>0</v>
      </c>
      <c r="AF23" s="704">
        <v>0</v>
      </c>
      <c r="AG23" s="704">
        <v>0</v>
      </c>
      <c r="AH23" s="708">
        <v>0</v>
      </c>
      <c r="AI23" s="709">
        <v>0.01</v>
      </c>
      <c r="AJ23" s="706">
        <f t="shared" si="15"/>
        <v>7.1428571428571426E-3</v>
      </c>
      <c r="AK23" s="704">
        <v>1.6250000000000001E-2</v>
      </c>
      <c r="AL23" s="706">
        <f t="shared" si="1"/>
        <v>1.2500000000000001E-2</v>
      </c>
      <c r="AM23" s="710">
        <v>3.0000000000000001E-3</v>
      </c>
      <c r="AN23" s="704">
        <v>0</v>
      </c>
      <c r="AO23" s="706">
        <v>0</v>
      </c>
      <c r="AP23" s="711">
        <v>0</v>
      </c>
      <c r="AQ23" s="712">
        <v>0</v>
      </c>
      <c r="AR23" s="711">
        <v>0</v>
      </c>
      <c r="AS23" s="712">
        <v>0</v>
      </c>
      <c r="AT23" s="711">
        <v>0</v>
      </c>
      <c r="AU23" s="712">
        <v>0</v>
      </c>
      <c r="AV23" s="713">
        <v>0</v>
      </c>
      <c r="AW23" s="714">
        <v>0</v>
      </c>
      <c r="AX23" s="711">
        <v>0</v>
      </c>
      <c r="AY23" s="712">
        <v>0</v>
      </c>
      <c r="AZ23" s="713">
        <v>0</v>
      </c>
      <c r="BA23" s="712">
        <v>0</v>
      </c>
      <c r="BB23" s="713">
        <v>0</v>
      </c>
      <c r="BC23" s="712">
        <v>0</v>
      </c>
      <c r="BD23" s="713">
        <v>0</v>
      </c>
      <c r="BE23" s="712">
        <v>0</v>
      </c>
      <c r="BF23" s="713">
        <v>0</v>
      </c>
      <c r="BG23" s="712">
        <v>0</v>
      </c>
      <c r="BH23" s="713">
        <v>0</v>
      </c>
      <c r="BI23" s="712">
        <v>0</v>
      </c>
      <c r="BJ23" s="713">
        <v>0</v>
      </c>
      <c r="BK23" s="712">
        <v>0</v>
      </c>
      <c r="BL23" s="713">
        <v>0</v>
      </c>
      <c r="BM23" s="712">
        <v>0</v>
      </c>
      <c r="BN23" s="713">
        <v>0</v>
      </c>
      <c r="BO23" s="712">
        <v>0</v>
      </c>
      <c r="BP23" s="713">
        <v>0</v>
      </c>
      <c r="BQ23" s="712">
        <v>0</v>
      </c>
      <c r="BR23" s="713">
        <v>0</v>
      </c>
      <c r="BS23" s="712">
        <v>0</v>
      </c>
      <c r="BT23" s="713">
        <v>0</v>
      </c>
      <c r="BU23" s="712">
        <v>0</v>
      </c>
      <c r="BV23" s="711">
        <v>0</v>
      </c>
      <c r="BW23" s="714">
        <v>0</v>
      </c>
      <c r="BX23" s="711">
        <v>0</v>
      </c>
      <c r="BY23" s="714">
        <v>0</v>
      </c>
      <c r="BZ23" s="711">
        <v>0</v>
      </c>
      <c r="CA23" s="714">
        <v>0</v>
      </c>
      <c r="CB23" s="711">
        <v>0</v>
      </c>
      <c r="CC23" s="714">
        <v>0</v>
      </c>
      <c r="CD23" s="711">
        <v>0</v>
      </c>
      <c r="CE23" s="714">
        <v>0</v>
      </c>
      <c r="CF23" s="711">
        <v>0</v>
      </c>
      <c r="CG23" s="714">
        <v>0</v>
      </c>
      <c r="CH23" s="711">
        <v>0</v>
      </c>
      <c r="CI23" s="714">
        <v>0</v>
      </c>
      <c r="CJ23" s="711">
        <v>0</v>
      </c>
      <c r="CK23" s="712">
        <v>0</v>
      </c>
      <c r="CL23" s="711">
        <v>0</v>
      </c>
      <c r="CM23" s="712">
        <v>0</v>
      </c>
      <c r="CN23" s="713">
        <v>0</v>
      </c>
      <c r="CO23" s="712">
        <v>0</v>
      </c>
    </row>
    <row r="24" spans="1:93">
      <c r="A24" s="468">
        <v>22</v>
      </c>
      <c r="B24" s="596">
        <v>0</v>
      </c>
      <c r="C24" s="596">
        <v>0</v>
      </c>
      <c r="D24" s="596">
        <v>0</v>
      </c>
      <c r="E24" s="596">
        <v>0</v>
      </c>
      <c r="F24" s="596">
        <f t="shared" si="0"/>
        <v>1.2500000000000001E-2</v>
      </c>
      <c r="G24" s="596">
        <v>0.01</v>
      </c>
      <c r="H24" s="596">
        <v>0</v>
      </c>
      <c r="I24" s="596">
        <v>0</v>
      </c>
      <c r="J24" s="596">
        <v>0</v>
      </c>
      <c r="K24" s="596">
        <v>0</v>
      </c>
      <c r="L24" s="596">
        <v>0</v>
      </c>
      <c r="M24" s="596">
        <v>0</v>
      </c>
      <c r="N24" s="596">
        <v>0</v>
      </c>
      <c r="O24" s="596">
        <v>0</v>
      </c>
      <c r="P24" s="596">
        <v>0</v>
      </c>
      <c r="Q24" s="596">
        <v>0</v>
      </c>
      <c r="R24" s="596">
        <v>0</v>
      </c>
      <c r="S24" s="596">
        <v>0</v>
      </c>
      <c r="T24" s="596">
        <v>0.01</v>
      </c>
      <c r="U24" s="596">
        <v>0</v>
      </c>
      <c r="V24" s="596">
        <v>0</v>
      </c>
      <c r="W24" s="612">
        <v>0</v>
      </c>
      <c r="X24" s="704">
        <v>0</v>
      </c>
      <c r="Y24" s="705">
        <v>0</v>
      </c>
      <c r="Z24" s="706">
        <v>0</v>
      </c>
      <c r="AA24" s="707">
        <v>0</v>
      </c>
      <c r="AB24" s="706">
        <v>0</v>
      </c>
      <c r="AC24" s="704">
        <v>0</v>
      </c>
      <c r="AD24" s="706">
        <v>0</v>
      </c>
      <c r="AE24" s="708">
        <v>0</v>
      </c>
      <c r="AF24" s="704">
        <v>0</v>
      </c>
      <c r="AG24" s="704">
        <v>0</v>
      </c>
      <c r="AH24" s="708">
        <v>0</v>
      </c>
      <c r="AI24" s="709">
        <v>0.01</v>
      </c>
      <c r="AJ24" s="706">
        <f t="shared" si="15"/>
        <v>7.1428571428571426E-3</v>
      </c>
      <c r="AK24" s="704">
        <v>1.6250000000000001E-2</v>
      </c>
      <c r="AL24" s="706">
        <f t="shared" si="1"/>
        <v>1.2500000000000001E-2</v>
      </c>
      <c r="AM24" s="710">
        <v>3.0000000000000001E-3</v>
      </c>
      <c r="AN24" s="704">
        <v>0</v>
      </c>
      <c r="AO24" s="706">
        <v>0</v>
      </c>
      <c r="AP24" s="711">
        <v>0</v>
      </c>
      <c r="AQ24" s="712">
        <v>0</v>
      </c>
      <c r="AR24" s="711">
        <v>0</v>
      </c>
      <c r="AS24" s="712">
        <v>0</v>
      </c>
      <c r="AT24" s="711">
        <v>0</v>
      </c>
      <c r="AU24" s="712">
        <v>0</v>
      </c>
      <c r="AV24" s="713">
        <v>0</v>
      </c>
      <c r="AW24" s="714">
        <v>0</v>
      </c>
      <c r="AX24" s="711">
        <v>0</v>
      </c>
      <c r="AY24" s="712">
        <v>0</v>
      </c>
      <c r="AZ24" s="713">
        <v>0</v>
      </c>
      <c r="BA24" s="712">
        <v>0</v>
      </c>
      <c r="BB24" s="713">
        <v>0</v>
      </c>
      <c r="BC24" s="712">
        <v>0</v>
      </c>
      <c r="BD24" s="713">
        <v>0</v>
      </c>
      <c r="BE24" s="712">
        <v>0</v>
      </c>
      <c r="BF24" s="713">
        <v>0</v>
      </c>
      <c r="BG24" s="712">
        <v>0</v>
      </c>
      <c r="BH24" s="713">
        <v>0</v>
      </c>
      <c r="BI24" s="712">
        <v>0</v>
      </c>
      <c r="BJ24" s="713">
        <v>0</v>
      </c>
      <c r="BK24" s="712">
        <v>0</v>
      </c>
      <c r="BL24" s="713">
        <v>0</v>
      </c>
      <c r="BM24" s="712">
        <v>0</v>
      </c>
      <c r="BN24" s="713">
        <v>0</v>
      </c>
      <c r="BO24" s="712">
        <v>0</v>
      </c>
      <c r="BP24" s="713">
        <v>0</v>
      </c>
      <c r="BQ24" s="712">
        <v>0</v>
      </c>
      <c r="BR24" s="713">
        <v>0</v>
      </c>
      <c r="BS24" s="712">
        <v>0</v>
      </c>
      <c r="BT24" s="713">
        <v>0</v>
      </c>
      <c r="BU24" s="712">
        <v>0</v>
      </c>
      <c r="BV24" s="711">
        <v>0</v>
      </c>
      <c r="BW24" s="714">
        <v>0</v>
      </c>
      <c r="BX24" s="711">
        <v>0</v>
      </c>
      <c r="BY24" s="714">
        <v>0</v>
      </c>
      <c r="BZ24" s="711">
        <v>0</v>
      </c>
      <c r="CA24" s="714">
        <v>0</v>
      </c>
      <c r="CB24" s="711">
        <v>0</v>
      </c>
      <c r="CC24" s="714">
        <v>0</v>
      </c>
      <c r="CD24" s="711">
        <v>0</v>
      </c>
      <c r="CE24" s="714">
        <v>0</v>
      </c>
      <c r="CF24" s="711">
        <v>0</v>
      </c>
      <c r="CG24" s="714">
        <v>0</v>
      </c>
      <c r="CH24" s="711">
        <v>0</v>
      </c>
      <c r="CI24" s="714">
        <v>0</v>
      </c>
      <c r="CJ24" s="711">
        <v>0</v>
      </c>
      <c r="CK24" s="712">
        <v>0</v>
      </c>
      <c r="CL24" s="711">
        <v>0</v>
      </c>
      <c r="CM24" s="712">
        <v>0</v>
      </c>
      <c r="CN24" s="713">
        <v>0</v>
      </c>
      <c r="CO24" s="712">
        <v>0</v>
      </c>
    </row>
    <row r="25" spans="1:93">
      <c r="A25" s="468">
        <v>23</v>
      </c>
      <c r="B25" s="596">
        <v>0</v>
      </c>
      <c r="C25" s="596">
        <v>0</v>
      </c>
      <c r="D25" s="596">
        <v>0</v>
      </c>
      <c r="E25" s="596">
        <v>0</v>
      </c>
      <c r="F25" s="596">
        <f t="shared" si="0"/>
        <v>1.2500000000000001E-2</v>
      </c>
      <c r="G25" s="596">
        <v>0.01</v>
      </c>
      <c r="H25" s="596">
        <v>0</v>
      </c>
      <c r="I25" s="596">
        <v>0</v>
      </c>
      <c r="J25" s="596">
        <v>0</v>
      </c>
      <c r="K25" s="596">
        <v>0</v>
      </c>
      <c r="L25" s="596">
        <v>0</v>
      </c>
      <c r="M25" s="596">
        <v>0</v>
      </c>
      <c r="N25" s="596">
        <v>0</v>
      </c>
      <c r="O25" s="596">
        <v>0</v>
      </c>
      <c r="P25" s="596">
        <v>0</v>
      </c>
      <c r="Q25" s="596">
        <v>0</v>
      </c>
      <c r="R25" s="596">
        <v>0</v>
      </c>
      <c r="S25" s="596">
        <v>0</v>
      </c>
      <c r="T25" s="596">
        <v>0.01</v>
      </c>
      <c r="U25" s="596">
        <v>0</v>
      </c>
      <c r="V25" s="596">
        <v>0</v>
      </c>
      <c r="W25" s="612">
        <v>0</v>
      </c>
      <c r="X25" s="704">
        <v>0</v>
      </c>
      <c r="Y25" s="705">
        <v>0</v>
      </c>
      <c r="Z25" s="706">
        <v>0</v>
      </c>
      <c r="AA25" s="707">
        <v>0</v>
      </c>
      <c r="AB25" s="706">
        <v>0</v>
      </c>
      <c r="AC25" s="704">
        <v>0</v>
      </c>
      <c r="AD25" s="706">
        <v>0</v>
      </c>
      <c r="AE25" s="708">
        <v>0</v>
      </c>
      <c r="AF25" s="704">
        <v>0</v>
      </c>
      <c r="AG25" s="704">
        <v>0</v>
      </c>
      <c r="AH25" s="708">
        <v>0</v>
      </c>
      <c r="AI25" s="709">
        <v>0.01</v>
      </c>
      <c r="AJ25" s="706">
        <f t="shared" si="15"/>
        <v>7.1428571428571426E-3</v>
      </c>
      <c r="AK25" s="704">
        <v>1.6250000000000001E-2</v>
      </c>
      <c r="AL25" s="706">
        <f t="shared" si="1"/>
        <v>1.2500000000000001E-2</v>
      </c>
      <c r="AM25" s="710">
        <v>3.0000000000000001E-3</v>
      </c>
      <c r="AN25" s="704">
        <v>0</v>
      </c>
      <c r="AO25" s="706">
        <v>0</v>
      </c>
      <c r="AP25" s="711">
        <v>0</v>
      </c>
      <c r="AQ25" s="712">
        <v>0</v>
      </c>
      <c r="AR25" s="711">
        <v>0</v>
      </c>
      <c r="AS25" s="712">
        <v>0</v>
      </c>
      <c r="AT25" s="711">
        <v>0</v>
      </c>
      <c r="AU25" s="712">
        <v>0</v>
      </c>
      <c r="AV25" s="713">
        <v>0</v>
      </c>
      <c r="AW25" s="714">
        <v>0</v>
      </c>
      <c r="AX25" s="711">
        <v>0</v>
      </c>
      <c r="AY25" s="712">
        <v>0</v>
      </c>
      <c r="AZ25" s="713">
        <v>0</v>
      </c>
      <c r="BA25" s="712">
        <v>0</v>
      </c>
      <c r="BB25" s="713">
        <v>0</v>
      </c>
      <c r="BC25" s="712">
        <v>0</v>
      </c>
      <c r="BD25" s="713">
        <v>0</v>
      </c>
      <c r="BE25" s="712">
        <v>0</v>
      </c>
      <c r="BF25" s="713">
        <v>0</v>
      </c>
      <c r="BG25" s="712">
        <v>0</v>
      </c>
      <c r="BH25" s="713">
        <v>0</v>
      </c>
      <c r="BI25" s="712">
        <v>0</v>
      </c>
      <c r="BJ25" s="713">
        <v>0</v>
      </c>
      <c r="BK25" s="712">
        <v>0</v>
      </c>
      <c r="BL25" s="713">
        <v>0</v>
      </c>
      <c r="BM25" s="712">
        <v>0</v>
      </c>
      <c r="BN25" s="713">
        <v>0</v>
      </c>
      <c r="BO25" s="712">
        <v>0</v>
      </c>
      <c r="BP25" s="713">
        <v>0</v>
      </c>
      <c r="BQ25" s="712">
        <v>0</v>
      </c>
      <c r="BR25" s="713">
        <v>0</v>
      </c>
      <c r="BS25" s="712">
        <v>0</v>
      </c>
      <c r="BT25" s="713">
        <v>0</v>
      </c>
      <c r="BU25" s="712">
        <v>0</v>
      </c>
      <c r="BV25" s="711">
        <v>0</v>
      </c>
      <c r="BW25" s="714">
        <v>0</v>
      </c>
      <c r="BX25" s="711">
        <v>0</v>
      </c>
      <c r="BY25" s="714">
        <v>0</v>
      </c>
      <c r="BZ25" s="711">
        <v>0</v>
      </c>
      <c r="CA25" s="714">
        <v>0</v>
      </c>
      <c r="CB25" s="711">
        <v>0</v>
      </c>
      <c r="CC25" s="714">
        <v>0</v>
      </c>
      <c r="CD25" s="711">
        <v>0</v>
      </c>
      <c r="CE25" s="714">
        <v>0</v>
      </c>
      <c r="CF25" s="711">
        <v>0</v>
      </c>
      <c r="CG25" s="714">
        <v>0</v>
      </c>
      <c r="CH25" s="711">
        <v>0</v>
      </c>
      <c r="CI25" s="714">
        <v>0</v>
      </c>
      <c r="CJ25" s="711">
        <v>0</v>
      </c>
      <c r="CK25" s="712">
        <v>0</v>
      </c>
      <c r="CL25" s="711">
        <v>0</v>
      </c>
      <c r="CM25" s="712">
        <v>0</v>
      </c>
      <c r="CN25" s="713">
        <v>0</v>
      </c>
      <c r="CO25" s="712">
        <v>0</v>
      </c>
    </row>
    <row r="26" spans="1:93">
      <c r="A26" s="468">
        <v>24</v>
      </c>
      <c r="B26" s="596">
        <v>0</v>
      </c>
      <c r="C26" s="596">
        <v>0</v>
      </c>
      <c r="D26" s="596">
        <v>0</v>
      </c>
      <c r="E26" s="596">
        <v>0</v>
      </c>
      <c r="F26" s="596">
        <f t="shared" si="0"/>
        <v>1.2500000000000001E-2</v>
      </c>
      <c r="G26" s="596">
        <v>0.01</v>
      </c>
      <c r="H26" s="596">
        <v>0</v>
      </c>
      <c r="I26" s="596">
        <v>0</v>
      </c>
      <c r="J26" s="596">
        <v>0</v>
      </c>
      <c r="K26" s="596">
        <v>0</v>
      </c>
      <c r="L26" s="596">
        <v>0</v>
      </c>
      <c r="M26" s="596">
        <v>0</v>
      </c>
      <c r="N26" s="596">
        <v>0</v>
      </c>
      <c r="O26" s="596">
        <v>0</v>
      </c>
      <c r="P26" s="596">
        <v>0</v>
      </c>
      <c r="Q26" s="596">
        <v>0</v>
      </c>
      <c r="R26" s="596">
        <v>0</v>
      </c>
      <c r="S26" s="596">
        <v>0</v>
      </c>
      <c r="T26" s="596">
        <v>0.01</v>
      </c>
      <c r="U26" s="596">
        <v>0</v>
      </c>
      <c r="V26" s="596">
        <v>0</v>
      </c>
      <c r="W26" s="612">
        <v>0</v>
      </c>
      <c r="X26" s="704">
        <v>0</v>
      </c>
      <c r="Y26" s="705">
        <v>0</v>
      </c>
      <c r="Z26" s="706">
        <v>0</v>
      </c>
      <c r="AA26" s="707">
        <v>0</v>
      </c>
      <c r="AB26" s="706">
        <v>0</v>
      </c>
      <c r="AC26" s="704">
        <v>0</v>
      </c>
      <c r="AD26" s="706">
        <v>0</v>
      </c>
      <c r="AE26" s="708">
        <v>0</v>
      </c>
      <c r="AF26" s="704">
        <v>0</v>
      </c>
      <c r="AG26" s="704">
        <v>0</v>
      </c>
      <c r="AH26" s="708">
        <v>0</v>
      </c>
      <c r="AI26" s="709">
        <v>0.01</v>
      </c>
      <c r="AJ26" s="706">
        <f t="shared" si="15"/>
        <v>7.1428571428571426E-3</v>
      </c>
      <c r="AK26" s="704">
        <v>1.6250000000000001E-2</v>
      </c>
      <c r="AL26" s="706">
        <f t="shared" si="1"/>
        <v>1.2500000000000001E-2</v>
      </c>
      <c r="AM26" s="710">
        <v>3.0000000000000001E-3</v>
      </c>
      <c r="AN26" s="704">
        <v>0</v>
      </c>
      <c r="AO26" s="706">
        <v>0</v>
      </c>
      <c r="AP26" s="711">
        <v>0</v>
      </c>
      <c r="AQ26" s="712">
        <v>0</v>
      </c>
      <c r="AR26" s="711">
        <v>0</v>
      </c>
      <c r="AS26" s="712">
        <v>0</v>
      </c>
      <c r="AT26" s="711">
        <v>0</v>
      </c>
      <c r="AU26" s="712">
        <v>0</v>
      </c>
      <c r="AV26" s="713">
        <v>0</v>
      </c>
      <c r="AW26" s="714">
        <v>0</v>
      </c>
      <c r="AX26" s="711">
        <v>0</v>
      </c>
      <c r="AY26" s="712">
        <v>0</v>
      </c>
      <c r="AZ26" s="713">
        <v>0</v>
      </c>
      <c r="BA26" s="712">
        <v>0</v>
      </c>
      <c r="BB26" s="713">
        <v>0</v>
      </c>
      <c r="BC26" s="712">
        <v>0</v>
      </c>
      <c r="BD26" s="713">
        <v>0</v>
      </c>
      <c r="BE26" s="712">
        <v>0</v>
      </c>
      <c r="BF26" s="713">
        <v>0</v>
      </c>
      <c r="BG26" s="712">
        <v>0</v>
      </c>
      <c r="BH26" s="713">
        <v>0</v>
      </c>
      <c r="BI26" s="712">
        <v>0</v>
      </c>
      <c r="BJ26" s="713">
        <v>0</v>
      </c>
      <c r="BK26" s="712">
        <v>0</v>
      </c>
      <c r="BL26" s="713">
        <v>0</v>
      </c>
      <c r="BM26" s="712">
        <v>0</v>
      </c>
      <c r="BN26" s="713">
        <v>0</v>
      </c>
      <c r="BO26" s="712">
        <v>0</v>
      </c>
      <c r="BP26" s="713">
        <v>0</v>
      </c>
      <c r="BQ26" s="712">
        <v>0</v>
      </c>
      <c r="BR26" s="713">
        <v>0</v>
      </c>
      <c r="BS26" s="712">
        <v>0</v>
      </c>
      <c r="BT26" s="713">
        <v>0</v>
      </c>
      <c r="BU26" s="712">
        <v>0</v>
      </c>
      <c r="BV26" s="711">
        <v>0</v>
      </c>
      <c r="BW26" s="714">
        <v>0</v>
      </c>
      <c r="BX26" s="711">
        <v>0</v>
      </c>
      <c r="BY26" s="714">
        <v>0</v>
      </c>
      <c r="BZ26" s="711">
        <v>0</v>
      </c>
      <c r="CA26" s="714">
        <v>0</v>
      </c>
      <c r="CB26" s="711">
        <v>0</v>
      </c>
      <c r="CC26" s="714">
        <v>0</v>
      </c>
      <c r="CD26" s="711">
        <v>0</v>
      </c>
      <c r="CE26" s="714">
        <v>0</v>
      </c>
      <c r="CF26" s="711">
        <v>0</v>
      </c>
      <c r="CG26" s="714">
        <v>0</v>
      </c>
      <c r="CH26" s="711">
        <v>0</v>
      </c>
      <c r="CI26" s="714">
        <v>0</v>
      </c>
      <c r="CJ26" s="711">
        <v>0</v>
      </c>
      <c r="CK26" s="712">
        <v>0</v>
      </c>
      <c r="CL26" s="711">
        <v>0</v>
      </c>
      <c r="CM26" s="712">
        <v>0</v>
      </c>
      <c r="CN26" s="713">
        <v>0</v>
      </c>
      <c r="CO26" s="712">
        <v>0</v>
      </c>
    </row>
    <row r="27" spans="1:93">
      <c r="A27" s="468">
        <v>25</v>
      </c>
      <c r="B27" s="596">
        <v>0</v>
      </c>
      <c r="C27" s="596">
        <v>0</v>
      </c>
      <c r="D27" s="596">
        <v>0</v>
      </c>
      <c r="E27" s="596">
        <v>0</v>
      </c>
      <c r="F27" s="596">
        <f t="shared" si="0"/>
        <v>1.2500000000000001E-2</v>
      </c>
      <c r="G27" s="596">
        <v>0.01</v>
      </c>
      <c r="H27" s="596">
        <v>0</v>
      </c>
      <c r="I27" s="596">
        <v>0</v>
      </c>
      <c r="J27" s="596">
        <v>0</v>
      </c>
      <c r="K27" s="596">
        <v>0</v>
      </c>
      <c r="L27" s="596">
        <v>0</v>
      </c>
      <c r="M27" s="596">
        <v>0</v>
      </c>
      <c r="N27" s="596">
        <v>0</v>
      </c>
      <c r="O27" s="596">
        <v>0</v>
      </c>
      <c r="P27" s="596">
        <v>0</v>
      </c>
      <c r="Q27" s="596">
        <v>0</v>
      </c>
      <c r="R27" s="596">
        <v>0</v>
      </c>
      <c r="S27" s="596">
        <v>0</v>
      </c>
      <c r="T27" s="596">
        <v>0.01</v>
      </c>
      <c r="U27" s="596">
        <v>0</v>
      </c>
      <c r="V27" s="596">
        <v>0</v>
      </c>
      <c r="W27" s="612">
        <v>0</v>
      </c>
      <c r="X27" s="704">
        <v>0</v>
      </c>
      <c r="Y27" s="705">
        <v>0</v>
      </c>
      <c r="Z27" s="706">
        <v>0</v>
      </c>
      <c r="AA27" s="707">
        <v>0</v>
      </c>
      <c r="AB27" s="706">
        <v>0</v>
      </c>
      <c r="AC27" s="704">
        <v>0</v>
      </c>
      <c r="AD27" s="706">
        <v>0</v>
      </c>
      <c r="AE27" s="708">
        <v>0</v>
      </c>
      <c r="AF27" s="704">
        <v>0</v>
      </c>
      <c r="AG27" s="704">
        <v>0</v>
      </c>
      <c r="AH27" s="708">
        <v>0</v>
      </c>
      <c r="AI27" s="709">
        <v>0</v>
      </c>
      <c r="AJ27" s="706">
        <f t="shared" si="15"/>
        <v>7.1428571428571426E-3</v>
      </c>
      <c r="AK27" s="704">
        <v>1.6250000000000001E-2</v>
      </c>
      <c r="AL27" s="706">
        <f t="shared" si="1"/>
        <v>1.2500000000000001E-2</v>
      </c>
      <c r="AM27" s="710">
        <v>2E-3</v>
      </c>
      <c r="AN27" s="704">
        <v>0</v>
      </c>
      <c r="AO27" s="706">
        <v>0</v>
      </c>
      <c r="AP27" s="711">
        <v>0</v>
      </c>
      <c r="AQ27" s="712">
        <v>0</v>
      </c>
      <c r="AR27" s="711">
        <v>0</v>
      </c>
      <c r="AS27" s="712">
        <v>0</v>
      </c>
      <c r="AT27" s="711">
        <v>0</v>
      </c>
      <c r="AU27" s="712">
        <v>0</v>
      </c>
      <c r="AV27" s="713">
        <v>0</v>
      </c>
      <c r="AW27" s="714">
        <v>0</v>
      </c>
      <c r="AX27" s="711">
        <v>0</v>
      </c>
      <c r="AY27" s="712">
        <v>0</v>
      </c>
      <c r="AZ27" s="713">
        <v>0</v>
      </c>
      <c r="BA27" s="712">
        <v>0</v>
      </c>
      <c r="BB27" s="713">
        <v>0</v>
      </c>
      <c r="BC27" s="712">
        <v>0</v>
      </c>
      <c r="BD27" s="713">
        <v>0</v>
      </c>
      <c r="BE27" s="712">
        <v>0</v>
      </c>
      <c r="BF27" s="713">
        <v>0</v>
      </c>
      <c r="BG27" s="712">
        <v>0</v>
      </c>
      <c r="BH27" s="713">
        <v>0</v>
      </c>
      <c r="BI27" s="712">
        <v>0</v>
      </c>
      <c r="BJ27" s="713">
        <v>0</v>
      </c>
      <c r="BK27" s="712">
        <v>0</v>
      </c>
      <c r="BL27" s="713">
        <v>0</v>
      </c>
      <c r="BM27" s="712">
        <v>0</v>
      </c>
      <c r="BN27" s="713">
        <v>0</v>
      </c>
      <c r="BO27" s="712">
        <v>0</v>
      </c>
      <c r="BP27" s="713">
        <v>0</v>
      </c>
      <c r="BQ27" s="712">
        <v>0</v>
      </c>
      <c r="BR27" s="713">
        <v>0</v>
      </c>
      <c r="BS27" s="712">
        <v>0</v>
      </c>
      <c r="BT27" s="713">
        <v>0</v>
      </c>
      <c r="BU27" s="712">
        <v>0</v>
      </c>
      <c r="BV27" s="711">
        <v>0</v>
      </c>
      <c r="BW27" s="714">
        <v>0</v>
      </c>
      <c r="BX27" s="711">
        <v>0</v>
      </c>
      <c r="BY27" s="714">
        <v>0</v>
      </c>
      <c r="BZ27" s="711">
        <v>0</v>
      </c>
      <c r="CA27" s="714">
        <v>0</v>
      </c>
      <c r="CB27" s="711">
        <v>0</v>
      </c>
      <c r="CC27" s="714">
        <v>0</v>
      </c>
      <c r="CD27" s="711">
        <v>0</v>
      </c>
      <c r="CE27" s="714">
        <v>0</v>
      </c>
      <c r="CF27" s="711">
        <v>0</v>
      </c>
      <c r="CG27" s="714">
        <v>0</v>
      </c>
      <c r="CH27" s="711">
        <v>0</v>
      </c>
      <c r="CI27" s="714">
        <v>0</v>
      </c>
      <c r="CJ27" s="711">
        <v>0</v>
      </c>
      <c r="CK27" s="712">
        <v>0</v>
      </c>
      <c r="CL27" s="711">
        <v>0</v>
      </c>
      <c r="CM27" s="712">
        <v>0</v>
      </c>
      <c r="CN27" s="713">
        <v>0</v>
      </c>
      <c r="CO27" s="712">
        <v>0</v>
      </c>
    </row>
    <row r="28" spans="1:93">
      <c r="A28" s="468">
        <v>26</v>
      </c>
      <c r="B28" s="596">
        <v>0</v>
      </c>
      <c r="C28" s="596">
        <v>0</v>
      </c>
      <c r="D28" s="596">
        <v>0</v>
      </c>
      <c r="E28" s="596">
        <v>0</v>
      </c>
      <c r="F28" s="596">
        <f t="shared" si="0"/>
        <v>1.2500000000000001E-2</v>
      </c>
      <c r="G28" s="596">
        <v>0.01</v>
      </c>
      <c r="H28" s="596">
        <v>0</v>
      </c>
      <c r="I28" s="596">
        <v>0</v>
      </c>
      <c r="J28" s="596">
        <v>0</v>
      </c>
      <c r="K28" s="596">
        <v>0</v>
      </c>
      <c r="L28" s="596">
        <v>0</v>
      </c>
      <c r="M28" s="596">
        <v>0</v>
      </c>
      <c r="N28" s="596">
        <v>0</v>
      </c>
      <c r="O28" s="596">
        <v>0</v>
      </c>
      <c r="P28" s="596">
        <v>0</v>
      </c>
      <c r="Q28" s="596">
        <v>0</v>
      </c>
      <c r="R28" s="596">
        <v>0</v>
      </c>
      <c r="S28" s="596">
        <v>0</v>
      </c>
      <c r="T28" s="596">
        <v>0.01</v>
      </c>
      <c r="U28" s="596">
        <v>0</v>
      </c>
      <c r="V28" s="596">
        <v>0</v>
      </c>
      <c r="W28" s="612">
        <v>0</v>
      </c>
      <c r="X28" s="704">
        <v>0</v>
      </c>
      <c r="Y28" s="705">
        <v>0</v>
      </c>
      <c r="Z28" s="706">
        <v>0</v>
      </c>
      <c r="AA28" s="707">
        <v>0</v>
      </c>
      <c r="AB28" s="706">
        <v>0</v>
      </c>
      <c r="AC28" s="704">
        <v>0</v>
      </c>
      <c r="AD28" s="706">
        <v>0</v>
      </c>
      <c r="AE28" s="708">
        <v>0</v>
      </c>
      <c r="AF28" s="704">
        <v>0</v>
      </c>
      <c r="AG28" s="704">
        <v>0</v>
      </c>
      <c r="AH28" s="708">
        <v>0</v>
      </c>
      <c r="AI28" s="709">
        <v>0</v>
      </c>
      <c r="AJ28" s="706">
        <f t="shared" si="15"/>
        <v>7.1428571428571426E-3</v>
      </c>
      <c r="AK28" s="704">
        <v>1.6250000000000001E-2</v>
      </c>
      <c r="AL28" s="706">
        <f t="shared" si="1"/>
        <v>1.2500000000000001E-2</v>
      </c>
      <c r="AM28" s="710">
        <v>2E-3</v>
      </c>
      <c r="AN28" s="704">
        <v>0</v>
      </c>
      <c r="AO28" s="706">
        <v>0</v>
      </c>
      <c r="AP28" s="711">
        <v>0</v>
      </c>
      <c r="AQ28" s="712">
        <v>0</v>
      </c>
      <c r="AR28" s="711">
        <v>0</v>
      </c>
      <c r="AS28" s="712">
        <v>0</v>
      </c>
      <c r="AT28" s="711">
        <v>0</v>
      </c>
      <c r="AU28" s="712">
        <v>0</v>
      </c>
      <c r="AV28" s="713">
        <v>0</v>
      </c>
      <c r="AW28" s="714">
        <v>0</v>
      </c>
      <c r="AX28" s="711">
        <v>0</v>
      </c>
      <c r="AY28" s="712">
        <v>0</v>
      </c>
      <c r="AZ28" s="713">
        <v>0</v>
      </c>
      <c r="BA28" s="712">
        <v>0</v>
      </c>
      <c r="BB28" s="713">
        <v>0</v>
      </c>
      <c r="BC28" s="712">
        <v>0</v>
      </c>
      <c r="BD28" s="713">
        <v>0</v>
      </c>
      <c r="BE28" s="712">
        <v>0</v>
      </c>
      <c r="BF28" s="713">
        <v>0</v>
      </c>
      <c r="BG28" s="712">
        <v>0</v>
      </c>
      <c r="BH28" s="713">
        <v>0</v>
      </c>
      <c r="BI28" s="712">
        <v>0</v>
      </c>
      <c r="BJ28" s="713">
        <v>0</v>
      </c>
      <c r="BK28" s="712">
        <v>0</v>
      </c>
      <c r="BL28" s="713">
        <v>0</v>
      </c>
      <c r="BM28" s="712">
        <v>0</v>
      </c>
      <c r="BN28" s="713">
        <v>0</v>
      </c>
      <c r="BO28" s="712">
        <v>0</v>
      </c>
      <c r="BP28" s="713">
        <v>0</v>
      </c>
      <c r="BQ28" s="712">
        <v>0</v>
      </c>
      <c r="BR28" s="713">
        <v>0</v>
      </c>
      <c r="BS28" s="712">
        <v>0</v>
      </c>
      <c r="BT28" s="713">
        <v>0</v>
      </c>
      <c r="BU28" s="712">
        <v>0</v>
      </c>
      <c r="BV28" s="711">
        <v>0</v>
      </c>
      <c r="BW28" s="714">
        <v>0</v>
      </c>
      <c r="BX28" s="711">
        <v>0</v>
      </c>
      <c r="BY28" s="714">
        <v>0</v>
      </c>
      <c r="BZ28" s="711">
        <v>0</v>
      </c>
      <c r="CA28" s="714">
        <v>0</v>
      </c>
      <c r="CB28" s="711">
        <v>0</v>
      </c>
      <c r="CC28" s="714">
        <v>0</v>
      </c>
      <c r="CD28" s="711">
        <v>0</v>
      </c>
      <c r="CE28" s="714">
        <v>0</v>
      </c>
      <c r="CF28" s="711">
        <v>0</v>
      </c>
      <c r="CG28" s="714">
        <v>0</v>
      </c>
      <c r="CH28" s="711">
        <v>0</v>
      </c>
      <c r="CI28" s="714">
        <v>0</v>
      </c>
      <c r="CJ28" s="711">
        <v>0</v>
      </c>
      <c r="CK28" s="712">
        <v>0</v>
      </c>
      <c r="CL28" s="711">
        <v>0</v>
      </c>
      <c r="CM28" s="712">
        <v>0</v>
      </c>
      <c r="CN28" s="713">
        <v>0</v>
      </c>
      <c r="CO28" s="712">
        <v>0</v>
      </c>
    </row>
    <row r="29" spans="1:93">
      <c r="A29" s="468">
        <v>27</v>
      </c>
      <c r="B29" s="596">
        <v>0</v>
      </c>
      <c r="C29" s="596">
        <v>0</v>
      </c>
      <c r="D29" s="596">
        <v>0</v>
      </c>
      <c r="E29" s="596">
        <v>0</v>
      </c>
      <c r="F29" s="596">
        <f t="shared" si="0"/>
        <v>1.2500000000000001E-2</v>
      </c>
      <c r="G29" s="596">
        <v>0.01</v>
      </c>
      <c r="H29" s="596">
        <v>0</v>
      </c>
      <c r="I29" s="596">
        <v>0</v>
      </c>
      <c r="J29" s="596">
        <v>0</v>
      </c>
      <c r="K29" s="596">
        <v>0</v>
      </c>
      <c r="L29" s="596">
        <v>0</v>
      </c>
      <c r="M29" s="596">
        <v>0</v>
      </c>
      <c r="N29" s="596">
        <v>0</v>
      </c>
      <c r="O29" s="596">
        <v>0</v>
      </c>
      <c r="P29" s="596">
        <v>0</v>
      </c>
      <c r="Q29" s="596">
        <v>0</v>
      </c>
      <c r="R29" s="596">
        <v>0</v>
      </c>
      <c r="S29" s="596">
        <v>0</v>
      </c>
      <c r="T29" s="596">
        <v>0.01</v>
      </c>
      <c r="U29" s="596">
        <v>0</v>
      </c>
      <c r="V29" s="596">
        <v>0</v>
      </c>
      <c r="W29" s="612">
        <v>0</v>
      </c>
      <c r="X29" s="704">
        <v>0</v>
      </c>
      <c r="Y29" s="705">
        <v>0</v>
      </c>
      <c r="Z29" s="706">
        <v>0</v>
      </c>
      <c r="AA29" s="707">
        <v>0</v>
      </c>
      <c r="AB29" s="706">
        <v>0</v>
      </c>
      <c r="AC29" s="704">
        <v>0</v>
      </c>
      <c r="AD29" s="706">
        <v>0</v>
      </c>
      <c r="AE29" s="708">
        <v>0</v>
      </c>
      <c r="AF29" s="704">
        <v>0</v>
      </c>
      <c r="AG29" s="704">
        <v>0</v>
      </c>
      <c r="AH29" s="708">
        <v>0</v>
      </c>
      <c r="AI29" s="709">
        <v>0</v>
      </c>
      <c r="AJ29" s="706">
        <f t="shared" si="15"/>
        <v>7.1428571428571426E-3</v>
      </c>
      <c r="AK29" s="704">
        <v>1.6250000000000001E-2</v>
      </c>
      <c r="AL29" s="706">
        <f t="shared" si="1"/>
        <v>1.2500000000000001E-2</v>
      </c>
      <c r="AM29" s="710">
        <v>2E-3</v>
      </c>
      <c r="AN29" s="704">
        <v>0</v>
      </c>
      <c r="AO29" s="706">
        <v>0</v>
      </c>
      <c r="AP29" s="711">
        <v>0</v>
      </c>
      <c r="AQ29" s="712">
        <v>0</v>
      </c>
      <c r="AR29" s="711">
        <v>0</v>
      </c>
      <c r="AS29" s="712">
        <v>0</v>
      </c>
      <c r="AT29" s="711">
        <v>0</v>
      </c>
      <c r="AU29" s="712">
        <v>0</v>
      </c>
      <c r="AV29" s="713">
        <v>0</v>
      </c>
      <c r="AW29" s="714">
        <v>0</v>
      </c>
      <c r="AX29" s="711">
        <v>0</v>
      </c>
      <c r="AY29" s="712">
        <v>0</v>
      </c>
      <c r="AZ29" s="713">
        <v>0</v>
      </c>
      <c r="BA29" s="712">
        <v>0</v>
      </c>
      <c r="BB29" s="713">
        <v>0</v>
      </c>
      <c r="BC29" s="712">
        <v>0</v>
      </c>
      <c r="BD29" s="713">
        <v>0</v>
      </c>
      <c r="BE29" s="712">
        <v>0</v>
      </c>
      <c r="BF29" s="713">
        <v>0</v>
      </c>
      <c r="BG29" s="712">
        <v>0</v>
      </c>
      <c r="BH29" s="713">
        <v>0</v>
      </c>
      <c r="BI29" s="712">
        <v>0</v>
      </c>
      <c r="BJ29" s="713">
        <v>0</v>
      </c>
      <c r="BK29" s="712">
        <v>0</v>
      </c>
      <c r="BL29" s="713">
        <v>0</v>
      </c>
      <c r="BM29" s="712">
        <v>0</v>
      </c>
      <c r="BN29" s="713">
        <v>0</v>
      </c>
      <c r="BO29" s="712">
        <v>0</v>
      </c>
      <c r="BP29" s="713">
        <v>0</v>
      </c>
      <c r="BQ29" s="712">
        <v>0</v>
      </c>
      <c r="BR29" s="713">
        <v>0</v>
      </c>
      <c r="BS29" s="712">
        <v>0</v>
      </c>
      <c r="BT29" s="713">
        <v>0</v>
      </c>
      <c r="BU29" s="712">
        <v>0</v>
      </c>
      <c r="BV29" s="711">
        <v>0</v>
      </c>
      <c r="BW29" s="714">
        <v>0</v>
      </c>
      <c r="BX29" s="711">
        <v>0</v>
      </c>
      <c r="BY29" s="714">
        <v>0</v>
      </c>
      <c r="BZ29" s="711">
        <v>0</v>
      </c>
      <c r="CA29" s="714">
        <v>0</v>
      </c>
      <c r="CB29" s="711">
        <v>0</v>
      </c>
      <c r="CC29" s="714">
        <v>0</v>
      </c>
      <c r="CD29" s="711">
        <v>0</v>
      </c>
      <c r="CE29" s="714">
        <v>0</v>
      </c>
      <c r="CF29" s="711">
        <v>0</v>
      </c>
      <c r="CG29" s="714">
        <v>0</v>
      </c>
      <c r="CH29" s="711">
        <v>0</v>
      </c>
      <c r="CI29" s="714">
        <v>0</v>
      </c>
      <c r="CJ29" s="711">
        <v>0</v>
      </c>
      <c r="CK29" s="712">
        <v>0</v>
      </c>
      <c r="CL29" s="711">
        <v>0</v>
      </c>
      <c r="CM29" s="712">
        <v>0</v>
      </c>
      <c r="CN29" s="713">
        <v>0</v>
      </c>
      <c r="CO29" s="712">
        <v>0</v>
      </c>
    </row>
    <row r="30" spans="1:93">
      <c r="A30" s="468">
        <v>28</v>
      </c>
      <c r="B30" s="596">
        <v>0</v>
      </c>
      <c r="C30" s="596">
        <v>0</v>
      </c>
      <c r="D30" s="596">
        <v>0</v>
      </c>
      <c r="E30" s="596">
        <v>0</v>
      </c>
      <c r="F30" s="596">
        <f t="shared" si="0"/>
        <v>1.2500000000000001E-2</v>
      </c>
      <c r="G30" s="596">
        <v>0.01</v>
      </c>
      <c r="H30" s="596">
        <v>0</v>
      </c>
      <c r="I30" s="596">
        <v>0</v>
      </c>
      <c r="J30" s="596">
        <v>0</v>
      </c>
      <c r="K30" s="596">
        <v>0</v>
      </c>
      <c r="L30" s="596">
        <v>0</v>
      </c>
      <c r="M30" s="596">
        <v>0</v>
      </c>
      <c r="N30" s="596">
        <v>0</v>
      </c>
      <c r="O30" s="596">
        <v>0</v>
      </c>
      <c r="P30" s="596">
        <v>0</v>
      </c>
      <c r="Q30" s="596">
        <v>0</v>
      </c>
      <c r="R30" s="596">
        <v>0</v>
      </c>
      <c r="S30" s="596">
        <v>0</v>
      </c>
      <c r="T30" s="596">
        <v>0.01</v>
      </c>
      <c r="U30" s="596">
        <v>0</v>
      </c>
      <c r="V30" s="596">
        <v>0</v>
      </c>
      <c r="W30" s="612">
        <v>0</v>
      </c>
      <c r="X30" s="704">
        <v>0</v>
      </c>
      <c r="Y30" s="705">
        <v>0</v>
      </c>
      <c r="Z30" s="706">
        <v>0</v>
      </c>
      <c r="AA30" s="707">
        <v>0</v>
      </c>
      <c r="AB30" s="706">
        <v>0</v>
      </c>
      <c r="AC30" s="704">
        <v>0</v>
      </c>
      <c r="AD30" s="706">
        <v>0</v>
      </c>
      <c r="AE30" s="708">
        <v>0</v>
      </c>
      <c r="AF30" s="704">
        <v>0</v>
      </c>
      <c r="AG30" s="704">
        <v>0</v>
      </c>
      <c r="AH30" s="708">
        <v>0</v>
      </c>
      <c r="AI30" s="709">
        <v>0</v>
      </c>
      <c r="AJ30" s="706">
        <f t="shared" si="15"/>
        <v>7.1428571428571426E-3</v>
      </c>
      <c r="AK30" s="704">
        <v>1.6250000000000001E-2</v>
      </c>
      <c r="AL30" s="706">
        <f t="shared" si="1"/>
        <v>1.2500000000000001E-2</v>
      </c>
      <c r="AM30" s="710">
        <v>2E-3</v>
      </c>
      <c r="AN30" s="704">
        <v>0</v>
      </c>
      <c r="AO30" s="706">
        <v>0</v>
      </c>
      <c r="AP30" s="711">
        <v>0</v>
      </c>
      <c r="AQ30" s="712">
        <v>0</v>
      </c>
      <c r="AR30" s="711">
        <v>0</v>
      </c>
      <c r="AS30" s="712">
        <v>0</v>
      </c>
      <c r="AT30" s="711">
        <v>0</v>
      </c>
      <c r="AU30" s="712">
        <v>0</v>
      </c>
      <c r="AV30" s="713">
        <v>0</v>
      </c>
      <c r="AW30" s="714">
        <v>0</v>
      </c>
      <c r="AX30" s="711">
        <v>0</v>
      </c>
      <c r="AY30" s="712">
        <v>0</v>
      </c>
      <c r="AZ30" s="713">
        <v>0</v>
      </c>
      <c r="BA30" s="712">
        <v>0</v>
      </c>
      <c r="BB30" s="713">
        <v>0</v>
      </c>
      <c r="BC30" s="712">
        <v>0</v>
      </c>
      <c r="BD30" s="713">
        <v>0</v>
      </c>
      <c r="BE30" s="712">
        <v>0</v>
      </c>
      <c r="BF30" s="713">
        <v>0</v>
      </c>
      <c r="BG30" s="712">
        <v>0</v>
      </c>
      <c r="BH30" s="713">
        <v>0</v>
      </c>
      <c r="BI30" s="712">
        <v>0</v>
      </c>
      <c r="BJ30" s="713">
        <v>0</v>
      </c>
      <c r="BK30" s="712">
        <v>0</v>
      </c>
      <c r="BL30" s="713">
        <v>0</v>
      </c>
      <c r="BM30" s="712">
        <v>0</v>
      </c>
      <c r="BN30" s="713">
        <v>0</v>
      </c>
      <c r="BO30" s="712">
        <v>0</v>
      </c>
      <c r="BP30" s="713">
        <v>0</v>
      </c>
      <c r="BQ30" s="712">
        <v>0</v>
      </c>
      <c r="BR30" s="713">
        <v>0</v>
      </c>
      <c r="BS30" s="712">
        <v>0</v>
      </c>
      <c r="BT30" s="713">
        <v>0</v>
      </c>
      <c r="BU30" s="712">
        <v>0</v>
      </c>
      <c r="BV30" s="711">
        <v>0</v>
      </c>
      <c r="BW30" s="714">
        <v>0</v>
      </c>
      <c r="BX30" s="711">
        <v>0</v>
      </c>
      <c r="BY30" s="714">
        <v>0</v>
      </c>
      <c r="BZ30" s="711">
        <v>0</v>
      </c>
      <c r="CA30" s="714">
        <v>0</v>
      </c>
      <c r="CB30" s="711">
        <v>0</v>
      </c>
      <c r="CC30" s="714">
        <v>0</v>
      </c>
      <c r="CD30" s="711">
        <v>0</v>
      </c>
      <c r="CE30" s="714">
        <v>0</v>
      </c>
      <c r="CF30" s="711">
        <v>0</v>
      </c>
      <c r="CG30" s="714">
        <v>0</v>
      </c>
      <c r="CH30" s="711">
        <v>0</v>
      </c>
      <c r="CI30" s="714">
        <v>0</v>
      </c>
      <c r="CJ30" s="711">
        <v>0</v>
      </c>
      <c r="CK30" s="712">
        <v>0</v>
      </c>
      <c r="CL30" s="711">
        <v>0</v>
      </c>
      <c r="CM30" s="712">
        <v>0</v>
      </c>
      <c r="CN30" s="713">
        <v>0</v>
      </c>
      <c r="CO30" s="712">
        <v>0</v>
      </c>
    </row>
    <row r="31" spans="1:93">
      <c r="A31" s="468">
        <v>29</v>
      </c>
      <c r="B31" s="596">
        <v>0</v>
      </c>
      <c r="C31" s="596">
        <v>0</v>
      </c>
      <c r="D31" s="596">
        <v>0</v>
      </c>
      <c r="E31" s="596">
        <v>0</v>
      </c>
      <c r="F31" s="596">
        <f t="shared" si="0"/>
        <v>1.2500000000000001E-2</v>
      </c>
      <c r="G31" s="596">
        <v>0.01</v>
      </c>
      <c r="H31" s="596">
        <v>0</v>
      </c>
      <c r="I31" s="596">
        <v>0</v>
      </c>
      <c r="J31" s="596">
        <v>0</v>
      </c>
      <c r="K31" s="596">
        <v>0</v>
      </c>
      <c r="L31" s="596">
        <v>0</v>
      </c>
      <c r="M31" s="596">
        <v>0</v>
      </c>
      <c r="N31" s="596">
        <v>0</v>
      </c>
      <c r="O31" s="596">
        <v>0</v>
      </c>
      <c r="P31" s="596">
        <v>0</v>
      </c>
      <c r="Q31" s="596">
        <v>0</v>
      </c>
      <c r="R31" s="596">
        <v>0</v>
      </c>
      <c r="S31" s="596">
        <v>0</v>
      </c>
      <c r="T31" s="596">
        <v>0.01</v>
      </c>
      <c r="U31" s="596">
        <v>0</v>
      </c>
      <c r="V31" s="596">
        <v>0</v>
      </c>
      <c r="W31" s="612">
        <v>0</v>
      </c>
      <c r="X31" s="704">
        <v>0</v>
      </c>
      <c r="Y31" s="705">
        <v>0</v>
      </c>
      <c r="Z31" s="706">
        <v>0</v>
      </c>
      <c r="AA31" s="707">
        <v>0</v>
      </c>
      <c r="AB31" s="706">
        <v>0</v>
      </c>
      <c r="AC31" s="704">
        <v>0</v>
      </c>
      <c r="AD31" s="706">
        <v>0</v>
      </c>
      <c r="AE31" s="708">
        <v>0</v>
      </c>
      <c r="AF31" s="704">
        <v>0</v>
      </c>
      <c r="AG31" s="704">
        <v>0</v>
      </c>
      <c r="AH31" s="708">
        <v>0</v>
      </c>
      <c r="AI31" s="709">
        <v>0</v>
      </c>
      <c r="AJ31" s="706">
        <f t="shared" si="15"/>
        <v>7.1428571428571426E-3</v>
      </c>
      <c r="AK31" s="704">
        <v>1.6250000000000001E-2</v>
      </c>
      <c r="AL31" s="706">
        <f t="shared" si="1"/>
        <v>1.2500000000000001E-2</v>
      </c>
      <c r="AM31" s="710">
        <v>2E-3</v>
      </c>
      <c r="AN31" s="704">
        <v>0</v>
      </c>
      <c r="AO31" s="706">
        <v>0</v>
      </c>
      <c r="AP31" s="711">
        <v>0</v>
      </c>
      <c r="AQ31" s="712">
        <v>0</v>
      </c>
      <c r="AR31" s="711">
        <v>0</v>
      </c>
      <c r="AS31" s="712">
        <v>0</v>
      </c>
      <c r="AT31" s="711">
        <v>0</v>
      </c>
      <c r="AU31" s="712">
        <v>0</v>
      </c>
      <c r="AV31" s="713">
        <v>0</v>
      </c>
      <c r="AW31" s="714">
        <v>0</v>
      </c>
      <c r="AX31" s="711">
        <v>0</v>
      </c>
      <c r="AY31" s="712">
        <v>0</v>
      </c>
      <c r="AZ31" s="713">
        <v>0</v>
      </c>
      <c r="BA31" s="712">
        <v>0</v>
      </c>
      <c r="BB31" s="713">
        <v>0</v>
      </c>
      <c r="BC31" s="712">
        <v>0</v>
      </c>
      <c r="BD31" s="713">
        <v>0</v>
      </c>
      <c r="BE31" s="712">
        <v>0</v>
      </c>
      <c r="BF31" s="713">
        <v>0</v>
      </c>
      <c r="BG31" s="712">
        <v>0</v>
      </c>
      <c r="BH31" s="713">
        <v>0</v>
      </c>
      <c r="BI31" s="712">
        <v>0</v>
      </c>
      <c r="BJ31" s="713">
        <v>0</v>
      </c>
      <c r="BK31" s="712">
        <v>0</v>
      </c>
      <c r="BL31" s="713">
        <v>0</v>
      </c>
      <c r="BM31" s="712">
        <v>0</v>
      </c>
      <c r="BN31" s="713">
        <v>0</v>
      </c>
      <c r="BO31" s="712">
        <v>0</v>
      </c>
      <c r="BP31" s="713">
        <v>0</v>
      </c>
      <c r="BQ31" s="712">
        <v>0</v>
      </c>
      <c r="BR31" s="713">
        <v>0</v>
      </c>
      <c r="BS31" s="712">
        <v>0</v>
      </c>
      <c r="BT31" s="713">
        <v>0</v>
      </c>
      <c r="BU31" s="712">
        <v>0</v>
      </c>
      <c r="BV31" s="711">
        <v>0</v>
      </c>
      <c r="BW31" s="714">
        <v>0</v>
      </c>
      <c r="BX31" s="711">
        <v>0</v>
      </c>
      <c r="BY31" s="714">
        <v>0</v>
      </c>
      <c r="BZ31" s="711">
        <v>0</v>
      </c>
      <c r="CA31" s="714">
        <v>0</v>
      </c>
      <c r="CB31" s="711">
        <v>0</v>
      </c>
      <c r="CC31" s="714">
        <v>0</v>
      </c>
      <c r="CD31" s="711">
        <v>0</v>
      </c>
      <c r="CE31" s="714">
        <v>0</v>
      </c>
      <c r="CF31" s="711">
        <v>0</v>
      </c>
      <c r="CG31" s="714">
        <v>0</v>
      </c>
      <c r="CH31" s="711">
        <v>0</v>
      </c>
      <c r="CI31" s="714">
        <v>0</v>
      </c>
      <c r="CJ31" s="711">
        <v>0</v>
      </c>
      <c r="CK31" s="712">
        <v>0</v>
      </c>
      <c r="CL31" s="711">
        <v>0</v>
      </c>
      <c r="CM31" s="712">
        <v>0</v>
      </c>
      <c r="CN31" s="713">
        <v>0</v>
      </c>
      <c r="CO31" s="712">
        <v>0</v>
      </c>
    </row>
    <row r="32" spans="1:93">
      <c r="A32" s="468">
        <v>30</v>
      </c>
      <c r="B32" s="596">
        <v>0</v>
      </c>
      <c r="C32" s="596">
        <v>0</v>
      </c>
      <c r="D32" s="596">
        <v>0</v>
      </c>
      <c r="E32" s="596">
        <v>0</v>
      </c>
      <c r="F32" s="596">
        <f t="shared" si="0"/>
        <v>1.2500000000000001E-2</v>
      </c>
      <c r="G32" s="596">
        <v>0.01</v>
      </c>
      <c r="H32" s="596">
        <v>0</v>
      </c>
      <c r="I32" s="596">
        <v>0</v>
      </c>
      <c r="J32" s="596">
        <v>0</v>
      </c>
      <c r="K32" s="596">
        <v>0</v>
      </c>
      <c r="L32" s="596">
        <v>0</v>
      </c>
      <c r="M32" s="596">
        <v>0</v>
      </c>
      <c r="N32" s="596">
        <v>0</v>
      </c>
      <c r="O32" s="596">
        <v>0</v>
      </c>
      <c r="P32" s="596">
        <v>0</v>
      </c>
      <c r="Q32" s="596">
        <v>0</v>
      </c>
      <c r="R32" s="596">
        <v>0</v>
      </c>
      <c r="S32" s="596">
        <v>0</v>
      </c>
      <c r="T32" s="596">
        <v>0.01</v>
      </c>
      <c r="U32" s="596">
        <v>0</v>
      </c>
      <c r="V32" s="596">
        <v>0</v>
      </c>
      <c r="W32" s="612">
        <v>0</v>
      </c>
      <c r="X32" s="704">
        <v>0</v>
      </c>
      <c r="Y32" s="705">
        <v>0</v>
      </c>
      <c r="Z32" s="706">
        <v>0</v>
      </c>
      <c r="AA32" s="707">
        <v>0</v>
      </c>
      <c r="AB32" s="706">
        <v>0</v>
      </c>
      <c r="AC32" s="704">
        <v>0</v>
      </c>
      <c r="AD32" s="706">
        <v>0</v>
      </c>
      <c r="AE32" s="708">
        <v>0</v>
      </c>
      <c r="AF32" s="704">
        <v>0</v>
      </c>
      <c r="AG32" s="704">
        <v>0</v>
      </c>
      <c r="AH32" s="708">
        <v>0</v>
      </c>
      <c r="AI32" s="709">
        <v>0</v>
      </c>
      <c r="AJ32" s="706">
        <f t="shared" si="15"/>
        <v>7.1428571428571426E-3</v>
      </c>
      <c r="AK32" s="704">
        <v>1.6E-2</v>
      </c>
      <c r="AL32" s="706">
        <f t="shared" si="1"/>
        <v>1.2500000000000001E-2</v>
      </c>
      <c r="AM32" s="710">
        <v>2E-3</v>
      </c>
      <c r="AN32" s="704">
        <v>0</v>
      </c>
      <c r="AO32" s="706">
        <v>0</v>
      </c>
      <c r="AP32" s="711">
        <v>0</v>
      </c>
      <c r="AQ32" s="712">
        <v>0</v>
      </c>
      <c r="AR32" s="711">
        <v>0</v>
      </c>
      <c r="AS32" s="712">
        <v>0</v>
      </c>
      <c r="AT32" s="711">
        <v>0</v>
      </c>
      <c r="AU32" s="712">
        <v>0</v>
      </c>
      <c r="AV32" s="713">
        <v>0</v>
      </c>
      <c r="AW32" s="714">
        <v>0</v>
      </c>
      <c r="AX32" s="711">
        <v>0</v>
      </c>
      <c r="AY32" s="712">
        <v>0</v>
      </c>
      <c r="AZ32" s="713">
        <v>0</v>
      </c>
      <c r="BA32" s="712">
        <v>0</v>
      </c>
      <c r="BB32" s="713">
        <v>0</v>
      </c>
      <c r="BC32" s="712">
        <v>0</v>
      </c>
      <c r="BD32" s="713">
        <v>0</v>
      </c>
      <c r="BE32" s="712">
        <v>0</v>
      </c>
      <c r="BF32" s="713">
        <v>0</v>
      </c>
      <c r="BG32" s="712">
        <v>0</v>
      </c>
      <c r="BH32" s="713">
        <v>0</v>
      </c>
      <c r="BI32" s="712">
        <v>0</v>
      </c>
      <c r="BJ32" s="713">
        <v>0</v>
      </c>
      <c r="BK32" s="712">
        <v>0</v>
      </c>
      <c r="BL32" s="713">
        <v>0</v>
      </c>
      <c r="BM32" s="712">
        <v>0</v>
      </c>
      <c r="BN32" s="713">
        <v>0</v>
      </c>
      <c r="BO32" s="712">
        <v>0</v>
      </c>
      <c r="BP32" s="713">
        <v>0</v>
      </c>
      <c r="BQ32" s="712">
        <v>0</v>
      </c>
      <c r="BR32" s="713">
        <v>0</v>
      </c>
      <c r="BS32" s="712">
        <v>0</v>
      </c>
      <c r="BT32" s="713">
        <v>0</v>
      </c>
      <c r="BU32" s="712">
        <v>0</v>
      </c>
      <c r="BV32" s="711">
        <v>0</v>
      </c>
      <c r="BW32" s="714">
        <v>0</v>
      </c>
      <c r="BX32" s="711">
        <v>0</v>
      </c>
      <c r="BY32" s="714">
        <v>0</v>
      </c>
      <c r="BZ32" s="711">
        <v>0</v>
      </c>
      <c r="CA32" s="714">
        <v>0</v>
      </c>
      <c r="CB32" s="711">
        <v>0</v>
      </c>
      <c r="CC32" s="714">
        <v>0</v>
      </c>
      <c r="CD32" s="711">
        <v>0</v>
      </c>
      <c r="CE32" s="714">
        <v>0</v>
      </c>
      <c r="CF32" s="711">
        <v>0</v>
      </c>
      <c r="CG32" s="714">
        <v>0</v>
      </c>
      <c r="CH32" s="711">
        <v>0</v>
      </c>
      <c r="CI32" s="714">
        <v>0</v>
      </c>
      <c r="CJ32" s="711">
        <v>0</v>
      </c>
      <c r="CK32" s="712">
        <v>0</v>
      </c>
      <c r="CL32" s="711">
        <v>0</v>
      </c>
      <c r="CM32" s="712">
        <v>0</v>
      </c>
      <c r="CN32" s="713">
        <v>0</v>
      </c>
      <c r="CO32" s="712">
        <v>0</v>
      </c>
    </row>
    <row r="33" spans="1:93">
      <c r="A33" s="468">
        <v>31</v>
      </c>
      <c r="B33" s="596">
        <v>0</v>
      </c>
      <c r="C33" s="596">
        <v>0</v>
      </c>
      <c r="D33" s="596">
        <v>0</v>
      </c>
      <c r="E33" s="596">
        <v>0</v>
      </c>
      <c r="F33" s="596">
        <f t="shared" si="0"/>
        <v>1.2500000000000001E-2</v>
      </c>
      <c r="G33" s="596">
        <v>0.01</v>
      </c>
      <c r="H33" s="596">
        <v>0</v>
      </c>
      <c r="I33" s="596">
        <v>0</v>
      </c>
      <c r="J33" s="596">
        <v>0</v>
      </c>
      <c r="K33" s="596">
        <v>0</v>
      </c>
      <c r="L33" s="596">
        <v>0</v>
      </c>
      <c r="M33" s="596">
        <v>0</v>
      </c>
      <c r="N33" s="596">
        <v>0</v>
      </c>
      <c r="O33" s="596">
        <v>0</v>
      </c>
      <c r="P33" s="596">
        <v>0</v>
      </c>
      <c r="Q33" s="596">
        <v>0</v>
      </c>
      <c r="R33" s="596">
        <v>0</v>
      </c>
      <c r="S33" s="596">
        <v>0</v>
      </c>
      <c r="T33" s="596">
        <v>0.01</v>
      </c>
      <c r="U33" s="596">
        <v>0</v>
      </c>
      <c r="V33" s="596">
        <v>0</v>
      </c>
      <c r="W33" s="612">
        <v>0</v>
      </c>
      <c r="X33" s="704">
        <v>0</v>
      </c>
      <c r="Y33" s="705">
        <v>0</v>
      </c>
      <c r="Z33" s="706">
        <v>0</v>
      </c>
      <c r="AA33" s="707">
        <v>0</v>
      </c>
      <c r="AB33" s="706">
        <v>0</v>
      </c>
      <c r="AC33" s="704">
        <v>0</v>
      </c>
      <c r="AD33" s="706">
        <v>0</v>
      </c>
      <c r="AE33" s="708">
        <v>0</v>
      </c>
      <c r="AF33" s="704">
        <v>0</v>
      </c>
      <c r="AG33" s="704">
        <v>0</v>
      </c>
      <c r="AH33" s="708">
        <v>0</v>
      </c>
      <c r="AI33" s="709">
        <v>0</v>
      </c>
      <c r="AJ33" s="706">
        <f t="shared" si="15"/>
        <v>7.1428571428571426E-3</v>
      </c>
      <c r="AK33" s="704">
        <v>1.6E-2</v>
      </c>
      <c r="AL33" s="706">
        <f t="shared" si="1"/>
        <v>1.2500000000000001E-2</v>
      </c>
      <c r="AM33" s="710">
        <v>2E-3</v>
      </c>
      <c r="AN33" s="704">
        <v>0</v>
      </c>
      <c r="AO33" s="706">
        <v>0</v>
      </c>
      <c r="AP33" s="711">
        <v>0</v>
      </c>
      <c r="AQ33" s="712">
        <v>0</v>
      </c>
      <c r="AR33" s="711">
        <v>0</v>
      </c>
      <c r="AS33" s="712">
        <v>0</v>
      </c>
      <c r="AT33" s="711">
        <v>0</v>
      </c>
      <c r="AU33" s="712">
        <v>0</v>
      </c>
      <c r="AV33" s="713">
        <v>0</v>
      </c>
      <c r="AW33" s="714">
        <v>0</v>
      </c>
      <c r="AX33" s="711">
        <v>0</v>
      </c>
      <c r="AY33" s="712">
        <v>0</v>
      </c>
      <c r="AZ33" s="713">
        <v>0</v>
      </c>
      <c r="BA33" s="712">
        <v>0</v>
      </c>
      <c r="BB33" s="713">
        <v>0</v>
      </c>
      <c r="BC33" s="712">
        <v>0</v>
      </c>
      <c r="BD33" s="713">
        <v>0</v>
      </c>
      <c r="BE33" s="712">
        <v>0</v>
      </c>
      <c r="BF33" s="713">
        <v>0</v>
      </c>
      <c r="BG33" s="712">
        <v>0</v>
      </c>
      <c r="BH33" s="713">
        <v>0</v>
      </c>
      <c r="BI33" s="712">
        <v>0</v>
      </c>
      <c r="BJ33" s="713">
        <v>0</v>
      </c>
      <c r="BK33" s="712">
        <v>0</v>
      </c>
      <c r="BL33" s="713">
        <v>0</v>
      </c>
      <c r="BM33" s="712">
        <v>0</v>
      </c>
      <c r="BN33" s="713">
        <v>0</v>
      </c>
      <c r="BO33" s="712">
        <v>0</v>
      </c>
      <c r="BP33" s="713">
        <v>0</v>
      </c>
      <c r="BQ33" s="712">
        <v>0</v>
      </c>
      <c r="BR33" s="713">
        <v>0</v>
      </c>
      <c r="BS33" s="712">
        <v>0</v>
      </c>
      <c r="BT33" s="713">
        <v>0</v>
      </c>
      <c r="BU33" s="712">
        <v>0</v>
      </c>
      <c r="BV33" s="711">
        <v>0</v>
      </c>
      <c r="BW33" s="714">
        <v>0</v>
      </c>
      <c r="BX33" s="711">
        <v>0</v>
      </c>
      <c r="BY33" s="714">
        <v>0</v>
      </c>
      <c r="BZ33" s="711">
        <v>0</v>
      </c>
      <c r="CA33" s="714">
        <v>0</v>
      </c>
      <c r="CB33" s="711">
        <v>0</v>
      </c>
      <c r="CC33" s="714">
        <v>0</v>
      </c>
      <c r="CD33" s="711">
        <v>0</v>
      </c>
      <c r="CE33" s="714">
        <v>0</v>
      </c>
      <c r="CF33" s="711">
        <v>0</v>
      </c>
      <c r="CG33" s="714">
        <v>0</v>
      </c>
      <c r="CH33" s="711">
        <v>0</v>
      </c>
      <c r="CI33" s="714">
        <v>0</v>
      </c>
      <c r="CJ33" s="711">
        <v>0</v>
      </c>
      <c r="CK33" s="712">
        <v>0</v>
      </c>
      <c r="CL33" s="711">
        <v>0</v>
      </c>
      <c r="CM33" s="712">
        <v>0</v>
      </c>
      <c r="CN33" s="713">
        <v>0</v>
      </c>
      <c r="CO33" s="712">
        <v>0</v>
      </c>
    </row>
    <row r="34" spans="1:93">
      <c r="A34" s="468">
        <v>32</v>
      </c>
      <c r="B34" s="596">
        <v>0</v>
      </c>
      <c r="C34" s="596">
        <v>0</v>
      </c>
      <c r="D34" s="596">
        <v>0</v>
      </c>
      <c r="E34" s="596">
        <v>0</v>
      </c>
      <c r="F34" s="596">
        <f t="shared" ref="F34:F65" si="17">1/80</f>
        <v>1.2500000000000001E-2</v>
      </c>
      <c r="G34" s="596">
        <v>0.01</v>
      </c>
      <c r="H34" s="596">
        <v>0</v>
      </c>
      <c r="I34" s="596">
        <v>0</v>
      </c>
      <c r="J34" s="596">
        <v>0</v>
      </c>
      <c r="K34" s="596">
        <v>0</v>
      </c>
      <c r="L34" s="596">
        <v>0</v>
      </c>
      <c r="M34" s="596">
        <v>0</v>
      </c>
      <c r="N34" s="596">
        <v>0</v>
      </c>
      <c r="O34" s="596">
        <v>0</v>
      </c>
      <c r="P34" s="596">
        <v>0</v>
      </c>
      <c r="Q34" s="596">
        <v>0</v>
      </c>
      <c r="R34" s="596">
        <v>0</v>
      </c>
      <c r="S34" s="596">
        <v>0</v>
      </c>
      <c r="T34" s="596">
        <v>0.01</v>
      </c>
      <c r="U34" s="596">
        <v>0</v>
      </c>
      <c r="V34" s="596">
        <v>0</v>
      </c>
      <c r="W34" s="612">
        <v>0</v>
      </c>
      <c r="X34" s="704">
        <v>0</v>
      </c>
      <c r="Y34" s="705">
        <v>0</v>
      </c>
      <c r="Z34" s="706">
        <v>0</v>
      </c>
      <c r="AA34" s="707">
        <v>0</v>
      </c>
      <c r="AB34" s="706">
        <v>0</v>
      </c>
      <c r="AC34" s="704">
        <v>0</v>
      </c>
      <c r="AD34" s="706">
        <v>0</v>
      </c>
      <c r="AE34" s="708">
        <v>0</v>
      </c>
      <c r="AF34" s="704">
        <v>0</v>
      </c>
      <c r="AG34" s="704">
        <v>0</v>
      </c>
      <c r="AH34" s="708">
        <v>0</v>
      </c>
      <c r="AI34" s="709">
        <v>0</v>
      </c>
      <c r="AJ34" s="706">
        <f t="shared" si="15"/>
        <v>7.1428571428571426E-3</v>
      </c>
      <c r="AK34" s="704">
        <v>1.6E-2</v>
      </c>
      <c r="AL34" s="706">
        <f t="shared" ref="AL34:AL65" si="18">1/80</f>
        <v>1.2500000000000001E-2</v>
      </c>
      <c r="AM34" s="710">
        <v>2E-3</v>
      </c>
      <c r="AN34" s="704">
        <v>0</v>
      </c>
      <c r="AO34" s="706">
        <v>0</v>
      </c>
      <c r="AP34" s="711">
        <v>0</v>
      </c>
      <c r="AQ34" s="712">
        <v>0</v>
      </c>
      <c r="AR34" s="711">
        <v>0</v>
      </c>
      <c r="AS34" s="712">
        <v>0</v>
      </c>
      <c r="AT34" s="711">
        <v>0</v>
      </c>
      <c r="AU34" s="712">
        <v>0</v>
      </c>
      <c r="AV34" s="713">
        <v>0</v>
      </c>
      <c r="AW34" s="714">
        <v>0</v>
      </c>
      <c r="AX34" s="711">
        <v>0</v>
      </c>
      <c r="AY34" s="712">
        <v>0</v>
      </c>
      <c r="AZ34" s="713">
        <v>0</v>
      </c>
      <c r="BA34" s="712">
        <v>0</v>
      </c>
      <c r="BB34" s="713">
        <v>0</v>
      </c>
      <c r="BC34" s="712">
        <v>0</v>
      </c>
      <c r="BD34" s="713">
        <v>0</v>
      </c>
      <c r="BE34" s="712">
        <v>0</v>
      </c>
      <c r="BF34" s="713">
        <v>0</v>
      </c>
      <c r="BG34" s="712">
        <v>0</v>
      </c>
      <c r="BH34" s="713">
        <v>0</v>
      </c>
      <c r="BI34" s="712">
        <v>0</v>
      </c>
      <c r="BJ34" s="713">
        <v>0</v>
      </c>
      <c r="BK34" s="712">
        <v>0</v>
      </c>
      <c r="BL34" s="713">
        <v>0</v>
      </c>
      <c r="BM34" s="712">
        <v>0</v>
      </c>
      <c r="BN34" s="713">
        <v>0</v>
      </c>
      <c r="BO34" s="712">
        <v>0</v>
      </c>
      <c r="BP34" s="713">
        <v>0</v>
      </c>
      <c r="BQ34" s="712">
        <v>0</v>
      </c>
      <c r="BR34" s="713">
        <v>0</v>
      </c>
      <c r="BS34" s="712">
        <v>0</v>
      </c>
      <c r="BT34" s="713">
        <v>0</v>
      </c>
      <c r="BU34" s="712">
        <v>0</v>
      </c>
      <c r="BV34" s="711">
        <v>0</v>
      </c>
      <c r="BW34" s="714">
        <v>0</v>
      </c>
      <c r="BX34" s="711">
        <v>0</v>
      </c>
      <c r="BY34" s="714">
        <v>0</v>
      </c>
      <c r="BZ34" s="711">
        <v>0</v>
      </c>
      <c r="CA34" s="714">
        <v>0</v>
      </c>
      <c r="CB34" s="711">
        <v>0</v>
      </c>
      <c r="CC34" s="714">
        <v>0</v>
      </c>
      <c r="CD34" s="711">
        <v>0</v>
      </c>
      <c r="CE34" s="714">
        <v>0</v>
      </c>
      <c r="CF34" s="711">
        <v>0</v>
      </c>
      <c r="CG34" s="714">
        <v>0</v>
      </c>
      <c r="CH34" s="711">
        <v>0</v>
      </c>
      <c r="CI34" s="714">
        <v>0</v>
      </c>
      <c r="CJ34" s="711">
        <v>0</v>
      </c>
      <c r="CK34" s="712">
        <v>0</v>
      </c>
      <c r="CL34" s="711">
        <v>0</v>
      </c>
      <c r="CM34" s="712">
        <v>0</v>
      </c>
      <c r="CN34" s="713">
        <v>0</v>
      </c>
      <c r="CO34" s="712">
        <v>0</v>
      </c>
    </row>
    <row r="35" spans="1:93">
      <c r="A35" s="468">
        <v>33</v>
      </c>
      <c r="B35" s="596">
        <v>0</v>
      </c>
      <c r="C35" s="596">
        <v>0</v>
      </c>
      <c r="D35" s="596">
        <v>0</v>
      </c>
      <c r="E35" s="596">
        <v>0</v>
      </c>
      <c r="F35" s="596">
        <f t="shared" si="17"/>
        <v>1.2500000000000001E-2</v>
      </c>
      <c r="G35" s="596">
        <v>0.01</v>
      </c>
      <c r="H35" s="596">
        <v>0</v>
      </c>
      <c r="I35" s="596">
        <v>0</v>
      </c>
      <c r="J35" s="596">
        <v>0</v>
      </c>
      <c r="K35" s="596">
        <v>0</v>
      </c>
      <c r="L35" s="596">
        <v>0</v>
      </c>
      <c r="M35" s="596">
        <v>0</v>
      </c>
      <c r="N35" s="596">
        <v>0</v>
      </c>
      <c r="O35" s="596">
        <v>0</v>
      </c>
      <c r="P35" s="596">
        <v>0</v>
      </c>
      <c r="Q35" s="596">
        <v>0</v>
      </c>
      <c r="R35" s="596">
        <v>0</v>
      </c>
      <c r="S35" s="596">
        <v>0</v>
      </c>
      <c r="T35" s="596">
        <v>0.01</v>
      </c>
      <c r="U35" s="596">
        <v>0</v>
      </c>
      <c r="V35" s="596">
        <v>0</v>
      </c>
      <c r="W35" s="612">
        <v>0</v>
      </c>
      <c r="X35" s="704">
        <v>0</v>
      </c>
      <c r="Y35" s="705">
        <v>0</v>
      </c>
      <c r="Z35" s="706">
        <v>0</v>
      </c>
      <c r="AA35" s="707">
        <v>0</v>
      </c>
      <c r="AB35" s="706">
        <v>0</v>
      </c>
      <c r="AC35" s="704">
        <v>0</v>
      </c>
      <c r="AD35" s="706">
        <v>0</v>
      </c>
      <c r="AE35" s="708">
        <v>0</v>
      </c>
      <c r="AF35" s="704">
        <v>0</v>
      </c>
      <c r="AG35" s="704">
        <v>0</v>
      </c>
      <c r="AH35" s="708">
        <v>0</v>
      </c>
      <c r="AI35" s="709">
        <v>0</v>
      </c>
      <c r="AJ35" s="706">
        <f t="shared" si="15"/>
        <v>7.1428571428571426E-3</v>
      </c>
      <c r="AK35" s="704">
        <v>1.6E-2</v>
      </c>
      <c r="AL35" s="706">
        <f t="shared" si="18"/>
        <v>1.2500000000000001E-2</v>
      </c>
      <c r="AM35" s="710">
        <v>2E-3</v>
      </c>
      <c r="AN35" s="704">
        <v>0</v>
      </c>
      <c r="AO35" s="706">
        <v>0</v>
      </c>
      <c r="AP35" s="711">
        <v>0</v>
      </c>
      <c r="AQ35" s="712">
        <v>0</v>
      </c>
      <c r="AR35" s="711">
        <v>0</v>
      </c>
      <c r="AS35" s="712">
        <v>0</v>
      </c>
      <c r="AT35" s="711">
        <v>0</v>
      </c>
      <c r="AU35" s="712">
        <v>0</v>
      </c>
      <c r="AV35" s="713">
        <v>0</v>
      </c>
      <c r="AW35" s="714">
        <v>0</v>
      </c>
      <c r="AX35" s="711">
        <v>0</v>
      </c>
      <c r="AY35" s="712">
        <v>0</v>
      </c>
      <c r="AZ35" s="713">
        <v>0</v>
      </c>
      <c r="BA35" s="712">
        <v>0</v>
      </c>
      <c r="BB35" s="713">
        <v>0</v>
      </c>
      <c r="BC35" s="712">
        <v>0</v>
      </c>
      <c r="BD35" s="713">
        <v>0</v>
      </c>
      <c r="BE35" s="712">
        <v>0</v>
      </c>
      <c r="BF35" s="713">
        <v>0</v>
      </c>
      <c r="BG35" s="712">
        <v>0</v>
      </c>
      <c r="BH35" s="713">
        <v>0</v>
      </c>
      <c r="BI35" s="712">
        <v>0</v>
      </c>
      <c r="BJ35" s="713">
        <v>0</v>
      </c>
      <c r="BK35" s="712">
        <v>0</v>
      </c>
      <c r="BL35" s="713">
        <v>0</v>
      </c>
      <c r="BM35" s="712">
        <v>0</v>
      </c>
      <c r="BN35" s="713">
        <v>0</v>
      </c>
      <c r="BO35" s="712">
        <v>0</v>
      </c>
      <c r="BP35" s="713">
        <v>0</v>
      </c>
      <c r="BQ35" s="712">
        <v>0</v>
      </c>
      <c r="BR35" s="713">
        <v>0</v>
      </c>
      <c r="BS35" s="712">
        <v>0</v>
      </c>
      <c r="BT35" s="713">
        <v>0</v>
      </c>
      <c r="BU35" s="712">
        <v>0</v>
      </c>
      <c r="BV35" s="711">
        <v>0</v>
      </c>
      <c r="BW35" s="714">
        <v>0</v>
      </c>
      <c r="BX35" s="711">
        <v>0</v>
      </c>
      <c r="BY35" s="714">
        <v>0</v>
      </c>
      <c r="BZ35" s="711">
        <v>0</v>
      </c>
      <c r="CA35" s="714">
        <v>0</v>
      </c>
      <c r="CB35" s="711">
        <v>0</v>
      </c>
      <c r="CC35" s="714">
        <v>0</v>
      </c>
      <c r="CD35" s="711">
        <v>0</v>
      </c>
      <c r="CE35" s="714">
        <v>0</v>
      </c>
      <c r="CF35" s="711">
        <v>0</v>
      </c>
      <c r="CG35" s="714">
        <v>0</v>
      </c>
      <c r="CH35" s="711">
        <v>0</v>
      </c>
      <c r="CI35" s="714">
        <v>0</v>
      </c>
      <c r="CJ35" s="711">
        <v>0</v>
      </c>
      <c r="CK35" s="712">
        <v>0</v>
      </c>
      <c r="CL35" s="711">
        <v>0</v>
      </c>
      <c r="CM35" s="712">
        <v>0</v>
      </c>
      <c r="CN35" s="713">
        <v>0</v>
      </c>
      <c r="CO35" s="712">
        <v>0</v>
      </c>
    </row>
    <row r="36" spans="1:93">
      <c r="A36" s="468">
        <v>34</v>
      </c>
      <c r="B36" s="596">
        <v>0</v>
      </c>
      <c r="C36" s="596">
        <v>0</v>
      </c>
      <c r="D36" s="596">
        <v>0</v>
      </c>
      <c r="E36" s="596">
        <v>0</v>
      </c>
      <c r="F36" s="596">
        <f t="shared" si="17"/>
        <v>1.2500000000000001E-2</v>
      </c>
      <c r="G36" s="596">
        <v>0.01</v>
      </c>
      <c r="H36" s="596">
        <v>0</v>
      </c>
      <c r="I36" s="596">
        <v>0</v>
      </c>
      <c r="J36" s="596">
        <v>0</v>
      </c>
      <c r="K36" s="596">
        <v>0</v>
      </c>
      <c r="L36" s="596">
        <v>0</v>
      </c>
      <c r="M36" s="596">
        <v>0</v>
      </c>
      <c r="N36" s="596">
        <v>0</v>
      </c>
      <c r="O36" s="596">
        <v>0</v>
      </c>
      <c r="P36" s="596">
        <v>0</v>
      </c>
      <c r="Q36" s="596">
        <v>0</v>
      </c>
      <c r="R36" s="596">
        <v>0</v>
      </c>
      <c r="S36" s="596">
        <v>0</v>
      </c>
      <c r="T36" s="596">
        <v>0.01</v>
      </c>
      <c r="U36" s="596">
        <v>0</v>
      </c>
      <c r="V36" s="596">
        <v>0</v>
      </c>
      <c r="W36" s="612">
        <v>0</v>
      </c>
      <c r="X36" s="704">
        <v>0</v>
      </c>
      <c r="Y36" s="705">
        <v>0</v>
      </c>
      <c r="Z36" s="706">
        <v>0</v>
      </c>
      <c r="AA36" s="707">
        <v>0</v>
      </c>
      <c r="AB36" s="706">
        <v>0</v>
      </c>
      <c r="AC36" s="704">
        <v>0</v>
      </c>
      <c r="AD36" s="706">
        <v>0</v>
      </c>
      <c r="AE36" s="708">
        <v>0</v>
      </c>
      <c r="AF36" s="704">
        <v>0</v>
      </c>
      <c r="AG36" s="704">
        <v>0</v>
      </c>
      <c r="AH36" s="708">
        <v>0</v>
      </c>
      <c r="AI36" s="709">
        <v>0</v>
      </c>
      <c r="AJ36" s="706">
        <f t="shared" si="15"/>
        <v>7.1428571428571426E-3</v>
      </c>
      <c r="AK36" s="704">
        <v>1.6E-2</v>
      </c>
      <c r="AL36" s="706">
        <f t="shared" si="18"/>
        <v>1.2500000000000001E-2</v>
      </c>
      <c r="AM36" s="710">
        <v>2E-3</v>
      </c>
      <c r="AN36" s="704">
        <v>0</v>
      </c>
      <c r="AO36" s="706">
        <v>0</v>
      </c>
      <c r="AP36" s="711">
        <v>0</v>
      </c>
      <c r="AQ36" s="712">
        <v>0</v>
      </c>
      <c r="AR36" s="711">
        <v>0</v>
      </c>
      <c r="AS36" s="712">
        <v>0</v>
      </c>
      <c r="AT36" s="711">
        <v>0</v>
      </c>
      <c r="AU36" s="712">
        <v>0</v>
      </c>
      <c r="AV36" s="713">
        <v>0</v>
      </c>
      <c r="AW36" s="714">
        <v>0</v>
      </c>
      <c r="AX36" s="711">
        <v>0</v>
      </c>
      <c r="AY36" s="712">
        <v>0</v>
      </c>
      <c r="AZ36" s="713">
        <v>0</v>
      </c>
      <c r="BA36" s="712">
        <v>0</v>
      </c>
      <c r="BB36" s="713">
        <v>0</v>
      </c>
      <c r="BC36" s="712">
        <v>0</v>
      </c>
      <c r="BD36" s="713">
        <v>0</v>
      </c>
      <c r="BE36" s="712">
        <v>0</v>
      </c>
      <c r="BF36" s="713">
        <v>0</v>
      </c>
      <c r="BG36" s="712">
        <v>0</v>
      </c>
      <c r="BH36" s="713">
        <v>0</v>
      </c>
      <c r="BI36" s="712">
        <v>0</v>
      </c>
      <c r="BJ36" s="713">
        <v>0</v>
      </c>
      <c r="BK36" s="712">
        <v>0</v>
      </c>
      <c r="BL36" s="713">
        <v>0</v>
      </c>
      <c r="BM36" s="712">
        <v>0</v>
      </c>
      <c r="BN36" s="713">
        <v>0</v>
      </c>
      <c r="BO36" s="712">
        <v>0</v>
      </c>
      <c r="BP36" s="713">
        <v>0</v>
      </c>
      <c r="BQ36" s="712">
        <v>0</v>
      </c>
      <c r="BR36" s="713">
        <v>0</v>
      </c>
      <c r="BS36" s="712">
        <v>0</v>
      </c>
      <c r="BT36" s="713">
        <v>0</v>
      </c>
      <c r="BU36" s="712">
        <v>0</v>
      </c>
      <c r="BV36" s="711">
        <v>0</v>
      </c>
      <c r="BW36" s="714">
        <v>0</v>
      </c>
      <c r="BX36" s="711">
        <v>0</v>
      </c>
      <c r="BY36" s="714">
        <v>0</v>
      </c>
      <c r="BZ36" s="711">
        <v>0</v>
      </c>
      <c r="CA36" s="714">
        <v>0</v>
      </c>
      <c r="CB36" s="711">
        <v>0</v>
      </c>
      <c r="CC36" s="714">
        <v>0</v>
      </c>
      <c r="CD36" s="711">
        <v>0</v>
      </c>
      <c r="CE36" s="714">
        <v>0</v>
      </c>
      <c r="CF36" s="711">
        <v>0</v>
      </c>
      <c r="CG36" s="714">
        <v>0</v>
      </c>
      <c r="CH36" s="711">
        <v>0</v>
      </c>
      <c r="CI36" s="714">
        <v>0</v>
      </c>
      <c r="CJ36" s="711">
        <v>0</v>
      </c>
      <c r="CK36" s="712">
        <v>0</v>
      </c>
      <c r="CL36" s="711">
        <v>0</v>
      </c>
      <c r="CM36" s="712">
        <v>0</v>
      </c>
      <c r="CN36" s="713">
        <v>0</v>
      </c>
      <c r="CO36" s="712">
        <v>0</v>
      </c>
    </row>
    <row r="37" spans="1:93">
      <c r="A37" s="468">
        <v>35</v>
      </c>
      <c r="B37" s="596">
        <v>0</v>
      </c>
      <c r="C37" s="596">
        <v>0</v>
      </c>
      <c r="D37" s="596">
        <v>0</v>
      </c>
      <c r="E37" s="596">
        <v>0</v>
      </c>
      <c r="F37" s="596">
        <f t="shared" si="17"/>
        <v>1.2500000000000001E-2</v>
      </c>
      <c r="G37" s="596">
        <v>0.01</v>
      </c>
      <c r="H37" s="596">
        <v>0</v>
      </c>
      <c r="I37" s="596">
        <v>0</v>
      </c>
      <c r="J37" s="596">
        <v>0</v>
      </c>
      <c r="K37" s="596">
        <v>0</v>
      </c>
      <c r="L37" s="596">
        <v>0</v>
      </c>
      <c r="M37" s="596">
        <v>0</v>
      </c>
      <c r="N37" s="596">
        <v>0</v>
      </c>
      <c r="O37" s="596">
        <v>0</v>
      </c>
      <c r="P37" s="596">
        <v>0</v>
      </c>
      <c r="Q37" s="596">
        <v>0</v>
      </c>
      <c r="R37" s="596">
        <v>0</v>
      </c>
      <c r="S37" s="596">
        <v>0</v>
      </c>
      <c r="T37" s="596">
        <v>0.01</v>
      </c>
      <c r="U37" s="596">
        <v>0</v>
      </c>
      <c r="V37" s="596">
        <v>0</v>
      </c>
      <c r="W37" s="612">
        <v>0</v>
      </c>
      <c r="X37" s="704">
        <v>0</v>
      </c>
      <c r="Y37" s="705">
        <v>0</v>
      </c>
      <c r="Z37" s="706">
        <v>0</v>
      </c>
      <c r="AA37" s="707">
        <v>0</v>
      </c>
      <c r="AB37" s="706">
        <v>0</v>
      </c>
      <c r="AC37" s="704">
        <v>0</v>
      </c>
      <c r="AD37" s="706">
        <v>0</v>
      </c>
      <c r="AE37" s="708">
        <v>0</v>
      </c>
      <c r="AF37" s="704">
        <v>0</v>
      </c>
      <c r="AG37" s="704">
        <v>0</v>
      </c>
      <c r="AH37" s="708">
        <v>0</v>
      </c>
      <c r="AI37" s="709">
        <v>0</v>
      </c>
      <c r="AJ37" s="706">
        <f t="shared" si="15"/>
        <v>7.1428571428571426E-3</v>
      </c>
      <c r="AK37" s="704">
        <v>1.6E-2</v>
      </c>
      <c r="AL37" s="706">
        <f t="shared" si="18"/>
        <v>1.2500000000000001E-2</v>
      </c>
      <c r="AM37" s="710">
        <v>2E-3</v>
      </c>
      <c r="AN37" s="704">
        <v>0</v>
      </c>
      <c r="AO37" s="706">
        <v>0</v>
      </c>
      <c r="AP37" s="711">
        <v>0</v>
      </c>
      <c r="AQ37" s="712">
        <v>0</v>
      </c>
      <c r="AR37" s="711">
        <v>0</v>
      </c>
      <c r="AS37" s="712">
        <v>0</v>
      </c>
      <c r="AT37" s="711">
        <v>0</v>
      </c>
      <c r="AU37" s="712">
        <v>0</v>
      </c>
      <c r="AV37" s="713">
        <v>0</v>
      </c>
      <c r="AW37" s="714">
        <v>0</v>
      </c>
      <c r="AX37" s="711">
        <v>0</v>
      </c>
      <c r="AY37" s="712">
        <v>0</v>
      </c>
      <c r="AZ37" s="713">
        <v>0</v>
      </c>
      <c r="BA37" s="712">
        <v>0</v>
      </c>
      <c r="BB37" s="713">
        <v>0</v>
      </c>
      <c r="BC37" s="712">
        <v>0</v>
      </c>
      <c r="BD37" s="713">
        <v>0</v>
      </c>
      <c r="BE37" s="712">
        <v>0</v>
      </c>
      <c r="BF37" s="713">
        <v>0</v>
      </c>
      <c r="BG37" s="712">
        <v>0</v>
      </c>
      <c r="BH37" s="713">
        <v>0</v>
      </c>
      <c r="BI37" s="712">
        <v>0</v>
      </c>
      <c r="BJ37" s="713">
        <v>0</v>
      </c>
      <c r="BK37" s="712">
        <v>0</v>
      </c>
      <c r="BL37" s="713">
        <v>0</v>
      </c>
      <c r="BM37" s="712">
        <v>0</v>
      </c>
      <c r="BN37" s="713">
        <v>0</v>
      </c>
      <c r="BO37" s="712">
        <v>0</v>
      </c>
      <c r="BP37" s="713">
        <v>0</v>
      </c>
      <c r="BQ37" s="712">
        <v>0</v>
      </c>
      <c r="BR37" s="713">
        <v>0</v>
      </c>
      <c r="BS37" s="712">
        <v>0</v>
      </c>
      <c r="BT37" s="713">
        <v>0</v>
      </c>
      <c r="BU37" s="712">
        <v>0</v>
      </c>
      <c r="BV37" s="711">
        <v>0</v>
      </c>
      <c r="BW37" s="714">
        <v>0</v>
      </c>
      <c r="BX37" s="711">
        <v>0</v>
      </c>
      <c r="BY37" s="714">
        <v>0</v>
      </c>
      <c r="BZ37" s="711">
        <v>0</v>
      </c>
      <c r="CA37" s="714">
        <v>0</v>
      </c>
      <c r="CB37" s="711">
        <v>0</v>
      </c>
      <c r="CC37" s="714">
        <v>0</v>
      </c>
      <c r="CD37" s="711">
        <v>0</v>
      </c>
      <c r="CE37" s="714">
        <v>0</v>
      </c>
      <c r="CF37" s="711">
        <v>0</v>
      </c>
      <c r="CG37" s="714">
        <v>0</v>
      </c>
      <c r="CH37" s="711">
        <v>0</v>
      </c>
      <c r="CI37" s="714">
        <v>0</v>
      </c>
      <c r="CJ37" s="711">
        <v>0</v>
      </c>
      <c r="CK37" s="712">
        <v>0</v>
      </c>
      <c r="CL37" s="711">
        <v>0</v>
      </c>
      <c r="CM37" s="712">
        <v>0</v>
      </c>
      <c r="CN37" s="713">
        <v>0</v>
      </c>
      <c r="CO37" s="712">
        <v>0</v>
      </c>
    </row>
    <row r="38" spans="1:93">
      <c r="A38" s="468">
        <v>36</v>
      </c>
      <c r="B38" s="596">
        <v>0</v>
      </c>
      <c r="C38" s="596">
        <v>0</v>
      </c>
      <c r="D38" s="596">
        <v>0</v>
      </c>
      <c r="E38" s="596">
        <v>0</v>
      </c>
      <c r="F38" s="596">
        <f t="shared" si="17"/>
        <v>1.2500000000000001E-2</v>
      </c>
      <c r="G38" s="596">
        <v>0.01</v>
      </c>
      <c r="H38" s="596">
        <v>0</v>
      </c>
      <c r="I38" s="596">
        <v>0</v>
      </c>
      <c r="J38" s="596">
        <v>0</v>
      </c>
      <c r="K38" s="596">
        <v>0</v>
      </c>
      <c r="L38" s="596">
        <v>0</v>
      </c>
      <c r="M38" s="596">
        <v>0</v>
      </c>
      <c r="N38" s="596">
        <v>0</v>
      </c>
      <c r="O38" s="596">
        <v>0</v>
      </c>
      <c r="P38" s="596">
        <v>0</v>
      </c>
      <c r="Q38" s="596">
        <v>0</v>
      </c>
      <c r="R38" s="596">
        <v>0</v>
      </c>
      <c r="S38" s="596">
        <v>0</v>
      </c>
      <c r="T38" s="596">
        <v>0.01</v>
      </c>
      <c r="U38" s="596">
        <v>0</v>
      </c>
      <c r="V38" s="596">
        <v>0</v>
      </c>
      <c r="W38" s="612">
        <v>0</v>
      </c>
      <c r="X38" s="704">
        <v>0</v>
      </c>
      <c r="Y38" s="705">
        <v>0</v>
      </c>
      <c r="Z38" s="706">
        <v>0</v>
      </c>
      <c r="AA38" s="707">
        <v>0</v>
      </c>
      <c r="AB38" s="706">
        <v>0</v>
      </c>
      <c r="AC38" s="704">
        <v>0</v>
      </c>
      <c r="AD38" s="706">
        <v>0</v>
      </c>
      <c r="AE38" s="708">
        <v>0</v>
      </c>
      <c r="AF38" s="704">
        <v>0</v>
      </c>
      <c r="AG38" s="704">
        <v>0</v>
      </c>
      <c r="AH38" s="708">
        <v>0</v>
      </c>
      <c r="AI38" s="709">
        <v>0</v>
      </c>
      <c r="AJ38" s="706">
        <f t="shared" si="15"/>
        <v>7.1428571428571426E-3</v>
      </c>
      <c r="AK38" s="704">
        <v>1.6E-2</v>
      </c>
      <c r="AL38" s="706">
        <f t="shared" si="18"/>
        <v>1.2500000000000001E-2</v>
      </c>
      <c r="AM38" s="710">
        <v>2E-3</v>
      </c>
      <c r="AN38" s="704">
        <v>0</v>
      </c>
      <c r="AO38" s="706">
        <v>0</v>
      </c>
      <c r="AP38" s="711">
        <v>0</v>
      </c>
      <c r="AQ38" s="712">
        <v>0</v>
      </c>
      <c r="AR38" s="711">
        <v>0</v>
      </c>
      <c r="AS38" s="712">
        <v>0</v>
      </c>
      <c r="AT38" s="711">
        <v>0</v>
      </c>
      <c r="AU38" s="712">
        <v>0</v>
      </c>
      <c r="AV38" s="713">
        <v>0</v>
      </c>
      <c r="AW38" s="714">
        <v>0</v>
      </c>
      <c r="AX38" s="711">
        <v>0</v>
      </c>
      <c r="AY38" s="712">
        <v>0</v>
      </c>
      <c r="AZ38" s="713">
        <v>0</v>
      </c>
      <c r="BA38" s="712">
        <v>0</v>
      </c>
      <c r="BB38" s="713">
        <v>0</v>
      </c>
      <c r="BC38" s="712">
        <v>0</v>
      </c>
      <c r="BD38" s="713">
        <v>0</v>
      </c>
      <c r="BE38" s="712">
        <v>0</v>
      </c>
      <c r="BF38" s="713">
        <v>0</v>
      </c>
      <c r="BG38" s="712">
        <v>0</v>
      </c>
      <c r="BH38" s="713">
        <v>0</v>
      </c>
      <c r="BI38" s="712">
        <v>0</v>
      </c>
      <c r="BJ38" s="713">
        <v>0</v>
      </c>
      <c r="BK38" s="712">
        <v>0</v>
      </c>
      <c r="BL38" s="713">
        <v>0</v>
      </c>
      <c r="BM38" s="712">
        <v>0</v>
      </c>
      <c r="BN38" s="713">
        <v>0</v>
      </c>
      <c r="BO38" s="712">
        <v>0</v>
      </c>
      <c r="BP38" s="713">
        <v>0</v>
      </c>
      <c r="BQ38" s="712">
        <v>0</v>
      </c>
      <c r="BR38" s="713">
        <v>0</v>
      </c>
      <c r="BS38" s="712">
        <v>0</v>
      </c>
      <c r="BT38" s="713">
        <v>0</v>
      </c>
      <c r="BU38" s="712">
        <v>0</v>
      </c>
      <c r="BV38" s="711">
        <v>0</v>
      </c>
      <c r="BW38" s="714">
        <v>0</v>
      </c>
      <c r="BX38" s="711">
        <v>0</v>
      </c>
      <c r="BY38" s="714">
        <v>0</v>
      </c>
      <c r="BZ38" s="711">
        <v>0</v>
      </c>
      <c r="CA38" s="714">
        <v>0</v>
      </c>
      <c r="CB38" s="711">
        <v>0</v>
      </c>
      <c r="CC38" s="714">
        <v>0</v>
      </c>
      <c r="CD38" s="711">
        <v>0</v>
      </c>
      <c r="CE38" s="714">
        <v>0</v>
      </c>
      <c r="CF38" s="711">
        <v>0</v>
      </c>
      <c r="CG38" s="714">
        <v>0</v>
      </c>
      <c r="CH38" s="711">
        <v>0</v>
      </c>
      <c r="CI38" s="714">
        <v>0</v>
      </c>
      <c r="CJ38" s="711">
        <v>0</v>
      </c>
      <c r="CK38" s="712">
        <v>0</v>
      </c>
      <c r="CL38" s="711">
        <v>0</v>
      </c>
      <c r="CM38" s="712">
        <v>0</v>
      </c>
      <c r="CN38" s="713">
        <v>0</v>
      </c>
      <c r="CO38" s="712">
        <v>0</v>
      </c>
    </row>
    <row r="39" spans="1:93">
      <c r="A39" s="468">
        <v>37</v>
      </c>
      <c r="B39" s="596">
        <v>0</v>
      </c>
      <c r="C39" s="596">
        <v>0</v>
      </c>
      <c r="D39" s="596">
        <v>0</v>
      </c>
      <c r="E39" s="596">
        <v>0</v>
      </c>
      <c r="F39" s="596">
        <f t="shared" si="17"/>
        <v>1.2500000000000001E-2</v>
      </c>
      <c r="G39" s="596">
        <v>0.01</v>
      </c>
      <c r="H39" s="596">
        <v>0</v>
      </c>
      <c r="I39" s="596">
        <v>0</v>
      </c>
      <c r="J39" s="596">
        <v>0</v>
      </c>
      <c r="K39" s="596">
        <v>0</v>
      </c>
      <c r="L39" s="596">
        <v>0</v>
      </c>
      <c r="M39" s="596">
        <v>0</v>
      </c>
      <c r="N39" s="596">
        <v>0</v>
      </c>
      <c r="O39" s="596">
        <v>0</v>
      </c>
      <c r="P39" s="596">
        <v>0</v>
      </c>
      <c r="Q39" s="596">
        <v>0</v>
      </c>
      <c r="R39" s="596">
        <v>0</v>
      </c>
      <c r="S39" s="596">
        <v>0</v>
      </c>
      <c r="T39" s="596">
        <v>0.01</v>
      </c>
      <c r="U39" s="596">
        <v>0</v>
      </c>
      <c r="V39" s="596">
        <v>0</v>
      </c>
      <c r="W39" s="612">
        <v>0</v>
      </c>
      <c r="X39" s="704">
        <v>0</v>
      </c>
      <c r="Y39" s="705">
        <v>0</v>
      </c>
      <c r="Z39" s="706">
        <v>0</v>
      </c>
      <c r="AA39" s="707">
        <v>0</v>
      </c>
      <c r="AB39" s="706">
        <v>0</v>
      </c>
      <c r="AC39" s="704">
        <v>0</v>
      </c>
      <c r="AD39" s="706">
        <v>0</v>
      </c>
      <c r="AE39" s="708">
        <v>0</v>
      </c>
      <c r="AF39" s="704">
        <v>0</v>
      </c>
      <c r="AG39" s="704">
        <v>0</v>
      </c>
      <c r="AH39" s="708">
        <v>0</v>
      </c>
      <c r="AI39" s="709">
        <v>0</v>
      </c>
      <c r="AJ39" s="706">
        <f t="shared" si="15"/>
        <v>7.1428571428571426E-3</v>
      </c>
      <c r="AK39" s="704">
        <v>1.6E-2</v>
      </c>
      <c r="AL39" s="706">
        <f t="shared" si="18"/>
        <v>1.2500000000000001E-2</v>
      </c>
      <c r="AM39" s="710">
        <v>2E-3</v>
      </c>
      <c r="AN39" s="704">
        <v>0</v>
      </c>
      <c r="AO39" s="706">
        <v>0</v>
      </c>
      <c r="AP39" s="711">
        <v>0</v>
      </c>
      <c r="AQ39" s="712">
        <v>0</v>
      </c>
      <c r="AR39" s="711">
        <v>0</v>
      </c>
      <c r="AS39" s="712">
        <v>0</v>
      </c>
      <c r="AT39" s="711">
        <v>0</v>
      </c>
      <c r="AU39" s="712">
        <v>0</v>
      </c>
      <c r="AV39" s="713">
        <v>0</v>
      </c>
      <c r="AW39" s="714">
        <v>0</v>
      </c>
      <c r="AX39" s="711">
        <v>0</v>
      </c>
      <c r="AY39" s="712">
        <v>0</v>
      </c>
      <c r="AZ39" s="713">
        <v>0</v>
      </c>
      <c r="BA39" s="712">
        <v>0</v>
      </c>
      <c r="BB39" s="713">
        <v>0</v>
      </c>
      <c r="BC39" s="712">
        <v>0</v>
      </c>
      <c r="BD39" s="713">
        <v>0</v>
      </c>
      <c r="BE39" s="712">
        <v>0</v>
      </c>
      <c r="BF39" s="713">
        <v>0</v>
      </c>
      <c r="BG39" s="712">
        <v>0</v>
      </c>
      <c r="BH39" s="713">
        <v>0</v>
      </c>
      <c r="BI39" s="712">
        <v>0</v>
      </c>
      <c r="BJ39" s="713">
        <v>0</v>
      </c>
      <c r="BK39" s="712">
        <v>0</v>
      </c>
      <c r="BL39" s="713">
        <v>0</v>
      </c>
      <c r="BM39" s="712">
        <v>0</v>
      </c>
      <c r="BN39" s="713">
        <v>0</v>
      </c>
      <c r="BO39" s="712">
        <v>0</v>
      </c>
      <c r="BP39" s="713">
        <v>0</v>
      </c>
      <c r="BQ39" s="712">
        <v>0</v>
      </c>
      <c r="BR39" s="713">
        <v>0</v>
      </c>
      <c r="BS39" s="712">
        <v>0</v>
      </c>
      <c r="BT39" s="713">
        <v>0</v>
      </c>
      <c r="BU39" s="712">
        <v>0</v>
      </c>
      <c r="BV39" s="711">
        <v>0</v>
      </c>
      <c r="BW39" s="714">
        <v>0</v>
      </c>
      <c r="BX39" s="711">
        <v>0</v>
      </c>
      <c r="BY39" s="714">
        <v>0</v>
      </c>
      <c r="BZ39" s="711">
        <v>0</v>
      </c>
      <c r="CA39" s="714">
        <v>0</v>
      </c>
      <c r="CB39" s="711">
        <v>0</v>
      </c>
      <c r="CC39" s="714">
        <v>0</v>
      </c>
      <c r="CD39" s="711">
        <v>0</v>
      </c>
      <c r="CE39" s="714">
        <v>0</v>
      </c>
      <c r="CF39" s="711">
        <v>0</v>
      </c>
      <c r="CG39" s="714">
        <v>0</v>
      </c>
      <c r="CH39" s="711">
        <v>0</v>
      </c>
      <c r="CI39" s="714">
        <v>0</v>
      </c>
      <c r="CJ39" s="711">
        <v>0</v>
      </c>
      <c r="CK39" s="712">
        <v>0</v>
      </c>
      <c r="CL39" s="711">
        <v>0</v>
      </c>
      <c r="CM39" s="712">
        <v>0</v>
      </c>
      <c r="CN39" s="713">
        <v>0</v>
      </c>
      <c r="CO39" s="712">
        <v>0</v>
      </c>
    </row>
    <row r="40" spans="1:93">
      <c r="A40" s="468">
        <v>38</v>
      </c>
      <c r="B40" s="596">
        <v>0</v>
      </c>
      <c r="C40" s="596">
        <v>0</v>
      </c>
      <c r="D40" s="596">
        <v>0</v>
      </c>
      <c r="E40" s="596">
        <v>0</v>
      </c>
      <c r="F40" s="596">
        <f t="shared" si="17"/>
        <v>1.2500000000000001E-2</v>
      </c>
      <c r="G40" s="596">
        <v>0.01</v>
      </c>
      <c r="H40" s="596">
        <v>0</v>
      </c>
      <c r="I40" s="596">
        <v>0</v>
      </c>
      <c r="J40" s="596">
        <v>0</v>
      </c>
      <c r="K40" s="596">
        <v>0</v>
      </c>
      <c r="L40" s="596">
        <v>0</v>
      </c>
      <c r="M40" s="596">
        <v>0</v>
      </c>
      <c r="N40" s="596">
        <v>0</v>
      </c>
      <c r="O40" s="596">
        <v>0</v>
      </c>
      <c r="P40" s="596">
        <v>0</v>
      </c>
      <c r="Q40" s="596">
        <v>0</v>
      </c>
      <c r="R40" s="596">
        <v>0</v>
      </c>
      <c r="S40" s="596">
        <v>0</v>
      </c>
      <c r="T40" s="596">
        <v>0.01</v>
      </c>
      <c r="U40" s="596">
        <v>0</v>
      </c>
      <c r="V40" s="596">
        <v>0</v>
      </c>
      <c r="W40" s="612">
        <v>0</v>
      </c>
      <c r="X40" s="704">
        <v>0</v>
      </c>
      <c r="Y40" s="705">
        <v>0</v>
      </c>
      <c r="Z40" s="706">
        <v>0</v>
      </c>
      <c r="AA40" s="707">
        <v>0</v>
      </c>
      <c r="AB40" s="706">
        <v>0</v>
      </c>
      <c r="AC40" s="704">
        <v>0</v>
      </c>
      <c r="AD40" s="706">
        <v>0</v>
      </c>
      <c r="AE40" s="708">
        <v>0</v>
      </c>
      <c r="AF40" s="704">
        <v>0</v>
      </c>
      <c r="AG40" s="704">
        <v>0</v>
      </c>
      <c r="AH40" s="708">
        <v>0</v>
      </c>
      <c r="AI40" s="709">
        <v>0</v>
      </c>
      <c r="AJ40" s="706">
        <f t="shared" si="15"/>
        <v>7.1428571428571426E-3</v>
      </c>
      <c r="AK40" s="704">
        <v>1.6E-2</v>
      </c>
      <c r="AL40" s="706">
        <f t="shared" si="18"/>
        <v>1.2500000000000001E-2</v>
      </c>
      <c r="AM40" s="710">
        <v>2E-3</v>
      </c>
      <c r="AN40" s="704">
        <v>0</v>
      </c>
      <c r="AO40" s="706">
        <v>0</v>
      </c>
      <c r="AP40" s="711">
        <v>0</v>
      </c>
      <c r="AQ40" s="712">
        <v>0</v>
      </c>
      <c r="AR40" s="711">
        <v>0</v>
      </c>
      <c r="AS40" s="712">
        <v>0</v>
      </c>
      <c r="AT40" s="711">
        <v>0</v>
      </c>
      <c r="AU40" s="712">
        <v>0</v>
      </c>
      <c r="AV40" s="713">
        <v>0</v>
      </c>
      <c r="AW40" s="714">
        <v>0</v>
      </c>
      <c r="AX40" s="711">
        <v>0</v>
      </c>
      <c r="AY40" s="712">
        <v>0</v>
      </c>
      <c r="AZ40" s="713">
        <v>0</v>
      </c>
      <c r="BA40" s="712">
        <v>0</v>
      </c>
      <c r="BB40" s="713">
        <v>0</v>
      </c>
      <c r="BC40" s="712">
        <v>0</v>
      </c>
      <c r="BD40" s="713">
        <v>0</v>
      </c>
      <c r="BE40" s="712">
        <v>0</v>
      </c>
      <c r="BF40" s="713">
        <v>0</v>
      </c>
      <c r="BG40" s="712">
        <v>0</v>
      </c>
      <c r="BH40" s="713">
        <v>0</v>
      </c>
      <c r="BI40" s="712">
        <v>0</v>
      </c>
      <c r="BJ40" s="713">
        <v>0</v>
      </c>
      <c r="BK40" s="712">
        <v>0</v>
      </c>
      <c r="BL40" s="713">
        <v>0</v>
      </c>
      <c r="BM40" s="712">
        <v>0</v>
      </c>
      <c r="BN40" s="713">
        <v>0</v>
      </c>
      <c r="BO40" s="712">
        <v>0</v>
      </c>
      <c r="BP40" s="713">
        <v>0</v>
      </c>
      <c r="BQ40" s="712">
        <v>0</v>
      </c>
      <c r="BR40" s="713">
        <v>0</v>
      </c>
      <c r="BS40" s="712">
        <v>0</v>
      </c>
      <c r="BT40" s="713">
        <v>0</v>
      </c>
      <c r="BU40" s="712">
        <v>0</v>
      </c>
      <c r="BV40" s="711">
        <v>0</v>
      </c>
      <c r="BW40" s="714">
        <v>0</v>
      </c>
      <c r="BX40" s="711">
        <v>0</v>
      </c>
      <c r="BY40" s="714">
        <v>0</v>
      </c>
      <c r="BZ40" s="711">
        <v>0</v>
      </c>
      <c r="CA40" s="714">
        <v>0</v>
      </c>
      <c r="CB40" s="711">
        <v>0</v>
      </c>
      <c r="CC40" s="714">
        <v>0</v>
      </c>
      <c r="CD40" s="711">
        <v>0</v>
      </c>
      <c r="CE40" s="714">
        <v>0</v>
      </c>
      <c r="CF40" s="711">
        <v>0</v>
      </c>
      <c r="CG40" s="714">
        <v>0</v>
      </c>
      <c r="CH40" s="711">
        <v>0</v>
      </c>
      <c r="CI40" s="714">
        <v>0</v>
      </c>
      <c r="CJ40" s="711">
        <v>0</v>
      </c>
      <c r="CK40" s="712">
        <v>0</v>
      </c>
      <c r="CL40" s="711">
        <v>0</v>
      </c>
      <c r="CM40" s="712">
        <v>0</v>
      </c>
      <c r="CN40" s="713">
        <v>0</v>
      </c>
      <c r="CO40" s="712">
        <v>0</v>
      </c>
    </row>
    <row r="41" spans="1:93">
      <c r="A41" s="468">
        <v>39</v>
      </c>
      <c r="B41" s="596">
        <v>0</v>
      </c>
      <c r="C41" s="596">
        <v>0</v>
      </c>
      <c r="D41" s="596">
        <v>0</v>
      </c>
      <c r="E41" s="596">
        <v>0</v>
      </c>
      <c r="F41" s="596">
        <f t="shared" si="17"/>
        <v>1.2500000000000001E-2</v>
      </c>
      <c r="G41" s="596">
        <v>0.01</v>
      </c>
      <c r="H41" s="596">
        <v>0</v>
      </c>
      <c r="I41" s="596">
        <v>0</v>
      </c>
      <c r="J41" s="596">
        <v>0</v>
      </c>
      <c r="K41" s="596">
        <v>0</v>
      </c>
      <c r="L41" s="596">
        <v>0</v>
      </c>
      <c r="M41" s="596">
        <v>0</v>
      </c>
      <c r="N41" s="596">
        <v>0</v>
      </c>
      <c r="O41" s="596">
        <v>0</v>
      </c>
      <c r="P41" s="596">
        <v>0</v>
      </c>
      <c r="Q41" s="596">
        <v>0</v>
      </c>
      <c r="R41" s="596">
        <v>0</v>
      </c>
      <c r="S41" s="596">
        <v>0</v>
      </c>
      <c r="T41" s="596">
        <v>0.01</v>
      </c>
      <c r="U41" s="596">
        <v>0</v>
      </c>
      <c r="V41" s="596">
        <v>0</v>
      </c>
      <c r="W41" s="612">
        <v>0</v>
      </c>
      <c r="X41" s="704">
        <v>0</v>
      </c>
      <c r="Y41" s="705">
        <v>0</v>
      </c>
      <c r="Z41" s="706">
        <v>0</v>
      </c>
      <c r="AA41" s="707">
        <v>0</v>
      </c>
      <c r="AB41" s="706">
        <v>0</v>
      </c>
      <c r="AC41" s="704">
        <v>0</v>
      </c>
      <c r="AD41" s="706">
        <v>0</v>
      </c>
      <c r="AE41" s="708">
        <v>0</v>
      </c>
      <c r="AF41" s="704">
        <v>0</v>
      </c>
      <c r="AG41" s="704">
        <v>0</v>
      </c>
      <c r="AH41" s="708">
        <v>0</v>
      </c>
      <c r="AI41" s="709">
        <v>0</v>
      </c>
      <c r="AJ41" s="706">
        <f t="shared" si="15"/>
        <v>7.1428571428571426E-3</v>
      </c>
      <c r="AK41" s="704">
        <v>1.6E-2</v>
      </c>
      <c r="AL41" s="706">
        <f t="shared" si="18"/>
        <v>1.2500000000000001E-2</v>
      </c>
      <c r="AM41" s="710">
        <v>2E-3</v>
      </c>
      <c r="AN41" s="704">
        <v>0</v>
      </c>
      <c r="AO41" s="706">
        <v>0</v>
      </c>
      <c r="AP41" s="711">
        <v>0</v>
      </c>
      <c r="AQ41" s="712">
        <v>0</v>
      </c>
      <c r="AR41" s="711">
        <v>0</v>
      </c>
      <c r="AS41" s="712">
        <v>0</v>
      </c>
      <c r="AT41" s="711">
        <v>0</v>
      </c>
      <c r="AU41" s="712">
        <v>0</v>
      </c>
      <c r="AV41" s="713">
        <v>0</v>
      </c>
      <c r="AW41" s="714">
        <v>0</v>
      </c>
      <c r="AX41" s="711">
        <v>0</v>
      </c>
      <c r="AY41" s="712">
        <v>0</v>
      </c>
      <c r="AZ41" s="713">
        <v>0</v>
      </c>
      <c r="BA41" s="712">
        <v>0</v>
      </c>
      <c r="BB41" s="713">
        <v>0</v>
      </c>
      <c r="BC41" s="712">
        <v>0</v>
      </c>
      <c r="BD41" s="713">
        <v>0</v>
      </c>
      <c r="BE41" s="712">
        <v>0</v>
      </c>
      <c r="BF41" s="713">
        <v>0</v>
      </c>
      <c r="BG41" s="712">
        <v>0</v>
      </c>
      <c r="BH41" s="713">
        <v>0</v>
      </c>
      <c r="BI41" s="712">
        <v>0</v>
      </c>
      <c r="BJ41" s="713">
        <v>0</v>
      </c>
      <c r="BK41" s="712">
        <v>0</v>
      </c>
      <c r="BL41" s="713">
        <v>0</v>
      </c>
      <c r="BM41" s="712">
        <v>0</v>
      </c>
      <c r="BN41" s="713">
        <v>0</v>
      </c>
      <c r="BO41" s="712">
        <v>0</v>
      </c>
      <c r="BP41" s="713">
        <v>0</v>
      </c>
      <c r="BQ41" s="712">
        <v>0</v>
      </c>
      <c r="BR41" s="713">
        <v>0</v>
      </c>
      <c r="BS41" s="712">
        <v>0</v>
      </c>
      <c r="BT41" s="713">
        <v>0</v>
      </c>
      <c r="BU41" s="712">
        <v>0</v>
      </c>
      <c r="BV41" s="711">
        <v>0</v>
      </c>
      <c r="BW41" s="714">
        <v>0</v>
      </c>
      <c r="BX41" s="711">
        <v>0</v>
      </c>
      <c r="BY41" s="714">
        <v>0</v>
      </c>
      <c r="BZ41" s="711">
        <v>0</v>
      </c>
      <c r="CA41" s="714">
        <v>0</v>
      </c>
      <c r="CB41" s="711">
        <v>0</v>
      </c>
      <c r="CC41" s="714">
        <v>0</v>
      </c>
      <c r="CD41" s="711">
        <v>0</v>
      </c>
      <c r="CE41" s="714">
        <v>0</v>
      </c>
      <c r="CF41" s="711">
        <v>0</v>
      </c>
      <c r="CG41" s="714">
        <v>0</v>
      </c>
      <c r="CH41" s="711">
        <v>0</v>
      </c>
      <c r="CI41" s="714">
        <v>0</v>
      </c>
      <c r="CJ41" s="711">
        <v>0</v>
      </c>
      <c r="CK41" s="712">
        <v>0</v>
      </c>
      <c r="CL41" s="711">
        <v>0</v>
      </c>
      <c r="CM41" s="712">
        <v>0</v>
      </c>
      <c r="CN41" s="713">
        <v>0</v>
      </c>
      <c r="CO41" s="712">
        <v>0</v>
      </c>
    </row>
    <row r="42" spans="1:93">
      <c r="A42" s="468">
        <v>40</v>
      </c>
      <c r="B42" s="596">
        <v>0</v>
      </c>
      <c r="C42" s="596">
        <v>0</v>
      </c>
      <c r="D42" s="596">
        <v>0</v>
      </c>
      <c r="E42" s="596">
        <v>0</v>
      </c>
      <c r="F42" s="596">
        <f t="shared" si="17"/>
        <v>1.2500000000000001E-2</v>
      </c>
      <c r="G42" s="596">
        <v>0.02</v>
      </c>
      <c r="H42" s="596">
        <v>0</v>
      </c>
      <c r="I42" s="596">
        <v>0</v>
      </c>
      <c r="J42" s="596">
        <v>0</v>
      </c>
      <c r="K42" s="596">
        <v>0</v>
      </c>
      <c r="L42" s="596">
        <v>0</v>
      </c>
      <c r="M42" s="596">
        <v>0</v>
      </c>
      <c r="N42" s="596">
        <v>0</v>
      </c>
      <c r="O42" s="596">
        <v>0</v>
      </c>
      <c r="P42" s="596">
        <v>0</v>
      </c>
      <c r="Q42" s="596">
        <v>0</v>
      </c>
      <c r="R42" s="596">
        <v>0</v>
      </c>
      <c r="S42" s="596">
        <v>0</v>
      </c>
      <c r="T42" s="596">
        <v>0.02</v>
      </c>
      <c r="U42" s="596">
        <v>0</v>
      </c>
      <c r="V42" s="596">
        <v>0</v>
      </c>
      <c r="W42" s="612">
        <v>0</v>
      </c>
      <c r="X42" s="704">
        <v>0</v>
      </c>
      <c r="Y42" s="705">
        <v>0</v>
      </c>
      <c r="Z42" s="706">
        <v>0</v>
      </c>
      <c r="AA42" s="707">
        <v>0</v>
      </c>
      <c r="AB42" s="706">
        <v>0</v>
      </c>
      <c r="AC42" s="704">
        <v>0</v>
      </c>
      <c r="AD42" s="706">
        <v>0</v>
      </c>
      <c r="AE42" s="708">
        <v>0</v>
      </c>
      <c r="AF42" s="704">
        <v>0</v>
      </c>
      <c r="AG42" s="704">
        <v>0</v>
      </c>
      <c r="AH42" s="708">
        <v>0</v>
      </c>
      <c r="AI42" s="709">
        <v>0</v>
      </c>
      <c r="AJ42" s="706">
        <f t="shared" si="15"/>
        <v>7.1428571428571426E-3</v>
      </c>
      <c r="AK42" s="704">
        <v>5.0000000000000001E-3</v>
      </c>
      <c r="AL42" s="706">
        <f t="shared" si="18"/>
        <v>1.2500000000000001E-2</v>
      </c>
      <c r="AM42" s="710">
        <v>1E-3</v>
      </c>
      <c r="AN42" s="704">
        <v>0</v>
      </c>
      <c r="AO42" s="706">
        <v>0</v>
      </c>
      <c r="AP42" s="711">
        <v>0</v>
      </c>
      <c r="AQ42" s="712">
        <v>0</v>
      </c>
      <c r="AR42" s="711">
        <v>0</v>
      </c>
      <c r="AS42" s="712">
        <v>0</v>
      </c>
      <c r="AT42" s="711">
        <v>0</v>
      </c>
      <c r="AU42" s="712">
        <v>0</v>
      </c>
      <c r="AV42" s="713">
        <v>0</v>
      </c>
      <c r="AW42" s="714">
        <v>0</v>
      </c>
      <c r="AX42" s="711">
        <v>0</v>
      </c>
      <c r="AY42" s="712">
        <v>0</v>
      </c>
      <c r="AZ42" s="713">
        <v>0</v>
      </c>
      <c r="BA42" s="712">
        <v>0</v>
      </c>
      <c r="BB42" s="713">
        <v>0</v>
      </c>
      <c r="BC42" s="712">
        <v>0</v>
      </c>
      <c r="BD42" s="713">
        <v>0</v>
      </c>
      <c r="BE42" s="712">
        <v>0</v>
      </c>
      <c r="BF42" s="713">
        <v>0</v>
      </c>
      <c r="BG42" s="712">
        <v>0</v>
      </c>
      <c r="BH42" s="713">
        <v>0</v>
      </c>
      <c r="BI42" s="712">
        <v>0</v>
      </c>
      <c r="BJ42" s="713">
        <v>0</v>
      </c>
      <c r="BK42" s="712">
        <v>0</v>
      </c>
      <c r="BL42" s="713">
        <v>0</v>
      </c>
      <c r="BM42" s="712">
        <v>0</v>
      </c>
      <c r="BN42" s="713">
        <v>0</v>
      </c>
      <c r="BO42" s="712">
        <v>0</v>
      </c>
      <c r="BP42" s="713">
        <v>0</v>
      </c>
      <c r="BQ42" s="712">
        <v>0</v>
      </c>
      <c r="BR42" s="713">
        <v>0</v>
      </c>
      <c r="BS42" s="712">
        <v>0</v>
      </c>
      <c r="BT42" s="713">
        <v>0</v>
      </c>
      <c r="BU42" s="712">
        <v>0</v>
      </c>
      <c r="BV42" s="711">
        <v>0</v>
      </c>
      <c r="BW42" s="714">
        <v>0</v>
      </c>
      <c r="BX42" s="711">
        <v>0</v>
      </c>
      <c r="BY42" s="714">
        <v>0</v>
      </c>
      <c r="BZ42" s="711">
        <v>0</v>
      </c>
      <c r="CA42" s="714">
        <v>0</v>
      </c>
      <c r="CB42" s="711">
        <v>0</v>
      </c>
      <c r="CC42" s="714">
        <v>0</v>
      </c>
      <c r="CD42" s="711">
        <v>0</v>
      </c>
      <c r="CE42" s="714">
        <v>0</v>
      </c>
      <c r="CF42" s="711">
        <v>0</v>
      </c>
      <c r="CG42" s="714">
        <v>0</v>
      </c>
      <c r="CH42" s="711">
        <v>0</v>
      </c>
      <c r="CI42" s="714">
        <v>0</v>
      </c>
      <c r="CJ42" s="711">
        <v>0</v>
      </c>
      <c r="CK42" s="712">
        <v>0</v>
      </c>
      <c r="CL42" s="711">
        <v>0</v>
      </c>
      <c r="CM42" s="712">
        <v>0</v>
      </c>
      <c r="CN42" s="713">
        <v>0</v>
      </c>
      <c r="CO42" s="712">
        <v>0</v>
      </c>
    </row>
    <row r="43" spans="1:93">
      <c r="A43" s="468">
        <v>41</v>
      </c>
      <c r="B43" s="596">
        <v>0</v>
      </c>
      <c r="C43" s="596">
        <v>0</v>
      </c>
      <c r="D43" s="596">
        <v>0</v>
      </c>
      <c r="E43" s="596">
        <v>0</v>
      </c>
      <c r="F43" s="596">
        <f t="shared" si="17"/>
        <v>1.2500000000000001E-2</v>
      </c>
      <c r="G43" s="596">
        <v>0.02</v>
      </c>
      <c r="H43" s="596">
        <v>0</v>
      </c>
      <c r="I43" s="596">
        <v>0</v>
      </c>
      <c r="J43" s="596">
        <v>0</v>
      </c>
      <c r="K43" s="596">
        <v>0</v>
      </c>
      <c r="L43" s="596">
        <v>0</v>
      </c>
      <c r="M43" s="596">
        <v>0</v>
      </c>
      <c r="N43" s="596">
        <v>0</v>
      </c>
      <c r="O43" s="596">
        <v>0</v>
      </c>
      <c r="P43" s="596">
        <v>0</v>
      </c>
      <c r="Q43" s="596">
        <v>0</v>
      </c>
      <c r="R43" s="596">
        <v>0</v>
      </c>
      <c r="S43" s="596">
        <v>0</v>
      </c>
      <c r="T43" s="596">
        <v>0.02</v>
      </c>
      <c r="U43" s="596">
        <v>0</v>
      </c>
      <c r="V43" s="596">
        <v>0</v>
      </c>
      <c r="W43" s="612">
        <v>0</v>
      </c>
      <c r="X43" s="704">
        <v>0</v>
      </c>
      <c r="Y43" s="705">
        <v>0</v>
      </c>
      <c r="Z43" s="706">
        <v>0</v>
      </c>
      <c r="AA43" s="707">
        <v>0</v>
      </c>
      <c r="AB43" s="706">
        <v>0</v>
      </c>
      <c r="AC43" s="704">
        <v>0</v>
      </c>
      <c r="AD43" s="706">
        <v>0</v>
      </c>
      <c r="AE43" s="708">
        <v>0</v>
      </c>
      <c r="AF43" s="704">
        <v>0</v>
      </c>
      <c r="AG43" s="704">
        <v>0</v>
      </c>
      <c r="AH43" s="708">
        <v>0</v>
      </c>
      <c r="AI43" s="709">
        <v>0</v>
      </c>
      <c r="AJ43" s="706">
        <f t="shared" si="15"/>
        <v>7.1428571428571426E-3</v>
      </c>
      <c r="AK43" s="704">
        <v>5.0000000000000001E-3</v>
      </c>
      <c r="AL43" s="706">
        <f t="shared" si="18"/>
        <v>1.2500000000000001E-2</v>
      </c>
      <c r="AM43" s="710">
        <v>1E-3</v>
      </c>
      <c r="AN43" s="704">
        <v>0</v>
      </c>
      <c r="AO43" s="706">
        <v>0</v>
      </c>
      <c r="AP43" s="711">
        <v>0</v>
      </c>
      <c r="AQ43" s="712">
        <v>0</v>
      </c>
      <c r="AR43" s="711">
        <v>0</v>
      </c>
      <c r="AS43" s="712">
        <v>0</v>
      </c>
      <c r="AT43" s="711">
        <v>0</v>
      </c>
      <c r="AU43" s="712">
        <v>0</v>
      </c>
      <c r="AV43" s="713">
        <v>0</v>
      </c>
      <c r="AW43" s="714">
        <v>0</v>
      </c>
      <c r="AX43" s="711">
        <v>0</v>
      </c>
      <c r="AY43" s="712">
        <v>0</v>
      </c>
      <c r="AZ43" s="713">
        <v>0</v>
      </c>
      <c r="BA43" s="712">
        <v>0</v>
      </c>
      <c r="BB43" s="713">
        <v>0</v>
      </c>
      <c r="BC43" s="712">
        <v>0</v>
      </c>
      <c r="BD43" s="713">
        <v>0</v>
      </c>
      <c r="BE43" s="712">
        <v>0</v>
      </c>
      <c r="BF43" s="713">
        <v>0</v>
      </c>
      <c r="BG43" s="712">
        <v>0</v>
      </c>
      <c r="BH43" s="713">
        <v>0</v>
      </c>
      <c r="BI43" s="712">
        <v>0</v>
      </c>
      <c r="BJ43" s="713">
        <v>0</v>
      </c>
      <c r="BK43" s="712">
        <v>0</v>
      </c>
      <c r="BL43" s="713">
        <v>0</v>
      </c>
      <c r="BM43" s="712">
        <v>0</v>
      </c>
      <c r="BN43" s="713">
        <v>0</v>
      </c>
      <c r="BO43" s="712">
        <v>0</v>
      </c>
      <c r="BP43" s="713">
        <v>0</v>
      </c>
      <c r="BQ43" s="712">
        <v>0</v>
      </c>
      <c r="BR43" s="713">
        <v>0</v>
      </c>
      <c r="BS43" s="712">
        <v>0</v>
      </c>
      <c r="BT43" s="713">
        <v>0</v>
      </c>
      <c r="BU43" s="712">
        <v>0</v>
      </c>
      <c r="BV43" s="711">
        <v>0</v>
      </c>
      <c r="BW43" s="714">
        <v>0</v>
      </c>
      <c r="BX43" s="711">
        <v>0</v>
      </c>
      <c r="BY43" s="714">
        <v>0</v>
      </c>
      <c r="BZ43" s="711">
        <v>0</v>
      </c>
      <c r="CA43" s="714">
        <v>0</v>
      </c>
      <c r="CB43" s="711">
        <v>0</v>
      </c>
      <c r="CC43" s="714">
        <v>0</v>
      </c>
      <c r="CD43" s="711">
        <v>0</v>
      </c>
      <c r="CE43" s="714">
        <v>0</v>
      </c>
      <c r="CF43" s="711">
        <v>0</v>
      </c>
      <c r="CG43" s="714">
        <v>0</v>
      </c>
      <c r="CH43" s="711">
        <v>0</v>
      </c>
      <c r="CI43" s="714">
        <v>0</v>
      </c>
      <c r="CJ43" s="711">
        <v>0</v>
      </c>
      <c r="CK43" s="712">
        <v>0</v>
      </c>
      <c r="CL43" s="711">
        <v>0</v>
      </c>
      <c r="CM43" s="712">
        <v>0</v>
      </c>
      <c r="CN43" s="713">
        <v>0</v>
      </c>
      <c r="CO43" s="712">
        <v>0</v>
      </c>
    </row>
    <row r="44" spans="1:93">
      <c r="A44" s="468">
        <v>42</v>
      </c>
      <c r="B44" s="596">
        <v>0</v>
      </c>
      <c r="C44" s="596">
        <v>0</v>
      </c>
      <c r="D44" s="596">
        <v>0</v>
      </c>
      <c r="E44" s="596">
        <v>0</v>
      </c>
      <c r="F44" s="596">
        <f t="shared" si="17"/>
        <v>1.2500000000000001E-2</v>
      </c>
      <c r="G44" s="596">
        <v>0.02</v>
      </c>
      <c r="H44" s="596">
        <v>0</v>
      </c>
      <c r="I44" s="596">
        <v>0</v>
      </c>
      <c r="J44" s="596">
        <v>0</v>
      </c>
      <c r="K44" s="596">
        <v>0</v>
      </c>
      <c r="L44" s="596">
        <v>0</v>
      </c>
      <c r="M44" s="596">
        <v>0</v>
      </c>
      <c r="N44" s="596">
        <v>0</v>
      </c>
      <c r="O44" s="596">
        <v>0</v>
      </c>
      <c r="P44" s="596">
        <v>0</v>
      </c>
      <c r="Q44" s="596">
        <v>0</v>
      </c>
      <c r="R44" s="596">
        <v>0</v>
      </c>
      <c r="S44" s="596">
        <v>0</v>
      </c>
      <c r="T44" s="596">
        <v>0.02</v>
      </c>
      <c r="U44" s="596">
        <v>0</v>
      </c>
      <c r="V44" s="596">
        <v>0</v>
      </c>
      <c r="W44" s="612">
        <v>0</v>
      </c>
      <c r="X44" s="704">
        <v>0</v>
      </c>
      <c r="Y44" s="705">
        <v>0</v>
      </c>
      <c r="Z44" s="706">
        <v>0</v>
      </c>
      <c r="AA44" s="707">
        <v>0</v>
      </c>
      <c r="AB44" s="706">
        <v>0</v>
      </c>
      <c r="AC44" s="704">
        <v>0</v>
      </c>
      <c r="AD44" s="706">
        <v>0</v>
      </c>
      <c r="AE44" s="708">
        <v>0</v>
      </c>
      <c r="AF44" s="704">
        <v>0</v>
      </c>
      <c r="AG44" s="704">
        <v>0</v>
      </c>
      <c r="AH44" s="708">
        <v>0</v>
      </c>
      <c r="AI44" s="709">
        <v>0</v>
      </c>
      <c r="AJ44" s="706">
        <f t="shared" si="15"/>
        <v>7.1428571428571426E-3</v>
      </c>
      <c r="AK44" s="704">
        <v>5.0000000000000001E-3</v>
      </c>
      <c r="AL44" s="706">
        <f t="shared" si="18"/>
        <v>1.2500000000000001E-2</v>
      </c>
      <c r="AM44" s="710">
        <v>1E-3</v>
      </c>
      <c r="AN44" s="704">
        <v>0</v>
      </c>
      <c r="AO44" s="706">
        <v>0</v>
      </c>
      <c r="AP44" s="711">
        <v>0</v>
      </c>
      <c r="AQ44" s="712">
        <v>0</v>
      </c>
      <c r="AR44" s="711">
        <v>0</v>
      </c>
      <c r="AS44" s="712">
        <v>0</v>
      </c>
      <c r="AT44" s="711">
        <v>0</v>
      </c>
      <c r="AU44" s="712">
        <v>0</v>
      </c>
      <c r="AV44" s="713">
        <v>0</v>
      </c>
      <c r="AW44" s="714">
        <v>0</v>
      </c>
      <c r="AX44" s="711">
        <v>0</v>
      </c>
      <c r="AY44" s="712">
        <v>0</v>
      </c>
      <c r="AZ44" s="713">
        <v>0</v>
      </c>
      <c r="BA44" s="712">
        <v>0</v>
      </c>
      <c r="BB44" s="713">
        <v>0</v>
      </c>
      <c r="BC44" s="712">
        <v>0</v>
      </c>
      <c r="BD44" s="713">
        <v>0</v>
      </c>
      <c r="BE44" s="712">
        <v>0</v>
      </c>
      <c r="BF44" s="713">
        <v>0</v>
      </c>
      <c r="BG44" s="712">
        <v>0</v>
      </c>
      <c r="BH44" s="713">
        <v>0</v>
      </c>
      <c r="BI44" s="712">
        <v>0</v>
      </c>
      <c r="BJ44" s="713">
        <v>0</v>
      </c>
      <c r="BK44" s="712">
        <v>0</v>
      </c>
      <c r="BL44" s="713">
        <v>0</v>
      </c>
      <c r="BM44" s="712">
        <v>0</v>
      </c>
      <c r="BN44" s="713">
        <v>0</v>
      </c>
      <c r="BO44" s="712">
        <v>0</v>
      </c>
      <c r="BP44" s="713">
        <v>0</v>
      </c>
      <c r="BQ44" s="712">
        <v>0</v>
      </c>
      <c r="BR44" s="713">
        <v>0</v>
      </c>
      <c r="BS44" s="712">
        <v>0</v>
      </c>
      <c r="BT44" s="713">
        <v>0</v>
      </c>
      <c r="BU44" s="712">
        <v>0</v>
      </c>
      <c r="BV44" s="711">
        <v>0</v>
      </c>
      <c r="BW44" s="714">
        <v>0</v>
      </c>
      <c r="BX44" s="711">
        <v>0</v>
      </c>
      <c r="BY44" s="714">
        <v>0</v>
      </c>
      <c r="BZ44" s="711">
        <v>0</v>
      </c>
      <c r="CA44" s="714">
        <v>0</v>
      </c>
      <c r="CB44" s="711">
        <v>0</v>
      </c>
      <c r="CC44" s="714">
        <v>0</v>
      </c>
      <c r="CD44" s="711">
        <v>0</v>
      </c>
      <c r="CE44" s="714">
        <v>0</v>
      </c>
      <c r="CF44" s="711">
        <v>0</v>
      </c>
      <c r="CG44" s="714">
        <v>0</v>
      </c>
      <c r="CH44" s="711">
        <v>0</v>
      </c>
      <c r="CI44" s="714">
        <v>0</v>
      </c>
      <c r="CJ44" s="711">
        <v>0</v>
      </c>
      <c r="CK44" s="712">
        <v>0</v>
      </c>
      <c r="CL44" s="711">
        <v>0</v>
      </c>
      <c r="CM44" s="712">
        <v>0</v>
      </c>
      <c r="CN44" s="713">
        <v>0</v>
      </c>
      <c r="CO44" s="712">
        <v>0</v>
      </c>
    </row>
    <row r="45" spans="1:93">
      <c r="A45" s="468">
        <v>43</v>
      </c>
      <c r="B45" s="596">
        <v>0</v>
      </c>
      <c r="C45" s="596">
        <v>0</v>
      </c>
      <c r="D45" s="596">
        <v>0</v>
      </c>
      <c r="E45" s="596">
        <v>0</v>
      </c>
      <c r="F45" s="596">
        <f t="shared" si="17"/>
        <v>1.2500000000000001E-2</v>
      </c>
      <c r="G45" s="596">
        <v>0.02</v>
      </c>
      <c r="H45" s="596">
        <v>0</v>
      </c>
      <c r="I45" s="596">
        <v>0</v>
      </c>
      <c r="J45" s="596">
        <v>0</v>
      </c>
      <c r="K45" s="596">
        <v>0</v>
      </c>
      <c r="L45" s="596">
        <v>0</v>
      </c>
      <c r="M45" s="596">
        <v>0</v>
      </c>
      <c r="N45" s="596">
        <v>0</v>
      </c>
      <c r="O45" s="596">
        <v>0</v>
      </c>
      <c r="P45" s="596">
        <v>0</v>
      </c>
      <c r="Q45" s="596">
        <v>0</v>
      </c>
      <c r="R45" s="596">
        <v>0</v>
      </c>
      <c r="S45" s="596">
        <v>0</v>
      </c>
      <c r="T45" s="596">
        <v>0.02</v>
      </c>
      <c r="U45" s="596">
        <v>0</v>
      </c>
      <c r="V45" s="596">
        <v>0</v>
      </c>
      <c r="W45" s="612">
        <v>0</v>
      </c>
      <c r="X45" s="704">
        <v>0</v>
      </c>
      <c r="Y45" s="705">
        <v>0</v>
      </c>
      <c r="Z45" s="706">
        <v>0</v>
      </c>
      <c r="AA45" s="707">
        <v>0</v>
      </c>
      <c r="AB45" s="706">
        <v>0</v>
      </c>
      <c r="AC45" s="704">
        <v>0</v>
      </c>
      <c r="AD45" s="706">
        <v>0</v>
      </c>
      <c r="AE45" s="708">
        <v>0</v>
      </c>
      <c r="AF45" s="704">
        <v>0</v>
      </c>
      <c r="AG45" s="704">
        <v>0</v>
      </c>
      <c r="AH45" s="708">
        <v>0</v>
      </c>
      <c r="AI45" s="709">
        <v>0</v>
      </c>
      <c r="AJ45" s="706">
        <f t="shared" si="15"/>
        <v>7.1428571428571426E-3</v>
      </c>
      <c r="AK45" s="704">
        <v>5.0000000000000001E-3</v>
      </c>
      <c r="AL45" s="706">
        <f t="shared" si="18"/>
        <v>1.2500000000000001E-2</v>
      </c>
      <c r="AM45" s="710">
        <v>1E-3</v>
      </c>
      <c r="AN45" s="704">
        <v>0</v>
      </c>
      <c r="AO45" s="706">
        <v>0</v>
      </c>
      <c r="AP45" s="711">
        <v>0</v>
      </c>
      <c r="AQ45" s="712">
        <v>0</v>
      </c>
      <c r="AR45" s="711">
        <v>0</v>
      </c>
      <c r="AS45" s="712">
        <v>0</v>
      </c>
      <c r="AT45" s="711">
        <v>0</v>
      </c>
      <c r="AU45" s="712">
        <v>0</v>
      </c>
      <c r="AV45" s="713">
        <v>0</v>
      </c>
      <c r="AW45" s="714">
        <v>0</v>
      </c>
      <c r="AX45" s="711">
        <v>0</v>
      </c>
      <c r="AY45" s="712">
        <v>0</v>
      </c>
      <c r="AZ45" s="713">
        <v>0</v>
      </c>
      <c r="BA45" s="712">
        <v>0</v>
      </c>
      <c r="BB45" s="713">
        <v>0</v>
      </c>
      <c r="BC45" s="712">
        <v>0</v>
      </c>
      <c r="BD45" s="713">
        <v>0</v>
      </c>
      <c r="BE45" s="712">
        <v>0</v>
      </c>
      <c r="BF45" s="713">
        <v>0</v>
      </c>
      <c r="BG45" s="712">
        <v>0</v>
      </c>
      <c r="BH45" s="713">
        <v>0</v>
      </c>
      <c r="BI45" s="712">
        <v>0</v>
      </c>
      <c r="BJ45" s="713">
        <v>0</v>
      </c>
      <c r="BK45" s="712">
        <v>0</v>
      </c>
      <c r="BL45" s="713">
        <v>0</v>
      </c>
      <c r="BM45" s="712">
        <v>0</v>
      </c>
      <c r="BN45" s="713">
        <v>0</v>
      </c>
      <c r="BO45" s="712">
        <v>0</v>
      </c>
      <c r="BP45" s="713">
        <v>0</v>
      </c>
      <c r="BQ45" s="712">
        <v>0</v>
      </c>
      <c r="BR45" s="713">
        <v>0</v>
      </c>
      <c r="BS45" s="712">
        <v>0</v>
      </c>
      <c r="BT45" s="713">
        <v>0</v>
      </c>
      <c r="BU45" s="712">
        <v>0</v>
      </c>
      <c r="BV45" s="711">
        <v>0</v>
      </c>
      <c r="BW45" s="714">
        <v>0</v>
      </c>
      <c r="BX45" s="711">
        <v>0</v>
      </c>
      <c r="BY45" s="714">
        <v>0</v>
      </c>
      <c r="BZ45" s="711">
        <v>0</v>
      </c>
      <c r="CA45" s="714">
        <v>0</v>
      </c>
      <c r="CB45" s="711">
        <v>0</v>
      </c>
      <c r="CC45" s="714">
        <v>0</v>
      </c>
      <c r="CD45" s="711">
        <v>0</v>
      </c>
      <c r="CE45" s="714">
        <v>0</v>
      </c>
      <c r="CF45" s="711">
        <v>0</v>
      </c>
      <c r="CG45" s="714">
        <v>0</v>
      </c>
      <c r="CH45" s="711">
        <v>0</v>
      </c>
      <c r="CI45" s="714">
        <v>0</v>
      </c>
      <c r="CJ45" s="711">
        <v>0</v>
      </c>
      <c r="CK45" s="712">
        <v>0</v>
      </c>
      <c r="CL45" s="711">
        <v>0</v>
      </c>
      <c r="CM45" s="712">
        <v>0</v>
      </c>
      <c r="CN45" s="713">
        <v>0</v>
      </c>
      <c r="CO45" s="712">
        <v>0</v>
      </c>
    </row>
    <row r="46" spans="1:93">
      <c r="A46" s="468">
        <v>44</v>
      </c>
      <c r="B46" s="596">
        <v>0</v>
      </c>
      <c r="C46" s="596">
        <v>0</v>
      </c>
      <c r="D46" s="596">
        <v>0</v>
      </c>
      <c r="E46" s="596">
        <v>0</v>
      </c>
      <c r="F46" s="596">
        <f t="shared" si="17"/>
        <v>1.2500000000000001E-2</v>
      </c>
      <c r="G46" s="596">
        <v>0.02</v>
      </c>
      <c r="H46" s="596">
        <v>0</v>
      </c>
      <c r="I46" s="596">
        <v>0</v>
      </c>
      <c r="J46" s="596">
        <v>0</v>
      </c>
      <c r="K46" s="596">
        <v>0</v>
      </c>
      <c r="L46" s="596">
        <v>0</v>
      </c>
      <c r="M46" s="596">
        <v>0</v>
      </c>
      <c r="N46" s="596">
        <v>0</v>
      </c>
      <c r="O46" s="596">
        <v>0</v>
      </c>
      <c r="P46" s="596">
        <v>0</v>
      </c>
      <c r="Q46" s="596">
        <v>0</v>
      </c>
      <c r="R46" s="596">
        <v>0</v>
      </c>
      <c r="S46" s="596">
        <v>0</v>
      </c>
      <c r="T46" s="596">
        <v>0.02</v>
      </c>
      <c r="U46" s="596">
        <v>0</v>
      </c>
      <c r="V46" s="596">
        <v>0</v>
      </c>
      <c r="W46" s="612">
        <v>0</v>
      </c>
      <c r="X46" s="704">
        <v>0</v>
      </c>
      <c r="Y46" s="705">
        <v>0</v>
      </c>
      <c r="Z46" s="706">
        <v>0</v>
      </c>
      <c r="AA46" s="707">
        <v>0</v>
      </c>
      <c r="AB46" s="706">
        <v>0</v>
      </c>
      <c r="AC46" s="704">
        <v>0</v>
      </c>
      <c r="AD46" s="706">
        <v>0</v>
      </c>
      <c r="AE46" s="708">
        <v>0</v>
      </c>
      <c r="AF46" s="704">
        <v>0</v>
      </c>
      <c r="AG46" s="704">
        <v>0</v>
      </c>
      <c r="AH46" s="708">
        <v>0</v>
      </c>
      <c r="AI46" s="709">
        <v>0</v>
      </c>
      <c r="AJ46" s="706">
        <f t="shared" si="15"/>
        <v>7.1428571428571426E-3</v>
      </c>
      <c r="AK46" s="704">
        <v>5.0000000000000001E-3</v>
      </c>
      <c r="AL46" s="706">
        <f t="shared" si="18"/>
        <v>1.2500000000000001E-2</v>
      </c>
      <c r="AM46" s="710">
        <v>1E-3</v>
      </c>
      <c r="AN46" s="704">
        <v>0</v>
      </c>
      <c r="AO46" s="706">
        <v>0</v>
      </c>
      <c r="AP46" s="711">
        <v>0</v>
      </c>
      <c r="AQ46" s="712">
        <v>0</v>
      </c>
      <c r="AR46" s="711">
        <v>0</v>
      </c>
      <c r="AS46" s="712">
        <v>0</v>
      </c>
      <c r="AT46" s="711">
        <v>0</v>
      </c>
      <c r="AU46" s="712">
        <v>0</v>
      </c>
      <c r="AV46" s="713">
        <v>0</v>
      </c>
      <c r="AW46" s="714">
        <v>0</v>
      </c>
      <c r="AX46" s="711">
        <v>0</v>
      </c>
      <c r="AY46" s="712">
        <v>0</v>
      </c>
      <c r="AZ46" s="713">
        <v>0</v>
      </c>
      <c r="BA46" s="712">
        <v>0</v>
      </c>
      <c r="BB46" s="713">
        <v>0</v>
      </c>
      <c r="BC46" s="712">
        <v>0</v>
      </c>
      <c r="BD46" s="713">
        <v>0</v>
      </c>
      <c r="BE46" s="712">
        <v>0</v>
      </c>
      <c r="BF46" s="713">
        <v>0</v>
      </c>
      <c r="BG46" s="712">
        <v>0</v>
      </c>
      <c r="BH46" s="713">
        <v>0</v>
      </c>
      <c r="BI46" s="712">
        <v>0</v>
      </c>
      <c r="BJ46" s="713">
        <v>0</v>
      </c>
      <c r="BK46" s="712">
        <v>0</v>
      </c>
      <c r="BL46" s="713">
        <v>0</v>
      </c>
      <c r="BM46" s="712">
        <v>0</v>
      </c>
      <c r="BN46" s="713">
        <v>0</v>
      </c>
      <c r="BO46" s="712">
        <v>0</v>
      </c>
      <c r="BP46" s="713">
        <v>0</v>
      </c>
      <c r="BQ46" s="712">
        <v>0</v>
      </c>
      <c r="BR46" s="713">
        <v>0</v>
      </c>
      <c r="BS46" s="712">
        <v>0</v>
      </c>
      <c r="BT46" s="713">
        <v>0</v>
      </c>
      <c r="BU46" s="712">
        <v>0</v>
      </c>
      <c r="BV46" s="711">
        <v>0</v>
      </c>
      <c r="BW46" s="714">
        <v>0</v>
      </c>
      <c r="BX46" s="711">
        <v>0</v>
      </c>
      <c r="BY46" s="714">
        <v>0</v>
      </c>
      <c r="BZ46" s="711">
        <v>0</v>
      </c>
      <c r="CA46" s="714">
        <v>0</v>
      </c>
      <c r="CB46" s="711">
        <v>0</v>
      </c>
      <c r="CC46" s="714">
        <v>0</v>
      </c>
      <c r="CD46" s="711">
        <v>0</v>
      </c>
      <c r="CE46" s="714">
        <v>0</v>
      </c>
      <c r="CF46" s="711">
        <v>0</v>
      </c>
      <c r="CG46" s="714">
        <v>0</v>
      </c>
      <c r="CH46" s="711">
        <v>0</v>
      </c>
      <c r="CI46" s="714">
        <v>0</v>
      </c>
      <c r="CJ46" s="711">
        <v>0</v>
      </c>
      <c r="CK46" s="712">
        <v>0</v>
      </c>
      <c r="CL46" s="711">
        <v>0</v>
      </c>
      <c r="CM46" s="712">
        <v>0</v>
      </c>
      <c r="CN46" s="713">
        <v>0</v>
      </c>
      <c r="CO46" s="712">
        <v>0</v>
      </c>
    </row>
    <row r="47" spans="1:93">
      <c r="A47" s="468">
        <v>45</v>
      </c>
      <c r="B47" s="596">
        <v>0</v>
      </c>
      <c r="C47" s="596">
        <v>0</v>
      </c>
      <c r="D47" s="596">
        <v>0</v>
      </c>
      <c r="E47" s="596">
        <v>0</v>
      </c>
      <c r="F47" s="596">
        <f t="shared" si="17"/>
        <v>1.2500000000000001E-2</v>
      </c>
      <c r="G47" s="596">
        <v>0.02</v>
      </c>
      <c r="H47" s="596">
        <v>0</v>
      </c>
      <c r="I47" s="596">
        <v>0</v>
      </c>
      <c r="J47" s="596">
        <v>0</v>
      </c>
      <c r="K47" s="596">
        <v>0</v>
      </c>
      <c r="L47" s="596">
        <v>0</v>
      </c>
      <c r="M47" s="596">
        <v>0</v>
      </c>
      <c r="N47" s="596">
        <v>0</v>
      </c>
      <c r="O47" s="596">
        <v>0</v>
      </c>
      <c r="P47" s="596">
        <v>0</v>
      </c>
      <c r="Q47" s="596">
        <v>0</v>
      </c>
      <c r="R47" s="596">
        <v>0</v>
      </c>
      <c r="S47" s="596">
        <v>0</v>
      </c>
      <c r="T47" s="596">
        <v>0.02</v>
      </c>
      <c r="U47" s="596">
        <v>0</v>
      </c>
      <c r="V47" s="596">
        <v>0</v>
      </c>
      <c r="W47" s="612">
        <v>0</v>
      </c>
      <c r="X47" s="704">
        <v>0</v>
      </c>
      <c r="Y47" s="705">
        <v>0</v>
      </c>
      <c r="Z47" s="706">
        <v>0</v>
      </c>
      <c r="AA47" s="707">
        <v>0</v>
      </c>
      <c r="AB47" s="706">
        <v>0</v>
      </c>
      <c r="AC47" s="704">
        <v>0</v>
      </c>
      <c r="AD47" s="706">
        <v>0</v>
      </c>
      <c r="AE47" s="708">
        <v>0</v>
      </c>
      <c r="AF47" s="704">
        <v>0</v>
      </c>
      <c r="AG47" s="704">
        <v>0</v>
      </c>
      <c r="AH47" s="708">
        <v>0</v>
      </c>
      <c r="AI47" s="709">
        <v>0</v>
      </c>
      <c r="AJ47" s="706">
        <f t="shared" si="15"/>
        <v>7.1428571428571426E-3</v>
      </c>
      <c r="AK47" s="704">
        <v>5.0000000000000001E-3</v>
      </c>
      <c r="AL47" s="706">
        <f t="shared" si="18"/>
        <v>1.2500000000000001E-2</v>
      </c>
      <c r="AM47" s="710">
        <v>1E-3</v>
      </c>
      <c r="AN47" s="704">
        <v>0</v>
      </c>
      <c r="AO47" s="706">
        <v>0</v>
      </c>
      <c r="AP47" s="711">
        <v>0</v>
      </c>
      <c r="AQ47" s="712">
        <v>0</v>
      </c>
      <c r="AR47" s="711">
        <v>0</v>
      </c>
      <c r="AS47" s="712">
        <v>0</v>
      </c>
      <c r="AT47" s="711">
        <v>0</v>
      </c>
      <c r="AU47" s="712">
        <v>0</v>
      </c>
      <c r="AV47" s="713">
        <v>0</v>
      </c>
      <c r="AW47" s="714">
        <v>0</v>
      </c>
      <c r="AX47" s="711">
        <v>0</v>
      </c>
      <c r="AY47" s="712">
        <v>0</v>
      </c>
      <c r="AZ47" s="713">
        <v>0</v>
      </c>
      <c r="BA47" s="712">
        <v>0</v>
      </c>
      <c r="BB47" s="713">
        <v>0</v>
      </c>
      <c r="BC47" s="712">
        <v>0</v>
      </c>
      <c r="BD47" s="713">
        <v>0</v>
      </c>
      <c r="BE47" s="712">
        <v>0</v>
      </c>
      <c r="BF47" s="713">
        <v>0</v>
      </c>
      <c r="BG47" s="712">
        <v>0</v>
      </c>
      <c r="BH47" s="713">
        <v>0</v>
      </c>
      <c r="BI47" s="712">
        <v>0</v>
      </c>
      <c r="BJ47" s="713">
        <v>0</v>
      </c>
      <c r="BK47" s="712">
        <v>0</v>
      </c>
      <c r="BL47" s="713">
        <v>0</v>
      </c>
      <c r="BM47" s="712">
        <v>0</v>
      </c>
      <c r="BN47" s="713">
        <v>0</v>
      </c>
      <c r="BO47" s="712">
        <v>0</v>
      </c>
      <c r="BP47" s="713">
        <v>0</v>
      </c>
      <c r="BQ47" s="712">
        <v>0</v>
      </c>
      <c r="BR47" s="713">
        <v>0</v>
      </c>
      <c r="BS47" s="712">
        <v>0</v>
      </c>
      <c r="BT47" s="713">
        <v>0</v>
      </c>
      <c r="BU47" s="712">
        <v>0</v>
      </c>
      <c r="BV47" s="711">
        <v>0</v>
      </c>
      <c r="BW47" s="714">
        <v>0</v>
      </c>
      <c r="BX47" s="711">
        <v>0</v>
      </c>
      <c r="BY47" s="714">
        <v>0</v>
      </c>
      <c r="BZ47" s="711">
        <v>0</v>
      </c>
      <c r="CA47" s="714">
        <v>0</v>
      </c>
      <c r="CB47" s="711">
        <v>0</v>
      </c>
      <c r="CC47" s="714">
        <v>0</v>
      </c>
      <c r="CD47" s="711">
        <v>0</v>
      </c>
      <c r="CE47" s="714">
        <v>0</v>
      </c>
      <c r="CF47" s="711">
        <v>0</v>
      </c>
      <c r="CG47" s="714">
        <v>0</v>
      </c>
      <c r="CH47" s="711">
        <v>0</v>
      </c>
      <c r="CI47" s="714">
        <v>0</v>
      </c>
      <c r="CJ47" s="711">
        <v>0</v>
      </c>
      <c r="CK47" s="712">
        <v>0</v>
      </c>
      <c r="CL47" s="711">
        <v>0</v>
      </c>
      <c r="CM47" s="712">
        <v>0</v>
      </c>
      <c r="CN47" s="713">
        <v>0</v>
      </c>
      <c r="CO47" s="712">
        <v>0</v>
      </c>
    </row>
    <row r="48" spans="1:93">
      <c r="A48" s="468">
        <v>46</v>
      </c>
      <c r="B48" s="596">
        <v>0</v>
      </c>
      <c r="C48" s="596">
        <v>0</v>
      </c>
      <c r="D48" s="596">
        <v>0</v>
      </c>
      <c r="E48" s="596">
        <v>0</v>
      </c>
      <c r="F48" s="596">
        <f t="shared" si="17"/>
        <v>1.2500000000000001E-2</v>
      </c>
      <c r="G48" s="596">
        <v>0.02</v>
      </c>
      <c r="H48" s="596">
        <v>0</v>
      </c>
      <c r="I48" s="596">
        <v>0</v>
      </c>
      <c r="J48" s="596">
        <v>0</v>
      </c>
      <c r="K48" s="596">
        <v>0</v>
      </c>
      <c r="L48" s="596">
        <v>0</v>
      </c>
      <c r="M48" s="596">
        <v>0</v>
      </c>
      <c r="N48" s="596">
        <v>0</v>
      </c>
      <c r="O48" s="596">
        <v>0</v>
      </c>
      <c r="P48" s="596">
        <v>0</v>
      </c>
      <c r="Q48" s="596">
        <v>0</v>
      </c>
      <c r="R48" s="596">
        <v>0</v>
      </c>
      <c r="S48" s="596">
        <v>0</v>
      </c>
      <c r="T48" s="596">
        <v>0.02</v>
      </c>
      <c r="U48" s="596">
        <v>0</v>
      </c>
      <c r="V48" s="596">
        <v>0</v>
      </c>
      <c r="W48" s="612">
        <v>0</v>
      </c>
      <c r="X48" s="704">
        <v>0</v>
      </c>
      <c r="Y48" s="705">
        <v>0</v>
      </c>
      <c r="Z48" s="706">
        <v>0</v>
      </c>
      <c r="AA48" s="707">
        <v>0</v>
      </c>
      <c r="AB48" s="706">
        <v>0</v>
      </c>
      <c r="AC48" s="704">
        <v>0</v>
      </c>
      <c r="AD48" s="706">
        <v>0</v>
      </c>
      <c r="AE48" s="708">
        <v>0</v>
      </c>
      <c r="AF48" s="704">
        <v>0</v>
      </c>
      <c r="AG48" s="704">
        <v>0</v>
      </c>
      <c r="AH48" s="708">
        <v>0</v>
      </c>
      <c r="AI48" s="709">
        <v>0</v>
      </c>
      <c r="AJ48" s="706">
        <f t="shared" si="15"/>
        <v>7.1428571428571426E-3</v>
      </c>
      <c r="AK48" s="704">
        <v>5.0000000000000001E-3</v>
      </c>
      <c r="AL48" s="706">
        <f t="shared" si="18"/>
        <v>1.2500000000000001E-2</v>
      </c>
      <c r="AM48" s="710">
        <v>1E-3</v>
      </c>
      <c r="AN48" s="704">
        <v>0</v>
      </c>
      <c r="AO48" s="706">
        <v>0</v>
      </c>
      <c r="AP48" s="711">
        <v>0</v>
      </c>
      <c r="AQ48" s="712">
        <v>0</v>
      </c>
      <c r="AR48" s="711">
        <v>0</v>
      </c>
      <c r="AS48" s="712">
        <v>0</v>
      </c>
      <c r="AT48" s="711">
        <v>0</v>
      </c>
      <c r="AU48" s="712">
        <v>0</v>
      </c>
      <c r="AV48" s="713">
        <v>0</v>
      </c>
      <c r="AW48" s="714">
        <v>0</v>
      </c>
      <c r="AX48" s="711">
        <v>0</v>
      </c>
      <c r="AY48" s="712">
        <v>0</v>
      </c>
      <c r="AZ48" s="713">
        <v>0</v>
      </c>
      <c r="BA48" s="712">
        <v>0</v>
      </c>
      <c r="BB48" s="713">
        <v>0</v>
      </c>
      <c r="BC48" s="712">
        <v>0</v>
      </c>
      <c r="BD48" s="713">
        <v>0</v>
      </c>
      <c r="BE48" s="712">
        <v>0</v>
      </c>
      <c r="BF48" s="713">
        <v>0</v>
      </c>
      <c r="BG48" s="712">
        <v>0</v>
      </c>
      <c r="BH48" s="713">
        <v>0</v>
      </c>
      <c r="BI48" s="712">
        <v>0</v>
      </c>
      <c r="BJ48" s="713">
        <v>0</v>
      </c>
      <c r="BK48" s="712">
        <v>0</v>
      </c>
      <c r="BL48" s="713">
        <v>0</v>
      </c>
      <c r="BM48" s="712">
        <v>0</v>
      </c>
      <c r="BN48" s="713">
        <v>0</v>
      </c>
      <c r="BO48" s="712">
        <v>0</v>
      </c>
      <c r="BP48" s="713">
        <v>0</v>
      </c>
      <c r="BQ48" s="712">
        <v>0</v>
      </c>
      <c r="BR48" s="713">
        <v>0</v>
      </c>
      <c r="BS48" s="712">
        <v>0</v>
      </c>
      <c r="BT48" s="713">
        <v>0</v>
      </c>
      <c r="BU48" s="712">
        <v>0</v>
      </c>
      <c r="BV48" s="711">
        <v>0</v>
      </c>
      <c r="BW48" s="714">
        <v>0</v>
      </c>
      <c r="BX48" s="711">
        <v>0</v>
      </c>
      <c r="BY48" s="714">
        <v>0</v>
      </c>
      <c r="BZ48" s="711">
        <v>0</v>
      </c>
      <c r="CA48" s="714">
        <v>0</v>
      </c>
      <c r="CB48" s="711">
        <v>0</v>
      </c>
      <c r="CC48" s="714">
        <v>0</v>
      </c>
      <c r="CD48" s="711">
        <v>0</v>
      </c>
      <c r="CE48" s="714">
        <v>0</v>
      </c>
      <c r="CF48" s="711">
        <v>0</v>
      </c>
      <c r="CG48" s="714">
        <v>0</v>
      </c>
      <c r="CH48" s="711">
        <v>0</v>
      </c>
      <c r="CI48" s="714">
        <v>0</v>
      </c>
      <c r="CJ48" s="711">
        <v>0</v>
      </c>
      <c r="CK48" s="712">
        <v>0</v>
      </c>
      <c r="CL48" s="711">
        <v>0</v>
      </c>
      <c r="CM48" s="712">
        <v>0</v>
      </c>
      <c r="CN48" s="713">
        <v>0</v>
      </c>
      <c r="CO48" s="712">
        <v>0</v>
      </c>
    </row>
    <row r="49" spans="1:93">
      <c r="A49" s="468">
        <v>47</v>
      </c>
      <c r="B49" s="596">
        <v>0</v>
      </c>
      <c r="C49" s="596">
        <v>0</v>
      </c>
      <c r="D49" s="596">
        <v>0</v>
      </c>
      <c r="E49" s="596">
        <v>0</v>
      </c>
      <c r="F49" s="596">
        <f t="shared" si="17"/>
        <v>1.2500000000000001E-2</v>
      </c>
      <c r="G49" s="596">
        <v>0.02</v>
      </c>
      <c r="H49" s="596">
        <v>0</v>
      </c>
      <c r="I49" s="596">
        <v>0</v>
      </c>
      <c r="J49" s="596">
        <v>0</v>
      </c>
      <c r="K49" s="596">
        <v>0</v>
      </c>
      <c r="L49" s="596">
        <v>0</v>
      </c>
      <c r="M49" s="596">
        <v>0</v>
      </c>
      <c r="N49" s="596">
        <v>0</v>
      </c>
      <c r="O49" s="596">
        <v>0</v>
      </c>
      <c r="P49" s="596">
        <v>0</v>
      </c>
      <c r="Q49" s="596">
        <v>0</v>
      </c>
      <c r="R49" s="596">
        <v>0</v>
      </c>
      <c r="S49" s="596">
        <v>0</v>
      </c>
      <c r="T49" s="596">
        <v>0.02</v>
      </c>
      <c r="U49" s="596">
        <v>0</v>
      </c>
      <c r="V49" s="596">
        <v>0</v>
      </c>
      <c r="W49" s="612">
        <v>0</v>
      </c>
      <c r="X49" s="704">
        <v>0</v>
      </c>
      <c r="Y49" s="705">
        <v>0</v>
      </c>
      <c r="Z49" s="706">
        <v>0</v>
      </c>
      <c r="AA49" s="707">
        <v>0</v>
      </c>
      <c r="AB49" s="706">
        <v>0</v>
      </c>
      <c r="AC49" s="704">
        <v>0</v>
      </c>
      <c r="AD49" s="706">
        <v>0</v>
      </c>
      <c r="AE49" s="708">
        <v>0</v>
      </c>
      <c r="AF49" s="704">
        <v>0</v>
      </c>
      <c r="AG49" s="704">
        <v>0</v>
      </c>
      <c r="AH49" s="708">
        <v>0</v>
      </c>
      <c r="AI49" s="709">
        <v>0</v>
      </c>
      <c r="AJ49" s="706">
        <f t="shared" si="15"/>
        <v>7.1428571428571426E-3</v>
      </c>
      <c r="AK49" s="704">
        <v>5.0000000000000001E-3</v>
      </c>
      <c r="AL49" s="706">
        <f t="shared" si="18"/>
        <v>1.2500000000000001E-2</v>
      </c>
      <c r="AM49" s="710">
        <v>1E-3</v>
      </c>
      <c r="AN49" s="704">
        <v>0</v>
      </c>
      <c r="AO49" s="706">
        <v>0</v>
      </c>
      <c r="AP49" s="711">
        <v>0</v>
      </c>
      <c r="AQ49" s="712">
        <v>0</v>
      </c>
      <c r="AR49" s="711">
        <v>0</v>
      </c>
      <c r="AS49" s="712">
        <v>0</v>
      </c>
      <c r="AT49" s="711">
        <v>0</v>
      </c>
      <c r="AU49" s="712">
        <v>0</v>
      </c>
      <c r="AV49" s="713">
        <v>0</v>
      </c>
      <c r="AW49" s="714">
        <v>0</v>
      </c>
      <c r="AX49" s="711">
        <v>0</v>
      </c>
      <c r="AY49" s="712">
        <v>0</v>
      </c>
      <c r="AZ49" s="713">
        <v>0</v>
      </c>
      <c r="BA49" s="712">
        <v>0</v>
      </c>
      <c r="BB49" s="713">
        <v>0</v>
      </c>
      <c r="BC49" s="712">
        <v>0</v>
      </c>
      <c r="BD49" s="713">
        <v>0</v>
      </c>
      <c r="BE49" s="712">
        <v>0</v>
      </c>
      <c r="BF49" s="713">
        <v>0</v>
      </c>
      <c r="BG49" s="712">
        <v>0</v>
      </c>
      <c r="BH49" s="713">
        <v>0</v>
      </c>
      <c r="BI49" s="712">
        <v>0</v>
      </c>
      <c r="BJ49" s="713">
        <v>0</v>
      </c>
      <c r="BK49" s="712">
        <v>0</v>
      </c>
      <c r="BL49" s="713">
        <v>0</v>
      </c>
      <c r="BM49" s="712">
        <v>0</v>
      </c>
      <c r="BN49" s="713">
        <v>0</v>
      </c>
      <c r="BO49" s="712">
        <v>0</v>
      </c>
      <c r="BP49" s="713">
        <v>0</v>
      </c>
      <c r="BQ49" s="712">
        <v>0</v>
      </c>
      <c r="BR49" s="713">
        <v>0</v>
      </c>
      <c r="BS49" s="712">
        <v>0</v>
      </c>
      <c r="BT49" s="713">
        <v>0</v>
      </c>
      <c r="BU49" s="712">
        <v>0</v>
      </c>
      <c r="BV49" s="711">
        <v>0</v>
      </c>
      <c r="BW49" s="714">
        <v>0</v>
      </c>
      <c r="BX49" s="711">
        <v>0</v>
      </c>
      <c r="BY49" s="714">
        <v>0</v>
      </c>
      <c r="BZ49" s="711">
        <v>0</v>
      </c>
      <c r="CA49" s="714">
        <v>0</v>
      </c>
      <c r="CB49" s="711">
        <v>0</v>
      </c>
      <c r="CC49" s="714">
        <v>0</v>
      </c>
      <c r="CD49" s="711">
        <v>0</v>
      </c>
      <c r="CE49" s="714">
        <v>0</v>
      </c>
      <c r="CF49" s="711">
        <v>0</v>
      </c>
      <c r="CG49" s="714">
        <v>0</v>
      </c>
      <c r="CH49" s="711">
        <v>0</v>
      </c>
      <c r="CI49" s="714">
        <v>0</v>
      </c>
      <c r="CJ49" s="711">
        <v>0</v>
      </c>
      <c r="CK49" s="712">
        <v>0</v>
      </c>
      <c r="CL49" s="711">
        <v>0</v>
      </c>
      <c r="CM49" s="712">
        <v>0</v>
      </c>
      <c r="CN49" s="713">
        <v>0</v>
      </c>
      <c r="CO49" s="712">
        <v>0</v>
      </c>
    </row>
    <row r="50" spans="1:93">
      <c r="A50" s="468">
        <v>48</v>
      </c>
      <c r="B50" s="596">
        <v>0</v>
      </c>
      <c r="C50" s="596">
        <v>0</v>
      </c>
      <c r="D50" s="596">
        <v>0</v>
      </c>
      <c r="E50" s="596">
        <v>0</v>
      </c>
      <c r="F50" s="596">
        <f t="shared" si="17"/>
        <v>1.2500000000000001E-2</v>
      </c>
      <c r="G50" s="596">
        <v>0.02</v>
      </c>
      <c r="H50" s="596">
        <v>0</v>
      </c>
      <c r="I50" s="596">
        <v>0</v>
      </c>
      <c r="J50" s="596">
        <v>0</v>
      </c>
      <c r="K50" s="596">
        <v>0</v>
      </c>
      <c r="L50" s="596">
        <v>0</v>
      </c>
      <c r="M50" s="596">
        <v>0</v>
      </c>
      <c r="N50" s="596">
        <v>0</v>
      </c>
      <c r="O50" s="596">
        <v>0</v>
      </c>
      <c r="P50" s="596">
        <v>0</v>
      </c>
      <c r="Q50" s="596">
        <v>0</v>
      </c>
      <c r="R50" s="596">
        <v>0</v>
      </c>
      <c r="S50" s="596">
        <v>0</v>
      </c>
      <c r="T50" s="596">
        <v>0.02</v>
      </c>
      <c r="U50" s="596">
        <v>0</v>
      </c>
      <c r="V50" s="596">
        <v>0</v>
      </c>
      <c r="W50" s="612">
        <v>0</v>
      </c>
      <c r="X50" s="704">
        <v>0</v>
      </c>
      <c r="Y50" s="705">
        <v>0</v>
      </c>
      <c r="Z50" s="706">
        <v>0</v>
      </c>
      <c r="AA50" s="707">
        <v>0</v>
      </c>
      <c r="AB50" s="706">
        <v>0</v>
      </c>
      <c r="AC50" s="704">
        <v>0</v>
      </c>
      <c r="AD50" s="706">
        <v>0</v>
      </c>
      <c r="AE50" s="708">
        <v>0</v>
      </c>
      <c r="AF50" s="704">
        <v>0</v>
      </c>
      <c r="AG50" s="704">
        <v>0</v>
      </c>
      <c r="AH50" s="708">
        <v>0</v>
      </c>
      <c r="AI50" s="709">
        <v>0</v>
      </c>
      <c r="AJ50" s="706">
        <f t="shared" si="15"/>
        <v>7.1428571428571426E-3</v>
      </c>
      <c r="AK50" s="704">
        <v>5.0000000000000001E-3</v>
      </c>
      <c r="AL50" s="706">
        <f t="shared" si="18"/>
        <v>1.2500000000000001E-2</v>
      </c>
      <c r="AM50" s="710">
        <v>1E-3</v>
      </c>
      <c r="AN50" s="704">
        <v>0</v>
      </c>
      <c r="AO50" s="706">
        <v>0</v>
      </c>
      <c r="AP50" s="711">
        <v>0</v>
      </c>
      <c r="AQ50" s="712">
        <v>0</v>
      </c>
      <c r="AR50" s="711">
        <v>0</v>
      </c>
      <c r="AS50" s="712">
        <v>0</v>
      </c>
      <c r="AT50" s="711">
        <v>0</v>
      </c>
      <c r="AU50" s="712">
        <v>0</v>
      </c>
      <c r="AV50" s="713">
        <v>0</v>
      </c>
      <c r="AW50" s="714">
        <v>0</v>
      </c>
      <c r="AX50" s="711">
        <v>0</v>
      </c>
      <c r="AY50" s="712">
        <v>0</v>
      </c>
      <c r="AZ50" s="713">
        <v>0</v>
      </c>
      <c r="BA50" s="712">
        <v>0</v>
      </c>
      <c r="BB50" s="713">
        <v>0</v>
      </c>
      <c r="BC50" s="712">
        <v>0</v>
      </c>
      <c r="BD50" s="713">
        <v>0</v>
      </c>
      <c r="BE50" s="712">
        <v>0</v>
      </c>
      <c r="BF50" s="713">
        <v>0</v>
      </c>
      <c r="BG50" s="712">
        <v>0</v>
      </c>
      <c r="BH50" s="713">
        <v>0</v>
      </c>
      <c r="BI50" s="712">
        <v>0</v>
      </c>
      <c r="BJ50" s="713">
        <v>0</v>
      </c>
      <c r="BK50" s="712">
        <v>0</v>
      </c>
      <c r="BL50" s="713">
        <v>0</v>
      </c>
      <c r="BM50" s="712">
        <v>0</v>
      </c>
      <c r="BN50" s="713">
        <v>0</v>
      </c>
      <c r="BO50" s="712">
        <v>0</v>
      </c>
      <c r="BP50" s="713">
        <v>0</v>
      </c>
      <c r="BQ50" s="712">
        <v>0</v>
      </c>
      <c r="BR50" s="713">
        <v>0</v>
      </c>
      <c r="BS50" s="712">
        <v>0</v>
      </c>
      <c r="BT50" s="713">
        <v>0</v>
      </c>
      <c r="BU50" s="712">
        <v>0</v>
      </c>
      <c r="BV50" s="711">
        <v>0</v>
      </c>
      <c r="BW50" s="714">
        <v>0</v>
      </c>
      <c r="BX50" s="711">
        <v>0</v>
      </c>
      <c r="BY50" s="714">
        <v>0</v>
      </c>
      <c r="BZ50" s="711">
        <v>0</v>
      </c>
      <c r="CA50" s="714">
        <v>0</v>
      </c>
      <c r="CB50" s="711">
        <v>0</v>
      </c>
      <c r="CC50" s="714">
        <v>0</v>
      </c>
      <c r="CD50" s="711">
        <v>0</v>
      </c>
      <c r="CE50" s="714">
        <v>0</v>
      </c>
      <c r="CF50" s="711">
        <v>0</v>
      </c>
      <c r="CG50" s="714">
        <v>0</v>
      </c>
      <c r="CH50" s="711">
        <v>0</v>
      </c>
      <c r="CI50" s="714">
        <v>0</v>
      </c>
      <c r="CJ50" s="711">
        <v>0</v>
      </c>
      <c r="CK50" s="712">
        <v>0</v>
      </c>
      <c r="CL50" s="711">
        <v>0</v>
      </c>
      <c r="CM50" s="712">
        <v>0</v>
      </c>
      <c r="CN50" s="713">
        <v>0</v>
      </c>
      <c r="CO50" s="712">
        <v>0</v>
      </c>
    </row>
    <row r="51" spans="1:93">
      <c r="A51" s="468">
        <v>49</v>
      </c>
      <c r="B51" s="596">
        <v>0</v>
      </c>
      <c r="C51" s="596">
        <v>0</v>
      </c>
      <c r="D51" s="596">
        <v>0</v>
      </c>
      <c r="E51" s="596">
        <v>0</v>
      </c>
      <c r="F51" s="596">
        <f t="shared" si="17"/>
        <v>1.2500000000000001E-2</v>
      </c>
      <c r="G51" s="596">
        <v>0.02</v>
      </c>
      <c r="H51" s="596">
        <v>0</v>
      </c>
      <c r="I51" s="596">
        <v>0</v>
      </c>
      <c r="J51" s="596">
        <v>0</v>
      </c>
      <c r="K51" s="596">
        <v>0</v>
      </c>
      <c r="L51" s="596">
        <v>0</v>
      </c>
      <c r="M51" s="596">
        <v>0</v>
      </c>
      <c r="N51" s="596">
        <v>0</v>
      </c>
      <c r="O51" s="596">
        <v>0</v>
      </c>
      <c r="P51" s="596">
        <v>0</v>
      </c>
      <c r="Q51" s="596">
        <v>0</v>
      </c>
      <c r="R51" s="596">
        <v>0</v>
      </c>
      <c r="S51" s="596">
        <v>0</v>
      </c>
      <c r="T51" s="596">
        <v>0.02</v>
      </c>
      <c r="U51" s="596">
        <v>0</v>
      </c>
      <c r="V51" s="596">
        <v>0</v>
      </c>
      <c r="W51" s="612">
        <v>0</v>
      </c>
      <c r="X51" s="704">
        <v>0</v>
      </c>
      <c r="Y51" s="705">
        <v>0</v>
      </c>
      <c r="Z51" s="706">
        <v>0</v>
      </c>
      <c r="AA51" s="707">
        <v>0</v>
      </c>
      <c r="AB51" s="706">
        <v>0</v>
      </c>
      <c r="AC51" s="704">
        <v>0</v>
      </c>
      <c r="AD51" s="706">
        <v>0</v>
      </c>
      <c r="AE51" s="708">
        <v>0</v>
      </c>
      <c r="AF51" s="704">
        <v>0</v>
      </c>
      <c r="AG51" s="704">
        <v>0</v>
      </c>
      <c r="AH51" s="708">
        <v>0</v>
      </c>
      <c r="AI51" s="709">
        <v>0</v>
      </c>
      <c r="AJ51" s="706">
        <f t="shared" si="15"/>
        <v>7.1428571428571426E-3</v>
      </c>
      <c r="AK51" s="704">
        <v>5.0000000000000001E-3</v>
      </c>
      <c r="AL51" s="706">
        <f t="shared" si="18"/>
        <v>1.2500000000000001E-2</v>
      </c>
      <c r="AM51" s="710">
        <v>1E-3</v>
      </c>
      <c r="AN51" s="704">
        <v>0</v>
      </c>
      <c r="AO51" s="706">
        <v>0</v>
      </c>
      <c r="AP51" s="711">
        <v>0</v>
      </c>
      <c r="AQ51" s="712">
        <v>0</v>
      </c>
      <c r="AR51" s="711">
        <v>0</v>
      </c>
      <c r="AS51" s="712">
        <v>0</v>
      </c>
      <c r="AT51" s="711">
        <v>0</v>
      </c>
      <c r="AU51" s="712">
        <v>0</v>
      </c>
      <c r="AV51" s="713">
        <v>0</v>
      </c>
      <c r="AW51" s="714">
        <v>0</v>
      </c>
      <c r="AX51" s="711">
        <v>0</v>
      </c>
      <c r="AY51" s="712">
        <v>0</v>
      </c>
      <c r="AZ51" s="713">
        <v>0</v>
      </c>
      <c r="BA51" s="712">
        <v>0</v>
      </c>
      <c r="BB51" s="713">
        <v>0</v>
      </c>
      <c r="BC51" s="712">
        <v>0</v>
      </c>
      <c r="BD51" s="713">
        <v>0</v>
      </c>
      <c r="BE51" s="712">
        <v>0</v>
      </c>
      <c r="BF51" s="713">
        <v>0</v>
      </c>
      <c r="BG51" s="712">
        <v>0</v>
      </c>
      <c r="BH51" s="713">
        <v>0</v>
      </c>
      <c r="BI51" s="712">
        <v>0</v>
      </c>
      <c r="BJ51" s="713">
        <v>0</v>
      </c>
      <c r="BK51" s="712">
        <v>0</v>
      </c>
      <c r="BL51" s="713">
        <v>0</v>
      </c>
      <c r="BM51" s="712">
        <v>0</v>
      </c>
      <c r="BN51" s="713">
        <v>0</v>
      </c>
      <c r="BO51" s="712">
        <v>0</v>
      </c>
      <c r="BP51" s="713">
        <v>0</v>
      </c>
      <c r="BQ51" s="712">
        <v>0</v>
      </c>
      <c r="BR51" s="713">
        <v>0</v>
      </c>
      <c r="BS51" s="712">
        <v>0</v>
      </c>
      <c r="BT51" s="713">
        <v>0</v>
      </c>
      <c r="BU51" s="712">
        <v>0</v>
      </c>
      <c r="BV51" s="711">
        <v>0</v>
      </c>
      <c r="BW51" s="714">
        <v>0</v>
      </c>
      <c r="BX51" s="711">
        <v>0</v>
      </c>
      <c r="BY51" s="714">
        <v>0</v>
      </c>
      <c r="BZ51" s="711">
        <v>0</v>
      </c>
      <c r="CA51" s="714">
        <v>0</v>
      </c>
      <c r="CB51" s="711">
        <v>0</v>
      </c>
      <c r="CC51" s="714">
        <v>0</v>
      </c>
      <c r="CD51" s="711">
        <v>0</v>
      </c>
      <c r="CE51" s="714">
        <v>0</v>
      </c>
      <c r="CF51" s="711">
        <v>0</v>
      </c>
      <c r="CG51" s="714">
        <v>0</v>
      </c>
      <c r="CH51" s="711">
        <v>0</v>
      </c>
      <c r="CI51" s="714">
        <v>0</v>
      </c>
      <c r="CJ51" s="711">
        <v>0</v>
      </c>
      <c r="CK51" s="712">
        <v>0</v>
      </c>
      <c r="CL51" s="711">
        <v>0</v>
      </c>
      <c r="CM51" s="712">
        <v>0</v>
      </c>
      <c r="CN51" s="713">
        <v>0</v>
      </c>
      <c r="CO51" s="712">
        <v>0</v>
      </c>
    </row>
    <row r="52" spans="1:93">
      <c r="A52" s="468">
        <v>50</v>
      </c>
      <c r="B52" s="596">
        <v>0</v>
      </c>
      <c r="C52" s="596">
        <v>0</v>
      </c>
      <c r="D52" s="596">
        <v>0</v>
      </c>
      <c r="E52" s="596">
        <v>0</v>
      </c>
      <c r="F52" s="596">
        <f t="shared" si="17"/>
        <v>1.2500000000000001E-2</v>
      </c>
      <c r="G52" s="596">
        <v>0.02</v>
      </c>
      <c r="H52" s="596">
        <v>0</v>
      </c>
      <c r="I52" s="596">
        <v>0</v>
      </c>
      <c r="J52" s="596">
        <v>0</v>
      </c>
      <c r="K52" s="596">
        <v>0</v>
      </c>
      <c r="L52" s="596">
        <v>0</v>
      </c>
      <c r="M52" s="596">
        <v>0</v>
      </c>
      <c r="N52" s="596">
        <v>0</v>
      </c>
      <c r="O52" s="596">
        <v>0</v>
      </c>
      <c r="P52" s="596">
        <v>0</v>
      </c>
      <c r="Q52" s="596">
        <v>0</v>
      </c>
      <c r="R52" s="596">
        <v>0</v>
      </c>
      <c r="S52" s="596">
        <v>0</v>
      </c>
      <c r="T52" s="596">
        <v>0.02</v>
      </c>
      <c r="U52" s="596">
        <v>0</v>
      </c>
      <c r="V52" s="596">
        <v>0</v>
      </c>
      <c r="W52" s="612">
        <v>0</v>
      </c>
      <c r="X52" s="704">
        <v>0</v>
      </c>
      <c r="Y52" s="705">
        <v>0</v>
      </c>
      <c r="Z52" s="706">
        <v>0</v>
      </c>
      <c r="AA52" s="707">
        <v>0</v>
      </c>
      <c r="AB52" s="706">
        <v>0</v>
      </c>
      <c r="AC52" s="704">
        <v>0</v>
      </c>
      <c r="AD52" s="706">
        <v>0</v>
      </c>
      <c r="AE52" s="708">
        <v>0</v>
      </c>
      <c r="AF52" s="704">
        <v>0</v>
      </c>
      <c r="AG52" s="704">
        <v>0</v>
      </c>
      <c r="AH52" s="708">
        <v>0</v>
      </c>
      <c r="AI52" s="709">
        <v>0</v>
      </c>
      <c r="AJ52" s="706">
        <f t="shared" si="15"/>
        <v>7.1428571428571426E-3</v>
      </c>
      <c r="AK52" s="704">
        <v>5.0000000000000001E-3</v>
      </c>
      <c r="AL52" s="706">
        <f t="shared" si="18"/>
        <v>1.2500000000000001E-2</v>
      </c>
      <c r="AM52" s="710">
        <v>1E-3</v>
      </c>
      <c r="AN52" s="704">
        <v>0</v>
      </c>
      <c r="AO52" s="706">
        <v>0</v>
      </c>
      <c r="AP52" s="711">
        <v>0</v>
      </c>
      <c r="AQ52" s="712">
        <v>0</v>
      </c>
      <c r="AR52" s="711">
        <v>0</v>
      </c>
      <c r="AS52" s="712">
        <v>0</v>
      </c>
      <c r="AT52" s="711">
        <v>0</v>
      </c>
      <c r="AU52" s="712">
        <v>0</v>
      </c>
      <c r="AV52" s="713">
        <v>0</v>
      </c>
      <c r="AW52" s="714">
        <v>0</v>
      </c>
      <c r="AX52" s="711">
        <v>0</v>
      </c>
      <c r="AY52" s="712">
        <v>0</v>
      </c>
      <c r="AZ52" s="713">
        <v>0</v>
      </c>
      <c r="BA52" s="712">
        <v>0</v>
      </c>
      <c r="BB52" s="713">
        <v>0</v>
      </c>
      <c r="BC52" s="712">
        <v>0</v>
      </c>
      <c r="BD52" s="713">
        <v>0</v>
      </c>
      <c r="BE52" s="712">
        <v>0</v>
      </c>
      <c r="BF52" s="713">
        <v>0</v>
      </c>
      <c r="BG52" s="712">
        <v>0</v>
      </c>
      <c r="BH52" s="713">
        <v>0</v>
      </c>
      <c r="BI52" s="712">
        <v>0</v>
      </c>
      <c r="BJ52" s="713">
        <v>0</v>
      </c>
      <c r="BK52" s="712">
        <v>0</v>
      </c>
      <c r="BL52" s="713">
        <v>0</v>
      </c>
      <c r="BM52" s="712">
        <v>0</v>
      </c>
      <c r="BN52" s="713">
        <v>0</v>
      </c>
      <c r="BO52" s="712">
        <v>0</v>
      </c>
      <c r="BP52" s="713">
        <v>0</v>
      </c>
      <c r="BQ52" s="712">
        <v>0</v>
      </c>
      <c r="BR52" s="713">
        <v>0</v>
      </c>
      <c r="BS52" s="712">
        <v>0</v>
      </c>
      <c r="BT52" s="713">
        <v>0</v>
      </c>
      <c r="BU52" s="712">
        <v>0</v>
      </c>
      <c r="BV52" s="711">
        <v>0</v>
      </c>
      <c r="BW52" s="714">
        <v>0</v>
      </c>
      <c r="BX52" s="711">
        <v>0</v>
      </c>
      <c r="BY52" s="714">
        <v>0</v>
      </c>
      <c r="BZ52" s="711">
        <v>0</v>
      </c>
      <c r="CA52" s="714">
        <v>0</v>
      </c>
      <c r="CB52" s="711">
        <v>0</v>
      </c>
      <c r="CC52" s="714">
        <v>0</v>
      </c>
      <c r="CD52" s="711">
        <v>0</v>
      </c>
      <c r="CE52" s="714">
        <v>0</v>
      </c>
      <c r="CF52" s="711">
        <v>0</v>
      </c>
      <c r="CG52" s="714">
        <v>0</v>
      </c>
      <c r="CH52" s="711">
        <v>0</v>
      </c>
      <c r="CI52" s="714">
        <v>0</v>
      </c>
      <c r="CJ52" s="711">
        <v>0</v>
      </c>
      <c r="CK52" s="712">
        <v>0</v>
      </c>
      <c r="CL52" s="711">
        <v>0</v>
      </c>
      <c r="CM52" s="712">
        <v>0</v>
      </c>
      <c r="CN52" s="713">
        <v>0</v>
      </c>
      <c r="CO52" s="712">
        <v>0</v>
      </c>
    </row>
    <row r="53" spans="1:93">
      <c r="A53" s="468">
        <v>51</v>
      </c>
      <c r="B53" s="596">
        <v>0</v>
      </c>
      <c r="C53" s="596">
        <v>0</v>
      </c>
      <c r="D53" s="596">
        <v>0</v>
      </c>
      <c r="E53" s="596">
        <v>0</v>
      </c>
      <c r="F53" s="596">
        <f t="shared" si="17"/>
        <v>1.2500000000000001E-2</v>
      </c>
      <c r="G53" s="596">
        <v>0.02</v>
      </c>
      <c r="H53" s="596">
        <v>0</v>
      </c>
      <c r="I53" s="596">
        <v>0</v>
      </c>
      <c r="J53" s="596">
        <v>0</v>
      </c>
      <c r="K53" s="596">
        <v>0</v>
      </c>
      <c r="L53" s="596">
        <v>0</v>
      </c>
      <c r="M53" s="596">
        <v>0</v>
      </c>
      <c r="N53" s="596">
        <v>0</v>
      </c>
      <c r="O53" s="596">
        <v>0</v>
      </c>
      <c r="P53" s="596">
        <v>0</v>
      </c>
      <c r="Q53" s="596">
        <v>0</v>
      </c>
      <c r="R53" s="596">
        <v>0</v>
      </c>
      <c r="S53" s="596">
        <v>0</v>
      </c>
      <c r="T53" s="596">
        <v>0.02</v>
      </c>
      <c r="U53" s="596">
        <v>0</v>
      </c>
      <c r="V53" s="596">
        <v>0</v>
      </c>
      <c r="W53" s="612">
        <v>0</v>
      </c>
      <c r="X53" s="704">
        <v>0</v>
      </c>
      <c r="Y53" s="705">
        <v>0</v>
      </c>
      <c r="Z53" s="706">
        <v>0</v>
      </c>
      <c r="AA53" s="707">
        <v>0</v>
      </c>
      <c r="AB53" s="706">
        <v>0</v>
      </c>
      <c r="AC53" s="704">
        <v>0</v>
      </c>
      <c r="AD53" s="706">
        <v>0</v>
      </c>
      <c r="AE53" s="708">
        <v>0</v>
      </c>
      <c r="AF53" s="704">
        <v>0</v>
      </c>
      <c r="AG53" s="704">
        <v>0</v>
      </c>
      <c r="AH53" s="708">
        <v>0</v>
      </c>
      <c r="AI53" s="709">
        <v>0</v>
      </c>
      <c r="AJ53" s="706">
        <f t="shared" si="15"/>
        <v>7.1428571428571426E-3</v>
      </c>
      <c r="AK53" s="704">
        <v>5.0000000000000001E-3</v>
      </c>
      <c r="AL53" s="706">
        <f t="shared" si="18"/>
        <v>1.2500000000000001E-2</v>
      </c>
      <c r="AM53" s="710">
        <v>1E-3</v>
      </c>
      <c r="AN53" s="704">
        <v>0</v>
      </c>
      <c r="AO53" s="706">
        <v>0</v>
      </c>
      <c r="AP53" s="711">
        <v>0</v>
      </c>
      <c r="AQ53" s="712">
        <v>0</v>
      </c>
      <c r="AR53" s="711">
        <v>0</v>
      </c>
      <c r="AS53" s="712">
        <v>0</v>
      </c>
      <c r="AT53" s="711">
        <v>0</v>
      </c>
      <c r="AU53" s="712">
        <v>0</v>
      </c>
      <c r="AV53" s="713">
        <v>0</v>
      </c>
      <c r="AW53" s="714">
        <v>0</v>
      </c>
      <c r="AX53" s="711">
        <v>0</v>
      </c>
      <c r="AY53" s="712">
        <v>0</v>
      </c>
      <c r="AZ53" s="713">
        <v>0</v>
      </c>
      <c r="BA53" s="712">
        <v>0</v>
      </c>
      <c r="BB53" s="713">
        <v>0</v>
      </c>
      <c r="BC53" s="712">
        <v>0</v>
      </c>
      <c r="BD53" s="713">
        <v>0</v>
      </c>
      <c r="BE53" s="712">
        <v>0</v>
      </c>
      <c r="BF53" s="713">
        <v>0</v>
      </c>
      <c r="BG53" s="712">
        <v>0</v>
      </c>
      <c r="BH53" s="713">
        <v>0</v>
      </c>
      <c r="BI53" s="712">
        <v>0</v>
      </c>
      <c r="BJ53" s="713">
        <v>0</v>
      </c>
      <c r="BK53" s="712">
        <v>0</v>
      </c>
      <c r="BL53" s="713">
        <v>0</v>
      </c>
      <c r="BM53" s="712">
        <v>0</v>
      </c>
      <c r="BN53" s="713">
        <v>0</v>
      </c>
      <c r="BO53" s="712">
        <v>0</v>
      </c>
      <c r="BP53" s="713">
        <v>0</v>
      </c>
      <c r="BQ53" s="712">
        <v>0</v>
      </c>
      <c r="BR53" s="713">
        <v>0</v>
      </c>
      <c r="BS53" s="712">
        <v>0</v>
      </c>
      <c r="BT53" s="713">
        <v>0</v>
      </c>
      <c r="BU53" s="712">
        <v>0</v>
      </c>
      <c r="BV53" s="711">
        <v>0</v>
      </c>
      <c r="BW53" s="714">
        <v>0</v>
      </c>
      <c r="BX53" s="711">
        <v>0</v>
      </c>
      <c r="BY53" s="714">
        <v>0</v>
      </c>
      <c r="BZ53" s="711">
        <v>0</v>
      </c>
      <c r="CA53" s="714">
        <v>0</v>
      </c>
      <c r="CB53" s="711">
        <v>0</v>
      </c>
      <c r="CC53" s="714">
        <v>0</v>
      </c>
      <c r="CD53" s="711">
        <v>0</v>
      </c>
      <c r="CE53" s="714">
        <v>0</v>
      </c>
      <c r="CF53" s="711">
        <v>0</v>
      </c>
      <c r="CG53" s="714">
        <v>0</v>
      </c>
      <c r="CH53" s="711">
        <v>0</v>
      </c>
      <c r="CI53" s="714">
        <v>0</v>
      </c>
      <c r="CJ53" s="711">
        <v>0</v>
      </c>
      <c r="CK53" s="712">
        <v>0</v>
      </c>
      <c r="CL53" s="711">
        <v>0</v>
      </c>
      <c r="CM53" s="712">
        <v>0</v>
      </c>
      <c r="CN53" s="713">
        <v>0</v>
      </c>
      <c r="CO53" s="712">
        <v>0</v>
      </c>
    </row>
    <row r="54" spans="1:93">
      <c r="A54" s="468">
        <v>52</v>
      </c>
      <c r="B54" s="596">
        <v>0</v>
      </c>
      <c r="C54" s="596">
        <v>0</v>
      </c>
      <c r="D54" s="596">
        <v>0</v>
      </c>
      <c r="E54" s="596">
        <v>0</v>
      </c>
      <c r="F54" s="596">
        <f t="shared" si="17"/>
        <v>1.2500000000000001E-2</v>
      </c>
      <c r="G54" s="596">
        <v>0.02</v>
      </c>
      <c r="H54" s="596">
        <v>0</v>
      </c>
      <c r="I54" s="596">
        <v>0</v>
      </c>
      <c r="J54" s="596">
        <v>0</v>
      </c>
      <c r="K54" s="596">
        <v>0</v>
      </c>
      <c r="L54" s="596">
        <v>0</v>
      </c>
      <c r="M54" s="596">
        <v>0</v>
      </c>
      <c r="N54" s="596">
        <v>0</v>
      </c>
      <c r="O54" s="596">
        <v>0</v>
      </c>
      <c r="P54" s="596">
        <v>0</v>
      </c>
      <c r="Q54" s="596">
        <v>0</v>
      </c>
      <c r="R54" s="596">
        <v>0</v>
      </c>
      <c r="S54" s="596">
        <v>0</v>
      </c>
      <c r="T54" s="596">
        <v>0.02</v>
      </c>
      <c r="U54" s="596">
        <v>0</v>
      </c>
      <c r="V54" s="596">
        <v>0</v>
      </c>
      <c r="W54" s="612">
        <v>0</v>
      </c>
      <c r="X54" s="704">
        <v>0</v>
      </c>
      <c r="Y54" s="705">
        <v>0</v>
      </c>
      <c r="Z54" s="706">
        <v>0</v>
      </c>
      <c r="AA54" s="707">
        <v>0</v>
      </c>
      <c r="AB54" s="706">
        <v>0</v>
      </c>
      <c r="AC54" s="704">
        <v>0</v>
      </c>
      <c r="AD54" s="706">
        <v>0</v>
      </c>
      <c r="AE54" s="708">
        <v>0</v>
      </c>
      <c r="AF54" s="704">
        <v>0</v>
      </c>
      <c r="AG54" s="704">
        <v>0</v>
      </c>
      <c r="AH54" s="708">
        <v>0</v>
      </c>
      <c r="AI54" s="709">
        <v>0</v>
      </c>
      <c r="AJ54" s="706">
        <f t="shared" si="15"/>
        <v>7.1428571428571426E-3</v>
      </c>
      <c r="AK54" s="704">
        <v>5.0000000000000001E-3</v>
      </c>
      <c r="AL54" s="706">
        <f t="shared" si="18"/>
        <v>1.2500000000000001E-2</v>
      </c>
      <c r="AM54" s="710">
        <v>1E-3</v>
      </c>
      <c r="AN54" s="704">
        <v>0</v>
      </c>
      <c r="AO54" s="706">
        <v>0</v>
      </c>
      <c r="AP54" s="711">
        <v>0</v>
      </c>
      <c r="AQ54" s="712">
        <v>0</v>
      </c>
      <c r="AR54" s="711">
        <v>0</v>
      </c>
      <c r="AS54" s="712">
        <v>0</v>
      </c>
      <c r="AT54" s="711">
        <v>0</v>
      </c>
      <c r="AU54" s="712">
        <v>0</v>
      </c>
      <c r="AV54" s="713">
        <v>0</v>
      </c>
      <c r="AW54" s="714">
        <v>0</v>
      </c>
      <c r="AX54" s="711">
        <v>0</v>
      </c>
      <c r="AY54" s="712">
        <v>0</v>
      </c>
      <c r="AZ54" s="713">
        <v>0</v>
      </c>
      <c r="BA54" s="712">
        <v>0</v>
      </c>
      <c r="BB54" s="713">
        <v>0</v>
      </c>
      <c r="BC54" s="712">
        <v>0</v>
      </c>
      <c r="BD54" s="713">
        <v>0</v>
      </c>
      <c r="BE54" s="712">
        <v>0</v>
      </c>
      <c r="BF54" s="713">
        <v>0</v>
      </c>
      <c r="BG54" s="712">
        <v>0</v>
      </c>
      <c r="BH54" s="713">
        <v>0</v>
      </c>
      <c r="BI54" s="712">
        <v>0</v>
      </c>
      <c r="BJ54" s="713">
        <v>0</v>
      </c>
      <c r="BK54" s="712">
        <v>0</v>
      </c>
      <c r="BL54" s="713">
        <v>0</v>
      </c>
      <c r="BM54" s="712">
        <v>0</v>
      </c>
      <c r="BN54" s="713">
        <v>0</v>
      </c>
      <c r="BO54" s="712">
        <v>0</v>
      </c>
      <c r="BP54" s="713">
        <v>0</v>
      </c>
      <c r="BQ54" s="712">
        <v>0</v>
      </c>
      <c r="BR54" s="713">
        <v>0</v>
      </c>
      <c r="BS54" s="712">
        <v>0</v>
      </c>
      <c r="BT54" s="713">
        <v>0</v>
      </c>
      <c r="BU54" s="712">
        <v>0</v>
      </c>
      <c r="BV54" s="711">
        <v>0</v>
      </c>
      <c r="BW54" s="714">
        <v>0</v>
      </c>
      <c r="BX54" s="711">
        <v>0</v>
      </c>
      <c r="BY54" s="714">
        <v>0</v>
      </c>
      <c r="BZ54" s="711">
        <v>0</v>
      </c>
      <c r="CA54" s="714">
        <v>0</v>
      </c>
      <c r="CB54" s="711">
        <v>0</v>
      </c>
      <c r="CC54" s="714">
        <v>0</v>
      </c>
      <c r="CD54" s="711">
        <v>0</v>
      </c>
      <c r="CE54" s="714">
        <v>0</v>
      </c>
      <c r="CF54" s="711">
        <v>0</v>
      </c>
      <c r="CG54" s="714">
        <v>0</v>
      </c>
      <c r="CH54" s="711">
        <v>0</v>
      </c>
      <c r="CI54" s="714">
        <v>0</v>
      </c>
      <c r="CJ54" s="711">
        <v>0</v>
      </c>
      <c r="CK54" s="712">
        <v>0</v>
      </c>
      <c r="CL54" s="711">
        <v>0</v>
      </c>
      <c r="CM54" s="712">
        <v>0</v>
      </c>
      <c r="CN54" s="713">
        <v>0</v>
      </c>
      <c r="CO54" s="712">
        <v>0</v>
      </c>
    </row>
    <row r="55" spans="1:93">
      <c r="A55" s="468">
        <v>53</v>
      </c>
      <c r="B55" s="596">
        <v>0</v>
      </c>
      <c r="C55" s="596">
        <v>0</v>
      </c>
      <c r="D55" s="596">
        <v>0</v>
      </c>
      <c r="E55" s="596">
        <v>0</v>
      </c>
      <c r="F55" s="596">
        <f t="shared" si="17"/>
        <v>1.2500000000000001E-2</v>
      </c>
      <c r="G55" s="596">
        <v>0.02</v>
      </c>
      <c r="H55" s="596">
        <v>0</v>
      </c>
      <c r="I55" s="596">
        <v>0</v>
      </c>
      <c r="J55" s="596">
        <v>0</v>
      </c>
      <c r="K55" s="596">
        <v>0</v>
      </c>
      <c r="L55" s="596">
        <v>0</v>
      </c>
      <c r="M55" s="596">
        <v>0</v>
      </c>
      <c r="N55" s="596">
        <v>0</v>
      </c>
      <c r="O55" s="596">
        <v>0</v>
      </c>
      <c r="P55" s="596">
        <v>0</v>
      </c>
      <c r="Q55" s="596">
        <v>0</v>
      </c>
      <c r="R55" s="596">
        <v>0</v>
      </c>
      <c r="S55" s="596">
        <v>0</v>
      </c>
      <c r="T55" s="596">
        <v>0.02</v>
      </c>
      <c r="U55" s="596">
        <v>0</v>
      </c>
      <c r="V55" s="596">
        <v>0</v>
      </c>
      <c r="W55" s="612">
        <v>0</v>
      </c>
      <c r="X55" s="704">
        <v>0</v>
      </c>
      <c r="Y55" s="705">
        <v>0</v>
      </c>
      <c r="Z55" s="706">
        <v>0</v>
      </c>
      <c r="AA55" s="707">
        <v>0</v>
      </c>
      <c r="AB55" s="706">
        <v>0</v>
      </c>
      <c r="AC55" s="704">
        <v>0</v>
      </c>
      <c r="AD55" s="706">
        <v>0</v>
      </c>
      <c r="AE55" s="708">
        <v>0</v>
      </c>
      <c r="AF55" s="704">
        <v>0</v>
      </c>
      <c r="AG55" s="704">
        <v>0</v>
      </c>
      <c r="AH55" s="708">
        <v>0</v>
      </c>
      <c r="AI55" s="709">
        <v>0</v>
      </c>
      <c r="AJ55" s="706">
        <f t="shared" si="15"/>
        <v>7.1428571428571426E-3</v>
      </c>
      <c r="AK55" s="704">
        <v>5.0000000000000001E-3</v>
      </c>
      <c r="AL55" s="706">
        <f t="shared" si="18"/>
        <v>1.2500000000000001E-2</v>
      </c>
      <c r="AM55" s="710">
        <v>1E-3</v>
      </c>
      <c r="AN55" s="704">
        <v>0</v>
      </c>
      <c r="AO55" s="706">
        <v>0</v>
      </c>
      <c r="AP55" s="711">
        <v>0</v>
      </c>
      <c r="AQ55" s="712">
        <v>0</v>
      </c>
      <c r="AR55" s="711">
        <v>0</v>
      </c>
      <c r="AS55" s="712">
        <v>0</v>
      </c>
      <c r="AT55" s="711">
        <v>0</v>
      </c>
      <c r="AU55" s="712">
        <v>0</v>
      </c>
      <c r="AV55" s="713">
        <v>0</v>
      </c>
      <c r="AW55" s="714">
        <v>0</v>
      </c>
      <c r="AX55" s="711">
        <v>0</v>
      </c>
      <c r="AY55" s="712">
        <v>0</v>
      </c>
      <c r="AZ55" s="713">
        <v>0</v>
      </c>
      <c r="BA55" s="712">
        <v>0</v>
      </c>
      <c r="BB55" s="713">
        <v>0</v>
      </c>
      <c r="BC55" s="712">
        <v>0</v>
      </c>
      <c r="BD55" s="713">
        <v>0</v>
      </c>
      <c r="BE55" s="712">
        <v>0</v>
      </c>
      <c r="BF55" s="713">
        <v>0</v>
      </c>
      <c r="BG55" s="712">
        <v>0</v>
      </c>
      <c r="BH55" s="713">
        <v>0</v>
      </c>
      <c r="BI55" s="712">
        <v>0</v>
      </c>
      <c r="BJ55" s="713">
        <v>0</v>
      </c>
      <c r="BK55" s="712">
        <v>0</v>
      </c>
      <c r="BL55" s="713">
        <v>0</v>
      </c>
      <c r="BM55" s="712">
        <v>0</v>
      </c>
      <c r="BN55" s="713">
        <v>0</v>
      </c>
      <c r="BO55" s="712">
        <v>0</v>
      </c>
      <c r="BP55" s="713">
        <v>0</v>
      </c>
      <c r="BQ55" s="712">
        <v>0</v>
      </c>
      <c r="BR55" s="713">
        <v>0</v>
      </c>
      <c r="BS55" s="712">
        <v>0</v>
      </c>
      <c r="BT55" s="713">
        <v>0</v>
      </c>
      <c r="BU55" s="712">
        <v>0</v>
      </c>
      <c r="BV55" s="711">
        <v>0</v>
      </c>
      <c r="BW55" s="714">
        <v>0</v>
      </c>
      <c r="BX55" s="711">
        <v>0</v>
      </c>
      <c r="BY55" s="714">
        <v>0</v>
      </c>
      <c r="BZ55" s="711">
        <v>0</v>
      </c>
      <c r="CA55" s="714">
        <v>0</v>
      </c>
      <c r="CB55" s="711">
        <v>0</v>
      </c>
      <c r="CC55" s="714">
        <v>0</v>
      </c>
      <c r="CD55" s="711">
        <v>0</v>
      </c>
      <c r="CE55" s="714">
        <v>0</v>
      </c>
      <c r="CF55" s="711">
        <v>0</v>
      </c>
      <c r="CG55" s="714">
        <v>0</v>
      </c>
      <c r="CH55" s="711">
        <v>0</v>
      </c>
      <c r="CI55" s="714">
        <v>0</v>
      </c>
      <c r="CJ55" s="711">
        <v>0</v>
      </c>
      <c r="CK55" s="712">
        <v>0</v>
      </c>
      <c r="CL55" s="711">
        <v>0</v>
      </c>
      <c r="CM55" s="712">
        <v>0</v>
      </c>
      <c r="CN55" s="713">
        <v>0</v>
      </c>
      <c r="CO55" s="712">
        <v>0</v>
      </c>
    </row>
    <row r="56" spans="1:93">
      <c r="A56" s="468">
        <v>54</v>
      </c>
      <c r="B56" s="596">
        <v>0</v>
      </c>
      <c r="C56" s="596">
        <v>0</v>
      </c>
      <c r="D56" s="596">
        <v>0</v>
      </c>
      <c r="E56" s="596">
        <v>0</v>
      </c>
      <c r="F56" s="596">
        <f t="shared" si="17"/>
        <v>1.2500000000000001E-2</v>
      </c>
      <c r="G56" s="596">
        <v>0.02</v>
      </c>
      <c r="H56" s="596">
        <v>0</v>
      </c>
      <c r="I56" s="596">
        <v>0</v>
      </c>
      <c r="J56" s="596">
        <v>0</v>
      </c>
      <c r="K56" s="596">
        <v>0</v>
      </c>
      <c r="L56" s="596">
        <v>0</v>
      </c>
      <c r="M56" s="596">
        <v>0</v>
      </c>
      <c r="N56" s="596">
        <v>0</v>
      </c>
      <c r="O56" s="596">
        <v>0</v>
      </c>
      <c r="P56" s="596">
        <v>0</v>
      </c>
      <c r="Q56" s="596">
        <v>0</v>
      </c>
      <c r="R56" s="596">
        <v>0</v>
      </c>
      <c r="S56" s="596">
        <v>0</v>
      </c>
      <c r="T56" s="596">
        <v>0.02</v>
      </c>
      <c r="U56" s="596">
        <v>0</v>
      </c>
      <c r="V56" s="596">
        <v>0</v>
      </c>
      <c r="W56" s="612">
        <v>0</v>
      </c>
      <c r="X56" s="704">
        <v>0</v>
      </c>
      <c r="Y56" s="705">
        <v>0</v>
      </c>
      <c r="Z56" s="706">
        <v>0</v>
      </c>
      <c r="AA56" s="707">
        <v>0</v>
      </c>
      <c r="AB56" s="706">
        <v>0</v>
      </c>
      <c r="AC56" s="704">
        <v>0</v>
      </c>
      <c r="AD56" s="706">
        <v>0</v>
      </c>
      <c r="AE56" s="708">
        <v>0</v>
      </c>
      <c r="AF56" s="704">
        <v>0</v>
      </c>
      <c r="AG56" s="704">
        <v>0</v>
      </c>
      <c r="AH56" s="708">
        <v>0</v>
      </c>
      <c r="AI56" s="709">
        <v>0</v>
      </c>
      <c r="AJ56" s="706">
        <f t="shared" si="15"/>
        <v>7.1428571428571426E-3</v>
      </c>
      <c r="AK56" s="704">
        <v>5.0000000000000001E-3</v>
      </c>
      <c r="AL56" s="706">
        <f t="shared" si="18"/>
        <v>1.2500000000000001E-2</v>
      </c>
      <c r="AM56" s="710">
        <v>1E-3</v>
      </c>
      <c r="AN56" s="704">
        <v>0</v>
      </c>
      <c r="AO56" s="706">
        <v>0</v>
      </c>
      <c r="AP56" s="711">
        <v>0</v>
      </c>
      <c r="AQ56" s="712">
        <v>0</v>
      </c>
      <c r="AR56" s="711">
        <v>0</v>
      </c>
      <c r="AS56" s="712">
        <v>0</v>
      </c>
      <c r="AT56" s="711">
        <v>0</v>
      </c>
      <c r="AU56" s="712">
        <v>0</v>
      </c>
      <c r="AV56" s="713">
        <v>0</v>
      </c>
      <c r="AW56" s="714">
        <v>0</v>
      </c>
      <c r="AX56" s="711">
        <v>0</v>
      </c>
      <c r="AY56" s="712">
        <v>0</v>
      </c>
      <c r="AZ56" s="713">
        <v>0</v>
      </c>
      <c r="BA56" s="712">
        <v>0</v>
      </c>
      <c r="BB56" s="713">
        <v>0</v>
      </c>
      <c r="BC56" s="712">
        <v>0</v>
      </c>
      <c r="BD56" s="713">
        <v>0</v>
      </c>
      <c r="BE56" s="712">
        <v>0</v>
      </c>
      <c r="BF56" s="713">
        <v>0</v>
      </c>
      <c r="BG56" s="712">
        <v>0</v>
      </c>
      <c r="BH56" s="713">
        <v>0</v>
      </c>
      <c r="BI56" s="712">
        <v>0</v>
      </c>
      <c r="BJ56" s="713">
        <v>0</v>
      </c>
      <c r="BK56" s="712">
        <v>0</v>
      </c>
      <c r="BL56" s="713">
        <v>0</v>
      </c>
      <c r="BM56" s="712">
        <v>0</v>
      </c>
      <c r="BN56" s="713">
        <v>0</v>
      </c>
      <c r="BO56" s="712">
        <v>0</v>
      </c>
      <c r="BP56" s="713">
        <v>0</v>
      </c>
      <c r="BQ56" s="712">
        <v>0</v>
      </c>
      <c r="BR56" s="713">
        <v>0</v>
      </c>
      <c r="BS56" s="712">
        <v>0</v>
      </c>
      <c r="BT56" s="713">
        <v>0</v>
      </c>
      <c r="BU56" s="712">
        <v>0</v>
      </c>
      <c r="BV56" s="711">
        <v>0</v>
      </c>
      <c r="BW56" s="714">
        <v>0</v>
      </c>
      <c r="BX56" s="711">
        <v>0</v>
      </c>
      <c r="BY56" s="714">
        <v>0</v>
      </c>
      <c r="BZ56" s="711">
        <v>0</v>
      </c>
      <c r="CA56" s="714">
        <v>0</v>
      </c>
      <c r="CB56" s="711">
        <v>0</v>
      </c>
      <c r="CC56" s="714">
        <v>0</v>
      </c>
      <c r="CD56" s="711">
        <v>0</v>
      </c>
      <c r="CE56" s="714">
        <v>0</v>
      </c>
      <c r="CF56" s="711">
        <v>0</v>
      </c>
      <c r="CG56" s="714">
        <v>0</v>
      </c>
      <c r="CH56" s="711">
        <v>0</v>
      </c>
      <c r="CI56" s="714">
        <v>0</v>
      </c>
      <c r="CJ56" s="711">
        <v>0</v>
      </c>
      <c r="CK56" s="712">
        <v>0</v>
      </c>
      <c r="CL56" s="711">
        <v>0</v>
      </c>
      <c r="CM56" s="712">
        <v>0</v>
      </c>
      <c r="CN56" s="713">
        <v>0</v>
      </c>
      <c r="CO56" s="712">
        <v>0</v>
      </c>
    </row>
    <row r="57" spans="1:93">
      <c r="A57" s="468">
        <v>55</v>
      </c>
      <c r="B57" s="596">
        <v>0</v>
      </c>
      <c r="C57" s="596">
        <v>0</v>
      </c>
      <c r="D57" s="596">
        <v>0</v>
      </c>
      <c r="E57" s="596">
        <v>0</v>
      </c>
      <c r="F57" s="596">
        <f t="shared" si="17"/>
        <v>1.2500000000000001E-2</v>
      </c>
      <c r="G57" s="596">
        <v>0.02</v>
      </c>
      <c r="H57" s="596">
        <v>0</v>
      </c>
      <c r="I57" s="596">
        <v>0</v>
      </c>
      <c r="J57" s="596">
        <v>0</v>
      </c>
      <c r="K57" s="596">
        <v>0</v>
      </c>
      <c r="L57" s="596">
        <v>0</v>
      </c>
      <c r="M57" s="596">
        <v>0</v>
      </c>
      <c r="N57" s="596">
        <v>0</v>
      </c>
      <c r="O57" s="596">
        <v>0</v>
      </c>
      <c r="P57" s="596">
        <v>0</v>
      </c>
      <c r="Q57" s="596">
        <v>0</v>
      </c>
      <c r="R57" s="596">
        <v>0</v>
      </c>
      <c r="S57" s="596">
        <v>0</v>
      </c>
      <c r="T57" s="596">
        <v>0.02</v>
      </c>
      <c r="U57" s="596">
        <v>0</v>
      </c>
      <c r="V57" s="596">
        <v>0</v>
      </c>
      <c r="W57" s="612">
        <v>0</v>
      </c>
      <c r="X57" s="704">
        <v>0</v>
      </c>
      <c r="Y57" s="705">
        <v>0</v>
      </c>
      <c r="Z57" s="706">
        <v>0</v>
      </c>
      <c r="AA57" s="707">
        <v>0</v>
      </c>
      <c r="AB57" s="706">
        <v>0</v>
      </c>
      <c r="AC57" s="704">
        <v>0</v>
      </c>
      <c r="AD57" s="706">
        <v>0</v>
      </c>
      <c r="AE57" s="708">
        <v>0</v>
      </c>
      <c r="AF57" s="704">
        <v>0</v>
      </c>
      <c r="AG57" s="704">
        <v>0</v>
      </c>
      <c r="AH57" s="708">
        <v>0</v>
      </c>
      <c r="AI57" s="709">
        <v>0</v>
      </c>
      <c r="AJ57" s="706">
        <f t="shared" si="15"/>
        <v>7.1428571428571426E-3</v>
      </c>
      <c r="AK57" s="704">
        <v>5.0000000000000001E-3</v>
      </c>
      <c r="AL57" s="706">
        <f t="shared" si="18"/>
        <v>1.2500000000000001E-2</v>
      </c>
      <c r="AM57" s="710">
        <v>1E-3</v>
      </c>
      <c r="AN57" s="704">
        <v>0</v>
      </c>
      <c r="AO57" s="706">
        <v>0</v>
      </c>
      <c r="AP57" s="711">
        <v>0</v>
      </c>
      <c r="AQ57" s="712">
        <v>0</v>
      </c>
      <c r="AR57" s="711">
        <v>0</v>
      </c>
      <c r="AS57" s="712">
        <v>0</v>
      </c>
      <c r="AT57" s="711">
        <v>0</v>
      </c>
      <c r="AU57" s="712">
        <v>0</v>
      </c>
      <c r="AV57" s="713">
        <v>0</v>
      </c>
      <c r="AW57" s="714">
        <v>0</v>
      </c>
      <c r="AX57" s="711">
        <v>0</v>
      </c>
      <c r="AY57" s="712">
        <v>0</v>
      </c>
      <c r="AZ57" s="713">
        <v>0</v>
      </c>
      <c r="BA57" s="712">
        <v>0</v>
      </c>
      <c r="BB57" s="713">
        <v>0</v>
      </c>
      <c r="BC57" s="712">
        <v>0</v>
      </c>
      <c r="BD57" s="713">
        <v>0</v>
      </c>
      <c r="BE57" s="712">
        <v>0</v>
      </c>
      <c r="BF57" s="713">
        <v>0</v>
      </c>
      <c r="BG57" s="712">
        <v>0</v>
      </c>
      <c r="BH57" s="713">
        <v>0</v>
      </c>
      <c r="BI57" s="712">
        <v>0</v>
      </c>
      <c r="BJ57" s="713">
        <v>0</v>
      </c>
      <c r="BK57" s="712">
        <v>0</v>
      </c>
      <c r="BL57" s="713">
        <v>0</v>
      </c>
      <c r="BM57" s="712">
        <v>0</v>
      </c>
      <c r="BN57" s="713">
        <v>0</v>
      </c>
      <c r="BO57" s="712">
        <v>0</v>
      </c>
      <c r="BP57" s="713">
        <v>0</v>
      </c>
      <c r="BQ57" s="712">
        <v>0</v>
      </c>
      <c r="BR57" s="713">
        <v>0</v>
      </c>
      <c r="BS57" s="712">
        <v>0</v>
      </c>
      <c r="BT57" s="713">
        <v>0</v>
      </c>
      <c r="BU57" s="712">
        <v>0</v>
      </c>
      <c r="BV57" s="711">
        <v>0</v>
      </c>
      <c r="BW57" s="714">
        <v>0</v>
      </c>
      <c r="BX57" s="711">
        <v>0</v>
      </c>
      <c r="BY57" s="714">
        <v>0</v>
      </c>
      <c r="BZ57" s="711">
        <v>0</v>
      </c>
      <c r="CA57" s="714">
        <v>0</v>
      </c>
      <c r="CB57" s="711">
        <v>0</v>
      </c>
      <c r="CC57" s="714">
        <v>0</v>
      </c>
      <c r="CD57" s="711">
        <v>0</v>
      </c>
      <c r="CE57" s="714">
        <v>0</v>
      </c>
      <c r="CF57" s="711">
        <v>0</v>
      </c>
      <c r="CG57" s="714">
        <v>0</v>
      </c>
      <c r="CH57" s="711">
        <v>0</v>
      </c>
      <c r="CI57" s="714">
        <v>0</v>
      </c>
      <c r="CJ57" s="711">
        <v>0</v>
      </c>
      <c r="CK57" s="712">
        <v>0</v>
      </c>
      <c r="CL57" s="711">
        <v>0</v>
      </c>
      <c r="CM57" s="712">
        <v>0</v>
      </c>
      <c r="CN57" s="713">
        <v>0</v>
      </c>
      <c r="CO57" s="712">
        <v>0</v>
      </c>
    </row>
    <row r="58" spans="1:93">
      <c r="A58" s="468">
        <v>56</v>
      </c>
      <c r="B58" s="596">
        <v>0</v>
      </c>
      <c r="C58" s="596">
        <v>0</v>
      </c>
      <c r="D58" s="596">
        <v>0</v>
      </c>
      <c r="E58" s="596">
        <v>0</v>
      </c>
      <c r="F58" s="596">
        <f t="shared" si="17"/>
        <v>1.2500000000000001E-2</v>
      </c>
      <c r="G58" s="596">
        <v>0.02</v>
      </c>
      <c r="H58" s="596">
        <v>0</v>
      </c>
      <c r="I58" s="596">
        <v>0</v>
      </c>
      <c r="J58" s="596">
        <v>0</v>
      </c>
      <c r="K58" s="596">
        <v>0</v>
      </c>
      <c r="L58" s="596">
        <v>0</v>
      </c>
      <c r="M58" s="596">
        <v>0</v>
      </c>
      <c r="N58" s="596">
        <v>0</v>
      </c>
      <c r="O58" s="596">
        <v>0</v>
      </c>
      <c r="P58" s="596">
        <v>0</v>
      </c>
      <c r="Q58" s="596">
        <v>0</v>
      </c>
      <c r="R58" s="596">
        <v>0</v>
      </c>
      <c r="S58" s="596">
        <v>0</v>
      </c>
      <c r="T58" s="596">
        <v>0.02</v>
      </c>
      <c r="U58" s="596">
        <v>0</v>
      </c>
      <c r="V58" s="596">
        <v>0</v>
      </c>
      <c r="W58" s="612">
        <v>0</v>
      </c>
      <c r="X58" s="704">
        <v>0</v>
      </c>
      <c r="Y58" s="705">
        <v>0</v>
      </c>
      <c r="Z58" s="706">
        <v>0</v>
      </c>
      <c r="AA58" s="707">
        <v>0</v>
      </c>
      <c r="AB58" s="706">
        <v>0</v>
      </c>
      <c r="AC58" s="704">
        <v>0</v>
      </c>
      <c r="AD58" s="706">
        <v>0</v>
      </c>
      <c r="AE58" s="708">
        <v>0</v>
      </c>
      <c r="AF58" s="704">
        <v>0</v>
      </c>
      <c r="AG58" s="704">
        <v>0</v>
      </c>
      <c r="AH58" s="708">
        <v>0</v>
      </c>
      <c r="AI58" s="709">
        <v>0</v>
      </c>
      <c r="AJ58" s="706">
        <f t="shared" si="15"/>
        <v>7.1428571428571426E-3</v>
      </c>
      <c r="AK58" s="704">
        <v>5.0000000000000001E-3</v>
      </c>
      <c r="AL58" s="706">
        <f t="shared" si="18"/>
        <v>1.2500000000000001E-2</v>
      </c>
      <c r="AM58" s="710">
        <v>1E-3</v>
      </c>
      <c r="AN58" s="704">
        <v>0</v>
      </c>
      <c r="AO58" s="706">
        <v>0</v>
      </c>
      <c r="AP58" s="711">
        <v>0</v>
      </c>
      <c r="AQ58" s="712">
        <v>0</v>
      </c>
      <c r="AR58" s="711">
        <v>0</v>
      </c>
      <c r="AS58" s="712">
        <v>0</v>
      </c>
      <c r="AT58" s="711">
        <v>0</v>
      </c>
      <c r="AU58" s="712">
        <v>0</v>
      </c>
      <c r="AV58" s="713">
        <v>0</v>
      </c>
      <c r="AW58" s="714">
        <v>0</v>
      </c>
      <c r="AX58" s="711">
        <v>0</v>
      </c>
      <c r="AY58" s="712">
        <v>0</v>
      </c>
      <c r="AZ58" s="713">
        <v>0</v>
      </c>
      <c r="BA58" s="712">
        <v>0</v>
      </c>
      <c r="BB58" s="713">
        <v>0</v>
      </c>
      <c r="BC58" s="712">
        <v>0</v>
      </c>
      <c r="BD58" s="713">
        <v>0</v>
      </c>
      <c r="BE58" s="712">
        <v>0</v>
      </c>
      <c r="BF58" s="713">
        <v>0</v>
      </c>
      <c r="BG58" s="712">
        <v>0</v>
      </c>
      <c r="BH58" s="713">
        <v>0</v>
      </c>
      <c r="BI58" s="712">
        <v>0</v>
      </c>
      <c r="BJ58" s="713">
        <v>0</v>
      </c>
      <c r="BK58" s="712">
        <v>0</v>
      </c>
      <c r="BL58" s="713">
        <v>0</v>
      </c>
      <c r="BM58" s="712">
        <v>0</v>
      </c>
      <c r="BN58" s="713">
        <v>0</v>
      </c>
      <c r="BO58" s="712">
        <v>0</v>
      </c>
      <c r="BP58" s="713">
        <v>0</v>
      </c>
      <c r="BQ58" s="712">
        <v>0</v>
      </c>
      <c r="BR58" s="713">
        <v>0</v>
      </c>
      <c r="BS58" s="712">
        <v>0</v>
      </c>
      <c r="BT58" s="713">
        <v>0</v>
      </c>
      <c r="BU58" s="712">
        <v>0</v>
      </c>
      <c r="BV58" s="711">
        <v>0</v>
      </c>
      <c r="BW58" s="714">
        <v>0</v>
      </c>
      <c r="BX58" s="711">
        <v>0</v>
      </c>
      <c r="BY58" s="714">
        <v>0</v>
      </c>
      <c r="BZ58" s="711">
        <v>0</v>
      </c>
      <c r="CA58" s="714">
        <v>0</v>
      </c>
      <c r="CB58" s="711">
        <v>0</v>
      </c>
      <c r="CC58" s="714">
        <v>0</v>
      </c>
      <c r="CD58" s="711">
        <v>0</v>
      </c>
      <c r="CE58" s="714">
        <v>0</v>
      </c>
      <c r="CF58" s="711">
        <v>0</v>
      </c>
      <c r="CG58" s="714">
        <v>0</v>
      </c>
      <c r="CH58" s="711">
        <v>0</v>
      </c>
      <c r="CI58" s="714">
        <v>0</v>
      </c>
      <c r="CJ58" s="711">
        <v>0</v>
      </c>
      <c r="CK58" s="712">
        <v>0</v>
      </c>
      <c r="CL58" s="711">
        <v>0</v>
      </c>
      <c r="CM58" s="712">
        <v>0</v>
      </c>
      <c r="CN58" s="713">
        <v>0</v>
      </c>
      <c r="CO58" s="712">
        <v>0</v>
      </c>
    </row>
    <row r="59" spans="1:93">
      <c r="A59" s="468">
        <v>57</v>
      </c>
      <c r="B59" s="596">
        <v>0</v>
      </c>
      <c r="C59" s="596">
        <v>0</v>
      </c>
      <c r="D59" s="596">
        <v>0</v>
      </c>
      <c r="E59" s="596">
        <v>0</v>
      </c>
      <c r="F59" s="596">
        <f t="shared" si="17"/>
        <v>1.2500000000000001E-2</v>
      </c>
      <c r="G59" s="596">
        <v>0.02</v>
      </c>
      <c r="H59" s="596">
        <v>0</v>
      </c>
      <c r="I59" s="596">
        <v>0</v>
      </c>
      <c r="J59" s="596">
        <v>0</v>
      </c>
      <c r="K59" s="596">
        <v>0</v>
      </c>
      <c r="L59" s="596">
        <v>0</v>
      </c>
      <c r="M59" s="596">
        <v>0</v>
      </c>
      <c r="N59" s="596">
        <v>0</v>
      </c>
      <c r="O59" s="596">
        <v>0</v>
      </c>
      <c r="P59" s="596">
        <v>0</v>
      </c>
      <c r="Q59" s="596">
        <v>0</v>
      </c>
      <c r="R59" s="596">
        <v>0</v>
      </c>
      <c r="S59" s="596">
        <v>0</v>
      </c>
      <c r="T59" s="596">
        <v>0.02</v>
      </c>
      <c r="U59" s="596">
        <v>0</v>
      </c>
      <c r="V59" s="596">
        <v>0</v>
      </c>
      <c r="W59" s="612">
        <v>0</v>
      </c>
      <c r="X59" s="704">
        <v>0</v>
      </c>
      <c r="Y59" s="705">
        <v>0</v>
      </c>
      <c r="Z59" s="706">
        <v>0</v>
      </c>
      <c r="AA59" s="707">
        <v>0</v>
      </c>
      <c r="AB59" s="706">
        <v>0</v>
      </c>
      <c r="AC59" s="704">
        <v>0</v>
      </c>
      <c r="AD59" s="706">
        <v>0</v>
      </c>
      <c r="AE59" s="708">
        <v>0</v>
      </c>
      <c r="AF59" s="704">
        <v>0</v>
      </c>
      <c r="AG59" s="704">
        <v>0</v>
      </c>
      <c r="AH59" s="708">
        <v>0</v>
      </c>
      <c r="AI59" s="709">
        <v>0</v>
      </c>
      <c r="AJ59" s="706">
        <f t="shared" si="15"/>
        <v>7.1428571428571426E-3</v>
      </c>
      <c r="AK59" s="704">
        <v>5.0000000000000001E-3</v>
      </c>
      <c r="AL59" s="706">
        <f t="shared" si="18"/>
        <v>1.2500000000000001E-2</v>
      </c>
      <c r="AM59" s="710">
        <v>1E-3</v>
      </c>
      <c r="AN59" s="704">
        <v>0</v>
      </c>
      <c r="AO59" s="706">
        <v>0</v>
      </c>
      <c r="AP59" s="711">
        <v>0</v>
      </c>
      <c r="AQ59" s="712">
        <v>0</v>
      </c>
      <c r="AR59" s="711">
        <v>0</v>
      </c>
      <c r="AS59" s="712">
        <v>0</v>
      </c>
      <c r="AT59" s="711">
        <v>0</v>
      </c>
      <c r="AU59" s="712">
        <v>0</v>
      </c>
      <c r="AV59" s="713">
        <v>0</v>
      </c>
      <c r="AW59" s="714">
        <v>0</v>
      </c>
      <c r="AX59" s="711">
        <v>0</v>
      </c>
      <c r="AY59" s="712">
        <v>0</v>
      </c>
      <c r="AZ59" s="713">
        <v>0</v>
      </c>
      <c r="BA59" s="712">
        <v>0</v>
      </c>
      <c r="BB59" s="713">
        <v>0</v>
      </c>
      <c r="BC59" s="712">
        <v>0</v>
      </c>
      <c r="BD59" s="713">
        <v>0</v>
      </c>
      <c r="BE59" s="712">
        <v>0</v>
      </c>
      <c r="BF59" s="713">
        <v>0</v>
      </c>
      <c r="BG59" s="712">
        <v>0</v>
      </c>
      <c r="BH59" s="713">
        <v>0</v>
      </c>
      <c r="BI59" s="712">
        <v>0</v>
      </c>
      <c r="BJ59" s="713">
        <v>0</v>
      </c>
      <c r="BK59" s="712">
        <v>0</v>
      </c>
      <c r="BL59" s="713">
        <v>0</v>
      </c>
      <c r="BM59" s="712">
        <v>0</v>
      </c>
      <c r="BN59" s="713">
        <v>0</v>
      </c>
      <c r="BO59" s="712">
        <v>0</v>
      </c>
      <c r="BP59" s="713">
        <v>0</v>
      </c>
      <c r="BQ59" s="712">
        <v>0</v>
      </c>
      <c r="BR59" s="713">
        <v>0</v>
      </c>
      <c r="BS59" s="712">
        <v>0</v>
      </c>
      <c r="BT59" s="713">
        <v>0</v>
      </c>
      <c r="BU59" s="712">
        <v>0</v>
      </c>
      <c r="BV59" s="711">
        <v>0</v>
      </c>
      <c r="BW59" s="714">
        <v>0</v>
      </c>
      <c r="BX59" s="711">
        <v>0</v>
      </c>
      <c r="BY59" s="714">
        <v>0</v>
      </c>
      <c r="BZ59" s="711">
        <v>0</v>
      </c>
      <c r="CA59" s="714">
        <v>0</v>
      </c>
      <c r="CB59" s="711">
        <v>0</v>
      </c>
      <c r="CC59" s="714">
        <v>0</v>
      </c>
      <c r="CD59" s="711">
        <v>0</v>
      </c>
      <c r="CE59" s="714">
        <v>0</v>
      </c>
      <c r="CF59" s="711">
        <v>0</v>
      </c>
      <c r="CG59" s="714">
        <v>0</v>
      </c>
      <c r="CH59" s="711">
        <v>0</v>
      </c>
      <c r="CI59" s="714">
        <v>0</v>
      </c>
      <c r="CJ59" s="711">
        <v>0</v>
      </c>
      <c r="CK59" s="712">
        <v>0</v>
      </c>
      <c r="CL59" s="711">
        <v>0</v>
      </c>
      <c r="CM59" s="712">
        <v>0</v>
      </c>
      <c r="CN59" s="713">
        <v>0</v>
      </c>
      <c r="CO59" s="712">
        <v>0</v>
      </c>
    </row>
    <row r="60" spans="1:93">
      <c r="A60" s="468">
        <v>58</v>
      </c>
      <c r="B60" s="596">
        <v>0</v>
      </c>
      <c r="C60" s="596">
        <v>0</v>
      </c>
      <c r="D60" s="596">
        <v>0</v>
      </c>
      <c r="E60" s="596">
        <v>0</v>
      </c>
      <c r="F60" s="596">
        <f t="shared" si="17"/>
        <v>1.2500000000000001E-2</v>
      </c>
      <c r="G60" s="596">
        <v>0.02</v>
      </c>
      <c r="H60" s="596">
        <v>0</v>
      </c>
      <c r="I60" s="596">
        <v>0</v>
      </c>
      <c r="J60" s="596">
        <v>0</v>
      </c>
      <c r="K60" s="596">
        <v>0</v>
      </c>
      <c r="L60" s="596">
        <v>0</v>
      </c>
      <c r="M60" s="596">
        <v>0</v>
      </c>
      <c r="N60" s="596">
        <v>0</v>
      </c>
      <c r="O60" s="596">
        <v>0</v>
      </c>
      <c r="P60" s="596">
        <v>0</v>
      </c>
      <c r="Q60" s="596">
        <v>0</v>
      </c>
      <c r="R60" s="596">
        <v>0</v>
      </c>
      <c r="S60" s="596">
        <v>0</v>
      </c>
      <c r="T60" s="596">
        <v>0.02</v>
      </c>
      <c r="U60" s="596">
        <v>0</v>
      </c>
      <c r="V60" s="596">
        <v>0</v>
      </c>
      <c r="W60" s="612">
        <v>0</v>
      </c>
      <c r="X60" s="704">
        <v>0</v>
      </c>
      <c r="Y60" s="705">
        <v>0</v>
      </c>
      <c r="Z60" s="706">
        <v>0</v>
      </c>
      <c r="AA60" s="707">
        <v>0</v>
      </c>
      <c r="AB60" s="706">
        <v>0</v>
      </c>
      <c r="AC60" s="704">
        <v>0</v>
      </c>
      <c r="AD60" s="706">
        <v>0</v>
      </c>
      <c r="AE60" s="708">
        <v>0</v>
      </c>
      <c r="AF60" s="704">
        <v>0</v>
      </c>
      <c r="AG60" s="704">
        <v>0</v>
      </c>
      <c r="AH60" s="708">
        <v>0</v>
      </c>
      <c r="AI60" s="709">
        <v>0</v>
      </c>
      <c r="AJ60" s="706">
        <f t="shared" si="15"/>
        <v>7.1428571428571426E-3</v>
      </c>
      <c r="AK60" s="704">
        <v>5.0000000000000001E-3</v>
      </c>
      <c r="AL60" s="706">
        <f t="shared" si="18"/>
        <v>1.2500000000000001E-2</v>
      </c>
      <c r="AM60" s="710">
        <v>1E-3</v>
      </c>
      <c r="AN60" s="704">
        <v>0</v>
      </c>
      <c r="AO60" s="706">
        <v>0</v>
      </c>
      <c r="AP60" s="711">
        <v>0</v>
      </c>
      <c r="AQ60" s="712">
        <v>0</v>
      </c>
      <c r="AR60" s="711">
        <v>0</v>
      </c>
      <c r="AS60" s="712">
        <v>0</v>
      </c>
      <c r="AT60" s="711">
        <v>0</v>
      </c>
      <c r="AU60" s="712">
        <v>0</v>
      </c>
      <c r="AV60" s="713">
        <v>0</v>
      </c>
      <c r="AW60" s="714">
        <v>0</v>
      </c>
      <c r="AX60" s="711">
        <v>0</v>
      </c>
      <c r="AY60" s="712">
        <v>0</v>
      </c>
      <c r="AZ60" s="713">
        <v>0</v>
      </c>
      <c r="BA60" s="712">
        <v>0</v>
      </c>
      <c r="BB60" s="713">
        <v>0</v>
      </c>
      <c r="BC60" s="712">
        <v>0</v>
      </c>
      <c r="BD60" s="713">
        <v>0</v>
      </c>
      <c r="BE60" s="712">
        <v>0</v>
      </c>
      <c r="BF60" s="713">
        <v>0</v>
      </c>
      <c r="BG60" s="712">
        <v>0</v>
      </c>
      <c r="BH60" s="713">
        <v>0</v>
      </c>
      <c r="BI60" s="712">
        <v>0</v>
      </c>
      <c r="BJ60" s="713">
        <v>0</v>
      </c>
      <c r="BK60" s="712">
        <v>0</v>
      </c>
      <c r="BL60" s="713">
        <v>0</v>
      </c>
      <c r="BM60" s="712">
        <v>0</v>
      </c>
      <c r="BN60" s="713">
        <v>0</v>
      </c>
      <c r="BO60" s="712">
        <v>0</v>
      </c>
      <c r="BP60" s="713">
        <v>0</v>
      </c>
      <c r="BQ60" s="712">
        <v>0</v>
      </c>
      <c r="BR60" s="713">
        <v>0</v>
      </c>
      <c r="BS60" s="712">
        <v>0</v>
      </c>
      <c r="BT60" s="713">
        <v>0</v>
      </c>
      <c r="BU60" s="712">
        <v>0</v>
      </c>
      <c r="BV60" s="711">
        <v>0</v>
      </c>
      <c r="BW60" s="714">
        <v>0</v>
      </c>
      <c r="BX60" s="711">
        <v>0</v>
      </c>
      <c r="BY60" s="714">
        <v>0</v>
      </c>
      <c r="BZ60" s="711">
        <v>0</v>
      </c>
      <c r="CA60" s="714">
        <v>0</v>
      </c>
      <c r="CB60" s="711">
        <v>0</v>
      </c>
      <c r="CC60" s="714">
        <v>0</v>
      </c>
      <c r="CD60" s="711">
        <v>0</v>
      </c>
      <c r="CE60" s="714">
        <v>0</v>
      </c>
      <c r="CF60" s="711">
        <v>0</v>
      </c>
      <c r="CG60" s="714">
        <v>0</v>
      </c>
      <c r="CH60" s="711">
        <v>0</v>
      </c>
      <c r="CI60" s="714">
        <v>0</v>
      </c>
      <c r="CJ60" s="711">
        <v>0</v>
      </c>
      <c r="CK60" s="712">
        <v>0</v>
      </c>
      <c r="CL60" s="711">
        <v>0</v>
      </c>
      <c r="CM60" s="712">
        <v>0</v>
      </c>
      <c r="CN60" s="713">
        <v>0</v>
      </c>
      <c r="CO60" s="712">
        <v>0</v>
      </c>
    </row>
    <row r="61" spans="1:93">
      <c r="A61" s="468">
        <v>59</v>
      </c>
      <c r="B61" s="596">
        <v>0</v>
      </c>
      <c r="C61" s="596">
        <v>0</v>
      </c>
      <c r="D61" s="596">
        <v>0</v>
      </c>
      <c r="E61" s="596">
        <v>0</v>
      </c>
      <c r="F61" s="596">
        <f t="shared" si="17"/>
        <v>1.2500000000000001E-2</v>
      </c>
      <c r="G61" s="596">
        <v>0.02</v>
      </c>
      <c r="H61" s="596">
        <v>0</v>
      </c>
      <c r="I61" s="596">
        <v>0</v>
      </c>
      <c r="J61" s="596">
        <v>0</v>
      </c>
      <c r="K61" s="596">
        <v>0</v>
      </c>
      <c r="L61" s="596">
        <v>0</v>
      </c>
      <c r="M61" s="596">
        <v>0</v>
      </c>
      <c r="N61" s="596">
        <v>0</v>
      </c>
      <c r="O61" s="596">
        <v>0</v>
      </c>
      <c r="P61" s="596">
        <v>0</v>
      </c>
      <c r="Q61" s="596">
        <v>0</v>
      </c>
      <c r="R61" s="596">
        <v>0</v>
      </c>
      <c r="S61" s="596">
        <v>0</v>
      </c>
      <c r="T61" s="596">
        <v>0.02</v>
      </c>
      <c r="U61" s="596">
        <v>0</v>
      </c>
      <c r="V61" s="596">
        <v>0</v>
      </c>
      <c r="W61" s="612">
        <v>0</v>
      </c>
      <c r="X61" s="704">
        <v>0</v>
      </c>
      <c r="Y61" s="705">
        <v>0</v>
      </c>
      <c r="Z61" s="706">
        <v>0</v>
      </c>
      <c r="AA61" s="707">
        <v>0</v>
      </c>
      <c r="AB61" s="706">
        <v>0</v>
      </c>
      <c r="AC61" s="704">
        <v>0</v>
      </c>
      <c r="AD61" s="706">
        <v>0</v>
      </c>
      <c r="AE61" s="708">
        <v>0</v>
      </c>
      <c r="AF61" s="704">
        <v>0</v>
      </c>
      <c r="AG61" s="704">
        <v>0</v>
      </c>
      <c r="AH61" s="708">
        <v>0</v>
      </c>
      <c r="AI61" s="709">
        <v>0</v>
      </c>
      <c r="AJ61" s="706">
        <f t="shared" si="15"/>
        <v>7.1428571428571426E-3</v>
      </c>
      <c r="AK61" s="704">
        <v>5.0000000000000001E-3</v>
      </c>
      <c r="AL61" s="706">
        <f t="shared" si="18"/>
        <v>1.2500000000000001E-2</v>
      </c>
      <c r="AM61" s="710">
        <v>1E-3</v>
      </c>
      <c r="AN61" s="704">
        <v>0</v>
      </c>
      <c r="AO61" s="706">
        <v>0</v>
      </c>
      <c r="AP61" s="711">
        <v>0</v>
      </c>
      <c r="AQ61" s="712">
        <v>0</v>
      </c>
      <c r="AR61" s="711">
        <v>0</v>
      </c>
      <c r="AS61" s="712">
        <v>0</v>
      </c>
      <c r="AT61" s="711">
        <v>0</v>
      </c>
      <c r="AU61" s="712">
        <v>0</v>
      </c>
      <c r="AV61" s="713">
        <v>0</v>
      </c>
      <c r="AW61" s="714">
        <v>0</v>
      </c>
      <c r="AX61" s="711">
        <v>0</v>
      </c>
      <c r="AY61" s="712">
        <v>0</v>
      </c>
      <c r="AZ61" s="713">
        <v>0</v>
      </c>
      <c r="BA61" s="712">
        <v>0</v>
      </c>
      <c r="BB61" s="713">
        <v>0</v>
      </c>
      <c r="BC61" s="712">
        <v>0</v>
      </c>
      <c r="BD61" s="713">
        <v>0</v>
      </c>
      <c r="BE61" s="712">
        <v>0</v>
      </c>
      <c r="BF61" s="713">
        <v>0</v>
      </c>
      <c r="BG61" s="712">
        <v>0</v>
      </c>
      <c r="BH61" s="713">
        <v>0</v>
      </c>
      <c r="BI61" s="712">
        <v>0</v>
      </c>
      <c r="BJ61" s="713">
        <v>0</v>
      </c>
      <c r="BK61" s="712">
        <v>0</v>
      </c>
      <c r="BL61" s="713">
        <v>0</v>
      </c>
      <c r="BM61" s="712">
        <v>0</v>
      </c>
      <c r="BN61" s="713">
        <v>0</v>
      </c>
      <c r="BO61" s="712">
        <v>0</v>
      </c>
      <c r="BP61" s="713">
        <v>0</v>
      </c>
      <c r="BQ61" s="712">
        <v>0</v>
      </c>
      <c r="BR61" s="713">
        <v>0</v>
      </c>
      <c r="BS61" s="712">
        <v>0</v>
      </c>
      <c r="BT61" s="713">
        <v>0</v>
      </c>
      <c r="BU61" s="712">
        <v>0</v>
      </c>
      <c r="BV61" s="711">
        <v>0</v>
      </c>
      <c r="BW61" s="714">
        <v>0</v>
      </c>
      <c r="BX61" s="711">
        <v>0</v>
      </c>
      <c r="BY61" s="714">
        <v>0</v>
      </c>
      <c r="BZ61" s="711">
        <v>0</v>
      </c>
      <c r="CA61" s="714">
        <v>0</v>
      </c>
      <c r="CB61" s="711">
        <v>0</v>
      </c>
      <c r="CC61" s="714">
        <v>0</v>
      </c>
      <c r="CD61" s="711">
        <v>0</v>
      </c>
      <c r="CE61" s="714">
        <v>0</v>
      </c>
      <c r="CF61" s="711">
        <v>0</v>
      </c>
      <c r="CG61" s="714">
        <v>0</v>
      </c>
      <c r="CH61" s="711">
        <v>0</v>
      </c>
      <c r="CI61" s="714">
        <v>0</v>
      </c>
      <c r="CJ61" s="711">
        <v>0</v>
      </c>
      <c r="CK61" s="712">
        <v>0</v>
      </c>
      <c r="CL61" s="711">
        <v>0</v>
      </c>
      <c r="CM61" s="712">
        <v>0</v>
      </c>
      <c r="CN61" s="713">
        <v>0</v>
      </c>
      <c r="CO61" s="712">
        <v>0</v>
      </c>
    </row>
    <row r="62" spans="1:93">
      <c r="A62" s="468">
        <v>60</v>
      </c>
      <c r="B62" s="596">
        <v>0</v>
      </c>
      <c r="C62" s="596">
        <v>0</v>
      </c>
      <c r="D62" s="596">
        <v>0</v>
      </c>
      <c r="E62" s="596">
        <v>0</v>
      </c>
      <c r="F62" s="596">
        <f t="shared" si="17"/>
        <v>1.2500000000000001E-2</v>
      </c>
      <c r="G62" s="596">
        <v>0.02</v>
      </c>
      <c r="H62" s="596">
        <v>0</v>
      </c>
      <c r="I62" s="596">
        <v>0</v>
      </c>
      <c r="J62" s="596">
        <v>0</v>
      </c>
      <c r="K62" s="596">
        <v>0</v>
      </c>
      <c r="L62" s="596">
        <v>0</v>
      </c>
      <c r="M62" s="596">
        <v>0</v>
      </c>
      <c r="N62" s="596">
        <v>0</v>
      </c>
      <c r="O62" s="596">
        <v>0</v>
      </c>
      <c r="P62" s="596">
        <v>0</v>
      </c>
      <c r="Q62" s="596">
        <v>0</v>
      </c>
      <c r="R62" s="596">
        <v>0</v>
      </c>
      <c r="S62" s="596">
        <v>0</v>
      </c>
      <c r="T62" s="596">
        <v>0.02</v>
      </c>
      <c r="U62" s="596">
        <v>0</v>
      </c>
      <c r="V62" s="596">
        <v>0</v>
      </c>
      <c r="W62" s="612">
        <v>0</v>
      </c>
      <c r="X62" s="704">
        <v>0</v>
      </c>
      <c r="Y62" s="705">
        <v>0</v>
      </c>
      <c r="Z62" s="706">
        <v>0</v>
      </c>
      <c r="AA62" s="707">
        <v>0</v>
      </c>
      <c r="AB62" s="706">
        <v>0</v>
      </c>
      <c r="AC62" s="704">
        <v>0</v>
      </c>
      <c r="AD62" s="706">
        <v>0</v>
      </c>
      <c r="AE62" s="708">
        <v>0</v>
      </c>
      <c r="AF62" s="704">
        <v>0</v>
      </c>
      <c r="AG62" s="704">
        <v>0</v>
      </c>
      <c r="AH62" s="708">
        <v>0</v>
      </c>
      <c r="AI62" s="709">
        <v>0</v>
      </c>
      <c r="AJ62" s="706">
        <f t="shared" si="15"/>
        <v>7.1428571428571426E-3</v>
      </c>
      <c r="AK62" s="704">
        <v>5.0000000000000001E-3</v>
      </c>
      <c r="AL62" s="706">
        <f t="shared" si="18"/>
        <v>1.2500000000000001E-2</v>
      </c>
      <c r="AM62" s="710">
        <v>1E-3</v>
      </c>
      <c r="AN62" s="704">
        <v>0</v>
      </c>
      <c r="AO62" s="706">
        <v>0</v>
      </c>
      <c r="AP62" s="711">
        <v>0</v>
      </c>
      <c r="AQ62" s="712">
        <v>0</v>
      </c>
      <c r="AR62" s="711">
        <v>0</v>
      </c>
      <c r="AS62" s="712">
        <v>0</v>
      </c>
      <c r="AT62" s="711">
        <v>0</v>
      </c>
      <c r="AU62" s="712">
        <v>0</v>
      </c>
      <c r="AV62" s="713">
        <v>0</v>
      </c>
      <c r="AW62" s="714">
        <v>0</v>
      </c>
      <c r="AX62" s="711">
        <v>0</v>
      </c>
      <c r="AY62" s="712">
        <v>0</v>
      </c>
      <c r="AZ62" s="713">
        <v>0</v>
      </c>
      <c r="BA62" s="712">
        <v>0</v>
      </c>
      <c r="BB62" s="713">
        <v>0</v>
      </c>
      <c r="BC62" s="712">
        <v>0</v>
      </c>
      <c r="BD62" s="713">
        <v>0</v>
      </c>
      <c r="BE62" s="712">
        <v>0</v>
      </c>
      <c r="BF62" s="713">
        <v>0</v>
      </c>
      <c r="BG62" s="712">
        <v>0</v>
      </c>
      <c r="BH62" s="713">
        <v>0</v>
      </c>
      <c r="BI62" s="712">
        <v>0</v>
      </c>
      <c r="BJ62" s="713">
        <v>0</v>
      </c>
      <c r="BK62" s="712">
        <v>0</v>
      </c>
      <c r="BL62" s="713">
        <v>0</v>
      </c>
      <c r="BM62" s="712">
        <v>0</v>
      </c>
      <c r="BN62" s="713">
        <v>0</v>
      </c>
      <c r="BO62" s="712">
        <v>0</v>
      </c>
      <c r="BP62" s="713">
        <v>0</v>
      </c>
      <c r="BQ62" s="712">
        <v>0</v>
      </c>
      <c r="BR62" s="713">
        <v>0</v>
      </c>
      <c r="BS62" s="712">
        <v>0</v>
      </c>
      <c r="BT62" s="713">
        <v>0</v>
      </c>
      <c r="BU62" s="712">
        <v>0</v>
      </c>
      <c r="BV62" s="711">
        <v>0</v>
      </c>
      <c r="BW62" s="714">
        <v>0</v>
      </c>
      <c r="BX62" s="711">
        <v>0</v>
      </c>
      <c r="BY62" s="714">
        <v>0</v>
      </c>
      <c r="BZ62" s="711">
        <v>0</v>
      </c>
      <c r="CA62" s="714">
        <v>0</v>
      </c>
      <c r="CB62" s="711">
        <v>0</v>
      </c>
      <c r="CC62" s="714">
        <v>0</v>
      </c>
      <c r="CD62" s="711">
        <v>0</v>
      </c>
      <c r="CE62" s="714">
        <v>0</v>
      </c>
      <c r="CF62" s="711">
        <v>0</v>
      </c>
      <c r="CG62" s="714">
        <v>0</v>
      </c>
      <c r="CH62" s="711">
        <v>0</v>
      </c>
      <c r="CI62" s="714">
        <v>0</v>
      </c>
      <c r="CJ62" s="711">
        <v>0</v>
      </c>
      <c r="CK62" s="712">
        <v>0</v>
      </c>
      <c r="CL62" s="711">
        <v>0</v>
      </c>
      <c r="CM62" s="712">
        <v>0</v>
      </c>
      <c r="CN62" s="713">
        <v>0</v>
      </c>
      <c r="CO62" s="712">
        <v>0</v>
      </c>
    </row>
    <row r="63" spans="1:93">
      <c r="A63" s="468">
        <v>61</v>
      </c>
      <c r="B63" s="596">
        <v>0</v>
      </c>
      <c r="C63" s="596">
        <v>0</v>
      </c>
      <c r="D63" s="596">
        <v>0</v>
      </c>
      <c r="E63" s="596">
        <v>0</v>
      </c>
      <c r="F63" s="596">
        <f t="shared" si="17"/>
        <v>1.2500000000000001E-2</v>
      </c>
      <c r="G63" s="596">
        <v>0.02</v>
      </c>
      <c r="H63" s="596">
        <v>0</v>
      </c>
      <c r="I63" s="596">
        <v>0</v>
      </c>
      <c r="J63" s="596">
        <v>0</v>
      </c>
      <c r="K63" s="596">
        <v>0</v>
      </c>
      <c r="L63" s="596">
        <v>0</v>
      </c>
      <c r="M63" s="596">
        <v>0</v>
      </c>
      <c r="N63" s="596">
        <v>0</v>
      </c>
      <c r="O63" s="596">
        <v>0</v>
      </c>
      <c r="P63" s="596">
        <v>0</v>
      </c>
      <c r="Q63" s="596">
        <v>0</v>
      </c>
      <c r="R63" s="596">
        <v>0</v>
      </c>
      <c r="S63" s="596">
        <v>0</v>
      </c>
      <c r="T63" s="596">
        <v>0.02</v>
      </c>
      <c r="U63" s="596">
        <v>0</v>
      </c>
      <c r="V63" s="596">
        <v>0</v>
      </c>
      <c r="W63" s="612">
        <v>0</v>
      </c>
      <c r="X63" s="704">
        <v>0</v>
      </c>
      <c r="Y63" s="705">
        <v>0</v>
      </c>
      <c r="Z63" s="706">
        <v>0</v>
      </c>
      <c r="AA63" s="707">
        <v>0</v>
      </c>
      <c r="AB63" s="706">
        <v>0</v>
      </c>
      <c r="AC63" s="704">
        <v>0</v>
      </c>
      <c r="AD63" s="706">
        <v>0</v>
      </c>
      <c r="AE63" s="708">
        <v>0</v>
      </c>
      <c r="AF63" s="704">
        <v>0</v>
      </c>
      <c r="AG63" s="704">
        <v>0</v>
      </c>
      <c r="AH63" s="708">
        <v>0</v>
      </c>
      <c r="AI63" s="709">
        <v>0</v>
      </c>
      <c r="AJ63" s="706">
        <f t="shared" si="15"/>
        <v>7.1428571428571426E-3</v>
      </c>
      <c r="AK63" s="704">
        <v>5.0000000000000001E-3</v>
      </c>
      <c r="AL63" s="706">
        <f t="shared" si="18"/>
        <v>1.2500000000000001E-2</v>
      </c>
      <c r="AM63" s="710">
        <v>1E-3</v>
      </c>
      <c r="AN63" s="704">
        <v>0</v>
      </c>
      <c r="AO63" s="706">
        <v>0</v>
      </c>
      <c r="AP63" s="711">
        <v>0</v>
      </c>
      <c r="AQ63" s="712">
        <v>0</v>
      </c>
      <c r="AR63" s="711">
        <v>0</v>
      </c>
      <c r="AS63" s="712">
        <v>0</v>
      </c>
      <c r="AT63" s="711">
        <v>0</v>
      </c>
      <c r="AU63" s="712">
        <v>0</v>
      </c>
      <c r="AV63" s="713">
        <v>0</v>
      </c>
      <c r="AW63" s="714">
        <v>0</v>
      </c>
      <c r="AX63" s="711">
        <v>0</v>
      </c>
      <c r="AY63" s="712">
        <v>0</v>
      </c>
      <c r="AZ63" s="713">
        <v>0</v>
      </c>
      <c r="BA63" s="712">
        <v>0</v>
      </c>
      <c r="BB63" s="713">
        <v>0</v>
      </c>
      <c r="BC63" s="712">
        <v>0</v>
      </c>
      <c r="BD63" s="713">
        <v>0</v>
      </c>
      <c r="BE63" s="712">
        <v>0</v>
      </c>
      <c r="BF63" s="713">
        <v>0</v>
      </c>
      <c r="BG63" s="712">
        <v>0</v>
      </c>
      <c r="BH63" s="713">
        <v>0</v>
      </c>
      <c r="BI63" s="712">
        <v>0</v>
      </c>
      <c r="BJ63" s="713">
        <v>0</v>
      </c>
      <c r="BK63" s="712">
        <v>0</v>
      </c>
      <c r="BL63" s="713">
        <v>0</v>
      </c>
      <c r="BM63" s="712">
        <v>0</v>
      </c>
      <c r="BN63" s="713">
        <v>0</v>
      </c>
      <c r="BO63" s="712">
        <v>0</v>
      </c>
      <c r="BP63" s="713">
        <v>0</v>
      </c>
      <c r="BQ63" s="712">
        <v>0</v>
      </c>
      <c r="BR63" s="713">
        <v>0</v>
      </c>
      <c r="BS63" s="712">
        <v>0</v>
      </c>
      <c r="BT63" s="713">
        <v>0</v>
      </c>
      <c r="BU63" s="712">
        <v>0</v>
      </c>
      <c r="BV63" s="711">
        <v>0</v>
      </c>
      <c r="BW63" s="714">
        <v>0</v>
      </c>
      <c r="BX63" s="711">
        <v>0</v>
      </c>
      <c r="BY63" s="714">
        <v>0</v>
      </c>
      <c r="BZ63" s="711">
        <v>0</v>
      </c>
      <c r="CA63" s="714">
        <v>0</v>
      </c>
      <c r="CB63" s="711">
        <v>0</v>
      </c>
      <c r="CC63" s="714">
        <v>0</v>
      </c>
      <c r="CD63" s="711">
        <v>0</v>
      </c>
      <c r="CE63" s="714">
        <v>0</v>
      </c>
      <c r="CF63" s="711">
        <v>0</v>
      </c>
      <c r="CG63" s="714">
        <v>0</v>
      </c>
      <c r="CH63" s="711">
        <v>0</v>
      </c>
      <c r="CI63" s="714">
        <v>0</v>
      </c>
      <c r="CJ63" s="711">
        <v>0</v>
      </c>
      <c r="CK63" s="712">
        <v>0</v>
      </c>
      <c r="CL63" s="711">
        <v>0</v>
      </c>
      <c r="CM63" s="712">
        <v>0</v>
      </c>
      <c r="CN63" s="713">
        <v>0</v>
      </c>
      <c r="CO63" s="712">
        <v>0</v>
      </c>
    </row>
    <row r="64" spans="1:93">
      <c r="A64" s="468">
        <v>62</v>
      </c>
      <c r="B64" s="596">
        <v>0</v>
      </c>
      <c r="C64" s="596">
        <v>0</v>
      </c>
      <c r="D64" s="596">
        <v>0</v>
      </c>
      <c r="E64" s="596">
        <v>0</v>
      </c>
      <c r="F64" s="596">
        <f t="shared" si="17"/>
        <v>1.2500000000000001E-2</v>
      </c>
      <c r="G64" s="596">
        <v>0.02</v>
      </c>
      <c r="H64" s="596">
        <v>0</v>
      </c>
      <c r="I64" s="596">
        <v>0</v>
      </c>
      <c r="J64" s="596">
        <v>0</v>
      </c>
      <c r="K64" s="596">
        <v>0</v>
      </c>
      <c r="L64" s="596">
        <v>0</v>
      </c>
      <c r="M64" s="596">
        <v>0</v>
      </c>
      <c r="N64" s="596">
        <v>0</v>
      </c>
      <c r="O64" s="596">
        <v>0</v>
      </c>
      <c r="P64" s="596">
        <v>0</v>
      </c>
      <c r="Q64" s="596">
        <v>0</v>
      </c>
      <c r="R64" s="596">
        <v>0</v>
      </c>
      <c r="S64" s="596">
        <v>0</v>
      </c>
      <c r="T64" s="596">
        <v>0.02</v>
      </c>
      <c r="U64" s="596">
        <v>0</v>
      </c>
      <c r="V64" s="596">
        <v>0</v>
      </c>
      <c r="W64" s="612">
        <v>0</v>
      </c>
      <c r="X64" s="704">
        <v>0</v>
      </c>
      <c r="Y64" s="705">
        <v>0</v>
      </c>
      <c r="Z64" s="706">
        <v>0</v>
      </c>
      <c r="AA64" s="707">
        <v>0</v>
      </c>
      <c r="AB64" s="706">
        <v>0</v>
      </c>
      <c r="AC64" s="704">
        <v>0</v>
      </c>
      <c r="AD64" s="706">
        <v>0</v>
      </c>
      <c r="AE64" s="708">
        <v>0</v>
      </c>
      <c r="AF64" s="704">
        <v>0</v>
      </c>
      <c r="AG64" s="704">
        <v>0</v>
      </c>
      <c r="AH64" s="708">
        <v>0</v>
      </c>
      <c r="AI64" s="709">
        <v>0</v>
      </c>
      <c r="AJ64" s="706">
        <f t="shared" si="15"/>
        <v>7.1428571428571426E-3</v>
      </c>
      <c r="AK64" s="704">
        <v>5.0000000000000001E-3</v>
      </c>
      <c r="AL64" s="706">
        <f t="shared" si="18"/>
        <v>1.2500000000000001E-2</v>
      </c>
      <c r="AM64" s="710">
        <v>1E-3</v>
      </c>
      <c r="AN64" s="704">
        <v>0</v>
      </c>
      <c r="AO64" s="706">
        <v>0</v>
      </c>
      <c r="AP64" s="711">
        <v>0</v>
      </c>
      <c r="AQ64" s="712">
        <v>0</v>
      </c>
      <c r="AR64" s="711">
        <v>0</v>
      </c>
      <c r="AS64" s="712">
        <v>0</v>
      </c>
      <c r="AT64" s="711">
        <v>0</v>
      </c>
      <c r="AU64" s="712">
        <v>0</v>
      </c>
      <c r="AV64" s="713">
        <v>0</v>
      </c>
      <c r="AW64" s="714">
        <v>0</v>
      </c>
      <c r="AX64" s="711">
        <v>0</v>
      </c>
      <c r="AY64" s="712">
        <v>0</v>
      </c>
      <c r="AZ64" s="713">
        <v>0</v>
      </c>
      <c r="BA64" s="712">
        <v>0</v>
      </c>
      <c r="BB64" s="713">
        <v>0</v>
      </c>
      <c r="BC64" s="712">
        <v>0</v>
      </c>
      <c r="BD64" s="713">
        <v>0</v>
      </c>
      <c r="BE64" s="712">
        <v>0</v>
      </c>
      <c r="BF64" s="713">
        <v>0</v>
      </c>
      <c r="BG64" s="712">
        <v>0</v>
      </c>
      <c r="BH64" s="713">
        <v>0</v>
      </c>
      <c r="BI64" s="712">
        <v>0</v>
      </c>
      <c r="BJ64" s="713">
        <v>0</v>
      </c>
      <c r="BK64" s="712">
        <v>0</v>
      </c>
      <c r="BL64" s="713">
        <v>0</v>
      </c>
      <c r="BM64" s="712">
        <v>0</v>
      </c>
      <c r="BN64" s="713">
        <v>0</v>
      </c>
      <c r="BO64" s="712">
        <v>0</v>
      </c>
      <c r="BP64" s="713">
        <v>0</v>
      </c>
      <c r="BQ64" s="712">
        <v>0</v>
      </c>
      <c r="BR64" s="713">
        <v>0</v>
      </c>
      <c r="BS64" s="712">
        <v>0</v>
      </c>
      <c r="BT64" s="713">
        <v>0</v>
      </c>
      <c r="BU64" s="712">
        <v>0</v>
      </c>
      <c r="BV64" s="711">
        <v>0</v>
      </c>
      <c r="BW64" s="714">
        <v>0</v>
      </c>
      <c r="BX64" s="711">
        <v>0</v>
      </c>
      <c r="BY64" s="714">
        <v>0</v>
      </c>
      <c r="BZ64" s="711">
        <v>0</v>
      </c>
      <c r="CA64" s="714">
        <v>0</v>
      </c>
      <c r="CB64" s="711">
        <v>0</v>
      </c>
      <c r="CC64" s="714">
        <v>0</v>
      </c>
      <c r="CD64" s="711">
        <v>0</v>
      </c>
      <c r="CE64" s="714">
        <v>0</v>
      </c>
      <c r="CF64" s="711">
        <v>0</v>
      </c>
      <c r="CG64" s="714">
        <v>0</v>
      </c>
      <c r="CH64" s="711">
        <v>0</v>
      </c>
      <c r="CI64" s="714">
        <v>0</v>
      </c>
      <c r="CJ64" s="711">
        <v>0</v>
      </c>
      <c r="CK64" s="712">
        <v>0</v>
      </c>
      <c r="CL64" s="711">
        <v>0</v>
      </c>
      <c r="CM64" s="712">
        <v>0</v>
      </c>
      <c r="CN64" s="713">
        <v>0</v>
      </c>
      <c r="CO64" s="712">
        <v>0</v>
      </c>
    </row>
    <row r="65" spans="1:93">
      <c r="A65" s="468">
        <v>63</v>
      </c>
      <c r="B65" s="596">
        <v>0</v>
      </c>
      <c r="C65" s="596">
        <v>0</v>
      </c>
      <c r="D65" s="596">
        <v>0</v>
      </c>
      <c r="E65" s="596">
        <v>0</v>
      </c>
      <c r="F65" s="596">
        <f t="shared" si="17"/>
        <v>1.2500000000000001E-2</v>
      </c>
      <c r="G65" s="596">
        <v>0.02</v>
      </c>
      <c r="H65" s="596">
        <v>0</v>
      </c>
      <c r="I65" s="596">
        <v>0</v>
      </c>
      <c r="J65" s="596">
        <v>0</v>
      </c>
      <c r="K65" s="596">
        <v>0</v>
      </c>
      <c r="L65" s="596">
        <v>0</v>
      </c>
      <c r="M65" s="596">
        <v>0</v>
      </c>
      <c r="N65" s="596">
        <v>0</v>
      </c>
      <c r="O65" s="596">
        <v>0</v>
      </c>
      <c r="P65" s="596">
        <v>0</v>
      </c>
      <c r="Q65" s="596">
        <v>0</v>
      </c>
      <c r="R65" s="596">
        <v>0</v>
      </c>
      <c r="S65" s="596">
        <v>0</v>
      </c>
      <c r="T65" s="596">
        <v>0.02</v>
      </c>
      <c r="U65" s="596">
        <v>0</v>
      </c>
      <c r="V65" s="596">
        <v>0</v>
      </c>
      <c r="W65" s="612">
        <v>0</v>
      </c>
      <c r="X65" s="704">
        <v>0</v>
      </c>
      <c r="Y65" s="705">
        <v>0</v>
      </c>
      <c r="Z65" s="706">
        <v>0</v>
      </c>
      <c r="AA65" s="707">
        <v>0</v>
      </c>
      <c r="AB65" s="706">
        <v>0</v>
      </c>
      <c r="AC65" s="704">
        <v>0</v>
      </c>
      <c r="AD65" s="706">
        <v>0</v>
      </c>
      <c r="AE65" s="708">
        <v>0</v>
      </c>
      <c r="AF65" s="704">
        <v>0</v>
      </c>
      <c r="AG65" s="704">
        <v>0</v>
      </c>
      <c r="AH65" s="708">
        <v>0</v>
      </c>
      <c r="AI65" s="709">
        <v>0</v>
      </c>
      <c r="AJ65" s="706">
        <f t="shared" si="15"/>
        <v>7.1428571428571426E-3</v>
      </c>
      <c r="AK65" s="704">
        <v>5.0000000000000001E-3</v>
      </c>
      <c r="AL65" s="706">
        <f t="shared" si="18"/>
        <v>1.2500000000000001E-2</v>
      </c>
      <c r="AM65" s="710">
        <v>1E-3</v>
      </c>
      <c r="AN65" s="704">
        <v>0</v>
      </c>
      <c r="AO65" s="706">
        <v>0</v>
      </c>
      <c r="AP65" s="711">
        <v>0</v>
      </c>
      <c r="AQ65" s="712">
        <v>0</v>
      </c>
      <c r="AR65" s="711">
        <v>0</v>
      </c>
      <c r="AS65" s="712">
        <v>0</v>
      </c>
      <c r="AT65" s="711">
        <v>0</v>
      </c>
      <c r="AU65" s="712">
        <v>0</v>
      </c>
      <c r="AV65" s="713">
        <v>0</v>
      </c>
      <c r="AW65" s="714">
        <v>0</v>
      </c>
      <c r="AX65" s="711">
        <v>0</v>
      </c>
      <c r="AY65" s="712">
        <v>0</v>
      </c>
      <c r="AZ65" s="713">
        <v>0</v>
      </c>
      <c r="BA65" s="712">
        <v>0</v>
      </c>
      <c r="BB65" s="713">
        <v>0</v>
      </c>
      <c r="BC65" s="712">
        <v>0</v>
      </c>
      <c r="BD65" s="713">
        <v>0</v>
      </c>
      <c r="BE65" s="712">
        <v>0</v>
      </c>
      <c r="BF65" s="713">
        <v>0</v>
      </c>
      <c r="BG65" s="712">
        <v>0</v>
      </c>
      <c r="BH65" s="713">
        <v>0</v>
      </c>
      <c r="BI65" s="712">
        <v>0</v>
      </c>
      <c r="BJ65" s="713">
        <v>0</v>
      </c>
      <c r="BK65" s="712">
        <v>0</v>
      </c>
      <c r="BL65" s="713">
        <v>0</v>
      </c>
      <c r="BM65" s="712">
        <v>0</v>
      </c>
      <c r="BN65" s="713">
        <v>0</v>
      </c>
      <c r="BO65" s="712">
        <v>0</v>
      </c>
      <c r="BP65" s="713">
        <v>0</v>
      </c>
      <c r="BQ65" s="712">
        <v>0</v>
      </c>
      <c r="BR65" s="713">
        <v>0</v>
      </c>
      <c r="BS65" s="712">
        <v>0</v>
      </c>
      <c r="BT65" s="713">
        <v>0</v>
      </c>
      <c r="BU65" s="712">
        <v>0</v>
      </c>
      <c r="BV65" s="711">
        <v>0</v>
      </c>
      <c r="BW65" s="714">
        <v>0</v>
      </c>
      <c r="BX65" s="711">
        <v>0</v>
      </c>
      <c r="BY65" s="714">
        <v>0</v>
      </c>
      <c r="BZ65" s="711">
        <v>0</v>
      </c>
      <c r="CA65" s="714">
        <v>0</v>
      </c>
      <c r="CB65" s="711">
        <v>0</v>
      </c>
      <c r="CC65" s="714">
        <v>0</v>
      </c>
      <c r="CD65" s="711">
        <v>0</v>
      </c>
      <c r="CE65" s="714">
        <v>0</v>
      </c>
      <c r="CF65" s="711">
        <v>0</v>
      </c>
      <c r="CG65" s="714">
        <v>0</v>
      </c>
      <c r="CH65" s="711">
        <v>0</v>
      </c>
      <c r="CI65" s="714">
        <v>0</v>
      </c>
      <c r="CJ65" s="711">
        <v>0</v>
      </c>
      <c r="CK65" s="712">
        <v>0</v>
      </c>
      <c r="CL65" s="711">
        <v>0</v>
      </c>
      <c r="CM65" s="712">
        <v>0</v>
      </c>
      <c r="CN65" s="713">
        <v>0</v>
      </c>
      <c r="CO65" s="712">
        <v>0</v>
      </c>
    </row>
    <row r="66" spans="1:93">
      <c r="A66" s="468">
        <v>64</v>
      </c>
      <c r="B66" s="596">
        <v>0</v>
      </c>
      <c r="C66" s="596">
        <v>0</v>
      </c>
      <c r="D66" s="596">
        <v>0</v>
      </c>
      <c r="E66" s="596">
        <v>0</v>
      </c>
      <c r="F66" s="596">
        <f t="shared" ref="F66:F81" si="19">1/80</f>
        <v>1.2500000000000001E-2</v>
      </c>
      <c r="G66" s="596">
        <v>0.02</v>
      </c>
      <c r="H66" s="596">
        <v>0</v>
      </c>
      <c r="I66" s="596">
        <v>0</v>
      </c>
      <c r="J66" s="596">
        <v>0</v>
      </c>
      <c r="K66" s="596">
        <v>0</v>
      </c>
      <c r="L66" s="596">
        <v>0</v>
      </c>
      <c r="M66" s="596">
        <v>0</v>
      </c>
      <c r="N66" s="596">
        <v>0</v>
      </c>
      <c r="O66" s="596">
        <v>0</v>
      </c>
      <c r="P66" s="596">
        <v>0</v>
      </c>
      <c r="Q66" s="596">
        <v>0</v>
      </c>
      <c r="R66" s="596">
        <v>0</v>
      </c>
      <c r="S66" s="596">
        <v>0</v>
      </c>
      <c r="T66" s="596">
        <v>0.02</v>
      </c>
      <c r="U66" s="596">
        <v>0</v>
      </c>
      <c r="V66" s="596">
        <v>0</v>
      </c>
      <c r="W66" s="612">
        <v>0</v>
      </c>
      <c r="X66" s="704">
        <v>0</v>
      </c>
      <c r="Y66" s="705">
        <v>0</v>
      </c>
      <c r="Z66" s="706">
        <v>0</v>
      </c>
      <c r="AA66" s="707">
        <v>0</v>
      </c>
      <c r="AB66" s="706">
        <v>0</v>
      </c>
      <c r="AC66" s="704">
        <v>0</v>
      </c>
      <c r="AD66" s="706">
        <v>0</v>
      </c>
      <c r="AE66" s="708">
        <v>0</v>
      </c>
      <c r="AF66" s="704">
        <v>0</v>
      </c>
      <c r="AG66" s="704">
        <v>0</v>
      </c>
      <c r="AH66" s="708">
        <v>0</v>
      </c>
      <c r="AI66" s="709">
        <v>0</v>
      </c>
      <c r="AJ66" s="706">
        <f t="shared" si="15"/>
        <v>7.1428571428571426E-3</v>
      </c>
      <c r="AK66" s="704">
        <v>5.0000000000000001E-3</v>
      </c>
      <c r="AL66" s="706">
        <f t="shared" ref="AL66:AL81" si="20">1/80</f>
        <v>1.2500000000000001E-2</v>
      </c>
      <c r="AM66" s="710">
        <v>1E-3</v>
      </c>
      <c r="AN66" s="704">
        <v>0</v>
      </c>
      <c r="AO66" s="706">
        <v>0</v>
      </c>
      <c r="AP66" s="711">
        <v>0</v>
      </c>
      <c r="AQ66" s="712">
        <v>0</v>
      </c>
      <c r="AR66" s="711">
        <v>0</v>
      </c>
      <c r="AS66" s="712">
        <v>0</v>
      </c>
      <c r="AT66" s="711">
        <v>0</v>
      </c>
      <c r="AU66" s="712">
        <v>0</v>
      </c>
      <c r="AV66" s="713">
        <v>0</v>
      </c>
      <c r="AW66" s="714">
        <v>0</v>
      </c>
      <c r="AX66" s="711">
        <v>0</v>
      </c>
      <c r="AY66" s="712">
        <v>0</v>
      </c>
      <c r="AZ66" s="713">
        <v>0</v>
      </c>
      <c r="BA66" s="712">
        <v>0</v>
      </c>
      <c r="BB66" s="713">
        <v>0</v>
      </c>
      <c r="BC66" s="712">
        <v>0</v>
      </c>
      <c r="BD66" s="713">
        <v>0</v>
      </c>
      <c r="BE66" s="712">
        <v>0</v>
      </c>
      <c r="BF66" s="713">
        <v>0</v>
      </c>
      <c r="BG66" s="712">
        <v>0</v>
      </c>
      <c r="BH66" s="713">
        <v>0</v>
      </c>
      <c r="BI66" s="712">
        <v>0</v>
      </c>
      <c r="BJ66" s="713">
        <v>0</v>
      </c>
      <c r="BK66" s="712">
        <v>0</v>
      </c>
      <c r="BL66" s="713">
        <v>0</v>
      </c>
      <c r="BM66" s="712">
        <v>0</v>
      </c>
      <c r="BN66" s="713">
        <v>0</v>
      </c>
      <c r="BO66" s="712">
        <v>0</v>
      </c>
      <c r="BP66" s="713">
        <v>0</v>
      </c>
      <c r="BQ66" s="712">
        <v>0</v>
      </c>
      <c r="BR66" s="713">
        <v>0</v>
      </c>
      <c r="BS66" s="712">
        <v>0</v>
      </c>
      <c r="BT66" s="713">
        <v>0</v>
      </c>
      <c r="BU66" s="712">
        <v>0</v>
      </c>
      <c r="BV66" s="711">
        <v>0</v>
      </c>
      <c r="BW66" s="714">
        <v>0</v>
      </c>
      <c r="BX66" s="711">
        <v>0</v>
      </c>
      <c r="BY66" s="714">
        <v>0</v>
      </c>
      <c r="BZ66" s="711">
        <v>0</v>
      </c>
      <c r="CA66" s="714">
        <v>0</v>
      </c>
      <c r="CB66" s="711">
        <v>0</v>
      </c>
      <c r="CC66" s="714">
        <v>0</v>
      </c>
      <c r="CD66" s="711">
        <v>0</v>
      </c>
      <c r="CE66" s="714">
        <v>0</v>
      </c>
      <c r="CF66" s="711">
        <v>0</v>
      </c>
      <c r="CG66" s="714">
        <v>0</v>
      </c>
      <c r="CH66" s="711">
        <v>0</v>
      </c>
      <c r="CI66" s="714">
        <v>0</v>
      </c>
      <c r="CJ66" s="711">
        <v>0</v>
      </c>
      <c r="CK66" s="712">
        <v>0</v>
      </c>
      <c r="CL66" s="711">
        <v>0</v>
      </c>
      <c r="CM66" s="712">
        <v>0</v>
      </c>
      <c r="CN66" s="713">
        <v>0</v>
      </c>
      <c r="CO66" s="712">
        <v>0</v>
      </c>
    </row>
    <row r="67" spans="1:93">
      <c r="A67" s="468">
        <v>65</v>
      </c>
      <c r="B67" s="596">
        <v>0</v>
      </c>
      <c r="C67" s="596">
        <v>0</v>
      </c>
      <c r="D67" s="596">
        <v>0</v>
      </c>
      <c r="E67" s="596">
        <v>0</v>
      </c>
      <c r="F67" s="596">
        <f t="shared" si="19"/>
        <v>1.2500000000000001E-2</v>
      </c>
      <c r="G67" s="596">
        <v>0.02</v>
      </c>
      <c r="H67" s="596">
        <v>0</v>
      </c>
      <c r="I67" s="596">
        <v>0</v>
      </c>
      <c r="J67" s="596">
        <v>0</v>
      </c>
      <c r="K67" s="596">
        <v>0</v>
      </c>
      <c r="L67" s="596">
        <v>0</v>
      </c>
      <c r="M67" s="596">
        <v>0</v>
      </c>
      <c r="N67" s="596">
        <v>0</v>
      </c>
      <c r="O67" s="596">
        <v>0</v>
      </c>
      <c r="P67" s="596">
        <v>0</v>
      </c>
      <c r="Q67" s="596">
        <v>0</v>
      </c>
      <c r="R67" s="596">
        <v>0</v>
      </c>
      <c r="S67" s="596">
        <v>0</v>
      </c>
      <c r="T67" s="596">
        <v>0.02</v>
      </c>
      <c r="U67" s="596">
        <v>0</v>
      </c>
      <c r="V67" s="596">
        <v>0</v>
      </c>
      <c r="W67" s="612">
        <v>0</v>
      </c>
      <c r="X67" s="704">
        <v>0</v>
      </c>
      <c r="Y67" s="705">
        <v>0</v>
      </c>
      <c r="Z67" s="706">
        <v>0</v>
      </c>
      <c r="AA67" s="707">
        <v>0</v>
      </c>
      <c r="AB67" s="706">
        <v>0</v>
      </c>
      <c r="AC67" s="704">
        <v>0</v>
      </c>
      <c r="AD67" s="706">
        <v>0</v>
      </c>
      <c r="AE67" s="708">
        <v>0</v>
      </c>
      <c r="AF67" s="704">
        <v>0</v>
      </c>
      <c r="AG67" s="704">
        <v>0</v>
      </c>
      <c r="AH67" s="708">
        <v>0</v>
      </c>
      <c r="AI67" s="709">
        <v>0</v>
      </c>
      <c r="AJ67" s="706">
        <f t="shared" si="15"/>
        <v>7.1428571428571426E-3</v>
      </c>
      <c r="AK67" s="704">
        <v>5.0000000000000001E-3</v>
      </c>
      <c r="AL67" s="706">
        <f t="shared" si="20"/>
        <v>1.2500000000000001E-2</v>
      </c>
      <c r="AM67" s="710">
        <v>1E-3</v>
      </c>
      <c r="AN67" s="704">
        <v>0</v>
      </c>
      <c r="AO67" s="706">
        <v>0</v>
      </c>
      <c r="AP67" s="711">
        <v>0</v>
      </c>
      <c r="AQ67" s="712">
        <v>0</v>
      </c>
      <c r="AR67" s="711">
        <v>0</v>
      </c>
      <c r="AS67" s="712">
        <v>0</v>
      </c>
      <c r="AT67" s="711">
        <v>0</v>
      </c>
      <c r="AU67" s="712">
        <v>0</v>
      </c>
      <c r="AV67" s="713">
        <v>0</v>
      </c>
      <c r="AW67" s="714">
        <v>0</v>
      </c>
      <c r="AX67" s="711">
        <v>0</v>
      </c>
      <c r="AY67" s="712">
        <v>0</v>
      </c>
      <c r="AZ67" s="713">
        <v>0</v>
      </c>
      <c r="BA67" s="712">
        <v>0</v>
      </c>
      <c r="BB67" s="713">
        <v>0</v>
      </c>
      <c r="BC67" s="712">
        <v>0</v>
      </c>
      <c r="BD67" s="713">
        <v>0</v>
      </c>
      <c r="BE67" s="712">
        <v>0</v>
      </c>
      <c r="BF67" s="713">
        <v>0</v>
      </c>
      <c r="BG67" s="712">
        <v>0</v>
      </c>
      <c r="BH67" s="713">
        <v>0</v>
      </c>
      <c r="BI67" s="712">
        <v>0</v>
      </c>
      <c r="BJ67" s="713">
        <v>0</v>
      </c>
      <c r="BK67" s="712">
        <v>0</v>
      </c>
      <c r="BL67" s="713">
        <v>0</v>
      </c>
      <c r="BM67" s="712">
        <v>0</v>
      </c>
      <c r="BN67" s="713">
        <v>0</v>
      </c>
      <c r="BO67" s="712">
        <v>0</v>
      </c>
      <c r="BP67" s="713">
        <v>0</v>
      </c>
      <c r="BQ67" s="712">
        <v>0</v>
      </c>
      <c r="BR67" s="713">
        <v>0</v>
      </c>
      <c r="BS67" s="712">
        <v>0</v>
      </c>
      <c r="BT67" s="713">
        <v>0</v>
      </c>
      <c r="BU67" s="712">
        <v>0</v>
      </c>
      <c r="BV67" s="711">
        <v>0</v>
      </c>
      <c r="BW67" s="714">
        <v>0</v>
      </c>
      <c r="BX67" s="711">
        <v>0</v>
      </c>
      <c r="BY67" s="714">
        <v>0</v>
      </c>
      <c r="BZ67" s="711">
        <v>0</v>
      </c>
      <c r="CA67" s="714">
        <v>0</v>
      </c>
      <c r="CB67" s="711">
        <v>0</v>
      </c>
      <c r="CC67" s="714">
        <v>0</v>
      </c>
      <c r="CD67" s="711">
        <v>0</v>
      </c>
      <c r="CE67" s="714">
        <v>0</v>
      </c>
      <c r="CF67" s="711">
        <v>0</v>
      </c>
      <c r="CG67" s="714">
        <v>0</v>
      </c>
      <c r="CH67" s="711">
        <v>0</v>
      </c>
      <c r="CI67" s="714">
        <v>0</v>
      </c>
      <c r="CJ67" s="711">
        <v>0</v>
      </c>
      <c r="CK67" s="712">
        <v>0</v>
      </c>
      <c r="CL67" s="711">
        <v>0</v>
      </c>
      <c r="CM67" s="712">
        <v>0</v>
      </c>
      <c r="CN67" s="713">
        <v>0</v>
      </c>
      <c r="CO67" s="712">
        <v>0</v>
      </c>
    </row>
    <row r="68" spans="1:93">
      <c r="A68" s="468">
        <v>66</v>
      </c>
      <c r="B68" s="596">
        <v>0</v>
      </c>
      <c r="C68" s="596">
        <v>0</v>
      </c>
      <c r="D68" s="596">
        <v>0</v>
      </c>
      <c r="E68" s="596">
        <v>0</v>
      </c>
      <c r="F68" s="596">
        <f t="shared" si="19"/>
        <v>1.2500000000000001E-2</v>
      </c>
      <c r="G68" s="596">
        <v>0.02</v>
      </c>
      <c r="H68" s="596">
        <v>0</v>
      </c>
      <c r="I68" s="596">
        <v>0</v>
      </c>
      <c r="J68" s="596">
        <v>0</v>
      </c>
      <c r="K68" s="596">
        <v>0</v>
      </c>
      <c r="L68" s="596">
        <v>0</v>
      </c>
      <c r="M68" s="596">
        <v>0</v>
      </c>
      <c r="N68" s="596">
        <v>0</v>
      </c>
      <c r="O68" s="596">
        <v>0</v>
      </c>
      <c r="P68" s="596">
        <v>0</v>
      </c>
      <c r="Q68" s="596">
        <v>0</v>
      </c>
      <c r="R68" s="596">
        <v>0</v>
      </c>
      <c r="S68" s="596">
        <v>0</v>
      </c>
      <c r="T68" s="596">
        <v>0.02</v>
      </c>
      <c r="U68" s="596">
        <v>0</v>
      </c>
      <c r="V68" s="596">
        <v>0</v>
      </c>
      <c r="W68" s="612">
        <v>0</v>
      </c>
      <c r="X68" s="704">
        <v>0</v>
      </c>
      <c r="Y68" s="705">
        <v>0</v>
      </c>
      <c r="Z68" s="706">
        <v>0</v>
      </c>
      <c r="AA68" s="707">
        <v>0</v>
      </c>
      <c r="AB68" s="706">
        <v>0</v>
      </c>
      <c r="AC68" s="704">
        <v>0</v>
      </c>
      <c r="AD68" s="706">
        <v>0</v>
      </c>
      <c r="AE68" s="708">
        <v>0</v>
      </c>
      <c r="AF68" s="704">
        <v>0</v>
      </c>
      <c r="AG68" s="704">
        <v>0</v>
      </c>
      <c r="AH68" s="708">
        <v>0</v>
      </c>
      <c r="AI68" s="709">
        <v>0</v>
      </c>
      <c r="AJ68" s="706">
        <f t="shared" ref="AJ68:AJ131" si="21">1/140</f>
        <v>7.1428571428571426E-3</v>
      </c>
      <c r="AK68" s="704">
        <v>5.0000000000000001E-3</v>
      </c>
      <c r="AL68" s="706">
        <f t="shared" si="20"/>
        <v>1.2500000000000001E-2</v>
      </c>
      <c r="AM68" s="710">
        <v>1E-3</v>
      </c>
      <c r="AN68" s="704">
        <v>0</v>
      </c>
      <c r="AO68" s="706">
        <v>0</v>
      </c>
      <c r="AP68" s="711">
        <v>0</v>
      </c>
      <c r="AQ68" s="712">
        <v>0</v>
      </c>
      <c r="AR68" s="711">
        <v>0</v>
      </c>
      <c r="AS68" s="712">
        <v>0</v>
      </c>
      <c r="AT68" s="711">
        <v>0</v>
      </c>
      <c r="AU68" s="712">
        <v>0</v>
      </c>
      <c r="AV68" s="713">
        <v>0</v>
      </c>
      <c r="AW68" s="714">
        <v>0</v>
      </c>
      <c r="AX68" s="711">
        <v>0</v>
      </c>
      <c r="AY68" s="712">
        <v>0</v>
      </c>
      <c r="AZ68" s="713">
        <v>0</v>
      </c>
      <c r="BA68" s="712">
        <v>0</v>
      </c>
      <c r="BB68" s="713">
        <v>0</v>
      </c>
      <c r="BC68" s="712">
        <v>0</v>
      </c>
      <c r="BD68" s="713">
        <v>0</v>
      </c>
      <c r="BE68" s="712">
        <v>0</v>
      </c>
      <c r="BF68" s="713">
        <v>0</v>
      </c>
      <c r="BG68" s="712">
        <v>0</v>
      </c>
      <c r="BH68" s="713">
        <v>0</v>
      </c>
      <c r="BI68" s="712">
        <v>0</v>
      </c>
      <c r="BJ68" s="713">
        <v>0</v>
      </c>
      <c r="BK68" s="712">
        <v>0</v>
      </c>
      <c r="BL68" s="713">
        <v>0</v>
      </c>
      <c r="BM68" s="712">
        <v>0</v>
      </c>
      <c r="BN68" s="713">
        <v>0</v>
      </c>
      <c r="BO68" s="712">
        <v>0</v>
      </c>
      <c r="BP68" s="713">
        <v>0</v>
      </c>
      <c r="BQ68" s="712">
        <v>0</v>
      </c>
      <c r="BR68" s="713">
        <v>0</v>
      </c>
      <c r="BS68" s="712">
        <v>0</v>
      </c>
      <c r="BT68" s="713">
        <v>0</v>
      </c>
      <c r="BU68" s="712">
        <v>0</v>
      </c>
      <c r="BV68" s="711">
        <v>0</v>
      </c>
      <c r="BW68" s="714">
        <v>0</v>
      </c>
      <c r="BX68" s="711">
        <v>0</v>
      </c>
      <c r="BY68" s="714">
        <v>0</v>
      </c>
      <c r="BZ68" s="711">
        <v>0</v>
      </c>
      <c r="CA68" s="714">
        <v>0</v>
      </c>
      <c r="CB68" s="711">
        <v>0</v>
      </c>
      <c r="CC68" s="714">
        <v>0</v>
      </c>
      <c r="CD68" s="711">
        <v>0</v>
      </c>
      <c r="CE68" s="714">
        <v>0</v>
      </c>
      <c r="CF68" s="711">
        <v>0</v>
      </c>
      <c r="CG68" s="714">
        <v>0</v>
      </c>
      <c r="CH68" s="711">
        <v>0</v>
      </c>
      <c r="CI68" s="714">
        <v>0</v>
      </c>
      <c r="CJ68" s="711">
        <v>0</v>
      </c>
      <c r="CK68" s="712">
        <v>0</v>
      </c>
      <c r="CL68" s="711">
        <v>0</v>
      </c>
      <c r="CM68" s="712">
        <v>0</v>
      </c>
      <c r="CN68" s="713">
        <v>0</v>
      </c>
      <c r="CO68" s="712">
        <v>0</v>
      </c>
    </row>
    <row r="69" spans="1:93">
      <c r="A69" s="468">
        <v>67</v>
      </c>
      <c r="B69" s="596">
        <v>0</v>
      </c>
      <c r="C69" s="596">
        <v>0</v>
      </c>
      <c r="D69" s="596">
        <v>0</v>
      </c>
      <c r="E69" s="596">
        <v>0</v>
      </c>
      <c r="F69" s="596">
        <f t="shared" si="19"/>
        <v>1.2500000000000001E-2</v>
      </c>
      <c r="G69" s="596">
        <v>0.02</v>
      </c>
      <c r="H69" s="596">
        <v>0</v>
      </c>
      <c r="I69" s="596">
        <v>0</v>
      </c>
      <c r="J69" s="596">
        <v>0</v>
      </c>
      <c r="K69" s="596">
        <v>0</v>
      </c>
      <c r="L69" s="596">
        <v>0</v>
      </c>
      <c r="M69" s="596">
        <v>0</v>
      </c>
      <c r="N69" s="596">
        <v>0</v>
      </c>
      <c r="O69" s="596">
        <v>0</v>
      </c>
      <c r="P69" s="596">
        <v>0</v>
      </c>
      <c r="Q69" s="596">
        <v>0</v>
      </c>
      <c r="R69" s="596">
        <v>0</v>
      </c>
      <c r="S69" s="596">
        <v>0</v>
      </c>
      <c r="T69" s="596">
        <v>0.02</v>
      </c>
      <c r="U69" s="596">
        <v>0</v>
      </c>
      <c r="V69" s="596">
        <v>0</v>
      </c>
      <c r="W69" s="612">
        <v>0</v>
      </c>
      <c r="X69" s="704">
        <v>0</v>
      </c>
      <c r="Y69" s="705">
        <v>0</v>
      </c>
      <c r="Z69" s="706">
        <v>0</v>
      </c>
      <c r="AA69" s="707">
        <v>0</v>
      </c>
      <c r="AB69" s="706">
        <v>0</v>
      </c>
      <c r="AC69" s="704">
        <v>0</v>
      </c>
      <c r="AD69" s="706">
        <v>0</v>
      </c>
      <c r="AE69" s="708">
        <v>0</v>
      </c>
      <c r="AF69" s="704">
        <v>0</v>
      </c>
      <c r="AG69" s="704">
        <v>0</v>
      </c>
      <c r="AH69" s="708">
        <v>0</v>
      </c>
      <c r="AI69" s="709">
        <v>0</v>
      </c>
      <c r="AJ69" s="706">
        <f t="shared" si="21"/>
        <v>7.1428571428571426E-3</v>
      </c>
      <c r="AK69" s="704">
        <v>5.0000000000000001E-3</v>
      </c>
      <c r="AL69" s="706">
        <f t="shared" si="20"/>
        <v>1.2500000000000001E-2</v>
      </c>
      <c r="AM69" s="710">
        <v>1E-3</v>
      </c>
      <c r="AN69" s="704">
        <v>0</v>
      </c>
      <c r="AO69" s="706">
        <v>0</v>
      </c>
      <c r="AP69" s="711">
        <v>0</v>
      </c>
      <c r="AQ69" s="712">
        <v>0</v>
      </c>
      <c r="AR69" s="711">
        <v>0</v>
      </c>
      <c r="AS69" s="712">
        <v>0</v>
      </c>
      <c r="AT69" s="711">
        <v>0</v>
      </c>
      <c r="AU69" s="712">
        <v>0</v>
      </c>
      <c r="AV69" s="713">
        <v>0</v>
      </c>
      <c r="AW69" s="714">
        <v>0</v>
      </c>
      <c r="AX69" s="711">
        <v>0</v>
      </c>
      <c r="AY69" s="712">
        <v>0</v>
      </c>
      <c r="AZ69" s="713">
        <v>0</v>
      </c>
      <c r="BA69" s="712">
        <v>0</v>
      </c>
      <c r="BB69" s="713">
        <v>0</v>
      </c>
      <c r="BC69" s="712">
        <v>0</v>
      </c>
      <c r="BD69" s="713">
        <v>0</v>
      </c>
      <c r="BE69" s="712">
        <v>0</v>
      </c>
      <c r="BF69" s="713">
        <v>0</v>
      </c>
      <c r="BG69" s="712">
        <v>0</v>
      </c>
      <c r="BH69" s="713">
        <v>0</v>
      </c>
      <c r="BI69" s="712">
        <v>0</v>
      </c>
      <c r="BJ69" s="713">
        <v>0</v>
      </c>
      <c r="BK69" s="712">
        <v>0</v>
      </c>
      <c r="BL69" s="713">
        <v>0</v>
      </c>
      <c r="BM69" s="712">
        <v>0</v>
      </c>
      <c r="BN69" s="713">
        <v>0</v>
      </c>
      <c r="BO69" s="712">
        <v>0</v>
      </c>
      <c r="BP69" s="713">
        <v>0</v>
      </c>
      <c r="BQ69" s="712">
        <v>0</v>
      </c>
      <c r="BR69" s="713">
        <v>0</v>
      </c>
      <c r="BS69" s="712">
        <v>0</v>
      </c>
      <c r="BT69" s="713">
        <v>0</v>
      </c>
      <c r="BU69" s="712">
        <v>0</v>
      </c>
      <c r="BV69" s="711">
        <v>0</v>
      </c>
      <c r="BW69" s="714">
        <v>0</v>
      </c>
      <c r="BX69" s="711">
        <v>0</v>
      </c>
      <c r="BY69" s="714">
        <v>0</v>
      </c>
      <c r="BZ69" s="711">
        <v>0</v>
      </c>
      <c r="CA69" s="714">
        <v>0</v>
      </c>
      <c r="CB69" s="711">
        <v>0</v>
      </c>
      <c r="CC69" s="714">
        <v>0</v>
      </c>
      <c r="CD69" s="711">
        <v>0</v>
      </c>
      <c r="CE69" s="714">
        <v>0</v>
      </c>
      <c r="CF69" s="711">
        <v>0</v>
      </c>
      <c r="CG69" s="714">
        <v>0</v>
      </c>
      <c r="CH69" s="711">
        <v>0</v>
      </c>
      <c r="CI69" s="714">
        <v>0</v>
      </c>
      <c r="CJ69" s="711">
        <v>0</v>
      </c>
      <c r="CK69" s="712">
        <v>0</v>
      </c>
      <c r="CL69" s="711">
        <v>0</v>
      </c>
      <c r="CM69" s="712">
        <v>0</v>
      </c>
      <c r="CN69" s="713">
        <v>0</v>
      </c>
      <c r="CO69" s="712">
        <v>0</v>
      </c>
    </row>
    <row r="70" spans="1:93">
      <c r="A70" s="468">
        <v>68</v>
      </c>
      <c r="B70" s="596">
        <v>0</v>
      </c>
      <c r="C70" s="596">
        <v>0</v>
      </c>
      <c r="D70" s="596">
        <v>0</v>
      </c>
      <c r="E70" s="596">
        <v>0</v>
      </c>
      <c r="F70" s="596">
        <f t="shared" si="19"/>
        <v>1.2500000000000001E-2</v>
      </c>
      <c r="G70" s="596">
        <v>0.02</v>
      </c>
      <c r="H70" s="596">
        <v>0</v>
      </c>
      <c r="I70" s="596">
        <v>0</v>
      </c>
      <c r="J70" s="596">
        <v>0</v>
      </c>
      <c r="K70" s="596">
        <v>0</v>
      </c>
      <c r="L70" s="596">
        <v>0</v>
      </c>
      <c r="M70" s="596">
        <v>0</v>
      </c>
      <c r="N70" s="596">
        <v>0</v>
      </c>
      <c r="O70" s="596">
        <v>0</v>
      </c>
      <c r="P70" s="596">
        <v>0</v>
      </c>
      <c r="Q70" s="596">
        <v>0</v>
      </c>
      <c r="R70" s="596">
        <v>0</v>
      </c>
      <c r="S70" s="596">
        <v>0</v>
      </c>
      <c r="T70" s="596">
        <v>0.02</v>
      </c>
      <c r="U70" s="596">
        <v>0</v>
      </c>
      <c r="V70" s="596">
        <v>0</v>
      </c>
      <c r="W70" s="612">
        <v>0</v>
      </c>
      <c r="X70" s="704">
        <v>0</v>
      </c>
      <c r="Y70" s="705">
        <v>0</v>
      </c>
      <c r="Z70" s="706">
        <v>0</v>
      </c>
      <c r="AA70" s="707">
        <v>0</v>
      </c>
      <c r="AB70" s="706">
        <v>0</v>
      </c>
      <c r="AC70" s="704">
        <v>0</v>
      </c>
      <c r="AD70" s="706">
        <v>0</v>
      </c>
      <c r="AE70" s="708">
        <v>0</v>
      </c>
      <c r="AF70" s="704">
        <v>0</v>
      </c>
      <c r="AG70" s="704">
        <v>0</v>
      </c>
      <c r="AH70" s="708">
        <v>0</v>
      </c>
      <c r="AI70" s="709">
        <v>0</v>
      </c>
      <c r="AJ70" s="706">
        <f t="shared" si="21"/>
        <v>7.1428571428571426E-3</v>
      </c>
      <c r="AK70" s="704">
        <v>5.0000000000000001E-3</v>
      </c>
      <c r="AL70" s="706">
        <f t="shared" si="20"/>
        <v>1.2500000000000001E-2</v>
      </c>
      <c r="AM70" s="710">
        <v>1E-3</v>
      </c>
      <c r="AN70" s="704">
        <v>0</v>
      </c>
      <c r="AO70" s="706">
        <v>0</v>
      </c>
      <c r="AP70" s="711">
        <v>0</v>
      </c>
      <c r="AQ70" s="712">
        <v>0</v>
      </c>
      <c r="AR70" s="711">
        <v>0</v>
      </c>
      <c r="AS70" s="712">
        <v>0</v>
      </c>
      <c r="AT70" s="711">
        <v>0</v>
      </c>
      <c r="AU70" s="712">
        <v>0</v>
      </c>
      <c r="AV70" s="713">
        <v>0</v>
      </c>
      <c r="AW70" s="714">
        <v>0</v>
      </c>
      <c r="AX70" s="711">
        <v>0</v>
      </c>
      <c r="AY70" s="712">
        <v>0</v>
      </c>
      <c r="AZ70" s="713">
        <v>0</v>
      </c>
      <c r="BA70" s="712">
        <v>0</v>
      </c>
      <c r="BB70" s="713">
        <v>0</v>
      </c>
      <c r="BC70" s="712">
        <v>0</v>
      </c>
      <c r="BD70" s="713">
        <v>0</v>
      </c>
      <c r="BE70" s="712">
        <v>0</v>
      </c>
      <c r="BF70" s="713">
        <v>0</v>
      </c>
      <c r="BG70" s="712">
        <v>0</v>
      </c>
      <c r="BH70" s="713">
        <v>0</v>
      </c>
      <c r="BI70" s="712">
        <v>0</v>
      </c>
      <c r="BJ70" s="713">
        <v>0</v>
      </c>
      <c r="BK70" s="712">
        <v>0</v>
      </c>
      <c r="BL70" s="713">
        <v>0</v>
      </c>
      <c r="BM70" s="712">
        <v>0</v>
      </c>
      <c r="BN70" s="713">
        <v>0</v>
      </c>
      <c r="BO70" s="712">
        <v>0</v>
      </c>
      <c r="BP70" s="713">
        <v>0</v>
      </c>
      <c r="BQ70" s="712">
        <v>0</v>
      </c>
      <c r="BR70" s="713">
        <v>0</v>
      </c>
      <c r="BS70" s="712">
        <v>0</v>
      </c>
      <c r="BT70" s="713">
        <v>0</v>
      </c>
      <c r="BU70" s="712">
        <v>0</v>
      </c>
      <c r="BV70" s="711">
        <v>0</v>
      </c>
      <c r="BW70" s="714">
        <v>0</v>
      </c>
      <c r="BX70" s="711">
        <v>0</v>
      </c>
      <c r="BY70" s="714">
        <v>0</v>
      </c>
      <c r="BZ70" s="711">
        <v>0</v>
      </c>
      <c r="CA70" s="714">
        <v>0</v>
      </c>
      <c r="CB70" s="711">
        <v>0</v>
      </c>
      <c r="CC70" s="714">
        <v>0</v>
      </c>
      <c r="CD70" s="711">
        <v>0</v>
      </c>
      <c r="CE70" s="714">
        <v>0</v>
      </c>
      <c r="CF70" s="711">
        <v>0</v>
      </c>
      <c r="CG70" s="714">
        <v>0</v>
      </c>
      <c r="CH70" s="711">
        <v>0</v>
      </c>
      <c r="CI70" s="714">
        <v>0</v>
      </c>
      <c r="CJ70" s="711">
        <v>0</v>
      </c>
      <c r="CK70" s="712">
        <v>0</v>
      </c>
      <c r="CL70" s="711">
        <v>0</v>
      </c>
      <c r="CM70" s="712">
        <v>0</v>
      </c>
      <c r="CN70" s="713">
        <v>0</v>
      </c>
      <c r="CO70" s="712">
        <v>0</v>
      </c>
    </row>
    <row r="71" spans="1:93">
      <c r="A71" s="468">
        <v>69</v>
      </c>
      <c r="B71" s="596">
        <v>0</v>
      </c>
      <c r="C71" s="596">
        <v>0</v>
      </c>
      <c r="D71" s="596">
        <v>0</v>
      </c>
      <c r="E71" s="596">
        <v>0</v>
      </c>
      <c r="F71" s="596">
        <f t="shared" si="19"/>
        <v>1.2500000000000001E-2</v>
      </c>
      <c r="G71" s="596">
        <v>0.02</v>
      </c>
      <c r="H71" s="596">
        <v>0</v>
      </c>
      <c r="I71" s="596">
        <v>0</v>
      </c>
      <c r="J71" s="596">
        <v>0</v>
      </c>
      <c r="K71" s="596">
        <v>0</v>
      </c>
      <c r="L71" s="596">
        <v>0</v>
      </c>
      <c r="M71" s="596">
        <v>0</v>
      </c>
      <c r="N71" s="596">
        <v>0</v>
      </c>
      <c r="O71" s="596">
        <v>0</v>
      </c>
      <c r="P71" s="596">
        <v>0</v>
      </c>
      <c r="Q71" s="596">
        <v>0</v>
      </c>
      <c r="R71" s="596">
        <v>0</v>
      </c>
      <c r="S71" s="596">
        <v>0</v>
      </c>
      <c r="T71" s="596">
        <v>0.02</v>
      </c>
      <c r="U71" s="596">
        <v>0</v>
      </c>
      <c r="V71" s="596">
        <v>0</v>
      </c>
      <c r="W71" s="612">
        <v>0</v>
      </c>
      <c r="X71" s="704">
        <v>0</v>
      </c>
      <c r="Y71" s="705">
        <v>0</v>
      </c>
      <c r="Z71" s="706">
        <v>0</v>
      </c>
      <c r="AA71" s="707">
        <v>0</v>
      </c>
      <c r="AB71" s="706">
        <v>0</v>
      </c>
      <c r="AC71" s="704">
        <v>0</v>
      </c>
      <c r="AD71" s="706">
        <v>0</v>
      </c>
      <c r="AE71" s="708">
        <v>0</v>
      </c>
      <c r="AF71" s="704">
        <v>0</v>
      </c>
      <c r="AG71" s="704">
        <v>0</v>
      </c>
      <c r="AH71" s="708">
        <v>0</v>
      </c>
      <c r="AI71" s="709">
        <v>0</v>
      </c>
      <c r="AJ71" s="706">
        <f t="shared" si="21"/>
        <v>7.1428571428571426E-3</v>
      </c>
      <c r="AK71" s="704">
        <v>5.0000000000000001E-3</v>
      </c>
      <c r="AL71" s="706">
        <f t="shared" si="20"/>
        <v>1.2500000000000001E-2</v>
      </c>
      <c r="AM71" s="710">
        <v>1E-3</v>
      </c>
      <c r="AN71" s="704">
        <v>0</v>
      </c>
      <c r="AO71" s="706">
        <v>0</v>
      </c>
      <c r="AP71" s="711">
        <v>0</v>
      </c>
      <c r="AQ71" s="712">
        <v>0</v>
      </c>
      <c r="AR71" s="711">
        <v>0</v>
      </c>
      <c r="AS71" s="712">
        <v>0</v>
      </c>
      <c r="AT71" s="711">
        <v>0</v>
      </c>
      <c r="AU71" s="712">
        <v>0</v>
      </c>
      <c r="AV71" s="713">
        <v>0</v>
      </c>
      <c r="AW71" s="714">
        <v>0</v>
      </c>
      <c r="AX71" s="711">
        <v>0</v>
      </c>
      <c r="AY71" s="712">
        <v>0</v>
      </c>
      <c r="AZ71" s="713">
        <v>0</v>
      </c>
      <c r="BA71" s="712">
        <v>0</v>
      </c>
      <c r="BB71" s="713">
        <v>0</v>
      </c>
      <c r="BC71" s="712">
        <v>0</v>
      </c>
      <c r="BD71" s="713">
        <v>0</v>
      </c>
      <c r="BE71" s="712">
        <v>0</v>
      </c>
      <c r="BF71" s="713">
        <v>0</v>
      </c>
      <c r="BG71" s="712">
        <v>0</v>
      </c>
      <c r="BH71" s="713">
        <v>0</v>
      </c>
      <c r="BI71" s="712">
        <v>0</v>
      </c>
      <c r="BJ71" s="713">
        <v>0</v>
      </c>
      <c r="BK71" s="712">
        <v>0</v>
      </c>
      <c r="BL71" s="713">
        <v>0</v>
      </c>
      <c r="BM71" s="712">
        <v>0</v>
      </c>
      <c r="BN71" s="713">
        <v>0</v>
      </c>
      <c r="BO71" s="712">
        <v>0</v>
      </c>
      <c r="BP71" s="713">
        <v>0</v>
      </c>
      <c r="BQ71" s="712">
        <v>0</v>
      </c>
      <c r="BR71" s="713">
        <v>0</v>
      </c>
      <c r="BS71" s="712">
        <v>0</v>
      </c>
      <c r="BT71" s="713">
        <v>0</v>
      </c>
      <c r="BU71" s="712">
        <v>0</v>
      </c>
      <c r="BV71" s="711">
        <v>0</v>
      </c>
      <c r="BW71" s="714">
        <v>0</v>
      </c>
      <c r="BX71" s="711">
        <v>0</v>
      </c>
      <c r="BY71" s="714">
        <v>0</v>
      </c>
      <c r="BZ71" s="711">
        <v>0</v>
      </c>
      <c r="CA71" s="714">
        <v>0</v>
      </c>
      <c r="CB71" s="711">
        <v>0</v>
      </c>
      <c r="CC71" s="714">
        <v>0</v>
      </c>
      <c r="CD71" s="711">
        <v>0</v>
      </c>
      <c r="CE71" s="714">
        <v>0</v>
      </c>
      <c r="CF71" s="711">
        <v>0</v>
      </c>
      <c r="CG71" s="714">
        <v>0</v>
      </c>
      <c r="CH71" s="711">
        <v>0</v>
      </c>
      <c r="CI71" s="714">
        <v>0</v>
      </c>
      <c r="CJ71" s="711">
        <v>0</v>
      </c>
      <c r="CK71" s="712">
        <v>0</v>
      </c>
      <c r="CL71" s="711">
        <v>0</v>
      </c>
      <c r="CM71" s="712">
        <v>0</v>
      </c>
      <c r="CN71" s="713">
        <v>0</v>
      </c>
      <c r="CO71" s="712">
        <v>0</v>
      </c>
    </row>
    <row r="72" spans="1:93">
      <c r="A72" s="468">
        <v>70</v>
      </c>
      <c r="B72" s="596">
        <v>0</v>
      </c>
      <c r="C72" s="596">
        <v>0</v>
      </c>
      <c r="D72" s="596">
        <v>0</v>
      </c>
      <c r="E72" s="596">
        <v>0</v>
      </c>
      <c r="F72" s="596">
        <f t="shared" si="19"/>
        <v>1.2500000000000001E-2</v>
      </c>
      <c r="G72" s="596">
        <v>0.02</v>
      </c>
      <c r="H72" s="596">
        <v>0</v>
      </c>
      <c r="I72" s="596">
        <v>0</v>
      </c>
      <c r="J72" s="596">
        <v>0</v>
      </c>
      <c r="K72" s="596">
        <v>0</v>
      </c>
      <c r="L72" s="596">
        <v>0</v>
      </c>
      <c r="M72" s="596">
        <v>0</v>
      </c>
      <c r="N72" s="596">
        <v>0</v>
      </c>
      <c r="O72" s="596">
        <v>0</v>
      </c>
      <c r="P72" s="596">
        <v>0</v>
      </c>
      <c r="Q72" s="596">
        <v>0</v>
      </c>
      <c r="R72" s="596">
        <v>0</v>
      </c>
      <c r="S72" s="596">
        <v>0</v>
      </c>
      <c r="T72" s="596">
        <v>0.02</v>
      </c>
      <c r="U72" s="596">
        <v>0</v>
      </c>
      <c r="V72" s="596">
        <v>0</v>
      </c>
      <c r="W72" s="612">
        <v>0</v>
      </c>
      <c r="X72" s="704">
        <v>0</v>
      </c>
      <c r="Y72" s="705">
        <v>0</v>
      </c>
      <c r="Z72" s="706">
        <v>0</v>
      </c>
      <c r="AA72" s="707">
        <v>0</v>
      </c>
      <c r="AB72" s="706">
        <v>0</v>
      </c>
      <c r="AC72" s="704">
        <v>0</v>
      </c>
      <c r="AD72" s="706">
        <v>0</v>
      </c>
      <c r="AE72" s="708">
        <v>0</v>
      </c>
      <c r="AF72" s="704">
        <v>0</v>
      </c>
      <c r="AG72" s="704">
        <v>0</v>
      </c>
      <c r="AH72" s="708">
        <v>0</v>
      </c>
      <c r="AI72" s="709">
        <v>0</v>
      </c>
      <c r="AJ72" s="706">
        <f t="shared" si="21"/>
        <v>7.1428571428571426E-3</v>
      </c>
      <c r="AK72" s="704">
        <v>5.0000000000000001E-3</v>
      </c>
      <c r="AL72" s="706">
        <f t="shared" si="20"/>
        <v>1.2500000000000001E-2</v>
      </c>
      <c r="AM72" s="710">
        <v>1E-3</v>
      </c>
      <c r="AN72" s="704">
        <v>0</v>
      </c>
      <c r="AO72" s="706">
        <v>0</v>
      </c>
      <c r="AP72" s="711">
        <v>0</v>
      </c>
      <c r="AQ72" s="712">
        <v>0</v>
      </c>
      <c r="AR72" s="711">
        <v>0</v>
      </c>
      <c r="AS72" s="712">
        <v>0</v>
      </c>
      <c r="AT72" s="711">
        <v>0</v>
      </c>
      <c r="AU72" s="712">
        <v>0</v>
      </c>
      <c r="AV72" s="713">
        <v>0</v>
      </c>
      <c r="AW72" s="714">
        <v>0</v>
      </c>
      <c r="AX72" s="711">
        <v>0</v>
      </c>
      <c r="AY72" s="712">
        <v>0</v>
      </c>
      <c r="AZ72" s="713">
        <v>0</v>
      </c>
      <c r="BA72" s="712">
        <v>0</v>
      </c>
      <c r="BB72" s="713">
        <v>0</v>
      </c>
      <c r="BC72" s="712">
        <v>0</v>
      </c>
      <c r="BD72" s="713">
        <v>0</v>
      </c>
      <c r="BE72" s="712">
        <v>0</v>
      </c>
      <c r="BF72" s="713">
        <v>0</v>
      </c>
      <c r="BG72" s="712">
        <v>0</v>
      </c>
      <c r="BH72" s="713">
        <v>0</v>
      </c>
      <c r="BI72" s="712">
        <v>0</v>
      </c>
      <c r="BJ72" s="713">
        <v>0</v>
      </c>
      <c r="BK72" s="712">
        <v>0</v>
      </c>
      <c r="BL72" s="713">
        <v>0</v>
      </c>
      <c r="BM72" s="712">
        <v>0</v>
      </c>
      <c r="BN72" s="713">
        <v>0</v>
      </c>
      <c r="BO72" s="712">
        <v>0</v>
      </c>
      <c r="BP72" s="713">
        <v>0</v>
      </c>
      <c r="BQ72" s="712">
        <v>0</v>
      </c>
      <c r="BR72" s="713">
        <v>0</v>
      </c>
      <c r="BS72" s="712">
        <v>0</v>
      </c>
      <c r="BT72" s="713">
        <v>0</v>
      </c>
      <c r="BU72" s="712">
        <v>0</v>
      </c>
      <c r="BV72" s="711">
        <v>0</v>
      </c>
      <c r="BW72" s="714">
        <v>0</v>
      </c>
      <c r="BX72" s="711">
        <v>0</v>
      </c>
      <c r="BY72" s="714">
        <v>0</v>
      </c>
      <c r="BZ72" s="711">
        <v>0</v>
      </c>
      <c r="CA72" s="714">
        <v>0</v>
      </c>
      <c r="CB72" s="711">
        <v>0</v>
      </c>
      <c r="CC72" s="714">
        <v>0</v>
      </c>
      <c r="CD72" s="711">
        <v>0</v>
      </c>
      <c r="CE72" s="714">
        <v>0</v>
      </c>
      <c r="CF72" s="711">
        <v>0</v>
      </c>
      <c r="CG72" s="714">
        <v>0</v>
      </c>
      <c r="CH72" s="711">
        <v>0</v>
      </c>
      <c r="CI72" s="714">
        <v>0</v>
      </c>
      <c r="CJ72" s="711">
        <v>0</v>
      </c>
      <c r="CK72" s="712">
        <v>0</v>
      </c>
      <c r="CL72" s="711">
        <v>0</v>
      </c>
      <c r="CM72" s="712">
        <v>0</v>
      </c>
      <c r="CN72" s="713">
        <v>0</v>
      </c>
      <c r="CO72" s="712">
        <v>0</v>
      </c>
    </row>
    <row r="73" spans="1:93">
      <c r="A73" s="468">
        <v>71</v>
      </c>
      <c r="B73" s="596">
        <v>0</v>
      </c>
      <c r="C73" s="596">
        <v>0</v>
      </c>
      <c r="D73" s="596">
        <v>0</v>
      </c>
      <c r="E73" s="596">
        <v>0</v>
      </c>
      <c r="F73" s="596">
        <f t="shared" si="19"/>
        <v>1.2500000000000001E-2</v>
      </c>
      <c r="G73" s="596">
        <v>0.02</v>
      </c>
      <c r="H73" s="596">
        <v>0</v>
      </c>
      <c r="I73" s="596">
        <v>0</v>
      </c>
      <c r="J73" s="596">
        <v>0</v>
      </c>
      <c r="K73" s="596">
        <v>0</v>
      </c>
      <c r="L73" s="596">
        <v>0</v>
      </c>
      <c r="M73" s="596">
        <v>0</v>
      </c>
      <c r="N73" s="596">
        <v>0</v>
      </c>
      <c r="O73" s="596">
        <v>0</v>
      </c>
      <c r="P73" s="596">
        <v>0</v>
      </c>
      <c r="Q73" s="596">
        <v>0</v>
      </c>
      <c r="R73" s="596">
        <v>0</v>
      </c>
      <c r="S73" s="596">
        <v>0</v>
      </c>
      <c r="T73" s="596">
        <v>0.02</v>
      </c>
      <c r="U73" s="596">
        <v>0</v>
      </c>
      <c r="V73" s="596">
        <v>0</v>
      </c>
      <c r="W73" s="612">
        <v>0</v>
      </c>
      <c r="X73" s="704">
        <v>0</v>
      </c>
      <c r="Y73" s="705">
        <v>0</v>
      </c>
      <c r="Z73" s="706">
        <v>0</v>
      </c>
      <c r="AA73" s="707">
        <v>0</v>
      </c>
      <c r="AB73" s="706">
        <v>0</v>
      </c>
      <c r="AC73" s="704">
        <v>0</v>
      </c>
      <c r="AD73" s="706">
        <v>0</v>
      </c>
      <c r="AE73" s="708">
        <v>0</v>
      </c>
      <c r="AF73" s="704">
        <v>0</v>
      </c>
      <c r="AG73" s="704">
        <v>0</v>
      </c>
      <c r="AH73" s="708">
        <v>0</v>
      </c>
      <c r="AI73" s="709">
        <v>0</v>
      </c>
      <c r="AJ73" s="706">
        <f t="shared" si="21"/>
        <v>7.1428571428571426E-3</v>
      </c>
      <c r="AK73" s="704">
        <v>5.0000000000000001E-3</v>
      </c>
      <c r="AL73" s="706">
        <f t="shared" si="20"/>
        <v>1.2500000000000001E-2</v>
      </c>
      <c r="AM73" s="710">
        <v>1E-3</v>
      </c>
      <c r="AN73" s="704">
        <v>0</v>
      </c>
      <c r="AO73" s="706">
        <v>0</v>
      </c>
      <c r="AP73" s="711">
        <v>0</v>
      </c>
      <c r="AQ73" s="712">
        <v>0</v>
      </c>
      <c r="AR73" s="711">
        <v>0</v>
      </c>
      <c r="AS73" s="712">
        <v>0</v>
      </c>
      <c r="AT73" s="711">
        <v>0</v>
      </c>
      <c r="AU73" s="712">
        <v>0</v>
      </c>
      <c r="AV73" s="713">
        <v>0</v>
      </c>
      <c r="AW73" s="714">
        <v>0</v>
      </c>
      <c r="AX73" s="711">
        <v>0</v>
      </c>
      <c r="AY73" s="712">
        <v>0</v>
      </c>
      <c r="AZ73" s="713">
        <v>0</v>
      </c>
      <c r="BA73" s="712">
        <v>0</v>
      </c>
      <c r="BB73" s="713">
        <v>0</v>
      </c>
      <c r="BC73" s="712">
        <v>0</v>
      </c>
      <c r="BD73" s="713">
        <v>0</v>
      </c>
      <c r="BE73" s="712">
        <v>0</v>
      </c>
      <c r="BF73" s="713">
        <v>0</v>
      </c>
      <c r="BG73" s="712">
        <v>0</v>
      </c>
      <c r="BH73" s="713">
        <v>0</v>
      </c>
      <c r="BI73" s="712">
        <v>0</v>
      </c>
      <c r="BJ73" s="713">
        <v>0</v>
      </c>
      <c r="BK73" s="712">
        <v>0</v>
      </c>
      <c r="BL73" s="713">
        <v>0</v>
      </c>
      <c r="BM73" s="712">
        <v>0</v>
      </c>
      <c r="BN73" s="713">
        <v>0</v>
      </c>
      <c r="BO73" s="712">
        <v>0</v>
      </c>
      <c r="BP73" s="713">
        <v>0</v>
      </c>
      <c r="BQ73" s="712">
        <v>0</v>
      </c>
      <c r="BR73" s="713">
        <v>0</v>
      </c>
      <c r="BS73" s="712">
        <v>0</v>
      </c>
      <c r="BT73" s="713">
        <v>0</v>
      </c>
      <c r="BU73" s="712">
        <v>0</v>
      </c>
      <c r="BV73" s="711">
        <v>0</v>
      </c>
      <c r="BW73" s="714">
        <v>0</v>
      </c>
      <c r="BX73" s="711">
        <v>0</v>
      </c>
      <c r="BY73" s="714">
        <v>0</v>
      </c>
      <c r="BZ73" s="711">
        <v>0</v>
      </c>
      <c r="CA73" s="714">
        <v>0</v>
      </c>
      <c r="CB73" s="711">
        <v>0</v>
      </c>
      <c r="CC73" s="714">
        <v>0</v>
      </c>
      <c r="CD73" s="711">
        <v>0</v>
      </c>
      <c r="CE73" s="714">
        <v>0</v>
      </c>
      <c r="CF73" s="711">
        <v>0</v>
      </c>
      <c r="CG73" s="714">
        <v>0</v>
      </c>
      <c r="CH73" s="711">
        <v>0</v>
      </c>
      <c r="CI73" s="714">
        <v>0</v>
      </c>
      <c r="CJ73" s="711">
        <v>0</v>
      </c>
      <c r="CK73" s="712">
        <v>0</v>
      </c>
      <c r="CL73" s="711">
        <v>0</v>
      </c>
      <c r="CM73" s="712">
        <v>0</v>
      </c>
      <c r="CN73" s="713">
        <v>0</v>
      </c>
      <c r="CO73" s="712">
        <v>0</v>
      </c>
    </row>
    <row r="74" spans="1:93">
      <c r="A74" s="468">
        <v>72</v>
      </c>
      <c r="B74" s="596">
        <v>0</v>
      </c>
      <c r="C74" s="596">
        <v>0</v>
      </c>
      <c r="D74" s="596">
        <v>0</v>
      </c>
      <c r="E74" s="596">
        <v>0</v>
      </c>
      <c r="F74" s="596">
        <f t="shared" si="19"/>
        <v>1.2500000000000001E-2</v>
      </c>
      <c r="G74" s="596">
        <v>0.02</v>
      </c>
      <c r="H74" s="596">
        <v>0</v>
      </c>
      <c r="I74" s="596">
        <v>0</v>
      </c>
      <c r="J74" s="596">
        <v>0</v>
      </c>
      <c r="K74" s="596">
        <v>0</v>
      </c>
      <c r="L74" s="596">
        <v>0</v>
      </c>
      <c r="M74" s="596">
        <v>0</v>
      </c>
      <c r="N74" s="596">
        <v>0</v>
      </c>
      <c r="O74" s="596">
        <v>0</v>
      </c>
      <c r="P74" s="596">
        <v>0</v>
      </c>
      <c r="Q74" s="596">
        <v>0</v>
      </c>
      <c r="R74" s="596">
        <v>0</v>
      </c>
      <c r="S74" s="596">
        <v>0</v>
      </c>
      <c r="T74" s="596">
        <v>0.02</v>
      </c>
      <c r="U74" s="596">
        <v>0</v>
      </c>
      <c r="V74" s="596">
        <v>0</v>
      </c>
      <c r="W74" s="612">
        <v>0</v>
      </c>
      <c r="X74" s="704">
        <v>0</v>
      </c>
      <c r="Y74" s="705">
        <v>0</v>
      </c>
      <c r="Z74" s="706">
        <v>0</v>
      </c>
      <c r="AA74" s="707">
        <v>0</v>
      </c>
      <c r="AB74" s="706">
        <v>0</v>
      </c>
      <c r="AC74" s="704">
        <v>0</v>
      </c>
      <c r="AD74" s="706">
        <v>0</v>
      </c>
      <c r="AE74" s="708">
        <v>0</v>
      </c>
      <c r="AF74" s="704">
        <v>0</v>
      </c>
      <c r="AG74" s="704">
        <v>0</v>
      </c>
      <c r="AH74" s="708">
        <v>0</v>
      </c>
      <c r="AI74" s="709">
        <v>0</v>
      </c>
      <c r="AJ74" s="706">
        <f t="shared" si="21"/>
        <v>7.1428571428571426E-3</v>
      </c>
      <c r="AK74" s="704">
        <v>5.0000000000000001E-3</v>
      </c>
      <c r="AL74" s="706">
        <f t="shared" si="20"/>
        <v>1.2500000000000001E-2</v>
      </c>
      <c r="AM74" s="710">
        <v>1E-3</v>
      </c>
      <c r="AN74" s="704">
        <v>0</v>
      </c>
      <c r="AO74" s="706">
        <v>0</v>
      </c>
      <c r="AP74" s="711">
        <v>0</v>
      </c>
      <c r="AQ74" s="712">
        <v>0</v>
      </c>
      <c r="AR74" s="711">
        <v>0</v>
      </c>
      <c r="AS74" s="712">
        <v>0</v>
      </c>
      <c r="AT74" s="711">
        <v>0</v>
      </c>
      <c r="AU74" s="712">
        <v>0</v>
      </c>
      <c r="AV74" s="713">
        <v>0</v>
      </c>
      <c r="AW74" s="714">
        <v>0</v>
      </c>
      <c r="AX74" s="711">
        <v>0</v>
      </c>
      <c r="AY74" s="712">
        <v>0</v>
      </c>
      <c r="AZ74" s="713">
        <v>0</v>
      </c>
      <c r="BA74" s="712">
        <v>0</v>
      </c>
      <c r="BB74" s="713">
        <v>0</v>
      </c>
      <c r="BC74" s="712">
        <v>0</v>
      </c>
      <c r="BD74" s="713">
        <v>0</v>
      </c>
      <c r="BE74" s="712">
        <v>0</v>
      </c>
      <c r="BF74" s="713">
        <v>0</v>
      </c>
      <c r="BG74" s="712">
        <v>0</v>
      </c>
      <c r="BH74" s="713">
        <v>0</v>
      </c>
      <c r="BI74" s="712">
        <v>0</v>
      </c>
      <c r="BJ74" s="713">
        <v>0</v>
      </c>
      <c r="BK74" s="712">
        <v>0</v>
      </c>
      <c r="BL74" s="713">
        <v>0</v>
      </c>
      <c r="BM74" s="712">
        <v>0</v>
      </c>
      <c r="BN74" s="713">
        <v>0</v>
      </c>
      <c r="BO74" s="712">
        <v>0</v>
      </c>
      <c r="BP74" s="713">
        <v>0</v>
      </c>
      <c r="BQ74" s="712">
        <v>0</v>
      </c>
      <c r="BR74" s="713">
        <v>0</v>
      </c>
      <c r="BS74" s="712">
        <v>0</v>
      </c>
      <c r="BT74" s="713">
        <v>0</v>
      </c>
      <c r="BU74" s="712">
        <v>0</v>
      </c>
      <c r="BV74" s="711">
        <v>0</v>
      </c>
      <c r="BW74" s="714">
        <v>0</v>
      </c>
      <c r="BX74" s="711">
        <v>0</v>
      </c>
      <c r="BY74" s="714">
        <v>0</v>
      </c>
      <c r="BZ74" s="711">
        <v>0</v>
      </c>
      <c r="CA74" s="714">
        <v>0</v>
      </c>
      <c r="CB74" s="711">
        <v>0</v>
      </c>
      <c r="CC74" s="714">
        <v>0</v>
      </c>
      <c r="CD74" s="711">
        <v>0</v>
      </c>
      <c r="CE74" s="714">
        <v>0</v>
      </c>
      <c r="CF74" s="711">
        <v>0</v>
      </c>
      <c r="CG74" s="714">
        <v>0</v>
      </c>
      <c r="CH74" s="711">
        <v>0</v>
      </c>
      <c r="CI74" s="714">
        <v>0</v>
      </c>
      <c r="CJ74" s="711">
        <v>0</v>
      </c>
      <c r="CK74" s="712">
        <v>0</v>
      </c>
      <c r="CL74" s="711">
        <v>0</v>
      </c>
      <c r="CM74" s="712">
        <v>0</v>
      </c>
      <c r="CN74" s="713">
        <v>0</v>
      </c>
      <c r="CO74" s="712">
        <v>0</v>
      </c>
    </row>
    <row r="75" spans="1:93">
      <c r="A75" s="468">
        <v>73</v>
      </c>
      <c r="B75" s="596">
        <v>0</v>
      </c>
      <c r="C75" s="596">
        <v>0</v>
      </c>
      <c r="D75" s="596">
        <v>0</v>
      </c>
      <c r="E75" s="596">
        <v>0</v>
      </c>
      <c r="F75" s="596">
        <f t="shared" si="19"/>
        <v>1.2500000000000001E-2</v>
      </c>
      <c r="G75" s="596">
        <v>0.02</v>
      </c>
      <c r="H75" s="596">
        <v>0</v>
      </c>
      <c r="I75" s="596">
        <v>0</v>
      </c>
      <c r="J75" s="596">
        <v>0</v>
      </c>
      <c r="K75" s="596">
        <v>0</v>
      </c>
      <c r="L75" s="596">
        <v>0</v>
      </c>
      <c r="M75" s="596">
        <v>0</v>
      </c>
      <c r="N75" s="596">
        <v>0</v>
      </c>
      <c r="O75" s="596">
        <v>0</v>
      </c>
      <c r="P75" s="596">
        <v>0</v>
      </c>
      <c r="Q75" s="596">
        <v>0</v>
      </c>
      <c r="R75" s="596">
        <v>0</v>
      </c>
      <c r="S75" s="596">
        <v>0</v>
      </c>
      <c r="T75" s="596">
        <v>0.02</v>
      </c>
      <c r="U75" s="596">
        <v>0</v>
      </c>
      <c r="V75" s="596">
        <v>0</v>
      </c>
      <c r="W75" s="612">
        <v>0</v>
      </c>
      <c r="X75" s="704">
        <v>0</v>
      </c>
      <c r="Y75" s="705">
        <v>0</v>
      </c>
      <c r="Z75" s="706">
        <v>0</v>
      </c>
      <c r="AA75" s="707">
        <v>0</v>
      </c>
      <c r="AB75" s="706">
        <v>0</v>
      </c>
      <c r="AC75" s="704">
        <v>0</v>
      </c>
      <c r="AD75" s="706">
        <v>0</v>
      </c>
      <c r="AE75" s="708">
        <v>0</v>
      </c>
      <c r="AF75" s="704">
        <v>0</v>
      </c>
      <c r="AG75" s="704">
        <v>0</v>
      </c>
      <c r="AH75" s="708">
        <v>0</v>
      </c>
      <c r="AI75" s="709">
        <v>0</v>
      </c>
      <c r="AJ75" s="706">
        <f t="shared" si="21"/>
        <v>7.1428571428571426E-3</v>
      </c>
      <c r="AK75" s="704">
        <v>5.0000000000000001E-3</v>
      </c>
      <c r="AL75" s="706">
        <f t="shared" si="20"/>
        <v>1.2500000000000001E-2</v>
      </c>
      <c r="AM75" s="710">
        <v>1E-3</v>
      </c>
      <c r="AN75" s="704">
        <v>0</v>
      </c>
      <c r="AO75" s="706">
        <v>0</v>
      </c>
      <c r="AP75" s="711">
        <v>0</v>
      </c>
      <c r="AQ75" s="712">
        <v>0</v>
      </c>
      <c r="AR75" s="711">
        <v>0</v>
      </c>
      <c r="AS75" s="712">
        <v>0</v>
      </c>
      <c r="AT75" s="711">
        <v>0</v>
      </c>
      <c r="AU75" s="712">
        <v>0</v>
      </c>
      <c r="AV75" s="713">
        <v>0</v>
      </c>
      <c r="AW75" s="714">
        <v>0</v>
      </c>
      <c r="AX75" s="711">
        <v>0</v>
      </c>
      <c r="AY75" s="712">
        <v>0</v>
      </c>
      <c r="AZ75" s="713">
        <v>0</v>
      </c>
      <c r="BA75" s="712">
        <v>0</v>
      </c>
      <c r="BB75" s="713">
        <v>0</v>
      </c>
      <c r="BC75" s="712">
        <v>0</v>
      </c>
      <c r="BD75" s="713">
        <v>0</v>
      </c>
      <c r="BE75" s="712">
        <v>0</v>
      </c>
      <c r="BF75" s="713">
        <v>0</v>
      </c>
      <c r="BG75" s="712">
        <v>0</v>
      </c>
      <c r="BH75" s="713">
        <v>0</v>
      </c>
      <c r="BI75" s="712">
        <v>0</v>
      </c>
      <c r="BJ75" s="713">
        <v>0</v>
      </c>
      <c r="BK75" s="712">
        <v>0</v>
      </c>
      <c r="BL75" s="713">
        <v>0</v>
      </c>
      <c r="BM75" s="712">
        <v>0</v>
      </c>
      <c r="BN75" s="713">
        <v>0</v>
      </c>
      <c r="BO75" s="712">
        <v>0</v>
      </c>
      <c r="BP75" s="713">
        <v>0</v>
      </c>
      <c r="BQ75" s="712">
        <v>0</v>
      </c>
      <c r="BR75" s="713">
        <v>0</v>
      </c>
      <c r="BS75" s="712">
        <v>0</v>
      </c>
      <c r="BT75" s="713">
        <v>0</v>
      </c>
      <c r="BU75" s="712">
        <v>0</v>
      </c>
      <c r="BV75" s="711">
        <v>0</v>
      </c>
      <c r="BW75" s="714">
        <v>0</v>
      </c>
      <c r="BX75" s="711">
        <v>0</v>
      </c>
      <c r="BY75" s="714">
        <v>0</v>
      </c>
      <c r="BZ75" s="711">
        <v>0</v>
      </c>
      <c r="CA75" s="714">
        <v>0</v>
      </c>
      <c r="CB75" s="711">
        <v>0</v>
      </c>
      <c r="CC75" s="714">
        <v>0</v>
      </c>
      <c r="CD75" s="711">
        <v>0</v>
      </c>
      <c r="CE75" s="714">
        <v>0</v>
      </c>
      <c r="CF75" s="711">
        <v>0</v>
      </c>
      <c r="CG75" s="714">
        <v>0</v>
      </c>
      <c r="CH75" s="711">
        <v>0</v>
      </c>
      <c r="CI75" s="714">
        <v>0</v>
      </c>
      <c r="CJ75" s="711">
        <v>0</v>
      </c>
      <c r="CK75" s="712">
        <v>0</v>
      </c>
      <c r="CL75" s="711">
        <v>0</v>
      </c>
      <c r="CM75" s="712">
        <v>0</v>
      </c>
      <c r="CN75" s="713">
        <v>0</v>
      </c>
      <c r="CO75" s="712">
        <v>0</v>
      </c>
    </row>
    <row r="76" spans="1:93">
      <c r="A76" s="468">
        <v>74</v>
      </c>
      <c r="B76" s="596">
        <v>0</v>
      </c>
      <c r="C76" s="596">
        <v>0</v>
      </c>
      <c r="D76" s="596">
        <v>0</v>
      </c>
      <c r="E76" s="596">
        <v>0</v>
      </c>
      <c r="F76" s="596">
        <f t="shared" si="19"/>
        <v>1.2500000000000001E-2</v>
      </c>
      <c r="G76" s="596">
        <v>0.02</v>
      </c>
      <c r="H76" s="596">
        <v>0</v>
      </c>
      <c r="I76" s="596">
        <v>0</v>
      </c>
      <c r="J76" s="596">
        <v>0</v>
      </c>
      <c r="K76" s="596">
        <v>0</v>
      </c>
      <c r="L76" s="596">
        <v>0</v>
      </c>
      <c r="M76" s="596">
        <v>0</v>
      </c>
      <c r="N76" s="596">
        <v>0</v>
      </c>
      <c r="O76" s="596">
        <v>0</v>
      </c>
      <c r="P76" s="596">
        <v>0</v>
      </c>
      <c r="Q76" s="596">
        <v>0</v>
      </c>
      <c r="R76" s="596">
        <v>0</v>
      </c>
      <c r="S76" s="596">
        <v>0</v>
      </c>
      <c r="T76" s="596">
        <v>0.02</v>
      </c>
      <c r="U76" s="596">
        <v>0</v>
      </c>
      <c r="V76" s="596">
        <v>0</v>
      </c>
      <c r="W76" s="612">
        <v>0</v>
      </c>
      <c r="X76" s="704">
        <v>0</v>
      </c>
      <c r="Y76" s="705">
        <v>0</v>
      </c>
      <c r="Z76" s="706">
        <v>0</v>
      </c>
      <c r="AA76" s="707">
        <v>0</v>
      </c>
      <c r="AB76" s="706">
        <v>0</v>
      </c>
      <c r="AC76" s="704">
        <v>0</v>
      </c>
      <c r="AD76" s="706">
        <v>0</v>
      </c>
      <c r="AE76" s="708">
        <v>0</v>
      </c>
      <c r="AF76" s="704">
        <v>0</v>
      </c>
      <c r="AG76" s="704">
        <v>0</v>
      </c>
      <c r="AH76" s="708">
        <v>0</v>
      </c>
      <c r="AI76" s="709">
        <v>0</v>
      </c>
      <c r="AJ76" s="706">
        <f t="shared" si="21"/>
        <v>7.1428571428571426E-3</v>
      </c>
      <c r="AK76" s="704">
        <v>5.0000000000000001E-3</v>
      </c>
      <c r="AL76" s="706">
        <f t="shared" si="20"/>
        <v>1.2500000000000001E-2</v>
      </c>
      <c r="AM76" s="710">
        <v>1E-3</v>
      </c>
      <c r="AN76" s="704">
        <v>0</v>
      </c>
      <c r="AO76" s="706">
        <v>0</v>
      </c>
      <c r="AP76" s="711">
        <v>0</v>
      </c>
      <c r="AQ76" s="712">
        <v>0</v>
      </c>
      <c r="AR76" s="711">
        <v>0</v>
      </c>
      <c r="AS76" s="712">
        <v>0</v>
      </c>
      <c r="AT76" s="711">
        <v>0</v>
      </c>
      <c r="AU76" s="712">
        <v>0</v>
      </c>
      <c r="AV76" s="713">
        <v>0</v>
      </c>
      <c r="AW76" s="714">
        <v>0</v>
      </c>
      <c r="AX76" s="711">
        <v>0</v>
      </c>
      <c r="AY76" s="712">
        <v>0</v>
      </c>
      <c r="AZ76" s="713">
        <v>0</v>
      </c>
      <c r="BA76" s="712">
        <v>0</v>
      </c>
      <c r="BB76" s="713">
        <v>0</v>
      </c>
      <c r="BC76" s="712">
        <v>0</v>
      </c>
      <c r="BD76" s="713">
        <v>0</v>
      </c>
      <c r="BE76" s="712">
        <v>0</v>
      </c>
      <c r="BF76" s="713">
        <v>0</v>
      </c>
      <c r="BG76" s="712">
        <v>0</v>
      </c>
      <c r="BH76" s="713">
        <v>0</v>
      </c>
      <c r="BI76" s="712">
        <v>0</v>
      </c>
      <c r="BJ76" s="713">
        <v>0</v>
      </c>
      <c r="BK76" s="712">
        <v>0</v>
      </c>
      <c r="BL76" s="713">
        <v>0</v>
      </c>
      <c r="BM76" s="712">
        <v>0</v>
      </c>
      <c r="BN76" s="713">
        <v>0</v>
      </c>
      <c r="BO76" s="712">
        <v>0</v>
      </c>
      <c r="BP76" s="713">
        <v>0</v>
      </c>
      <c r="BQ76" s="712">
        <v>0</v>
      </c>
      <c r="BR76" s="713">
        <v>0</v>
      </c>
      <c r="BS76" s="712">
        <v>0</v>
      </c>
      <c r="BT76" s="713">
        <v>0</v>
      </c>
      <c r="BU76" s="712">
        <v>0</v>
      </c>
      <c r="BV76" s="711">
        <v>0</v>
      </c>
      <c r="BW76" s="714">
        <v>0</v>
      </c>
      <c r="BX76" s="711">
        <v>0</v>
      </c>
      <c r="BY76" s="714">
        <v>0</v>
      </c>
      <c r="BZ76" s="711">
        <v>0</v>
      </c>
      <c r="CA76" s="714">
        <v>0</v>
      </c>
      <c r="CB76" s="711">
        <v>0</v>
      </c>
      <c r="CC76" s="714">
        <v>0</v>
      </c>
      <c r="CD76" s="711">
        <v>0</v>
      </c>
      <c r="CE76" s="714">
        <v>0</v>
      </c>
      <c r="CF76" s="711">
        <v>0</v>
      </c>
      <c r="CG76" s="714">
        <v>0</v>
      </c>
      <c r="CH76" s="711">
        <v>0</v>
      </c>
      <c r="CI76" s="714">
        <v>0</v>
      </c>
      <c r="CJ76" s="711">
        <v>0</v>
      </c>
      <c r="CK76" s="712">
        <v>0</v>
      </c>
      <c r="CL76" s="711">
        <v>0</v>
      </c>
      <c r="CM76" s="712">
        <v>0</v>
      </c>
      <c r="CN76" s="713">
        <v>0</v>
      </c>
      <c r="CO76" s="712">
        <v>0</v>
      </c>
    </row>
    <row r="77" spans="1:93">
      <c r="A77" s="468">
        <v>75</v>
      </c>
      <c r="B77" s="596">
        <v>0</v>
      </c>
      <c r="C77" s="596">
        <v>0</v>
      </c>
      <c r="D77" s="596">
        <v>0</v>
      </c>
      <c r="E77" s="596">
        <v>0</v>
      </c>
      <c r="F77" s="596">
        <f t="shared" si="19"/>
        <v>1.2500000000000001E-2</v>
      </c>
      <c r="G77" s="596">
        <v>0.02</v>
      </c>
      <c r="H77" s="596">
        <v>0</v>
      </c>
      <c r="I77" s="596">
        <v>0</v>
      </c>
      <c r="J77" s="596">
        <v>0</v>
      </c>
      <c r="K77" s="596">
        <v>0</v>
      </c>
      <c r="L77" s="596">
        <v>0</v>
      </c>
      <c r="M77" s="596">
        <v>0</v>
      </c>
      <c r="N77" s="596">
        <v>0</v>
      </c>
      <c r="O77" s="596">
        <v>0</v>
      </c>
      <c r="P77" s="596">
        <v>0</v>
      </c>
      <c r="Q77" s="596">
        <v>0</v>
      </c>
      <c r="R77" s="596">
        <v>0</v>
      </c>
      <c r="S77" s="596">
        <v>0</v>
      </c>
      <c r="T77" s="596">
        <v>0.02</v>
      </c>
      <c r="U77" s="596">
        <v>0</v>
      </c>
      <c r="V77" s="596">
        <v>0</v>
      </c>
      <c r="W77" s="612">
        <v>0</v>
      </c>
      <c r="X77" s="704">
        <v>0</v>
      </c>
      <c r="Y77" s="705">
        <v>0</v>
      </c>
      <c r="Z77" s="706">
        <v>0</v>
      </c>
      <c r="AA77" s="707">
        <v>0</v>
      </c>
      <c r="AB77" s="706">
        <v>0</v>
      </c>
      <c r="AC77" s="704">
        <v>0</v>
      </c>
      <c r="AD77" s="706">
        <v>0</v>
      </c>
      <c r="AE77" s="708">
        <v>0</v>
      </c>
      <c r="AF77" s="704">
        <v>0</v>
      </c>
      <c r="AG77" s="704">
        <v>0</v>
      </c>
      <c r="AH77" s="708">
        <v>0</v>
      </c>
      <c r="AI77" s="709">
        <v>0</v>
      </c>
      <c r="AJ77" s="706">
        <f t="shared" si="21"/>
        <v>7.1428571428571426E-3</v>
      </c>
      <c r="AK77" s="704">
        <v>5.0000000000000001E-3</v>
      </c>
      <c r="AL77" s="706">
        <f t="shared" si="20"/>
        <v>1.2500000000000001E-2</v>
      </c>
      <c r="AM77" s="710">
        <v>1E-3</v>
      </c>
      <c r="AN77" s="704">
        <v>0</v>
      </c>
      <c r="AO77" s="706">
        <v>0</v>
      </c>
      <c r="AP77" s="711">
        <v>0</v>
      </c>
      <c r="AQ77" s="712">
        <v>0</v>
      </c>
      <c r="AR77" s="711">
        <v>0</v>
      </c>
      <c r="AS77" s="712">
        <v>0</v>
      </c>
      <c r="AT77" s="711">
        <v>0</v>
      </c>
      <c r="AU77" s="712">
        <v>0</v>
      </c>
      <c r="AV77" s="713">
        <v>0</v>
      </c>
      <c r="AW77" s="714">
        <v>0</v>
      </c>
      <c r="AX77" s="711">
        <v>0</v>
      </c>
      <c r="AY77" s="712">
        <v>0</v>
      </c>
      <c r="AZ77" s="713">
        <v>0</v>
      </c>
      <c r="BA77" s="712">
        <v>0</v>
      </c>
      <c r="BB77" s="713">
        <v>0</v>
      </c>
      <c r="BC77" s="712">
        <v>0</v>
      </c>
      <c r="BD77" s="713">
        <v>0</v>
      </c>
      <c r="BE77" s="712">
        <v>0</v>
      </c>
      <c r="BF77" s="713">
        <v>0</v>
      </c>
      <c r="BG77" s="712">
        <v>0</v>
      </c>
      <c r="BH77" s="713">
        <v>0</v>
      </c>
      <c r="BI77" s="712">
        <v>0</v>
      </c>
      <c r="BJ77" s="713">
        <v>0</v>
      </c>
      <c r="BK77" s="712">
        <v>0</v>
      </c>
      <c r="BL77" s="713">
        <v>0</v>
      </c>
      <c r="BM77" s="712">
        <v>0</v>
      </c>
      <c r="BN77" s="713">
        <v>0</v>
      </c>
      <c r="BO77" s="712">
        <v>0</v>
      </c>
      <c r="BP77" s="713">
        <v>0</v>
      </c>
      <c r="BQ77" s="712">
        <v>0</v>
      </c>
      <c r="BR77" s="713">
        <v>0</v>
      </c>
      <c r="BS77" s="712">
        <v>0</v>
      </c>
      <c r="BT77" s="713">
        <v>0</v>
      </c>
      <c r="BU77" s="712">
        <v>0</v>
      </c>
      <c r="BV77" s="711">
        <v>0</v>
      </c>
      <c r="BW77" s="714">
        <v>0</v>
      </c>
      <c r="BX77" s="711">
        <v>0</v>
      </c>
      <c r="BY77" s="714">
        <v>0</v>
      </c>
      <c r="BZ77" s="711">
        <v>0</v>
      </c>
      <c r="CA77" s="714">
        <v>0</v>
      </c>
      <c r="CB77" s="711">
        <v>0</v>
      </c>
      <c r="CC77" s="714">
        <v>0</v>
      </c>
      <c r="CD77" s="711">
        <v>0</v>
      </c>
      <c r="CE77" s="714">
        <v>0</v>
      </c>
      <c r="CF77" s="711">
        <v>0</v>
      </c>
      <c r="CG77" s="714">
        <v>0</v>
      </c>
      <c r="CH77" s="711">
        <v>0</v>
      </c>
      <c r="CI77" s="714">
        <v>0</v>
      </c>
      <c r="CJ77" s="711">
        <v>0</v>
      </c>
      <c r="CK77" s="712">
        <v>0</v>
      </c>
      <c r="CL77" s="711">
        <v>0</v>
      </c>
      <c r="CM77" s="712">
        <v>0</v>
      </c>
      <c r="CN77" s="713">
        <v>0</v>
      </c>
      <c r="CO77" s="712">
        <v>0</v>
      </c>
    </row>
    <row r="78" spans="1:93">
      <c r="A78" s="468">
        <v>76</v>
      </c>
      <c r="B78" s="596">
        <v>0</v>
      </c>
      <c r="C78" s="596">
        <v>0</v>
      </c>
      <c r="D78" s="596">
        <v>0</v>
      </c>
      <c r="E78" s="596">
        <v>0</v>
      </c>
      <c r="F78" s="596">
        <f t="shared" si="19"/>
        <v>1.2500000000000001E-2</v>
      </c>
      <c r="G78" s="596">
        <v>0.02</v>
      </c>
      <c r="H78" s="596">
        <v>0</v>
      </c>
      <c r="I78" s="596">
        <v>0</v>
      </c>
      <c r="J78" s="596">
        <v>0</v>
      </c>
      <c r="K78" s="596">
        <v>0</v>
      </c>
      <c r="L78" s="596">
        <v>0</v>
      </c>
      <c r="M78" s="596">
        <v>0</v>
      </c>
      <c r="N78" s="596">
        <v>0</v>
      </c>
      <c r="O78" s="596">
        <v>0</v>
      </c>
      <c r="P78" s="596">
        <v>0</v>
      </c>
      <c r="Q78" s="596">
        <v>0</v>
      </c>
      <c r="R78" s="596">
        <v>0</v>
      </c>
      <c r="S78" s="596">
        <v>0</v>
      </c>
      <c r="T78" s="596">
        <v>0.02</v>
      </c>
      <c r="U78" s="596">
        <v>0</v>
      </c>
      <c r="V78" s="596">
        <v>0</v>
      </c>
      <c r="W78" s="612">
        <v>0</v>
      </c>
      <c r="X78" s="704">
        <v>0</v>
      </c>
      <c r="Y78" s="705">
        <v>0</v>
      </c>
      <c r="Z78" s="706">
        <v>0</v>
      </c>
      <c r="AA78" s="707">
        <v>0</v>
      </c>
      <c r="AB78" s="706">
        <v>0</v>
      </c>
      <c r="AC78" s="704">
        <v>0</v>
      </c>
      <c r="AD78" s="706">
        <v>0</v>
      </c>
      <c r="AE78" s="708">
        <v>0</v>
      </c>
      <c r="AF78" s="704">
        <v>0</v>
      </c>
      <c r="AG78" s="704">
        <v>0</v>
      </c>
      <c r="AH78" s="708">
        <v>0</v>
      </c>
      <c r="AI78" s="709">
        <v>0</v>
      </c>
      <c r="AJ78" s="706">
        <f t="shared" si="21"/>
        <v>7.1428571428571426E-3</v>
      </c>
      <c r="AK78" s="704">
        <v>5.0000000000000001E-3</v>
      </c>
      <c r="AL78" s="706">
        <f t="shared" si="20"/>
        <v>1.2500000000000001E-2</v>
      </c>
      <c r="AM78" s="710">
        <v>1E-3</v>
      </c>
      <c r="AN78" s="704">
        <v>0</v>
      </c>
      <c r="AO78" s="706">
        <v>0</v>
      </c>
      <c r="AP78" s="711">
        <v>0</v>
      </c>
      <c r="AQ78" s="712">
        <v>0</v>
      </c>
      <c r="AR78" s="711">
        <v>0</v>
      </c>
      <c r="AS78" s="712">
        <v>0</v>
      </c>
      <c r="AT78" s="711">
        <v>0</v>
      </c>
      <c r="AU78" s="712">
        <v>0</v>
      </c>
      <c r="AV78" s="713">
        <v>0</v>
      </c>
      <c r="AW78" s="714">
        <v>0</v>
      </c>
      <c r="AX78" s="711">
        <v>0</v>
      </c>
      <c r="AY78" s="712">
        <v>0</v>
      </c>
      <c r="AZ78" s="713">
        <v>0</v>
      </c>
      <c r="BA78" s="712">
        <v>0</v>
      </c>
      <c r="BB78" s="713">
        <v>0</v>
      </c>
      <c r="BC78" s="712">
        <v>0</v>
      </c>
      <c r="BD78" s="713">
        <v>0</v>
      </c>
      <c r="BE78" s="712">
        <v>0</v>
      </c>
      <c r="BF78" s="713">
        <v>0</v>
      </c>
      <c r="BG78" s="712">
        <v>0</v>
      </c>
      <c r="BH78" s="713">
        <v>0</v>
      </c>
      <c r="BI78" s="712">
        <v>0</v>
      </c>
      <c r="BJ78" s="713">
        <v>0</v>
      </c>
      <c r="BK78" s="712">
        <v>0</v>
      </c>
      <c r="BL78" s="713">
        <v>0</v>
      </c>
      <c r="BM78" s="712">
        <v>0</v>
      </c>
      <c r="BN78" s="713">
        <v>0</v>
      </c>
      <c r="BO78" s="712">
        <v>0</v>
      </c>
      <c r="BP78" s="713">
        <v>0</v>
      </c>
      <c r="BQ78" s="712">
        <v>0</v>
      </c>
      <c r="BR78" s="713">
        <v>0</v>
      </c>
      <c r="BS78" s="712">
        <v>0</v>
      </c>
      <c r="BT78" s="713">
        <v>0</v>
      </c>
      <c r="BU78" s="712">
        <v>0</v>
      </c>
      <c r="BV78" s="711">
        <v>0</v>
      </c>
      <c r="BW78" s="714">
        <v>0</v>
      </c>
      <c r="BX78" s="711">
        <v>0</v>
      </c>
      <c r="BY78" s="714">
        <v>0</v>
      </c>
      <c r="BZ78" s="711">
        <v>0</v>
      </c>
      <c r="CA78" s="714">
        <v>0</v>
      </c>
      <c r="CB78" s="711">
        <v>0</v>
      </c>
      <c r="CC78" s="714">
        <v>0</v>
      </c>
      <c r="CD78" s="711">
        <v>0</v>
      </c>
      <c r="CE78" s="714">
        <v>0</v>
      </c>
      <c r="CF78" s="711">
        <v>0</v>
      </c>
      <c r="CG78" s="714">
        <v>0</v>
      </c>
      <c r="CH78" s="711">
        <v>0</v>
      </c>
      <c r="CI78" s="714">
        <v>0</v>
      </c>
      <c r="CJ78" s="711">
        <v>0</v>
      </c>
      <c r="CK78" s="712">
        <v>0</v>
      </c>
      <c r="CL78" s="711">
        <v>0</v>
      </c>
      <c r="CM78" s="712">
        <v>0</v>
      </c>
      <c r="CN78" s="713">
        <v>0</v>
      </c>
      <c r="CO78" s="712">
        <v>0</v>
      </c>
    </row>
    <row r="79" spans="1:93">
      <c r="A79" s="468">
        <v>77</v>
      </c>
      <c r="B79" s="596">
        <v>0</v>
      </c>
      <c r="C79" s="596">
        <v>0</v>
      </c>
      <c r="D79" s="596">
        <v>0</v>
      </c>
      <c r="E79" s="596">
        <v>0</v>
      </c>
      <c r="F79" s="596">
        <f t="shared" si="19"/>
        <v>1.2500000000000001E-2</v>
      </c>
      <c r="G79" s="596">
        <v>0.02</v>
      </c>
      <c r="H79" s="596">
        <v>0</v>
      </c>
      <c r="I79" s="596">
        <v>0</v>
      </c>
      <c r="J79" s="596">
        <v>0</v>
      </c>
      <c r="K79" s="596">
        <v>0</v>
      </c>
      <c r="L79" s="596">
        <v>0</v>
      </c>
      <c r="M79" s="596">
        <v>0</v>
      </c>
      <c r="N79" s="596">
        <v>0</v>
      </c>
      <c r="O79" s="596">
        <v>0</v>
      </c>
      <c r="P79" s="596">
        <v>0</v>
      </c>
      <c r="Q79" s="596">
        <v>0</v>
      </c>
      <c r="R79" s="596">
        <v>0</v>
      </c>
      <c r="S79" s="596">
        <v>0</v>
      </c>
      <c r="T79" s="596">
        <v>0.02</v>
      </c>
      <c r="U79" s="596">
        <v>0</v>
      </c>
      <c r="V79" s="596">
        <v>0</v>
      </c>
      <c r="W79" s="612">
        <v>0</v>
      </c>
      <c r="X79" s="704">
        <v>0</v>
      </c>
      <c r="Y79" s="705">
        <v>0</v>
      </c>
      <c r="Z79" s="706">
        <v>0</v>
      </c>
      <c r="AA79" s="707">
        <v>0</v>
      </c>
      <c r="AB79" s="706">
        <v>0</v>
      </c>
      <c r="AC79" s="704">
        <v>0</v>
      </c>
      <c r="AD79" s="706">
        <v>0</v>
      </c>
      <c r="AE79" s="708">
        <v>0</v>
      </c>
      <c r="AF79" s="704">
        <v>0</v>
      </c>
      <c r="AG79" s="704">
        <v>0</v>
      </c>
      <c r="AH79" s="708">
        <v>0</v>
      </c>
      <c r="AI79" s="709">
        <v>0</v>
      </c>
      <c r="AJ79" s="706">
        <f t="shared" si="21"/>
        <v>7.1428571428571426E-3</v>
      </c>
      <c r="AK79" s="704">
        <v>5.0000000000000001E-3</v>
      </c>
      <c r="AL79" s="706">
        <f t="shared" si="20"/>
        <v>1.2500000000000001E-2</v>
      </c>
      <c r="AM79" s="710">
        <v>1E-3</v>
      </c>
      <c r="AN79" s="704">
        <v>0</v>
      </c>
      <c r="AO79" s="706">
        <v>0</v>
      </c>
      <c r="AP79" s="711">
        <v>0</v>
      </c>
      <c r="AQ79" s="712">
        <v>0</v>
      </c>
      <c r="AR79" s="711">
        <v>0</v>
      </c>
      <c r="AS79" s="712">
        <v>0</v>
      </c>
      <c r="AT79" s="711">
        <v>0</v>
      </c>
      <c r="AU79" s="712">
        <v>0</v>
      </c>
      <c r="AV79" s="713">
        <v>0</v>
      </c>
      <c r="AW79" s="714">
        <v>0</v>
      </c>
      <c r="AX79" s="711">
        <v>0</v>
      </c>
      <c r="AY79" s="712">
        <v>0</v>
      </c>
      <c r="AZ79" s="713">
        <v>0</v>
      </c>
      <c r="BA79" s="712">
        <v>0</v>
      </c>
      <c r="BB79" s="713">
        <v>0</v>
      </c>
      <c r="BC79" s="712">
        <v>0</v>
      </c>
      <c r="BD79" s="713">
        <v>0</v>
      </c>
      <c r="BE79" s="712">
        <v>0</v>
      </c>
      <c r="BF79" s="713">
        <v>0</v>
      </c>
      <c r="BG79" s="712">
        <v>0</v>
      </c>
      <c r="BH79" s="713">
        <v>0</v>
      </c>
      <c r="BI79" s="712">
        <v>0</v>
      </c>
      <c r="BJ79" s="713">
        <v>0</v>
      </c>
      <c r="BK79" s="712">
        <v>0</v>
      </c>
      <c r="BL79" s="713">
        <v>0</v>
      </c>
      <c r="BM79" s="712">
        <v>0</v>
      </c>
      <c r="BN79" s="713">
        <v>0</v>
      </c>
      <c r="BO79" s="712">
        <v>0</v>
      </c>
      <c r="BP79" s="713">
        <v>0</v>
      </c>
      <c r="BQ79" s="712">
        <v>0</v>
      </c>
      <c r="BR79" s="713">
        <v>0</v>
      </c>
      <c r="BS79" s="712">
        <v>0</v>
      </c>
      <c r="BT79" s="713">
        <v>0</v>
      </c>
      <c r="BU79" s="712">
        <v>0</v>
      </c>
      <c r="BV79" s="711">
        <v>0</v>
      </c>
      <c r="BW79" s="714">
        <v>0</v>
      </c>
      <c r="BX79" s="711">
        <v>0</v>
      </c>
      <c r="BY79" s="714">
        <v>0</v>
      </c>
      <c r="BZ79" s="711">
        <v>0</v>
      </c>
      <c r="CA79" s="714">
        <v>0</v>
      </c>
      <c r="CB79" s="711">
        <v>0</v>
      </c>
      <c r="CC79" s="714">
        <v>0</v>
      </c>
      <c r="CD79" s="711">
        <v>0</v>
      </c>
      <c r="CE79" s="714">
        <v>0</v>
      </c>
      <c r="CF79" s="711">
        <v>0</v>
      </c>
      <c r="CG79" s="714">
        <v>0</v>
      </c>
      <c r="CH79" s="711">
        <v>0</v>
      </c>
      <c r="CI79" s="714">
        <v>0</v>
      </c>
      <c r="CJ79" s="711">
        <v>0</v>
      </c>
      <c r="CK79" s="712">
        <v>0</v>
      </c>
      <c r="CL79" s="711">
        <v>0</v>
      </c>
      <c r="CM79" s="712">
        <v>0</v>
      </c>
      <c r="CN79" s="713">
        <v>0</v>
      </c>
      <c r="CO79" s="712">
        <v>0</v>
      </c>
    </row>
    <row r="80" spans="1:93">
      <c r="A80" s="468">
        <v>78</v>
      </c>
      <c r="B80" s="596">
        <v>0</v>
      </c>
      <c r="C80" s="596">
        <v>0</v>
      </c>
      <c r="D80" s="596">
        <v>0</v>
      </c>
      <c r="E80" s="596">
        <v>0</v>
      </c>
      <c r="F80" s="596">
        <f t="shared" si="19"/>
        <v>1.2500000000000001E-2</v>
      </c>
      <c r="G80" s="596">
        <v>0.02</v>
      </c>
      <c r="H80" s="596">
        <v>0</v>
      </c>
      <c r="I80" s="596">
        <v>0</v>
      </c>
      <c r="J80" s="596">
        <v>0</v>
      </c>
      <c r="K80" s="596">
        <v>0</v>
      </c>
      <c r="L80" s="596">
        <v>0</v>
      </c>
      <c r="M80" s="596">
        <v>0</v>
      </c>
      <c r="N80" s="596">
        <v>0</v>
      </c>
      <c r="O80" s="596">
        <v>0</v>
      </c>
      <c r="P80" s="596">
        <v>0</v>
      </c>
      <c r="Q80" s="596">
        <v>0</v>
      </c>
      <c r="R80" s="596">
        <v>0</v>
      </c>
      <c r="S80" s="596">
        <v>0</v>
      </c>
      <c r="T80" s="596">
        <v>0.02</v>
      </c>
      <c r="U80" s="596">
        <v>0</v>
      </c>
      <c r="V80" s="596">
        <v>0</v>
      </c>
      <c r="W80" s="612">
        <v>0</v>
      </c>
      <c r="X80" s="704">
        <v>0</v>
      </c>
      <c r="Y80" s="705">
        <v>0</v>
      </c>
      <c r="Z80" s="706">
        <v>0</v>
      </c>
      <c r="AA80" s="707">
        <v>0</v>
      </c>
      <c r="AB80" s="706">
        <v>0</v>
      </c>
      <c r="AC80" s="704">
        <v>0</v>
      </c>
      <c r="AD80" s="706">
        <v>0</v>
      </c>
      <c r="AE80" s="708">
        <v>0</v>
      </c>
      <c r="AF80" s="704">
        <v>0</v>
      </c>
      <c r="AG80" s="704">
        <v>0</v>
      </c>
      <c r="AH80" s="708">
        <v>0</v>
      </c>
      <c r="AI80" s="709">
        <v>0</v>
      </c>
      <c r="AJ80" s="706">
        <f t="shared" si="21"/>
        <v>7.1428571428571426E-3</v>
      </c>
      <c r="AK80" s="704">
        <v>5.0000000000000001E-3</v>
      </c>
      <c r="AL80" s="706">
        <f t="shared" si="20"/>
        <v>1.2500000000000001E-2</v>
      </c>
      <c r="AM80" s="710">
        <v>1E-3</v>
      </c>
      <c r="AN80" s="704">
        <v>0</v>
      </c>
      <c r="AO80" s="706">
        <v>0</v>
      </c>
      <c r="AP80" s="711">
        <v>0</v>
      </c>
      <c r="AQ80" s="712">
        <v>0</v>
      </c>
      <c r="AR80" s="711">
        <v>0</v>
      </c>
      <c r="AS80" s="712">
        <v>0</v>
      </c>
      <c r="AT80" s="711">
        <v>0</v>
      </c>
      <c r="AU80" s="712">
        <v>0</v>
      </c>
      <c r="AV80" s="713">
        <v>0</v>
      </c>
      <c r="AW80" s="714">
        <v>0</v>
      </c>
      <c r="AX80" s="711">
        <v>0</v>
      </c>
      <c r="AY80" s="712">
        <v>0</v>
      </c>
      <c r="AZ80" s="713">
        <v>0</v>
      </c>
      <c r="BA80" s="712">
        <v>0</v>
      </c>
      <c r="BB80" s="713">
        <v>0</v>
      </c>
      <c r="BC80" s="712">
        <v>0</v>
      </c>
      <c r="BD80" s="713">
        <v>0</v>
      </c>
      <c r="BE80" s="712">
        <v>0</v>
      </c>
      <c r="BF80" s="713">
        <v>0</v>
      </c>
      <c r="BG80" s="712">
        <v>0</v>
      </c>
      <c r="BH80" s="713">
        <v>0</v>
      </c>
      <c r="BI80" s="712">
        <v>0</v>
      </c>
      <c r="BJ80" s="713">
        <v>0</v>
      </c>
      <c r="BK80" s="712">
        <v>0</v>
      </c>
      <c r="BL80" s="713">
        <v>0</v>
      </c>
      <c r="BM80" s="712">
        <v>0</v>
      </c>
      <c r="BN80" s="713">
        <v>0</v>
      </c>
      <c r="BO80" s="712">
        <v>0</v>
      </c>
      <c r="BP80" s="713">
        <v>0</v>
      </c>
      <c r="BQ80" s="712">
        <v>0</v>
      </c>
      <c r="BR80" s="713">
        <v>0</v>
      </c>
      <c r="BS80" s="712">
        <v>0</v>
      </c>
      <c r="BT80" s="713">
        <v>0</v>
      </c>
      <c r="BU80" s="712">
        <v>0</v>
      </c>
      <c r="BV80" s="711">
        <v>0</v>
      </c>
      <c r="BW80" s="714">
        <v>0</v>
      </c>
      <c r="BX80" s="711">
        <v>0</v>
      </c>
      <c r="BY80" s="714">
        <v>0</v>
      </c>
      <c r="BZ80" s="711">
        <v>0</v>
      </c>
      <c r="CA80" s="714">
        <v>0</v>
      </c>
      <c r="CB80" s="711">
        <v>0</v>
      </c>
      <c r="CC80" s="714">
        <v>0</v>
      </c>
      <c r="CD80" s="711">
        <v>0</v>
      </c>
      <c r="CE80" s="714">
        <v>0</v>
      </c>
      <c r="CF80" s="711">
        <v>0</v>
      </c>
      <c r="CG80" s="714">
        <v>0</v>
      </c>
      <c r="CH80" s="711">
        <v>0</v>
      </c>
      <c r="CI80" s="714">
        <v>0</v>
      </c>
      <c r="CJ80" s="711">
        <v>0</v>
      </c>
      <c r="CK80" s="712">
        <v>0</v>
      </c>
      <c r="CL80" s="711">
        <v>0</v>
      </c>
      <c r="CM80" s="712">
        <v>0</v>
      </c>
      <c r="CN80" s="713">
        <v>0</v>
      </c>
      <c r="CO80" s="712">
        <v>0</v>
      </c>
    </row>
    <row r="81" spans="1:93">
      <c r="A81" s="468">
        <v>79</v>
      </c>
      <c r="B81" s="596">
        <v>0</v>
      </c>
      <c r="C81" s="596">
        <v>0</v>
      </c>
      <c r="D81" s="596">
        <v>0</v>
      </c>
      <c r="E81" s="596">
        <v>0</v>
      </c>
      <c r="F81" s="596">
        <f t="shared" si="19"/>
        <v>1.2500000000000001E-2</v>
      </c>
      <c r="G81" s="596">
        <v>0.02</v>
      </c>
      <c r="H81" s="596">
        <v>0</v>
      </c>
      <c r="I81" s="596">
        <v>0</v>
      </c>
      <c r="J81" s="596">
        <v>0</v>
      </c>
      <c r="K81" s="596">
        <v>0</v>
      </c>
      <c r="L81" s="596">
        <v>0</v>
      </c>
      <c r="M81" s="596">
        <v>0</v>
      </c>
      <c r="N81" s="596">
        <v>0</v>
      </c>
      <c r="O81" s="596">
        <v>0</v>
      </c>
      <c r="P81" s="596">
        <v>0</v>
      </c>
      <c r="Q81" s="596">
        <v>0</v>
      </c>
      <c r="R81" s="596">
        <v>0</v>
      </c>
      <c r="S81" s="596">
        <v>0</v>
      </c>
      <c r="T81" s="596">
        <v>0.02</v>
      </c>
      <c r="U81" s="596">
        <v>0</v>
      </c>
      <c r="V81" s="596">
        <v>0</v>
      </c>
      <c r="W81" s="612">
        <v>0</v>
      </c>
      <c r="X81" s="704">
        <v>0</v>
      </c>
      <c r="Y81" s="705">
        <v>0</v>
      </c>
      <c r="Z81" s="706">
        <v>0</v>
      </c>
      <c r="AA81" s="707">
        <v>0</v>
      </c>
      <c r="AB81" s="706">
        <v>0</v>
      </c>
      <c r="AC81" s="704">
        <v>0</v>
      </c>
      <c r="AD81" s="706">
        <v>0</v>
      </c>
      <c r="AE81" s="708">
        <v>0</v>
      </c>
      <c r="AF81" s="704">
        <v>0</v>
      </c>
      <c r="AG81" s="704">
        <v>0</v>
      </c>
      <c r="AH81" s="708">
        <v>0</v>
      </c>
      <c r="AI81" s="709">
        <v>0</v>
      </c>
      <c r="AJ81" s="706">
        <f t="shared" si="21"/>
        <v>7.1428571428571426E-3</v>
      </c>
      <c r="AK81" s="704">
        <v>8.3333199999957586E-4</v>
      </c>
      <c r="AL81" s="706">
        <f t="shared" si="20"/>
        <v>1.2500000000000001E-2</v>
      </c>
      <c r="AM81" s="710">
        <v>1E-3</v>
      </c>
      <c r="AN81" s="704">
        <v>0</v>
      </c>
      <c r="AO81" s="706">
        <v>0</v>
      </c>
      <c r="AP81" s="711">
        <v>0</v>
      </c>
      <c r="AQ81" s="712">
        <v>0</v>
      </c>
      <c r="AR81" s="711">
        <v>0</v>
      </c>
      <c r="AS81" s="712">
        <v>0</v>
      </c>
      <c r="AT81" s="711">
        <v>0</v>
      </c>
      <c r="AU81" s="712">
        <v>0</v>
      </c>
      <c r="AV81" s="713">
        <v>0</v>
      </c>
      <c r="AW81" s="714">
        <v>0</v>
      </c>
      <c r="AX81" s="711">
        <v>0</v>
      </c>
      <c r="AY81" s="712">
        <v>0</v>
      </c>
      <c r="AZ81" s="713">
        <v>0</v>
      </c>
      <c r="BA81" s="712">
        <v>0</v>
      </c>
      <c r="BB81" s="713">
        <v>0</v>
      </c>
      <c r="BC81" s="712">
        <v>0</v>
      </c>
      <c r="BD81" s="713">
        <v>0</v>
      </c>
      <c r="BE81" s="712">
        <v>0</v>
      </c>
      <c r="BF81" s="713">
        <v>0</v>
      </c>
      <c r="BG81" s="712">
        <v>0</v>
      </c>
      <c r="BH81" s="713">
        <v>0</v>
      </c>
      <c r="BI81" s="712">
        <v>0</v>
      </c>
      <c r="BJ81" s="713">
        <v>0</v>
      </c>
      <c r="BK81" s="712">
        <v>0</v>
      </c>
      <c r="BL81" s="713">
        <v>0</v>
      </c>
      <c r="BM81" s="712">
        <v>0</v>
      </c>
      <c r="BN81" s="713">
        <v>0</v>
      </c>
      <c r="BO81" s="712">
        <v>0</v>
      </c>
      <c r="BP81" s="713">
        <v>0</v>
      </c>
      <c r="BQ81" s="712">
        <v>0</v>
      </c>
      <c r="BR81" s="713">
        <v>0</v>
      </c>
      <c r="BS81" s="712">
        <v>0</v>
      </c>
      <c r="BT81" s="713">
        <v>0</v>
      </c>
      <c r="BU81" s="712">
        <v>0</v>
      </c>
      <c r="BV81" s="711">
        <v>0</v>
      </c>
      <c r="BW81" s="714">
        <v>0</v>
      </c>
      <c r="BX81" s="711">
        <v>0</v>
      </c>
      <c r="BY81" s="714">
        <v>0</v>
      </c>
      <c r="BZ81" s="711">
        <v>0</v>
      </c>
      <c r="CA81" s="714">
        <v>0</v>
      </c>
      <c r="CB81" s="711">
        <v>0</v>
      </c>
      <c r="CC81" s="714">
        <v>0</v>
      </c>
      <c r="CD81" s="711">
        <v>0</v>
      </c>
      <c r="CE81" s="714">
        <v>0</v>
      </c>
      <c r="CF81" s="711">
        <v>0</v>
      </c>
      <c r="CG81" s="714">
        <v>0</v>
      </c>
      <c r="CH81" s="711">
        <v>0</v>
      </c>
      <c r="CI81" s="714">
        <v>0</v>
      </c>
      <c r="CJ81" s="711">
        <v>0</v>
      </c>
      <c r="CK81" s="712">
        <v>0</v>
      </c>
      <c r="CL81" s="711">
        <v>0</v>
      </c>
      <c r="CM81" s="712">
        <v>0</v>
      </c>
      <c r="CN81" s="713">
        <v>0</v>
      </c>
      <c r="CO81" s="712">
        <v>0</v>
      </c>
    </row>
    <row r="82" spans="1:93">
      <c r="A82" s="468">
        <v>80</v>
      </c>
      <c r="B82" s="596">
        <v>0</v>
      </c>
      <c r="C82" s="596">
        <v>0</v>
      </c>
      <c r="D82" s="596">
        <v>0</v>
      </c>
      <c r="E82" s="596">
        <v>0</v>
      </c>
      <c r="F82" s="596">
        <v>0</v>
      </c>
      <c r="G82" s="596">
        <v>0</v>
      </c>
      <c r="H82" s="596">
        <v>0</v>
      </c>
      <c r="I82" s="596">
        <v>0</v>
      </c>
      <c r="J82" s="596">
        <v>0</v>
      </c>
      <c r="K82" s="596">
        <v>0</v>
      </c>
      <c r="L82" s="596">
        <v>0</v>
      </c>
      <c r="M82" s="596">
        <v>0</v>
      </c>
      <c r="N82" s="596">
        <v>0</v>
      </c>
      <c r="O82" s="596">
        <v>0</v>
      </c>
      <c r="P82" s="596">
        <v>0</v>
      </c>
      <c r="Q82" s="596">
        <v>0</v>
      </c>
      <c r="R82" s="596">
        <v>0</v>
      </c>
      <c r="S82" s="596">
        <v>0</v>
      </c>
      <c r="T82" s="596">
        <v>0</v>
      </c>
      <c r="U82" s="596">
        <v>0</v>
      </c>
      <c r="V82" s="596">
        <v>0</v>
      </c>
      <c r="W82" s="612">
        <v>0</v>
      </c>
      <c r="X82" s="704">
        <v>0</v>
      </c>
      <c r="Y82" s="705">
        <v>0</v>
      </c>
      <c r="Z82" s="706">
        <v>0</v>
      </c>
      <c r="AA82" s="707">
        <v>0</v>
      </c>
      <c r="AB82" s="706">
        <v>0</v>
      </c>
      <c r="AC82" s="704">
        <v>0</v>
      </c>
      <c r="AD82" s="706">
        <v>0</v>
      </c>
      <c r="AE82" s="708">
        <v>0</v>
      </c>
      <c r="AF82" s="704">
        <v>0</v>
      </c>
      <c r="AG82" s="704">
        <v>0</v>
      </c>
      <c r="AH82" s="708">
        <v>0</v>
      </c>
      <c r="AI82" s="709">
        <v>0.02</v>
      </c>
      <c r="AJ82" s="706">
        <f t="shared" si="21"/>
        <v>7.1428571428571426E-3</v>
      </c>
      <c r="AK82" s="704">
        <v>0</v>
      </c>
      <c r="AL82" s="706">
        <v>0</v>
      </c>
      <c r="AM82" s="710">
        <v>2E-3</v>
      </c>
      <c r="AN82" s="704">
        <v>0</v>
      </c>
      <c r="AO82" s="706">
        <v>0</v>
      </c>
      <c r="AP82" s="711">
        <v>0</v>
      </c>
      <c r="AQ82" s="712">
        <v>0</v>
      </c>
      <c r="AR82" s="711">
        <v>0</v>
      </c>
      <c r="AS82" s="712">
        <v>0</v>
      </c>
      <c r="AT82" s="711">
        <v>0</v>
      </c>
      <c r="AU82" s="712">
        <v>0</v>
      </c>
      <c r="AV82" s="713">
        <v>0</v>
      </c>
      <c r="AW82" s="714">
        <v>0</v>
      </c>
      <c r="AX82" s="711">
        <v>0</v>
      </c>
      <c r="AY82" s="712">
        <v>0</v>
      </c>
      <c r="AZ82" s="713">
        <v>0</v>
      </c>
      <c r="BA82" s="712">
        <v>0</v>
      </c>
      <c r="BB82" s="713">
        <v>0</v>
      </c>
      <c r="BC82" s="712">
        <v>0</v>
      </c>
      <c r="BD82" s="713">
        <v>0</v>
      </c>
      <c r="BE82" s="712">
        <v>0</v>
      </c>
      <c r="BF82" s="713">
        <v>0</v>
      </c>
      <c r="BG82" s="712">
        <v>0</v>
      </c>
      <c r="BH82" s="713">
        <v>0</v>
      </c>
      <c r="BI82" s="712">
        <v>0</v>
      </c>
      <c r="BJ82" s="713">
        <v>0</v>
      </c>
      <c r="BK82" s="712">
        <v>0</v>
      </c>
      <c r="BL82" s="713">
        <v>0</v>
      </c>
      <c r="BM82" s="712">
        <v>0</v>
      </c>
      <c r="BN82" s="713">
        <v>0</v>
      </c>
      <c r="BO82" s="712">
        <v>0</v>
      </c>
      <c r="BP82" s="713">
        <v>0</v>
      </c>
      <c r="BQ82" s="712">
        <v>0</v>
      </c>
      <c r="BR82" s="713">
        <v>0</v>
      </c>
      <c r="BS82" s="712">
        <v>0</v>
      </c>
      <c r="BT82" s="713">
        <v>0</v>
      </c>
      <c r="BU82" s="712">
        <v>0</v>
      </c>
      <c r="BV82" s="711">
        <v>0</v>
      </c>
      <c r="BW82" s="714">
        <v>0</v>
      </c>
      <c r="BX82" s="711">
        <v>0</v>
      </c>
      <c r="BY82" s="714">
        <v>0</v>
      </c>
      <c r="BZ82" s="711">
        <v>0</v>
      </c>
      <c r="CA82" s="714">
        <v>0</v>
      </c>
      <c r="CB82" s="711">
        <v>0</v>
      </c>
      <c r="CC82" s="714">
        <v>0</v>
      </c>
      <c r="CD82" s="711">
        <v>0</v>
      </c>
      <c r="CE82" s="714">
        <v>0</v>
      </c>
      <c r="CF82" s="711">
        <v>0</v>
      </c>
      <c r="CG82" s="714">
        <v>0</v>
      </c>
      <c r="CH82" s="711">
        <v>0</v>
      </c>
      <c r="CI82" s="714">
        <v>0</v>
      </c>
      <c r="CJ82" s="711">
        <v>0</v>
      </c>
      <c r="CK82" s="712">
        <v>0</v>
      </c>
      <c r="CL82" s="711">
        <v>0</v>
      </c>
      <c r="CM82" s="712">
        <v>0</v>
      </c>
      <c r="CN82" s="713">
        <v>0</v>
      </c>
      <c r="CO82" s="712">
        <v>0</v>
      </c>
    </row>
    <row r="83" spans="1:93">
      <c r="A83" s="468">
        <v>81</v>
      </c>
      <c r="B83" s="596">
        <v>0</v>
      </c>
      <c r="C83" s="596">
        <v>0</v>
      </c>
      <c r="D83" s="596">
        <v>0</v>
      </c>
      <c r="E83" s="596">
        <v>0</v>
      </c>
      <c r="F83" s="596">
        <v>0</v>
      </c>
      <c r="G83" s="596">
        <v>0</v>
      </c>
      <c r="H83" s="596">
        <v>0</v>
      </c>
      <c r="I83" s="596">
        <v>0</v>
      </c>
      <c r="J83" s="596">
        <v>0</v>
      </c>
      <c r="K83" s="596">
        <v>0</v>
      </c>
      <c r="L83" s="596">
        <v>0</v>
      </c>
      <c r="M83" s="596">
        <v>0</v>
      </c>
      <c r="N83" s="596">
        <v>0</v>
      </c>
      <c r="O83" s="596">
        <v>0</v>
      </c>
      <c r="P83" s="596">
        <v>0</v>
      </c>
      <c r="Q83" s="596">
        <v>0</v>
      </c>
      <c r="R83" s="596">
        <v>0</v>
      </c>
      <c r="S83" s="596">
        <v>0</v>
      </c>
      <c r="T83" s="596">
        <v>0</v>
      </c>
      <c r="U83" s="596">
        <v>0</v>
      </c>
      <c r="V83" s="596">
        <v>0</v>
      </c>
      <c r="W83" s="612">
        <v>0</v>
      </c>
      <c r="X83" s="704">
        <v>0</v>
      </c>
      <c r="Y83" s="705">
        <v>0</v>
      </c>
      <c r="Z83" s="706">
        <v>0</v>
      </c>
      <c r="AA83" s="707">
        <v>0</v>
      </c>
      <c r="AB83" s="706">
        <v>0</v>
      </c>
      <c r="AC83" s="704">
        <v>0</v>
      </c>
      <c r="AD83" s="706">
        <v>0</v>
      </c>
      <c r="AE83" s="708">
        <v>0</v>
      </c>
      <c r="AF83" s="704">
        <v>0</v>
      </c>
      <c r="AG83" s="704">
        <v>0</v>
      </c>
      <c r="AH83" s="708">
        <v>0</v>
      </c>
      <c r="AI83" s="709">
        <v>0.02</v>
      </c>
      <c r="AJ83" s="706">
        <f t="shared" si="21"/>
        <v>7.1428571428571426E-3</v>
      </c>
      <c r="AK83" s="704">
        <v>0</v>
      </c>
      <c r="AL83" s="706">
        <v>0</v>
      </c>
      <c r="AM83" s="710">
        <v>2E-3</v>
      </c>
      <c r="AN83" s="704">
        <v>0</v>
      </c>
      <c r="AO83" s="706">
        <v>0</v>
      </c>
      <c r="AP83" s="711">
        <v>0</v>
      </c>
      <c r="AQ83" s="712">
        <v>0</v>
      </c>
      <c r="AR83" s="711">
        <v>0</v>
      </c>
      <c r="AS83" s="712">
        <v>0</v>
      </c>
      <c r="AT83" s="711">
        <v>0</v>
      </c>
      <c r="AU83" s="712">
        <v>0</v>
      </c>
      <c r="AV83" s="713">
        <v>0</v>
      </c>
      <c r="AW83" s="714">
        <v>0</v>
      </c>
      <c r="AX83" s="711">
        <v>0</v>
      </c>
      <c r="AY83" s="712">
        <v>0</v>
      </c>
      <c r="AZ83" s="713">
        <v>0</v>
      </c>
      <c r="BA83" s="712">
        <v>0</v>
      </c>
      <c r="BB83" s="713">
        <v>0</v>
      </c>
      <c r="BC83" s="712">
        <v>0</v>
      </c>
      <c r="BD83" s="713">
        <v>0</v>
      </c>
      <c r="BE83" s="712">
        <v>0</v>
      </c>
      <c r="BF83" s="713">
        <v>0</v>
      </c>
      <c r="BG83" s="712">
        <v>0</v>
      </c>
      <c r="BH83" s="713">
        <v>0</v>
      </c>
      <c r="BI83" s="712">
        <v>0</v>
      </c>
      <c r="BJ83" s="713">
        <v>0</v>
      </c>
      <c r="BK83" s="712">
        <v>0</v>
      </c>
      <c r="BL83" s="713">
        <v>0</v>
      </c>
      <c r="BM83" s="712">
        <v>0</v>
      </c>
      <c r="BN83" s="713">
        <v>0</v>
      </c>
      <c r="BO83" s="712">
        <v>0</v>
      </c>
      <c r="BP83" s="713">
        <v>0</v>
      </c>
      <c r="BQ83" s="712">
        <v>0</v>
      </c>
      <c r="BR83" s="713">
        <v>0</v>
      </c>
      <c r="BS83" s="712">
        <v>0</v>
      </c>
      <c r="BT83" s="713">
        <v>0</v>
      </c>
      <c r="BU83" s="712">
        <v>0</v>
      </c>
      <c r="BV83" s="711">
        <v>0</v>
      </c>
      <c r="BW83" s="714">
        <v>0</v>
      </c>
      <c r="BX83" s="711">
        <v>0</v>
      </c>
      <c r="BY83" s="714">
        <v>0</v>
      </c>
      <c r="BZ83" s="711">
        <v>0</v>
      </c>
      <c r="CA83" s="714">
        <v>0</v>
      </c>
      <c r="CB83" s="711">
        <v>0</v>
      </c>
      <c r="CC83" s="714">
        <v>0</v>
      </c>
      <c r="CD83" s="711">
        <v>0</v>
      </c>
      <c r="CE83" s="714">
        <v>0</v>
      </c>
      <c r="CF83" s="711">
        <v>0</v>
      </c>
      <c r="CG83" s="714">
        <v>0</v>
      </c>
      <c r="CH83" s="711">
        <v>0</v>
      </c>
      <c r="CI83" s="714">
        <v>0</v>
      </c>
      <c r="CJ83" s="711">
        <v>0</v>
      </c>
      <c r="CK83" s="712">
        <v>0</v>
      </c>
      <c r="CL83" s="711">
        <v>0</v>
      </c>
      <c r="CM83" s="712">
        <v>0</v>
      </c>
      <c r="CN83" s="713">
        <v>0</v>
      </c>
      <c r="CO83" s="712">
        <v>0</v>
      </c>
    </row>
    <row r="84" spans="1:93">
      <c r="A84" s="468">
        <v>82</v>
      </c>
      <c r="B84" s="596">
        <v>0</v>
      </c>
      <c r="C84" s="596">
        <v>0</v>
      </c>
      <c r="D84" s="596">
        <v>0</v>
      </c>
      <c r="E84" s="596">
        <v>0</v>
      </c>
      <c r="F84" s="596">
        <v>0</v>
      </c>
      <c r="G84" s="596">
        <v>0</v>
      </c>
      <c r="H84" s="596">
        <v>0</v>
      </c>
      <c r="I84" s="596">
        <v>0</v>
      </c>
      <c r="J84" s="596">
        <v>0</v>
      </c>
      <c r="K84" s="596">
        <v>0</v>
      </c>
      <c r="L84" s="596">
        <v>0</v>
      </c>
      <c r="M84" s="596">
        <v>0</v>
      </c>
      <c r="N84" s="596">
        <v>0</v>
      </c>
      <c r="O84" s="596">
        <v>0</v>
      </c>
      <c r="P84" s="596">
        <v>0</v>
      </c>
      <c r="Q84" s="596">
        <v>0</v>
      </c>
      <c r="R84" s="596">
        <v>0</v>
      </c>
      <c r="S84" s="596">
        <v>0</v>
      </c>
      <c r="T84" s="596">
        <v>0</v>
      </c>
      <c r="U84" s="596">
        <v>0</v>
      </c>
      <c r="V84" s="596">
        <v>0</v>
      </c>
      <c r="W84" s="612">
        <v>0</v>
      </c>
      <c r="X84" s="704">
        <v>0</v>
      </c>
      <c r="Y84" s="705">
        <v>0</v>
      </c>
      <c r="Z84" s="706">
        <v>0</v>
      </c>
      <c r="AA84" s="707">
        <v>0</v>
      </c>
      <c r="AB84" s="706">
        <v>0</v>
      </c>
      <c r="AC84" s="704">
        <v>0</v>
      </c>
      <c r="AD84" s="706">
        <v>0</v>
      </c>
      <c r="AE84" s="708">
        <v>0</v>
      </c>
      <c r="AF84" s="704">
        <v>0</v>
      </c>
      <c r="AG84" s="704">
        <v>0</v>
      </c>
      <c r="AH84" s="708">
        <v>0</v>
      </c>
      <c r="AI84" s="709">
        <v>0.02</v>
      </c>
      <c r="AJ84" s="706">
        <f t="shared" si="21"/>
        <v>7.1428571428571426E-3</v>
      </c>
      <c r="AK84" s="704">
        <v>0</v>
      </c>
      <c r="AL84" s="706">
        <v>0</v>
      </c>
      <c r="AM84" s="710">
        <v>2E-3</v>
      </c>
      <c r="AN84" s="704">
        <v>0</v>
      </c>
      <c r="AO84" s="706">
        <v>0</v>
      </c>
      <c r="AP84" s="711">
        <v>0</v>
      </c>
      <c r="AQ84" s="712">
        <v>0</v>
      </c>
      <c r="AR84" s="711">
        <v>0</v>
      </c>
      <c r="AS84" s="712">
        <v>0</v>
      </c>
      <c r="AT84" s="711">
        <v>0</v>
      </c>
      <c r="AU84" s="712">
        <v>0</v>
      </c>
      <c r="AV84" s="713">
        <v>0</v>
      </c>
      <c r="AW84" s="714">
        <v>0</v>
      </c>
      <c r="AX84" s="711">
        <v>0</v>
      </c>
      <c r="AY84" s="712">
        <v>0</v>
      </c>
      <c r="AZ84" s="713">
        <v>0</v>
      </c>
      <c r="BA84" s="712">
        <v>0</v>
      </c>
      <c r="BB84" s="713">
        <v>0</v>
      </c>
      <c r="BC84" s="712">
        <v>0</v>
      </c>
      <c r="BD84" s="713">
        <v>0</v>
      </c>
      <c r="BE84" s="712">
        <v>0</v>
      </c>
      <c r="BF84" s="713">
        <v>0</v>
      </c>
      <c r="BG84" s="712">
        <v>0</v>
      </c>
      <c r="BH84" s="713">
        <v>0</v>
      </c>
      <c r="BI84" s="712">
        <v>0</v>
      </c>
      <c r="BJ84" s="713">
        <v>0</v>
      </c>
      <c r="BK84" s="712">
        <v>0</v>
      </c>
      <c r="BL84" s="713">
        <v>0</v>
      </c>
      <c r="BM84" s="712">
        <v>0</v>
      </c>
      <c r="BN84" s="713">
        <v>0</v>
      </c>
      <c r="BO84" s="712">
        <v>0</v>
      </c>
      <c r="BP84" s="713">
        <v>0</v>
      </c>
      <c r="BQ84" s="712">
        <v>0</v>
      </c>
      <c r="BR84" s="713">
        <v>0</v>
      </c>
      <c r="BS84" s="712">
        <v>0</v>
      </c>
      <c r="BT84" s="713">
        <v>0</v>
      </c>
      <c r="BU84" s="712">
        <v>0</v>
      </c>
      <c r="BV84" s="711">
        <v>0</v>
      </c>
      <c r="BW84" s="714">
        <v>0</v>
      </c>
      <c r="BX84" s="711">
        <v>0</v>
      </c>
      <c r="BY84" s="714">
        <v>0</v>
      </c>
      <c r="BZ84" s="711">
        <v>0</v>
      </c>
      <c r="CA84" s="714">
        <v>0</v>
      </c>
      <c r="CB84" s="711">
        <v>0</v>
      </c>
      <c r="CC84" s="714">
        <v>0</v>
      </c>
      <c r="CD84" s="711">
        <v>0</v>
      </c>
      <c r="CE84" s="714">
        <v>0</v>
      </c>
      <c r="CF84" s="711">
        <v>0</v>
      </c>
      <c r="CG84" s="714">
        <v>0</v>
      </c>
      <c r="CH84" s="711">
        <v>0</v>
      </c>
      <c r="CI84" s="714">
        <v>0</v>
      </c>
      <c r="CJ84" s="711">
        <v>0</v>
      </c>
      <c r="CK84" s="712">
        <v>0</v>
      </c>
      <c r="CL84" s="711">
        <v>0</v>
      </c>
      <c r="CM84" s="712">
        <v>0</v>
      </c>
      <c r="CN84" s="713">
        <v>0</v>
      </c>
      <c r="CO84" s="712">
        <v>0</v>
      </c>
    </row>
    <row r="85" spans="1:93">
      <c r="A85" s="468">
        <v>83</v>
      </c>
      <c r="B85" s="596">
        <v>0</v>
      </c>
      <c r="C85" s="596">
        <v>0</v>
      </c>
      <c r="D85" s="596">
        <v>0</v>
      </c>
      <c r="E85" s="596">
        <v>0</v>
      </c>
      <c r="F85" s="596">
        <v>0</v>
      </c>
      <c r="G85" s="596">
        <v>0</v>
      </c>
      <c r="H85" s="596">
        <v>0</v>
      </c>
      <c r="I85" s="596">
        <v>0</v>
      </c>
      <c r="J85" s="596">
        <v>0</v>
      </c>
      <c r="K85" s="596">
        <v>0</v>
      </c>
      <c r="L85" s="596">
        <v>0</v>
      </c>
      <c r="M85" s="596">
        <v>0</v>
      </c>
      <c r="N85" s="596">
        <v>0</v>
      </c>
      <c r="O85" s="596">
        <v>0</v>
      </c>
      <c r="P85" s="596">
        <v>0</v>
      </c>
      <c r="Q85" s="596">
        <v>0</v>
      </c>
      <c r="R85" s="596">
        <v>0</v>
      </c>
      <c r="S85" s="596">
        <v>0</v>
      </c>
      <c r="T85" s="596">
        <v>0</v>
      </c>
      <c r="U85" s="596">
        <v>0</v>
      </c>
      <c r="V85" s="596">
        <v>0</v>
      </c>
      <c r="W85" s="612">
        <v>0</v>
      </c>
      <c r="X85" s="704">
        <v>0</v>
      </c>
      <c r="Y85" s="705">
        <v>0</v>
      </c>
      <c r="Z85" s="706">
        <v>0</v>
      </c>
      <c r="AA85" s="707">
        <v>0</v>
      </c>
      <c r="AB85" s="706">
        <v>0</v>
      </c>
      <c r="AC85" s="704">
        <v>0</v>
      </c>
      <c r="AD85" s="706">
        <v>0</v>
      </c>
      <c r="AE85" s="708">
        <v>0</v>
      </c>
      <c r="AF85" s="704">
        <v>0</v>
      </c>
      <c r="AG85" s="704">
        <v>0</v>
      </c>
      <c r="AH85" s="708">
        <v>0</v>
      </c>
      <c r="AI85" s="709">
        <v>0.02</v>
      </c>
      <c r="AJ85" s="706">
        <f t="shared" si="21"/>
        <v>7.1428571428571426E-3</v>
      </c>
      <c r="AK85" s="704">
        <v>0</v>
      </c>
      <c r="AL85" s="706">
        <v>0</v>
      </c>
      <c r="AM85" s="710">
        <v>2E-3</v>
      </c>
      <c r="AN85" s="704">
        <v>0</v>
      </c>
      <c r="AO85" s="706">
        <v>0</v>
      </c>
      <c r="AP85" s="711">
        <v>0</v>
      </c>
      <c r="AQ85" s="712">
        <v>0</v>
      </c>
      <c r="AR85" s="711">
        <v>0</v>
      </c>
      <c r="AS85" s="712">
        <v>0</v>
      </c>
      <c r="AT85" s="711">
        <v>0</v>
      </c>
      <c r="AU85" s="712">
        <v>0</v>
      </c>
      <c r="AV85" s="713">
        <v>0</v>
      </c>
      <c r="AW85" s="714">
        <v>0</v>
      </c>
      <c r="AX85" s="711">
        <v>0</v>
      </c>
      <c r="AY85" s="712">
        <v>0</v>
      </c>
      <c r="AZ85" s="713">
        <v>0</v>
      </c>
      <c r="BA85" s="712">
        <v>0</v>
      </c>
      <c r="BB85" s="713">
        <v>0</v>
      </c>
      <c r="BC85" s="712">
        <v>0</v>
      </c>
      <c r="BD85" s="713">
        <v>0</v>
      </c>
      <c r="BE85" s="712">
        <v>0</v>
      </c>
      <c r="BF85" s="713">
        <v>0</v>
      </c>
      <c r="BG85" s="712">
        <v>0</v>
      </c>
      <c r="BH85" s="713">
        <v>0</v>
      </c>
      <c r="BI85" s="712">
        <v>0</v>
      </c>
      <c r="BJ85" s="713">
        <v>0</v>
      </c>
      <c r="BK85" s="712">
        <v>0</v>
      </c>
      <c r="BL85" s="713">
        <v>0</v>
      </c>
      <c r="BM85" s="712">
        <v>0</v>
      </c>
      <c r="BN85" s="713">
        <v>0</v>
      </c>
      <c r="BO85" s="712">
        <v>0</v>
      </c>
      <c r="BP85" s="713">
        <v>0</v>
      </c>
      <c r="BQ85" s="712">
        <v>0</v>
      </c>
      <c r="BR85" s="713">
        <v>0</v>
      </c>
      <c r="BS85" s="712">
        <v>0</v>
      </c>
      <c r="BT85" s="713">
        <v>0</v>
      </c>
      <c r="BU85" s="712">
        <v>0</v>
      </c>
      <c r="BV85" s="711">
        <v>0</v>
      </c>
      <c r="BW85" s="714">
        <v>0</v>
      </c>
      <c r="BX85" s="711">
        <v>0</v>
      </c>
      <c r="BY85" s="714">
        <v>0</v>
      </c>
      <c r="BZ85" s="711">
        <v>0</v>
      </c>
      <c r="CA85" s="714">
        <v>0</v>
      </c>
      <c r="CB85" s="711">
        <v>0</v>
      </c>
      <c r="CC85" s="714">
        <v>0</v>
      </c>
      <c r="CD85" s="711">
        <v>0</v>
      </c>
      <c r="CE85" s="714">
        <v>0</v>
      </c>
      <c r="CF85" s="711">
        <v>0</v>
      </c>
      <c r="CG85" s="714">
        <v>0</v>
      </c>
      <c r="CH85" s="711">
        <v>0</v>
      </c>
      <c r="CI85" s="714">
        <v>0</v>
      </c>
      <c r="CJ85" s="711">
        <v>0</v>
      </c>
      <c r="CK85" s="712">
        <v>0</v>
      </c>
      <c r="CL85" s="711">
        <v>0</v>
      </c>
      <c r="CM85" s="712">
        <v>0</v>
      </c>
      <c r="CN85" s="713">
        <v>0</v>
      </c>
      <c r="CO85" s="712">
        <v>0</v>
      </c>
    </row>
    <row r="86" spans="1:93">
      <c r="A86" s="468">
        <v>84</v>
      </c>
      <c r="B86" s="596">
        <v>0</v>
      </c>
      <c r="C86" s="596">
        <v>0</v>
      </c>
      <c r="D86" s="596">
        <v>0</v>
      </c>
      <c r="E86" s="596">
        <v>0</v>
      </c>
      <c r="F86" s="596">
        <v>0</v>
      </c>
      <c r="G86" s="596">
        <v>0</v>
      </c>
      <c r="H86" s="596">
        <v>0</v>
      </c>
      <c r="I86" s="596">
        <v>0</v>
      </c>
      <c r="J86" s="596">
        <v>0</v>
      </c>
      <c r="K86" s="596">
        <v>0</v>
      </c>
      <c r="L86" s="596">
        <v>0</v>
      </c>
      <c r="M86" s="596">
        <v>0</v>
      </c>
      <c r="N86" s="596">
        <v>0</v>
      </c>
      <c r="O86" s="596">
        <v>0</v>
      </c>
      <c r="P86" s="596">
        <v>0</v>
      </c>
      <c r="Q86" s="596">
        <v>0</v>
      </c>
      <c r="R86" s="596">
        <v>0</v>
      </c>
      <c r="S86" s="596">
        <v>0</v>
      </c>
      <c r="T86" s="596">
        <v>0</v>
      </c>
      <c r="U86" s="596">
        <v>0</v>
      </c>
      <c r="V86" s="596">
        <v>0</v>
      </c>
      <c r="W86" s="612">
        <v>0</v>
      </c>
      <c r="X86" s="704">
        <v>0</v>
      </c>
      <c r="Y86" s="705">
        <v>0</v>
      </c>
      <c r="Z86" s="706">
        <v>0</v>
      </c>
      <c r="AA86" s="707">
        <v>0</v>
      </c>
      <c r="AB86" s="706">
        <v>0</v>
      </c>
      <c r="AC86" s="704">
        <v>0</v>
      </c>
      <c r="AD86" s="706">
        <v>0</v>
      </c>
      <c r="AE86" s="708">
        <v>0</v>
      </c>
      <c r="AF86" s="704">
        <v>0</v>
      </c>
      <c r="AG86" s="704">
        <v>0</v>
      </c>
      <c r="AH86" s="708">
        <v>0</v>
      </c>
      <c r="AI86" s="709">
        <v>0.02</v>
      </c>
      <c r="AJ86" s="706">
        <f t="shared" si="21"/>
        <v>7.1428571428571426E-3</v>
      </c>
      <c r="AK86" s="704">
        <v>0</v>
      </c>
      <c r="AL86" s="706">
        <v>0</v>
      </c>
      <c r="AM86" s="710">
        <v>2E-3</v>
      </c>
      <c r="AN86" s="704">
        <v>0</v>
      </c>
      <c r="AO86" s="706">
        <v>0</v>
      </c>
      <c r="AP86" s="711">
        <v>0</v>
      </c>
      <c r="AQ86" s="712">
        <v>0</v>
      </c>
      <c r="AR86" s="711">
        <v>0</v>
      </c>
      <c r="AS86" s="712">
        <v>0</v>
      </c>
      <c r="AT86" s="711">
        <v>0</v>
      </c>
      <c r="AU86" s="712">
        <v>0</v>
      </c>
      <c r="AV86" s="713">
        <v>0</v>
      </c>
      <c r="AW86" s="714">
        <v>0</v>
      </c>
      <c r="AX86" s="711">
        <v>0</v>
      </c>
      <c r="AY86" s="712">
        <v>0</v>
      </c>
      <c r="AZ86" s="713">
        <v>0</v>
      </c>
      <c r="BA86" s="712">
        <v>0</v>
      </c>
      <c r="BB86" s="713">
        <v>0</v>
      </c>
      <c r="BC86" s="712">
        <v>0</v>
      </c>
      <c r="BD86" s="713">
        <v>0</v>
      </c>
      <c r="BE86" s="712">
        <v>0</v>
      </c>
      <c r="BF86" s="713">
        <v>0</v>
      </c>
      <c r="BG86" s="712">
        <v>0</v>
      </c>
      <c r="BH86" s="713">
        <v>0</v>
      </c>
      <c r="BI86" s="712">
        <v>0</v>
      </c>
      <c r="BJ86" s="713">
        <v>0</v>
      </c>
      <c r="BK86" s="712">
        <v>0</v>
      </c>
      <c r="BL86" s="713">
        <v>0</v>
      </c>
      <c r="BM86" s="712">
        <v>0</v>
      </c>
      <c r="BN86" s="713">
        <v>0</v>
      </c>
      <c r="BO86" s="712">
        <v>0</v>
      </c>
      <c r="BP86" s="713">
        <v>0</v>
      </c>
      <c r="BQ86" s="712">
        <v>0</v>
      </c>
      <c r="BR86" s="713">
        <v>0</v>
      </c>
      <c r="BS86" s="712">
        <v>0</v>
      </c>
      <c r="BT86" s="713">
        <v>0</v>
      </c>
      <c r="BU86" s="712">
        <v>0</v>
      </c>
      <c r="BV86" s="711">
        <v>0</v>
      </c>
      <c r="BW86" s="714">
        <v>0</v>
      </c>
      <c r="BX86" s="711">
        <v>0</v>
      </c>
      <c r="BY86" s="714">
        <v>0</v>
      </c>
      <c r="BZ86" s="711">
        <v>0</v>
      </c>
      <c r="CA86" s="714">
        <v>0</v>
      </c>
      <c r="CB86" s="711">
        <v>0</v>
      </c>
      <c r="CC86" s="714">
        <v>0</v>
      </c>
      <c r="CD86" s="711">
        <v>0</v>
      </c>
      <c r="CE86" s="714">
        <v>0</v>
      </c>
      <c r="CF86" s="711">
        <v>0</v>
      </c>
      <c r="CG86" s="714">
        <v>0</v>
      </c>
      <c r="CH86" s="711">
        <v>0</v>
      </c>
      <c r="CI86" s="714">
        <v>0</v>
      </c>
      <c r="CJ86" s="711">
        <v>0</v>
      </c>
      <c r="CK86" s="712">
        <v>0</v>
      </c>
      <c r="CL86" s="711">
        <v>0</v>
      </c>
      <c r="CM86" s="712">
        <v>0</v>
      </c>
      <c r="CN86" s="713">
        <v>0</v>
      </c>
      <c r="CO86" s="712">
        <v>0</v>
      </c>
    </row>
    <row r="87" spans="1:93">
      <c r="A87" s="468">
        <v>85</v>
      </c>
      <c r="B87" s="596">
        <v>0</v>
      </c>
      <c r="C87" s="596">
        <v>0</v>
      </c>
      <c r="D87" s="596">
        <v>0</v>
      </c>
      <c r="E87" s="596">
        <v>0</v>
      </c>
      <c r="F87" s="596">
        <v>0</v>
      </c>
      <c r="G87" s="596">
        <v>0</v>
      </c>
      <c r="H87" s="596">
        <v>0</v>
      </c>
      <c r="I87" s="596">
        <v>0</v>
      </c>
      <c r="J87" s="596">
        <v>0</v>
      </c>
      <c r="K87" s="596">
        <v>0</v>
      </c>
      <c r="L87" s="596">
        <v>0</v>
      </c>
      <c r="M87" s="596">
        <v>0</v>
      </c>
      <c r="N87" s="596">
        <v>0</v>
      </c>
      <c r="O87" s="596">
        <v>0</v>
      </c>
      <c r="P87" s="596">
        <v>0</v>
      </c>
      <c r="Q87" s="596">
        <v>0</v>
      </c>
      <c r="R87" s="596">
        <v>0</v>
      </c>
      <c r="S87" s="596">
        <v>0</v>
      </c>
      <c r="T87" s="596">
        <v>0</v>
      </c>
      <c r="U87" s="596">
        <v>0</v>
      </c>
      <c r="V87" s="596">
        <v>0</v>
      </c>
      <c r="W87" s="612">
        <v>0</v>
      </c>
      <c r="X87" s="704">
        <v>0</v>
      </c>
      <c r="Y87" s="705">
        <v>0</v>
      </c>
      <c r="Z87" s="706">
        <v>0</v>
      </c>
      <c r="AA87" s="707">
        <v>0</v>
      </c>
      <c r="AB87" s="706">
        <v>0</v>
      </c>
      <c r="AC87" s="704">
        <v>0</v>
      </c>
      <c r="AD87" s="706">
        <v>0</v>
      </c>
      <c r="AE87" s="708">
        <v>0</v>
      </c>
      <c r="AF87" s="704">
        <v>0</v>
      </c>
      <c r="AG87" s="704">
        <v>0</v>
      </c>
      <c r="AH87" s="708">
        <v>0</v>
      </c>
      <c r="AI87" s="709">
        <v>0.02</v>
      </c>
      <c r="AJ87" s="706">
        <f t="shared" si="21"/>
        <v>7.1428571428571426E-3</v>
      </c>
      <c r="AK87" s="704">
        <v>0</v>
      </c>
      <c r="AL87" s="706">
        <v>0</v>
      </c>
      <c r="AM87" s="710">
        <v>2E-3</v>
      </c>
      <c r="AN87" s="704">
        <v>0</v>
      </c>
      <c r="AO87" s="706">
        <v>0</v>
      </c>
      <c r="AP87" s="711">
        <v>0</v>
      </c>
      <c r="AQ87" s="712">
        <v>0</v>
      </c>
      <c r="AR87" s="711">
        <v>0</v>
      </c>
      <c r="AS87" s="712">
        <v>0</v>
      </c>
      <c r="AT87" s="711">
        <v>0</v>
      </c>
      <c r="AU87" s="712">
        <v>0</v>
      </c>
      <c r="AV87" s="713">
        <v>0</v>
      </c>
      <c r="AW87" s="714">
        <v>0</v>
      </c>
      <c r="AX87" s="711">
        <v>0</v>
      </c>
      <c r="AY87" s="712">
        <v>0</v>
      </c>
      <c r="AZ87" s="713">
        <v>0</v>
      </c>
      <c r="BA87" s="712">
        <v>0</v>
      </c>
      <c r="BB87" s="713">
        <v>0</v>
      </c>
      <c r="BC87" s="712">
        <v>0</v>
      </c>
      <c r="BD87" s="713">
        <v>0</v>
      </c>
      <c r="BE87" s="712">
        <v>0</v>
      </c>
      <c r="BF87" s="713">
        <v>0</v>
      </c>
      <c r="BG87" s="712">
        <v>0</v>
      </c>
      <c r="BH87" s="713">
        <v>0</v>
      </c>
      <c r="BI87" s="712">
        <v>0</v>
      </c>
      <c r="BJ87" s="713">
        <v>0</v>
      </c>
      <c r="BK87" s="712">
        <v>0</v>
      </c>
      <c r="BL87" s="713">
        <v>0</v>
      </c>
      <c r="BM87" s="712">
        <v>0</v>
      </c>
      <c r="BN87" s="713">
        <v>0</v>
      </c>
      <c r="BO87" s="712">
        <v>0</v>
      </c>
      <c r="BP87" s="713">
        <v>0</v>
      </c>
      <c r="BQ87" s="712">
        <v>0</v>
      </c>
      <c r="BR87" s="713">
        <v>0</v>
      </c>
      <c r="BS87" s="712">
        <v>0</v>
      </c>
      <c r="BT87" s="713">
        <v>0</v>
      </c>
      <c r="BU87" s="712">
        <v>0</v>
      </c>
      <c r="BV87" s="711">
        <v>0</v>
      </c>
      <c r="BW87" s="714">
        <v>0</v>
      </c>
      <c r="BX87" s="711">
        <v>0</v>
      </c>
      <c r="BY87" s="714">
        <v>0</v>
      </c>
      <c r="BZ87" s="711">
        <v>0</v>
      </c>
      <c r="CA87" s="714">
        <v>0</v>
      </c>
      <c r="CB87" s="711">
        <v>0</v>
      </c>
      <c r="CC87" s="714">
        <v>0</v>
      </c>
      <c r="CD87" s="711">
        <v>0</v>
      </c>
      <c r="CE87" s="714">
        <v>0</v>
      </c>
      <c r="CF87" s="711">
        <v>0</v>
      </c>
      <c r="CG87" s="714">
        <v>0</v>
      </c>
      <c r="CH87" s="711">
        <v>0</v>
      </c>
      <c r="CI87" s="714">
        <v>0</v>
      </c>
      <c r="CJ87" s="711">
        <v>0</v>
      </c>
      <c r="CK87" s="712">
        <v>0</v>
      </c>
      <c r="CL87" s="711">
        <v>0</v>
      </c>
      <c r="CM87" s="712">
        <v>0</v>
      </c>
      <c r="CN87" s="713">
        <v>0</v>
      </c>
      <c r="CO87" s="712">
        <v>0</v>
      </c>
    </row>
    <row r="88" spans="1:93">
      <c r="A88" s="468">
        <v>86</v>
      </c>
      <c r="B88" s="596">
        <v>0</v>
      </c>
      <c r="C88" s="596">
        <v>0</v>
      </c>
      <c r="D88" s="596">
        <v>0</v>
      </c>
      <c r="E88" s="596">
        <v>0</v>
      </c>
      <c r="F88" s="596">
        <v>0</v>
      </c>
      <c r="G88" s="596">
        <v>0</v>
      </c>
      <c r="H88" s="596">
        <v>0</v>
      </c>
      <c r="I88" s="596">
        <v>0</v>
      </c>
      <c r="J88" s="596">
        <v>0</v>
      </c>
      <c r="K88" s="596">
        <v>0</v>
      </c>
      <c r="L88" s="596">
        <v>0</v>
      </c>
      <c r="M88" s="596">
        <v>0</v>
      </c>
      <c r="N88" s="596">
        <v>0</v>
      </c>
      <c r="O88" s="596">
        <v>0</v>
      </c>
      <c r="P88" s="596">
        <v>0</v>
      </c>
      <c r="Q88" s="596">
        <v>0</v>
      </c>
      <c r="R88" s="596">
        <v>0</v>
      </c>
      <c r="S88" s="596">
        <v>0</v>
      </c>
      <c r="T88" s="596">
        <v>0</v>
      </c>
      <c r="U88" s="596">
        <v>0</v>
      </c>
      <c r="V88" s="596">
        <v>0</v>
      </c>
      <c r="W88" s="612">
        <v>0</v>
      </c>
      <c r="X88" s="704">
        <v>0</v>
      </c>
      <c r="Y88" s="705">
        <v>0</v>
      </c>
      <c r="Z88" s="706">
        <v>0</v>
      </c>
      <c r="AA88" s="707">
        <v>0</v>
      </c>
      <c r="AB88" s="706">
        <v>0</v>
      </c>
      <c r="AC88" s="704">
        <v>0</v>
      </c>
      <c r="AD88" s="706">
        <v>0</v>
      </c>
      <c r="AE88" s="708">
        <v>0</v>
      </c>
      <c r="AF88" s="704">
        <v>0</v>
      </c>
      <c r="AG88" s="704">
        <v>0</v>
      </c>
      <c r="AH88" s="708">
        <v>0</v>
      </c>
      <c r="AI88" s="709">
        <v>0.02</v>
      </c>
      <c r="AJ88" s="706">
        <f t="shared" si="21"/>
        <v>7.1428571428571426E-3</v>
      </c>
      <c r="AK88" s="704">
        <v>0</v>
      </c>
      <c r="AL88" s="706">
        <v>0</v>
      </c>
      <c r="AM88" s="710">
        <v>2E-3</v>
      </c>
      <c r="AN88" s="704">
        <v>0</v>
      </c>
      <c r="AO88" s="706">
        <v>0</v>
      </c>
      <c r="AP88" s="711">
        <v>0</v>
      </c>
      <c r="AQ88" s="712">
        <v>0</v>
      </c>
      <c r="AR88" s="711">
        <v>0</v>
      </c>
      <c r="AS88" s="712">
        <v>0</v>
      </c>
      <c r="AT88" s="711">
        <v>0</v>
      </c>
      <c r="AU88" s="712">
        <v>0</v>
      </c>
      <c r="AV88" s="713">
        <v>0</v>
      </c>
      <c r="AW88" s="714">
        <v>0</v>
      </c>
      <c r="AX88" s="711">
        <v>0</v>
      </c>
      <c r="AY88" s="712">
        <v>0</v>
      </c>
      <c r="AZ88" s="713">
        <v>0</v>
      </c>
      <c r="BA88" s="712">
        <v>0</v>
      </c>
      <c r="BB88" s="713">
        <v>0</v>
      </c>
      <c r="BC88" s="712">
        <v>0</v>
      </c>
      <c r="BD88" s="713">
        <v>0</v>
      </c>
      <c r="BE88" s="712">
        <v>0</v>
      </c>
      <c r="BF88" s="713">
        <v>0</v>
      </c>
      <c r="BG88" s="712">
        <v>0</v>
      </c>
      <c r="BH88" s="713">
        <v>0</v>
      </c>
      <c r="BI88" s="712">
        <v>0</v>
      </c>
      <c r="BJ88" s="713">
        <v>0</v>
      </c>
      <c r="BK88" s="712">
        <v>0</v>
      </c>
      <c r="BL88" s="713">
        <v>0</v>
      </c>
      <c r="BM88" s="712">
        <v>0</v>
      </c>
      <c r="BN88" s="713">
        <v>0</v>
      </c>
      <c r="BO88" s="712">
        <v>0</v>
      </c>
      <c r="BP88" s="713">
        <v>0</v>
      </c>
      <c r="BQ88" s="712">
        <v>0</v>
      </c>
      <c r="BR88" s="713">
        <v>0</v>
      </c>
      <c r="BS88" s="712">
        <v>0</v>
      </c>
      <c r="BT88" s="713">
        <v>0</v>
      </c>
      <c r="BU88" s="712">
        <v>0</v>
      </c>
      <c r="BV88" s="711">
        <v>0</v>
      </c>
      <c r="BW88" s="714">
        <v>0</v>
      </c>
      <c r="BX88" s="711">
        <v>0</v>
      </c>
      <c r="BY88" s="714">
        <v>0</v>
      </c>
      <c r="BZ88" s="711">
        <v>0</v>
      </c>
      <c r="CA88" s="714">
        <v>0</v>
      </c>
      <c r="CB88" s="711">
        <v>0</v>
      </c>
      <c r="CC88" s="714">
        <v>0</v>
      </c>
      <c r="CD88" s="711">
        <v>0</v>
      </c>
      <c r="CE88" s="714">
        <v>0</v>
      </c>
      <c r="CF88" s="711">
        <v>0</v>
      </c>
      <c r="CG88" s="714">
        <v>0</v>
      </c>
      <c r="CH88" s="711">
        <v>0</v>
      </c>
      <c r="CI88" s="714">
        <v>0</v>
      </c>
      <c r="CJ88" s="711">
        <v>0</v>
      </c>
      <c r="CK88" s="712">
        <v>0</v>
      </c>
      <c r="CL88" s="711">
        <v>0</v>
      </c>
      <c r="CM88" s="712">
        <v>0</v>
      </c>
      <c r="CN88" s="713">
        <v>0</v>
      </c>
      <c r="CO88" s="712">
        <v>0</v>
      </c>
    </row>
    <row r="89" spans="1:93">
      <c r="A89" s="468">
        <v>87</v>
      </c>
      <c r="B89" s="596">
        <v>0</v>
      </c>
      <c r="C89" s="596">
        <v>0</v>
      </c>
      <c r="D89" s="596">
        <v>0</v>
      </c>
      <c r="E89" s="596">
        <v>0</v>
      </c>
      <c r="F89" s="596">
        <v>0</v>
      </c>
      <c r="G89" s="596">
        <v>0</v>
      </c>
      <c r="H89" s="596">
        <v>0</v>
      </c>
      <c r="I89" s="596">
        <v>0</v>
      </c>
      <c r="J89" s="596">
        <v>0</v>
      </c>
      <c r="K89" s="596">
        <v>0</v>
      </c>
      <c r="L89" s="596">
        <v>0</v>
      </c>
      <c r="M89" s="596">
        <v>0</v>
      </c>
      <c r="N89" s="596">
        <v>0</v>
      </c>
      <c r="O89" s="596">
        <v>0</v>
      </c>
      <c r="P89" s="596">
        <v>0</v>
      </c>
      <c r="Q89" s="596">
        <v>0</v>
      </c>
      <c r="R89" s="596">
        <v>0</v>
      </c>
      <c r="S89" s="596">
        <v>0</v>
      </c>
      <c r="T89" s="596">
        <v>0</v>
      </c>
      <c r="U89" s="596">
        <v>0</v>
      </c>
      <c r="V89" s="596">
        <v>0</v>
      </c>
      <c r="W89" s="612">
        <v>0</v>
      </c>
      <c r="X89" s="704">
        <v>0</v>
      </c>
      <c r="Y89" s="705">
        <v>0</v>
      </c>
      <c r="Z89" s="706">
        <v>0</v>
      </c>
      <c r="AA89" s="707">
        <v>0</v>
      </c>
      <c r="AB89" s="706">
        <v>0</v>
      </c>
      <c r="AC89" s="704">
        <v>0</v>
      </c>
      <c r="AD89" s="706">
        <v>0</v>
      </c>
      <c r="AE89" s="708">
        <v>0</v>
      </c>
      <c r="AF89" s="704">
        <v>0</v>
      </c>
      <c r="AG89" s="704">
        <v>0</v>
      </c>
      <c r="AH89" s="708">
        <v>0</v>
      </c>
      <c r="AI89" s="709">
        <v>0.02</v>
      </c>
      <c r="AJ89" s="706">
        <f t="shared" si="21"/>
        <v>7.1428571428571426E-3</v>
      </c>
      <c r="AK89" s="704">
        <v>0</v>
      </c>
      <c r="AL89" s="706">
        <v>0</v>
      </c>
      <c r="AM89" s="710">
        <v>2E-3</v>
      </c>
      <c r="AN89" s="704">
        <v>0</v>
      </c>
      <c r="AO89" s="706">
        <v>0</v>
      </c>
      <c r="AP89" s="711">
        <v>0</v>
      </c>
      <c r="AQ89" s="712">
        <v>0</v>
      </c>
      <c r="AR89" s="711">
        <v>0</v>
      </c>
      <c r="AS89" s="712">
        <v>0</v>
      </c>
      <c r="AT89" s="711">
        <v>0</v>
      </c>
      <c r="AU89" s="712">
        <v>0</v>
      </c>
      <c r="AV89" s="713">
        <v>0</v>
      </c>
      <c r="AW89" s="714">
        <v>0</v>
      </c>
      <c r="AX89" s="711">
        <v>0</v>
      </c>
      <c r="AY89" s="712">
        <v>0</v>
      </c>
      <c r="AZ89" s="713">
        <v>0</v>
      </c>
      <c r="BA89" s="712">
        <v>0</v>
      </c>
      <c r="BB89" s="713">
        <v>0</v>
      </c>
      <c r="BC89" s="712">
        <v>0</v>
      </c>
      <c r="BD89" s="713">
        <v>0</v>
      </c>
      <c r="BE89" s="712">
        <v>0</v>
      </c>
      <c r="BF89" s="713">
        <v>0</v>
      </c>
      <c r="BG89" s="712">
        <v>0</v>
      </c>
      <c r="BH89" s="713">
        <v>0</v>
      </c>
      <c r="BI89" s="712">
        <v>0</v>
      </c>
      <c r="BJ89" s="713">
        <v>0</v>
      </c>
      <c r="BK89" s="712">
        <v>0</v>
      </c>
      <c r="BL89" s="713">
        <v>0</v>
      </c>
      <c r="BM89" s="712">
        <v>0</v>
      </c>
      <c r="BN89" s="713">
        <v>0</v>
      </c>
      <c r="BO89" s="712">
        <v>0</v>
      </c>
      <c r="BP89" s="713">
        <v>0</v>
      </c>
      <c r="BQ89" s="712">
        <v>0</v>
      </c>
      <c r="BR89" s="713">
        <v>0</v>
      </c>
      <c r="BS89" s="712">
        <v>0</v>
      </c>
      <c r="BT89" s="713">
        <v>0</v>
      </c>
      <c r="BU89" s="712">
        <v>0</v>
      </c>
      <c r="BV89" s="711">
        <v>0</v>
      </c>
      <c r="BW89" s="714">
        <v>0</v>
      </c>
      <c r="BX89" s="711">
        <v>0</v>
      </c>
      <c r="BY89" s="714">
        <v>0</v>
      </c>
      <c r="BZ89" s="711">
        <v>0</v>
      </c>
      <c r="CA89" s="714">
        <v>0</v>
      </c>
      <c r="CB89" s="711">
        <v>0</v>
      </c>
      <c r="CC89" s="714">
        <v>0</v>
      </c>
      <c r="CD89" s="711">
        <v>0</v>
      </c>
      <c r="CE89" s="714">
        <v>0</v>
      </c>
      <c r="CF89" s="711">
        <v>0</v>
      </c>
      <c r="CG89" s="714">
        <v>0</v>
      </c>
      <c r="CH89" s="711">
        <v>0</v>
      </c>
      <c r="CI89" s="714">
        <v>0</v>
      </c>
      <c r="CJ89" s="711">
        <v>0</v>
      </c>
      <c r="CK89" s="712">
        <v>0</v>
      </c>
      <c r="CL89" s="711">
        <v>0</v>
      </c>
      <c r="CM89" s="712">
        <v>0</v>
      </c>
      <c r="CN89" s="713">
        <v>0</v>
      </c>
      <c r="CO89" s="712">
        <v>0</v>
      </c>
    </row>
    <row r="90" spans="1:93">
      <c r="A90" s="468">
        <v>88</v>
      </c>
      <c r="B90" s="596">
        <v>0</v>
      </c>
      <c r="C90" s="596">
        <v>0</v>
      </c>
      <c r="D90" s="596">
        <v>0</v>
      </c>
      <c r="E90" s="596">
        <v>0</v>
      </c>
      <c r="F90" s="596">
        <v>0</v>
      </c>
      <c r="G90" s="596">
        <v>0</v>
      </c>
      <c r="H90" s="596">
        <v>0</v>
      </c>
      <c r="I90" s="596">
        <v>0</v>
      </c>
      <c r="J90" s="596">
        <v>0</v>
      </c>
      <c r="K90" s="596">
        <v>0</v>
      </c>
      <c r="L90" s="596">
        <v>0</v>
      </c>
      <c r="M90" s="596">
        <v>0</v>
      </c>
      <c r="N90" s="596">
        <v>0</v>
      </c>
      <c r="O90" s="596">
        <v>0</v>
      </c>
      <c r="P90" s="596">
        <v>0</v>
      </c>
      <c r="Q90" s="596">
        <v>0</v>
      </c>
      <c r="R90" s="596">
        <v>0</v>
      </c>
      <c r="S90" s="596">
        <v>0</v>
      </c>
      <c r="T90" s="596">
        <v>0</v>
      </c>
      <c r="U90" s="596">
        <v>0</v>
      </c>
      <c r="V90" s="596">
        <v>0</v>
      </c>
      <c r="W90" s="612">
        <v>0</v>
      </c>
      <c r="X90" s="704">
        <v>0</v>
      </c>
      <c r="Y90" s="705">
        <v>0</v>
      </c>
      <c r="Z90" s="706">
        <v>0</v>
      </c>
      <c r="AA90" s="707">
        <v>0</v>
      </c>
      <c r="AB90" s="706">
        <v>0</v>
      </c>
      <c r="AC90" s="704">
        <v>0</v>
      </c>
      <c r="AD90" s="706">
        <v>0</v>
      </c>
      <c r="AE90" s="708">
        <v>0</v>
      </c>
      <c r="AF90" s="704">
        <v>0</v>
      </c>
      <c r="AG90" s="704">
        <v>0</v>
      </c>
      <c r="AH90" s="708">
        <v>0</v>
      </c>
      <c r="AI90" s="709">
        <v>0.02</v>
      </c>
      <c r="AJ90" s="706">
        <f t="shared" si="21"/>
        <v>7.1428571428571426E-3</v>
      </c>
      <c r="AK90" s="704">
        <v>0</v>
      </c>
      <c r="AL90" s="706">
        <v>0</v>
      </c>
      <c r="AM90" s="710">
        <v>2E-3</v>
      </c>
      <c r="AN90" s="704">
        <v>0</v>
      </c>
      <c r="AO90" s="706">
        <v>0</v>
      </c>
      <c r="AP90" s="711">
        <v>0</v>
      </c>
      <c r="AQ90" s="712">
        <v>0</v>
      </c>
      <c r="AR90" s="711">
        <v>0</v>
      </c>
      <c r="AS90" s="712">
        <v>0</v>
      </c>
      <c r="AT90" s="711">
        <v>0</v>
      </c>
      <c r="AU90" s="712">
        <v>0</v>
      </c>
      <c r="AV90" s="713">
        <v>0</v>
      </c>
      <c r="AW90" s="714">
        <v>0</v>
      </c>
      <c r="AX90" s="711">
        <v>0</v>
      </c>
      <c r="AY90" s="712">
        <v>0</v>
      </c>
      <c r="AZ90" s="713">
        <v>0</v>
      </c>
      <c r="BA90" s="712">
        <v>0</v>
      </c>
      <c r="BB90" s="713">
        <v>0</v>
      </c>
      <c r="BC90" s="712">
        <v>0</v>
      </c>
      <c r="BD90" s="713">
        <v>0</v>
      </c>
      <c r="BE90" s="712">
        <v>0</v>
      </c>
      <c r="BF90" s="713">
        <v>0</v>
      </c>
      <c r="BG90" s="712">
        <v>0</v>
      </c>
      <c r="BH90" s="713">
        <v>0</v>
      </c>
      <c r="BI90" s="712">
        <v>0</v>
      </c>
      <c r="BJ90" s="713">
        <v>0</v>
      </c>
      <c r="BK90" s="712">
        <v>0</v>
      </c>
      <c r="BL90" s="713">
        <v>0</v>
      </c>
      <c r="BM90" s="712">
        <v>0</v>
      </c>
      <c r="BN90" s="713">
        <v>0</v>
      </c>
      <c r="BO90" s="712">
        <v>0</v>
      </c>
      <c r="BP90" s="713">
        <v>0</v>
      </c>
      <c r="BQ90" s="712">
        <v>0</v>
      </c>
      <c r="BR90" s="713">
        <v>0</v>
      </c>
      <c r="BS90" s="712">
        <v>0</v>
      </c>
      <c r="BT90" s="713">
        <v>0</v>
      </c>
      <c r="BU90" s="712">
        <v>0</v>
      </c>
      <c r="BV90" s="711">
        <v>0</v>
      </c>
      <c r="BW90" s="714">
        <v>0</v>
      </c>
      <c r="BX90" s="711">
        <v>0</v>
      </c>
      <c r="BY90" s="714">
        <v>0</v>
      </c>
      <c r="BZ90" s="711">
        <v>0</v>
      </c>
      <c r="CA90" s="714">
        <v>0</v>
      </c>
      <c r="CB90" s="711">
        <v>0</v>
      </c>
      <c r="CC90" s="714">
        <v>0</v>
      </c>
      <c r="CD90" s="711">
        <v>0</v>
      </c>
      <c r="CE90" s="714">
        <v>0</v>
      </c>
      <c r="CF90" s="711">
        <v>0</v>
      </c>
      <c r="CG90" s="714">
        <v>0</v>
      </c>
      <c r="CH90" s="711">
        <v>0</v>
      </c>
      <c r="CI90" s="714">
        <v>0</v>
      </c>
      <c r="CJ90" s="711">
        <v>0</v>
      </c>
      <c r="CK90" s="712">
        <v>0</v>
      </c>
      <c r="CL90" s="711">
        <v>0</v>
      </c>
      <c r="CM90" s="712">
        <v>0</v>
      </c>
      <c r="CN90" s="713">
        <v>0</v>
      </c>
      <c r="CO90" s="712">
        <v>0</v>
      </c>
    </row>
    <row r="91" spans="1:93">
      <c r="A91" s="468">
        <v>89</v>
      </c>
      <c r="B91" s="596">
        <v>0</v>
      </c>
      <c r="C91" s="596">
        <v>0</v>
      </c>
      <c r="D91" s="596">
        <v>0</v>
      </c>
      <c r="E91" s="596">
        <v>0</v>
      </c>
      <c r="F91" s="596">
        <v>0</v>
      </c>
      <c r="G91" s="596">
        <v>0</v>
      </c>
      <c r="H91" s="596">
        <v>0</v>
      </c>
      <c r="I91" s="596">
        <v>0</v>
      </c>
      <c r="J91" s="596">
        <v>0</v>
      </c>
      <c r="K91" s="596">
        <v>0</v>
      </c>
      <c r="L91" s="596">
        <v>0</v>
      </c>
      <c r="M91" s="596">
        <v>0</v>
      </c>
      <c r="N91" s="596">
        <v>0</v>
      </c>
      <c r="O91" s="596">
        <v>0</v>
      </c>
      <c r="P91" s="596">
        <v>0</v>
      </c>
      <c r="Q91" s="596">
        <v>0</v>
      </c>
      <c r="R91" s="596">
        <v>0</v>
      </c>
      <c r="S91" s="596">
        <v>0</v>
      </c>
      <c r="T91" s="596">
        <v>0</v>
      </c>
      <c r="U91" s="596">
        <v>0</v>
      </c>
      <c r="V91" s="596">
        <v>0</v>
      </c>
      <c r="W91" s="612">
        <v>0</v>
      </c>
      <c r="X91" s="704">
        <v>0</v>
      </c>
      <c r="Y91" s="705">
        <v>0</v>
      </c>
      <c r="Z91" s="706">
        <v>0</v>
      </c>
      <c r="AA91" s="707">
        <v>0</v>
      </c>
      <c r="AB91" s="706">
        <v>0</v>
      </c>
      <c r="AC91" s="704">
        <v>0</v>
      </c>
      <c r="AD91" s="706">
        <v>0</v>
      </c>
      <c r="AE91" s="708">
        <v>0</v>
      </c>
      <c r="AF91" s="704">
        <v>0</v>
      </c>
      <c r="AG91" s="704">
        <v>0</v>
      </c>
      <c r="AH91" s="708">
        <v>0</v>
      </c>
      <c r="AI91" s="709">
        <v>0.02</v>
      </c>
      <c r="AJ91" s="706">
        <f t="shared" si="21"/>
        <v>7.1428571428571426E-3</v>
      </c>
      <c r="AK91" s="704">
        <v>0</v>
      </c>
      <c r="AL91" s="706">
        <v>0</v>
      </c>
      <c r="AM91" s="710">
        <v>2E-3</v>
      </c>
      <c r="AN91" s="704">
        <v>0</v>
      </c>
      <c r="AO91" s="706">
        <v>0</v>
      </c>
      <c r="AP91" s="711">
        <v>0</v>
      </c>
      <c r="AQ91" s="712">
        <v>0</v>
      </c>
      <c r="AR91" s="711">
        <v>0</v>
      </c>
      <c r="AS91" s="712">
        <v>0</v>
      </c>
      <c r="AT91" s="711">
        <v>0</v>
      </c>
      <c r="AU91" s="712">
        <v>0</v>
      </c>
      <c r="AV91" s="713">
        <v>0</v>
      </c>
      <c r="AW91" s="714">
        <v>0</v>
      </c>
      <c r="AX91" s="711">
        <v>0</v>
      </c>
      <c r="AY91" s="712">
        <v>0</v>
      </c>
      <c r="AZ91" s="713">
        <v>0</v>
      </c>
      <c r="BA91" s="712">
        <v>0</v>
      </c>
      <c r="BB91" s="713">
        <v>0</v>
      </c>
      <c r="BC91" s="712">
        <v>0</v>
      </c>
      <c r="BD91" s="713">
        <v>0</v>
      </c>
      <c r="BE91" s="712">
        <v>0</v>
      </c>
      <c r="BF91" s="713">
        <v>0</v>
      </c>
      <c r="BG91" s="712">
        <v>0</v>
      </c>
      <c r="BH91" s="713">
        <v>0</v>
      </c>
      <c r="BI91" s="712">
        <v>0</v>
      </c>
      <c r="BJ91" s="713">
        <v>0</v>
      </c>
      <c r="BK91" s="712">
        <v>0</v>
      </c>
      <c r="BL91" s="713">
        <v>0</v>
      </c>
      <c r="BM91" s="712">
        <v>0</v>
      </c>
      <c r="BN91" s="713">
        <v>0</v>
      </c>
      <c r="BO91" s="712">
        <v>0</v>
      </c>
      <c r="BP91" s="713">
        <v>0</v>
      </c>
      <c r="BQ91" s="712">
        <v>0</v>
      </c>
      <c r="BR91" s="713">
        <v>0</v>
      </c>
      <c r="BS91" s="712">
        <v>0</v>
      </c>
      <c r="BT91" s="713">
        <v>0</v>
      </c>
      <c r="BU91" s="712">
        <v>0</v>
      </c>
      <c r="BV91" s="711">
        <v>0</v>
      </c>
      <c r="BW91" s="714">
        <v>0</v>
      </c>
      <c r="BX91" s="711">
        <v>0</v>
      </c>
      <c r="BY91" s="714">
        <v>0</v>
      </c>
      <c r="BZ91" s="711">
        <v>0</v>
      </c>
      <c r="CA91" s="714">
        <v>0</v>
      </c>
      <c r="CB91" s="711">
        <v>0</v>
      </c>
      <c r="CC91" s="714">
        <v>0</v>
      </c>
      <c r="CD91" s="711">
        <v>0</v>
      </c>
      <c r="CE91" s="714">
        <v>0</v>
      </c>
      <c r="CF91" s="711">
        <v>0</v>
      </c>
      <c r="CG91" s="714">
        <v>0</v>
      </c>
      <c r="CH91" s="711">
        <v>0</v>
      </c>
      <c r="CI91" s="714">
        <v>0</v>
      </c>
      <c r="CJ91" s="711">
        <v>0</v>
      </c>
      <c r="CK91" s="712">
        <v>0</v>
      </c>
      <c r="CL91" s="711">
        <v>0</v>
      </c>
      <c r="CM91" s="712">
        <v>0</v>
      </c>
      <c r="CN91" s="713">
        <v>0</v>
      </c>
      <c r="CO91" s="712">
        <v>0</v>
      </c>
    </row>
    <row r="92" spans="1:93">
      <c r="A92" s="468">
        <v>90</v>
      </c>
      <c r="B92" s="596">
        <v>0</v>
      </c>
      <c r="C92" s="596">
        <v>0</v>
      </c>
      <c r="D92" s="596">
        <v>0</v>
      </c>
      <c r="E92" s="596">
        <v>0</v>
      </c>
      <c r="F92" s="596">
        <v>0</v>
      </c>
      <c r="G92" s="596">
        <v>0</v>
      </c>
      <c r="H92" s="596">
        <v>0</v>
      </c>
      <c r="I92" s="596">
        <v>0</v>
      </c>
      <c r="J92" s="596">
        <v>0</v>
      </c>
      <c r="K92" s="596">
        <v>0</v>
      </c>
      <c r="L92" s="596">
        <v>0</v>
      </c>
      <c r="M92" s="596">
        <v>0</v>
      </c>
      <c r="N92" s="596">
        <v>0</v>
      </c>
      <c r="O92" s="596">
        <v>0</v>
      </c>
      <c r="P92" s="596">
        <v>0</v>
      </c>
      <c r="Q92" s="596">
        <v>0</v>
      </c>
      <c r="R92" s="596">
        <v>0</v>
      </c>
      <c r="S92" s="596">
        <v>0</v>
      </c>
      <c r="T92" s="596">
        <v>0</v>
      </c>
      <c r="U92" s="596">
        <v>0</v>
      </c>
      <c r="V92" s="596">
        <v>0</v>
      </c>
      <c r="W92" s="612">
        <v>0</v>
      </c>
      <c r="X92" s="704">
        <v>0</v>
      </c>
      <c r="Y92" s="705">
        <v>0</v>
      </c>
      <c r="Z92" s="706">
        <v>0</v>
      </c>
      <c r="AA92" s="707">
        <v>0</v>
      </c>
      <c r="AB92" s="706">
        <v>0</v>
      </c>
      <c r="AC92" s="704">
        <v>0</v>
      </c>
      <c r="AD92" s="706">
        <v>0</v>
      </c>
      <c r="AE92" s="708">
        <v>0</v>
      </c>
      <c r="AF92" s="704">
        <v>0</v>
      </c>
      <c r="AG92" s="704">
        <v>0</v>
      </c>
      <c r="AH92" s="708">
        <v>0</v>
      </c>
      <c r="AI92" s="709">
        <v>0.02</v>
      </c>
      <c r="AJ92" s="706">
        <f t="shared" si="21"/>
        <v>7.1428571428571426E-3</v>
      </c>
      <c r="AK92" s="704">
        <v>0</v>
      </c>
      <c r="AL92" s="706">
        <v>0</v>
      </c>
      <c r="AM92" s="710">
        <v>2E-3</v>
      </c>
      <c r="AN92" s="704">
        <v>0</v>
      </c>
      <c r="AO92" s="706">
        <v>0</v>
      </c>
      <c r="AP92" s="711">
        <v>0</v>
      </c>
      <c r="AQ92" s="712">
        <v>0</v>
      </c>
      <c r="AR92" s="711">
        <v>0</v>
      </c>
      <c r="AS92" s="712">
        <v>0</v>
      </c>
      <c r="AT92" s="711">
        <v>0</v>
      </c>
      <c r="AU92" s="712">
        <v>0</v>
      </c>
      <c r="AV92" s="713">
        <v>0</v>
      </c>
      <c r="AW92" s="714">
        <v>0</v>
      </c>
      <c r="AX92" s="711">
        <v>0</v>
      </c>
      <c r="AY92" s="712">
        <v>0</v>
      </c>
      <c r="AZ92" s="713">
        <v>0</v>
      </c>
      <c r="BA92" s="712">
        <v>0</v>
      </c>
      <c r="BB92" s="713">
        <v>0</v>
      </c>
      <c r="BC92" s="712">
        <v>0</v>
      </c>
      <c r="BD92" s="713">
        <v>0</v>
      </c>
      <c r="BE92" s="712">
        <v>0</v>
      </c>
      <c r="BF92" s="713">
        <v>0</v>
      </c>
      <c r="BG92" s="712">
        <v>0</v>
      </c>
      <c r="BH92" s="713">
        <v>0</v>
      </c>
      <c r="BI92" s="712">
        <v>0</v>
      </c>
      <c r="BJ92" s="713">
        <v>0</v>
      </c>
      <c r="BK92" s="712">
        <v>0</v>
      </c>
      <c r="BL92" s="713">
        <v>0</v>
      </c>
      <c r="BM92" s="712">
        <v>0</v>
      </c>
      <c r="BN92" s="713">
        <v>0</v>
      </c>
      <c r="BO92" s="712">
        <v>0</v>
      </c>
      <c r="BP92" s="713">
        <v>0</v>
      </c>
      <c r="BQ92" s="712">
        <v>0</v>
      </c>
      <c r="BR92" s="713">
        <v>0</v>
      </c>
      <c r="BS92" s="712">
        <v>0</v>
      </c>
      <c r="BT92" s="713">
        <v>0</v>
      </c>
      <c r="BU92" s="712">
        <v>0</v>
      </c>
      <c r="BV92" s="711">
        <v>0</v>
      </c>
      <c r="BW92" s="714">
        <v>0</v>
      </c>
      <c r="BX92" s="711">
        <v>0</v>
      </c>
      <c r="BY92" s="714">
        <v>0</v>
      </c>
      <c r="BZ92" s="711">
        <v>0</v>
      </c>
      <c r="CA92" s="714">
        <v>0</v>
      </c>
      <c r="CB92" s="711">
        <v>0</v>
      </c>
      <c r="CC92" s="714">
        <v>0</v>
      </c>
      <c r="CD92" s="711">
        <v>0</v>
      </c>
      <c r="CE92" s="714">
        <v>0</v>
      </c>
      <c r="CF92" s="711">
        <v>0</v>
      </c>
      <c r="CG92" s="714">
        <v>0</v>
      </c>
      <c r="CH92" s="711">
        <v>0</v>
      </c>
      <c r="CI92" s="714">
        <v>0</v>
      </c>
      <c r="CJ92" s="711">
        <v>0</v>
      </c>
      <c r="CK92" s="712">
        <v>0</v>
      </c>
      <c r="CL92" s="711">
        <v>0</v>
      </c>
      <c r="CM92" s="712">
        <v>0</v>
      </c>
      <c r="CN92" s="713">
        <v>0</v>
      </c>
      <c r="CO92" s="712">
        <v>0</v>
      </c>
    </row>
    <row r="93" spans="1:93">
      <c r="A93" s="468">
        <v>91</v>
      </c>
      <c r="B93" s="596">
        <v>0</v>
      </c>
      <c r="C93" s="596">
        <v>0</v>
      </c>
      <c r="D93" s="596">
        <v>0</v>
      </c>
      <c r="E93" s="596">
        <v>0</v>
      </c>
      <c r="F93" s="596">
        <v>0</v>
      </c>
      <c r="G93" s="596">
        <v>0</v>
      </c>
      <c r="H93" s="596">
        <v>0</v>
      </c>
      <c r="I93" s="596">
        <v>0</v>
      </c>
      <c r="J93" s="596">
        <v>0</v>
      </c>
      <c r="K93" s="596">
        <v>0</v>
      </c>
      <c r="L93" s="596">
        <v>0</v>
      </c>
      <c r="M93" s="596">
        <v>0</v>
      </c>
      <c r="N93" s="596">
        <v>0</v>
      </c>
      <c r="O93" s="596">
        <v>0</v>
      </c>
      <c r="P93" s="596">
        <v>0</v>
      </c>
      <c r="Q93" s="596">
        <v>0</v>
      </c>
      <c r="R93" s="596">
        <v>0</v>
      </c>
      <c r="S93" s="596">
        <v>0</v>
      </c>
      <c r="T93" s="596">
        <v>0</v>
      </c>
      <c r="U93" s="596">
        <v>0</v>
      </c>
      <c r="V93" s="596">
        <v>0</v>
      </c>
      <c r="W93" s="612">
        <v>0</v>
      </c>
      <c r="X93" s="704">
        <v>0</v>
      </c>
      <c r="Y93" s="705">
        <v>0</v>
      </c>
      <c r="Z93" s="706">
        <v>0</v>
      </c>
      <c r="AA93" s="707">
        <v>0</v>
      </c>
      <c r="AB93" s="706">
        <v>0</v>
      </c>
      <c r="AC93" s="704">
        <v>0</v>
      </c>
      <c r="AD93" s="706">
        <v>0</v>
      </c>
      <c r="AE93" s="708">
        <v>0</v>
      </c>
      <c r="AF93" s="704">
        <v>0</v>
      </c>
      <c r="AG93" s="704">
        <v>0</v>
      </c>
      <c r="AH93" s="708">
        <v>0</v>
      </c>
      <c r="AI93" s="709">
        <v>0.02</v>
      </c>
      <c r="AJ93" s="706">
        <f t="shared" si="21"/>
        <v>7.1428571428571426E-3</v>
      </c>
      <c r="AK93" s="704">
        <v>0</v>
      </c>
      <c r="AL93" s="706">
        <v>0</v>
      </c>
      <c r="AM93" s="710">
        <v>2E-3</v>
      </c>
      <c r="AN93" s="704">
        <v>0</v>
      </c>
      <c r="AO93" s="706">
        <v>0</v>
      </c>
      <c r="AP93" s="711">
        <v>0</v>
      </c>
      <c r="AQ93" s="712">
        <v>0</v>
      </c>
      <c r="AR93" s="711">
        <v>0</v>
      </c>
      <c r="AS93" s="712">
        <v>0</v>
      </c>
      <c r="AT93" s="711">
        <v>0</v>
      </c>
      <c r="AU93" s="712">
        <v>0</v>
      </c>
      <c r="AV93" s="713">
        <v>0</v>
      </c>
      <c r="AW93" s="714">
        <v>0</v>
      </c>
      <c r="AX93" s="711">
        <v>0</v>
      </c>
      <c r="AY93" s="712">
        <v>0</v>
      </c>
      <c r="AZ93" s="713">
        <v>0</v>
      </c>
      <c r="BA93" s="712">
        <v>0</v>
      </c>
      <c r="BB93" s="713">
        <v>0</v>
      </c>
      <c r="BC93" s="712">
        <v>0</v>
      </c>
      <c r="BD93" s="713">
        <v>0</v>
      </c>
      <c r="BE93" s="712">
        <v>0</v>
      </c>
      <c r="BF93" s="713">
        <v>0</v>
      </c>
      <c r="BG93" s="712">
        <v>0</v>
      </c>
      <c r="BH93" s="713">
        <v>0</v>
      </c>
      <c r="BI93" s="712">
        <v>0</v>
      </c>
      <c r="BJ93" s="713">
        <v>0</v>
      </c>
      <c r="BK93" s="712">
        <v>0</v>
      </c>
      <c r="BL93" s="713">
        <v>0</v>
      </c>
      <c r="BM93" s="712">
        <v>0</v>
      </c>
      <c r="BN93" s="713">
        <v>0</v>
      </c>
      <c r="BO93" s="712">
        <v>0</v>
      </c>
      <c r="BP93" s="713">
        <v>0</v>
      </c>
      <c r="BQ93" s="712">
        <v>0</v>
      </c>
      <c r="BR93" s="713">
        <v>0</v>
      </c>
      <c r="BS93" s="712">
        <v>0</v>
      </c>
      <c r="BT93" s="713">
        <v>0</v>
      </c>
      <c r="BU93" s="712">
        <v>0</v>
      </c>
      <c r="BV93" s="711">
        <v>0</v>
      </c>
      <c r="BW93" s="714">
        <v>0</v>
      </c>
      <c r="BX93" s="711">
        <v>0</v>
      </c>
      <c r="BY93" s="714">
        <v>0</v>
      </c>
      <c r="BZ93" s="711">
        <v>0</v>
      </c>
      <c r="CA93" s="714">
        <v>0</v>
      </c>
      <c r="CB93" s="711">
        <v>0</v>
      </c>
      <c r="CC93" s="714">
        <v>0</v>
      </c>
      <c r="CD93" s="711">
        <v>0</v>
      </c>
      <c r="CE93" s="714">
        <v>0</v>
      </c>
      <c r="CF93" s="711">
        <v>0</v>
      </c>
      <c r="CG93" s="714">
        <v>0</v>
      </c>
      <c r="CH93" s="711">
        <v>0</v>
      </c>
      <c r="CI93" s="714">
        <v>0</v>
      </c>
      <c r="CJ93" s="711">
        <v>0</v>
      </c>
      <c r="CK93" s="712">
        <v>0</v>
      </c>
      <c r="CL93" s="711">
        <v>0</v>
      </c>
      <c r="CM93" s="712">
        <v>0</v>
      </c>
      <c r="CN93" s="713">
        <v>0</v>
      </c>
      <c r="CO93" s="712">
        <v>0</v>
      </c>
    </row>
    <row r="94" spans="1:93">
      <c r="A94" s="468">
        <v>92</v>
      </c>
      <c r="B94" s="596">
        <v>0</v>
      </c>
      <c r="C94" s="596">
        <v>0</v>
      </c>
      <c r="D94" s="596">
        <v>0</v>
      </c>
      <c r="E94" s="596">
        <v>0</v>
      </c>
      <c r="F94" s="596">
        <v>0</v>
      </c>
      <c r="G94" s="596">
        <v>0</v>
      </c>
      <c r="H94" s="596">
        <v>0</v>
      </c>
      <c r="I94" s="596">
        <v>0</v>
      </c>
      <c r="J94" s="596">
        <v>0</v>
      </c>
      <c r="K94" s="596">
        <v>0</v>
      </c>
      <c r="L94" s="596">
        <v>0</v>
      </c>
      <c r="M94" s="596">
        <v>0</v>
      </c>
      <c r="N94" s="596">
        <v>0</v>
      </c>
      <c r="O94" s="596">
        <v>0</v>
      </c>
      <c r="P94" s="596">
        <v>0</v>
      </c>
      <c r="Q94" s="596">
        <v>0</v>
      </c>
      <c r="R94" s="596">
        <v>0</v>
      </c>
      <c r="S94" s="596">
        <v>0</v>
      </c>
      <c r="T94" s="596">
        <v>0</v>
      </c>
      <c r="U94" s="596">
        <v>0</v>
      </c>
      <c r="V94" s="596">
        <v>0</v>
      </c>
      <c r="W94" s="612">
        <v>0</v>
      </c>
      <c r="X94" s="704">
        <v>0</v>
      </c>
      <c r="Y94" s="705">
        <v>0</v>
      </c>
      <c r="Z94" s="706">
        <v>0</v>
      </c>
      <c r="AA94" s="707">
        <v>0</v>
      </c>
      <c r="AB94" s="706">
        <v>0</v>
      </c>
      <c r="AC94" s="704">
        <v>0</v>
      </c>
      <c r="AD94" s="706">
        <v>0</v>
      </c>
      <c r="AE94" s="708">
        <v>0</v>
      </c>
      <c r="AF94" s="704">
        <v>0</v>
      </c>
      <c r="AG94" s="704">
        <v>0</v>
      </c>
      <c r="AH94" s="708">
        <v>0</v>
      </c>
      <c r="AI94" s="709">
        <v>0.02</v>
      </c>
      <c r="AJ94" s="706">
        <f t="shared" si="21"/>
        <v>7.1428571428571426E-3</v>
      </c>
      <c r="AK94" s="704">
        <v>0</v>
      </c>
      <c r="AL94" s="706">
        <v>0</v>
      </c>
      <c r="AM94" s="710">
        <v>2E-3</v>
      </c>
      <c r="AN94" s="704">
        <v>0</v>
      </c>
      <c r="AO94" s="706">
        <v>0</v>
      </c>
      <c r="AP94" s="711">
        <v>0</v>
      </c>
      <c r="AQ94" s="712">
        <v>0</v>
      </c>
      <c r="AR94" s="711">
        <v>0</v>
      </c>
      <c r="AS94" s="712">
        <v>0</v>
      </c>
      <c r="AT94" s="711">
        <v>0</v>
      </c>
      <c r="AU94" s="712">
        <v>0</v>
      </c>
      <c r="AV94" s="713">
        <v>0</v>
      </c>
      <c r="AW94" s="714">
        <v>0</v>
      </c>
      <c r="AX94" s="711">
        <v>0</v>
      </c>
      <c r="AY94" s="712">
        <v>0</v>
      </c>
      <c r="AZ94" s="713">
        <v>0</v>
      </c>
      <c r="BA94" s="712">
        <v>0</v>
      </c>
      <c r="BB94" s="713">
        <v>0</v>
      </c>
      <c r="BC94" s="712">
        <v>0</v>
      </c>
      <c r="BD94" s="713">
        <v>0</v>
      </c>
      <c r="BE94" s="712">
        <v>0</v>
      </c>
      <c r="BF94" s="713">
        <v>0</v>
      </c>
      <c r="BG94" s="712">
        <v>0</v>
      </c>
      <c r="BH94" s="713">
        <v>0</v>
      </c>
      <c r="BI94" s="712">
        <v>0</v>
      </c>
      <c r="BJ94" s="713">
        <v>0</v>
      </c>
      <c r="BK94" s="712">
        <v>0</v>
      </c>
      <c r="BL94" s="713">
        <v>0</v>
      </c>
      <c r="BM94" s="712">
        <v>0</v>
      </c>
      <c r="BN94" s="713">
        <v>0</v>
      </c>
      <c r="BO94" s="712">
        <v>0</v>
      </c>
      <c r="BP94" s="713">
        <v>0</v>
      </c>
      <c r="BQ94" s="712">
        <v>0</v>
      </c>
      <c r="BR94" s="713">
        <v>0</v>
      </c>
      <c r="BS94" s="712">
        <v>0</v>
      </c>
      <c r="BT94" s="713">
        <v>0</v>
      </c>
      <c r="BU94" s="712">
        <v>0</v>
      </c>
      <c r="BV94" s="711">
        <v>0</v>
      </c>
      <c r="BW94" s="714">
        <v>0</v>
      </c>
      <c r="BX94" s="711">
        <v>0</v>
      </c>
      <c r="BY94" s="714">
        <v>0</v>
      </c>
      <c r="BZ94" s="711">
        <v>0</v>
      </c>
      <c r="CA94" s="714">
        <v>0</v>
      </c>
      <c r="CB94" s="711">
        <v>0</v>
      </c>
      <c r="CC94" s="714">
        <v>0</v>
      </c>
      <c r="CD94" s="711">
        <v>0</v>
      </c>
      <c r="CE94" s="714">
        <v>0</v>
      </c>
      <c r="CF94" s="711">
        <v>0</v>
      </c>
      <c r="CG94" s="714">
        <v>0</v>
      </c>
      <c r="CH94" s="711">
        <v>0</v>
      </c>
      <c r="CI94" s="714">
        <v>0</v>
      </c>
      <c r="CJ94" s="711">
        <v>0</v>
      </c>
      <c r="CK94" s="712">
        <v>0</v>
      </c>
      <c r="CL94" s="711">
        <v>0</v>
      </c>
      <c r="CM94" s="712">
        <v>0</v>
      </c>
      <c r="CN94" s="713">
        <v>0</v>
      </c>
      <c r="CO94" s="712">
        <v>0</v>
      </c>
    </row>
    <row r="95" spans="1:93">
      <c r="A95" s="468">
        <v>93</v>
      </c>
      <c r="B95" s="596">
        <v>0</v>
      </c>
      <c r="C95" s="596">
        <v>0</v>
      </c>
      <c r="D95" s="596">
        <v>0</v>
      </c>
      <c r="E95" s="596">
        <v>0</v>
      </c>
      <c r="F95" s="596">
        <v>0</v>
      </c>
      <c r="G95" s="596">
        <v>0</v>
      </c>
      <c r="H95" s="596">
        <v>0</v>
      </c>
      <c r="I95" s="596">
        <v>0</v>
      </c>
      <c r="J95" s="596">
        <v>0</v>
      </c>
      <c r="K95" s="596">
        <v>0</v>
      </c>
      <c r="L95" s="596">
        <v>0</v>
      </c>
      <c r="M95" s="596">
        <v>0</v>
      </c>
      <c r="N95" s="596">
        <v>0</v>
      </c>
      <c r="O95" s="596">
        <v>0</v>
      </c>
      <c r="P95" s="596">
        <v>0</v>
      </c>
      <c r="Q95" s="596">
        <v>0</v>
      </c>
      <c r="R95" s="596">
        <v>0</v>
      </c>
      <c r="S95" s="596">
        <v>0</v>
      </c>
      <c r="T95" s="596">
        <v>0</v>
      </c>
      <c r="U95" s="596">
        <v>0</v>
      </c>
      <c r="V95" s="596">
        <v>0</v>
      </c>
      <c r="W95" s="612">
        <v>0</v>
      </c>
      <c r="X95" s="704">
        <v>0</v>
      </c>
      <c r="Y95" s="705">
        <v>0</v>
      </c>
      <c r="Z95" s="706">
        <v>0</v>
      </c>
      <c r="AA95" s="707">
        <v>0</v>
      </c>
      <c r="AB95" s="706">
        <v>0</v>
      </c>
      <c r="AC95" s="704">
        <v>0</v>
      </c>
      <c r="AD95" s="706">
        <v>0</v>
      </c>
      <c r="AE95" s="708">
        <v>0</v>
      </c>
      <c r="AF95" s="704">
        <v>0</v>
      </c>
      <c r="AG95" s="704">
        <v>0</v>
      </c>
      <c r="AH95" s="708">
        <v>0</v>
      </c>
      <c r="AI95" s="709">
        <v>0.02</v>
      </c>
      <c r="AJ95" s="706">
        <f t="shared" si="21"/>
        <v>7.1428571428571426E-3</v>
      </c>
      <c r="AK95" s="704">
        <v>0</v>
      </c>
      <c r="AL95" s="706">
        <v>0</v>
      </c>
      <c r="AM95" s="710">
        <v>2E-3</v>
      </c>
      <c r="AN95" s="704">
        <v>0</v>
      </c>
      <c r="AO95" s="706">
        <v>0</v>
      </c>
      <c r="AP95" s="711">
        <v>0</v>
      </c>
      <c r="AQ95" s="712">
        <v>0</v>
      </c>
      <c r="AR95" s="711">
        <v>0</v>
      </c>
      <c r="AS95" s="712">
        <v>0</v>
      </c>
      <c r="AT95" s="711">
        <v>0</v>
      </c>
      <c r="AU95" s="712">
        <v>0</v>
      </c>
      <c r="AV95" s="713">
        <v>0</v>
      </c>
      <c r="AW95" s="714">
        <v>0</v>
      </c>
      <c r="AX95" s="711">
        <v>0</v>
      </c>
      <c r="AY95" s="712">
        <v>0</v>
      </c>
      <c r="AZ95" s="713">
        <v>0</v>
      </c>
      <c r="BA95" s="712">
        <v>0</v>
      </c>
      <c r="BB95" s="713">
        <v>0</v>
      </c>
      <c r="BC95" s="712">
        <v>0</v>
      </c>
      <c r="BD95" s="713">
        <v>0</v>
      </c>
      <c r="BE95" s="712">
        <v>0</v>
      </c>
      <c r="BF95" s="713">
        <v>0</v>
      </c>
      <c r="BG95" s="712">
        <v>0</v>
      </c>
      <c r="BH95" s="713">
        <v>0</v>
      </c>
      <c r="BI95" s="712">
        <v>0</v>
      </c>
      <c r="BJ95" s="713">
        <v>0</v>
      </c>
      <c r="BK95" s="712">
        <v>0</v>
      </c>
      <c r="BL95" s="713">
        <v>0</v>
      </c>
      <c r="BM95" s="712">
        <v>0</v>
      </c>
      <c r="BN95" s="713">
        <v>0</v>
      </c>
      <c r="BO95" s="712">
        <v>0</v>
      </c>
      <c r="BP95" s="713">
        <v>0</v>
      </c>
      <c r="BQ95" s="712">
        <v>0</v>
      </c>
      <c r="BR95" s="713">
        <v>0</v>
      </c>
      <c r="BS95" s="712">
        <v>0</v>
      </c>
      <c r="BT95" s="713">
        <v>0</v>
      </c>
      <c r="BU95" s="712">
        <v>0</v>
      </c>
      <c r="BV95" s="711">
        <v>0</v>
      </c>
      <c r="BW95" s="714">
        <v>0</v>
      </c>
      <c r="BX95" s="711">
        <v>0</v>
      </c>
      <c r="BY95" s="714">
        <v>0</v>
      </c>
      <c r="BZ95" s="711">
        <v>0</v>
      </c>
      <c r="CA95" s="714">
        <v>0</v>
      </c>
      <c r="CB95" s="711">
        <v>0</v>
      </c>
      <c r="CC95" s="714">
        <v>0</v>
      </c>
      <c r="CD95" s="711">
        <v>0</v>
      </c>
      <c r="CE95" s="714">
        <v>0</v>
      </c>
      <c r="CF95" s="711">
        <v>0</v>
      </c>
      <c r="CG95" s="714">
        <v>0</v>
      </c>
      <c r="CH95" s="711">
        <v>0</v>
      </c>
      <c r="CI95" s="714">
        <v>0</v>
      </c>
      <c r="CJ95" s="711">
        <v>0</v>
      </c>
      <c r="CK95" s="712">
        <v>0</v>
      </c>
      <c r="CL95" s="711">
        <v>0</v>
      </c>
      <c r="CM95" s="712">
        <v>0</v>
      </c>
      <c r="CN95" s="713">
        <v>0</v>
      </c>
      <c r="CO95" s="712">
        <v>0</v>
      </c>
    </row>
    <row r="96" spans="1:93">
      <c r="A96" s="468">
        <v>94</v>
      </c>
      <c r="B96" s="596">
        <v>0</v>
      </c>
      <c r="C96" s="596">
        <v>0</v>
      </c>
      <c r="D96" s="596">
        <v>0</v>
      </c>
      <c r="E96" s="596">
        <v>0</v>
      </c>
      <c r="F96" s="596">
        <v>0</v>
      </c>
      <c r="G96" s="596">
        <v>0</v>
      </c>
      <c r="H96" s="596">
        <v>0</v>
      </c>
      <c r="I96" s="596">
        <v>0</v>
      </c>
      <c r="J96" s="596">
        <v>0</v>
      </c>
      <c r="K96" s="596">
        <v>0</v>
      </c>
      <c r="L96" s="596">
        <v>0</v>
      </c>
      <c r="M96" s="596">
        <v>0</v>
      </c>
      <c r="N96" s="596">
        <v>0</v>
      </c>
      <c r="O96" s="596">
        <v>0</v>
      </c>
      <c r="P96" s="596">
        <v>0</v>
      </c>
      <c r="Q96" s="596">
        <v>0</v>
      </c>
      <c r="R96" s="596">
        <v>0</v>
      </c>
      <c r="S96" s="596">
        <v>0</v>
      </c>
      <c r="T96" s="596">
        <v>0</v>
      </c>
      <c r="U96" s="596">
        <v>0</v>
      </c>
      <c r="V96" s="596">
        <v>0</v>
      </c>
      <c r="W96" s="612">
        <v>0</v>
      </c>
      <c r="X96" s="704">
        <v>0</v>
      </c>
      <c r="Y96" s="705">
        <v>0</v>
      </c>
      <c r="Z96" s="706">
        <v>0</v>
      </c>
      <c r="AA96" s="707">
        <v>0</v>
      </c>
      <c r="AB96" s="706">
        <v>0</v>
      </c>
      <c r="AC96" s="704">
        <v>0</v>
      </c>
      <c r="AD96" s="706">
        <v>0</v>
      </c>
      <c r="AE96" s="708">
        <v>0</v>
      </c>
      <c r="AF96" s="704">
        <v>0</v>
      </c>
      <c r="AG96" s="704">
        <v>0</v>
      </c>
      <c r="AH96" s="708">
        <v>0</v>
      </c>
      <c r="AI96" s="709">
        <v>0.02</v>
      </c>
      <c r="AJ96" s="706">
        <f t="shared" si="21"/>
        <v>7.1428571428571426E-3</v>
      </c>
      <c r="AK96" s="704">
        <v>0</v>
      </c>
      <c r="AL96" s="706">
        <v>0</v>
      </c>
      <c r="AM96" s="710">
        <v>2E-3</v>
      </c>
      <c r="AN96" s="704">
        <v>0</v>
      </c>
      <c r="AO96" s="706">
        <v>0</v>
      </c>
      <c r="AP96" s="711">
        <v>0</v>
      </c>
      <c r="AQ96" s="712">
        <v>0</v>
      </c>
      <c r="AR96" s="711">
        <v>0</v>
      </c>
      <c r="AS96" s="712">
        <v>0</v>
      </c>
      <c r="AT96" s="711">
        <v>0</v>
      </c>
      <c r="AU96" s="712">
        <v>0</v>
      </c>
      <c r="AV96" s="713">
        <v>0</v>
      </c>
      <c r="AW96" s="714">
        <v>0</v>
      </c>
      <c r="AX96" s="711">
        <v>0</v>
      </c>
      <c r="AY96" s="712">
        <v>0</v>
      </c>
      <c r="AZ96" s="713">
        <v>0</v>
      </c>
      <c r="BA96" s="712">
        <v>0</v>
      </c>
      <c r="BB96" s="713">
        <v>0</v>
      </c>
      <c r="BC96" s="712">
        <v>0</v>
      </c>
      <c r="BD96" s="713">
        <v>0</v>
      </c>
      <c r="BE96" s="712">
        <v>0</v>
      </c>
      <c r="BF96" s="713">
        <v>0</v>
      </c>
      <c r="BG96" s="712">
        <v>0</v>
      </c>
      <c r="BH96" s="713">
        <v>0</v>
      </c>
      <c r="BI96" s="712">
        <v>0</v>
      </c>
      <c r="BJ96" s="713">
        <v>0</v>
      </c>
      <c r="BK96" s="712">
        <v>0</v>
      </c>
      <c r="BL96" s="713">
        <v>0</v>
      </c>
      <c r="BM96" s="712">
        <v>0</v>
      </c>
      <c r="BN96" s="713">
        <v>0</v>
      </c>
      <c r="BO96" s="712">
        <v>0</v>
      </c>
      <c r="BP96" s="713">
        <v>0</v>
      </c>
      <c r="BQ96" s="712">
        <v>0</v>
      </c>
      <c r="BR96" s="713">
        <v>0</v>
      </c>
      <c r="BS96" s="712">
        <v>0</v>
      </c>
      <c r="BT96" s="713">
        <v>0</v>
      </c>
      <c r="BU96" s="712">
        <v>0</v>
      </c>
      <c r="BV96" s="711">
        <v>0</v>
      </c>
      <c r="BW96" s="714">
        <v>0</v>
      </c>
      <c r="BX96" s="711">
        <v>0</v>
      </c>
      <c r="BY96" s="714">
        <v>0</v>
      </c>
      <c r="BZ96" s="711">
        <v>0</v>
      </c>
      <c r="CA96" s="714">
        <v>0</v>
      </c>
      <c r="CB96" s="711">
        <v>0</v>
      </c>
      <c r="CC96" s="714">
        <v>0</v>
      </c>
      <c r="CD96" s="711">
        <v>0</v>
      </c>
      <c r="CE96" s="714">
        <v>0</v>
      </c>
      <c r="CF96" s="711">
        <v>0</v>
      </c>
      <c r="CG96" s="714">
        <v>0</v>
      </c>
      <c r="CH96" s="711">
        <v>0</v>
      </c>
      <c r="CI96" s="714">
        <v>0</v>
      </c>
      <c r="CJ96" s="711">
        <v>0</v>
      </c>
      <c r="CK96" s="712">
        <v>0</v>
      </c>
      <c r="CL96" s="711">
        <v>0</v>
      </c>
      <c r="CM96" s="712">
        <v>0</v>
      </c>
      <c r="CN96" s="713">
        <v>0</v>
      </c>
      <c r="CO96" s="712">
        <v>0</v>
      </c>
    </row>
    <row r="97" spans="1:93">
      <c r="A97" s="468">
        <v>95</v>
      </c>
      <c r="B97" s="596">
        <v>0</v>
      </c>
      <c r="C97" s="596">
        <v>0</v>
      </c>
      <c r="D97" s="596">
        <v>0</v>
      </c>
      <c r="E97" s="596">
        <v>0</v>
      </c>
      <c r="F97" s="596">
        <v>0</v>
      </c>
      <c r="G97" s="596">
        <v>0</v>
      </c>
      <c r="H97" s="596">
        <v>0</v>
      </c>
      <c r="I97" s="596">
        <v>0</v>
      </c>
      <c r="J97" s="596">
        <v>0</v>
      </c>
      <c r="K97" s="596">
        <v>0</v>
      </c>
      <c r="L97" s="596">
        <v>0</v>
      </c>
      <c r="M97" s="596">
        <v>0</v>
      </c>
      <c r="N97" s="596">
        <v>0</v>
      </c>
      <c r="O97" s="596">
        <v>0</v>
      </c>
      <c r="P97" s="596">
        <v>0</v>
      </c>
      <c r="Q97" s="596">
        <v>0</v>
      </c>
      <c r="R97" s="596">
        <v>0</v>
      </c>
      <c r="S97" s="596">
        <v>0</v>
      </c>
      <c r="T97" s="596">
        <v>0</v>
      </c>
      <c r="U97" s="596">
        <v>0</v>
      </c>
      <c r="V97" s="596">
        <v>0</v>
      </c>
      <c r="W97" s="612">
        <v>0</v>
      </c>
      <c r="X97" s="704">
        <v>0</v>
      </c>
      <c r="Y97" s="705">
        <v>0</v>
      </c>
      <c r="Z97" s="706">
        <v>0</v>
      </c>
      <c r="AA97" s="707">
        <v>0</v>
      </c>
      <c r="AB97" s="706">
        <v>0</v>
      </c>
      <c r="AC97" s="704">
        <v>0</v>
      </c>
      <c r="AD97" s="706">
        <v>0</v>
      </c>
      <c r="AE97" s="708">
        <v>0</v>
      </c>
      <c r="AF97" s="704">
        <v>0</v>
      </c>
      <c r="AG97" s="704">
        <v>0</v>
      </c>
      <c r="AH97" s="708">
        <v>0</v>
      </c>
      <c r="AI97" s="709">
        <v>0.02</v>
      </c>
      <c r="AJ97" s="706">
        <f t="shared" si="21"/>
        <v>7.1428571428571426E-3</v>
      </c>
      <c r="AK97" s="704">
        <v>0</v>
      </c>
      <c r="AL97" s="706">
        <v>0</v>
      </c>
      <c r="AM97" s="710">
        <v>2E-3</v>
      </c>
      <c r="AN97" s="704">
        <v>0</v>
      </c>
      <c r="AO97" s="706">
        <v>0</v>
      </c>
      <c r="AP97" s="711">
        <v>0</v>
      </c>
      <c r="AQ97" s="712">
        <v>0</v>
      </c>
      <c r="AR97" s="711">
        <v>0</v>
      </c>
      <c r="AS97" s="712">
        <v>0</v>
      </c>
      <c r="AT97" s="711">
        <v>0</v>
      </c>
      <c r="AU97" s="712">
        <v>0</v>
      </c>
      <c r="AV97" s="713">
        <v>0</v>
      </c>
      <c r="AW97" s="714">
        <v>0</v>
      </c>
      <c r="AX97" s="711">
        <v>0</v>
      </c>
      <c r="AY97" s="712">
        <v>0</v>
      </c>
      <c r="AZ97" s="713">
        <v>0</v>
      </c>
      <c r="BA97" s="712">
        <v>0</v>
      </c>
      <c r="BB97" s="713">
        <v>0</v>
      </c>
      <c r="BC97" s="712">
        <v>0</v>
      </c>
      <c r="BD97" s="713">
        <v>0</v>
      </c>
      <c r="BE97" s="712">
        <v>0</v>
      </c>
      <c r="BF97" s="713">
        <v>0</v>
      </c>
      <c r="BG97" s="712">
        <v>0</v>
      </c>
      <c r="BH97" s="713">
        <v>0</v>
      </c>
      <c r="BI97" s="712">
        <v>0</v>
      </c>
      <c r="BJ97" s="713">
        <v>0</v>
      </c>
      <c r="BK97" s="712">
        <v>0</v>
      </c>
      <c r="BL97" s="713">
        <v>0</v>
      </c>
      <c r="BM97" s="712">
        <v>0</v>
      </c>
      <c r="BN97" s="713">
        <v>0</v>
      </c>
      <c r="BO97" s="712">
        <v>0</v>
      </c>
      <c r="BP97" s="713">
        <v>0</v>
      </c>
      <c r="BQ97" s="712">
        <v>0</v>
      </c>
      <c r="BR97" s="713">
        <v>0</v>
      </c>
      <c r="BS97" s="712">
        <v>0</v>
      </c>
      <c r="BT97" s="713">
        <v>0</v>
      </c>
      <c r="BU97" s="712">
        <v>0</v>
      </c>
      <c r="BV97" s="711">
        <v>0</v>
      </c>
      <c r="BW97" s="714">
        <v>0</v>
      </c>
      <c r="BX97" s="711">
        <v>0</v>
      </c>
      <c r="BY97" s="714">
        <v>0</v>
      </c>
      <c r="BZ97" s="711">
        <v>0</v>
      </c>
      <c r="CA97" s="714">
        <v>0</v>
      </c>
      <c r="CB97" s="711">
        <v>0</v>
      </c>
      <c r="CC97" s="714">
        <v>0</v>
      </c>
      <c r="CD97" s="711">
        <v>0</v>
      </c>
      <c r="CE97" s="714">
        <v>0</v>
      </c>
      <c r="CF97" s="711">
        <v>0</v>
      </c>
      <c r="CG97" s="714">
        <v>0</v>
      </c>
      <c r="CH97" s="711">
        <v>0</v>
      </c>
      <c r="CI97" s="714">
        <v>0</v>
      </c>
      <c r="CJ97" s="711">
        <v>0</v>
      </c>
      <c r="CK97" s="712">
        <v>0</v>
      </c>
      <c r="CL97" s="711">
        <v>0</v>
      </c>
      <c r="CM97" s="712">
        <v>0</v>
      </c>
      <c r="CN97" s="713">
        <v>0</v>
      </c>
      <c r="CO97" s="712">
        <v>0</v>
      </c>
    </row>
    <row r="98" spans="1:93">
      <c r="A98" s="468">
        <v>96</v>
      </c>
      <c r="B98" s="596">
        <v>0</v>
      </c>
      <c r="C98" s="596">
        <v>0</v>
      </c>
      <c r="D98" s="596">
        <v>0</v>
      </c>
      <c r="E98" s="596">
        <v>0</v>
      </c>
      <c r="F98" s="596">
        <v>0</v>
      </c>
      <c r="G98" s="596">
        <v>0</v>
      </c>
      <c r="H98" s="596">
        <v>0</v>
      </c>
      <c r="I98" s="596">
        <v>0</v>
      </c>
      <c r="J98" s="596">
        <v>0</v>
      </c>
      <c r="K98" s="596">
        <v>0</v>
      </c>
      <c r="L98" s="596">
        <v>0</v>
      </c>
      <c r="M98" s="596">
        <v>0</v>
      </c>
      <c r="N98" s="596">
        <v>0</v>
      </c>
      <c r="O98" s="596">
        <v>0</v>
      </c>
      <c r="P98" s="596">
        <v>0</v>
      </c>
      <c r="Q98" s="596">
        <v>0</v>
      </c>
      <c r="R98" s="596">
        <v>0</v>
      </c>
      <c r="S98" s="596">
        <v>0</v>
      </c>
      <c r="T98" s="596">
        <v>0</v>
      </c>
      <c r="U98" s="596">
        <v>0</v>
      </c>
      <c r="V98" s="596">
        <v>0</v>
      </c>
      <c r="W98" s="612">
        <v>0</v>
      </c>
      <c r="X98" s="704">
        <v>0</v>
      </c>
      <c r="Y98" s="705">
        <v>0</v>
      </c>
      <c r="Z98" s="706">
        <v>0</v>
      </c>
      <c r="AA98" s="707">
        <v>0</v>
      </c>
      <c r="AB98" s="706">
        <v>0</v>
      </c>
      <c r="AC98" s="704">
        <v>0</v>
      </c>
      <c r="AD98" s="706">
        <v>0</v>
      </c>
      <c r="AE98" s="708">
        <v>0</v>
      </c>
      <c r="AF98" s="704">
        <v>0</v>
      </c>
      <c r="AG98" s="704">
        <v>0</v>
      </c>
      <c r="AH98" s="708">
        <v>0</v>
      </c>
      <c r="AI98" s="709">
        <v>0.02</v>
      </c>
      <c r="AJ98" s="706">
        <f t="shared" si="21"/>
        <v>7.1428571428571426E-3</v>
      </c>
      <c r="AK98" s="704">
        <v>0</v>
      </c>
      <c r="AL98" s="706">
        <v>0</v>
      </c>
      <c r="AM98" s="710">
        <v>2E-3</v>
      </c>
      <c r="AN98" s="704">
        <v>0</v>
      </c>
      <c r="AO98" s="706">
        <v>0</v>
      </c>
      <c r="AP98" s="711">
        <v>0</v>
      </c>
      <c r="AQ98" s="712">
        <v>0</v>
      </c>
      <c r="AR98" s="711">
        <v>0</v>
      </c>
      <c r="AS98" s="712">
        <v>0</v>
      </c>
      <c r="AT98" s="711">
        <v>0</v>
      </c>
      <c r="AU98" s="712">
        <v>0</v>
      </c>
      <c r="AV98" s="713">
        <v>0</v>
      </c>
      <c r="AW98" s="714">
        <v>0</v>
      </c>
      <c r="AX98" s="711">
        <v>0</v>
      </c>
      <c r="AY98" s="712">
        <v>0</v>
      </c>
      <c r="AZ98" s="713">
        <v>0</v>
      </c>
      <c r="BA98" s="712">
        <v>0</v>
      </c>
      <c r="BB98" s="713">
        <v>0</v>
      </c>
      <c r="BC98" s="712">
        <v>0</v>
      </c>
      <c r="BD98" s="713">
        <v>0</v>
      </c>
      <c r="BE98" s="712">
        <v>0</v>
      </c>
      <c r="BF98" s="713">
        <v>0</v>
      </c>
      <c r="BG98" s="712">
        <v>0</v>
      </c>
      <c r="BH98" s="713">
        <v>0</v>
      </c>
      <c r="BI98" s="712">
        <v>0</v>
      </c>
      <c r="BJ98" s="713">
        <v>0</v>
      </c>
      <c r="BK98" s="712">
        <v>0</v>
      </c>
      <c r="BL98" s="713">
        <v>0</v>
      </c>
      <c r="BM98" s="712">
        <v>0</v>
      </c>
      <c r="BN98" s="713">
        <v>0</v>
      </c>
      <c r="BO98" s="712">
        <v>0</v>
      </c>
      <c r="BP98" s="713">
        <v>0</v>
      </c>
      <c r="BQ98" s="712">
        <v>0</v>
      </c>
      <c r="BR98" s="713">
        <v>0</v>
      </c>
      <c r="BS98" s="712">
        <v>0</v>
      </c>
      <c r="BT98" s="713">
        <v>0</v>
      </c>
      <c r="BU98" s="712">
        <v>0</v>
      </c>
      <c r="BV98" s="711">
        <v>0</v>
      </c>
      <c r="BW98" s="714">
        <v>0</v>
      </c>
      <c r="BX98" s="711">
        <v>0</v>
      </c>
      <c r="BY98" s="714">
        <v>0</v>
      </c>
      <c r="BZ98" s="711">
        <v>0</v>
      </c>
      <c r="CA98" s="714">
        <v>0</v>
      </c>
      <c r="CB98" s="711">
        <v>0</v>
      </c>
      <c r="CC98" s="714">
        <v>0</v>
      </c>
      <c r="CD98" s="711">
        <v>0</v>
      </c>
      <c r="CE98" s="714">
        <v>0</v>
      </c>
      <c r="CF98" s="711">
        <v>0</v>
      </c>
      <c r="CG98" s="714">
        <v>0</v>
      </c>
      <c r="CH98" s="711">
        <v>0</v>
      </c>
      <c r="CI98" s="714">
        <v>0</v>
      </c>
      <c r="CJ98" s="711">
        <v>0</v>
      </c>
      <c r="CK98" s="712">
        <v>0</v>
      </c>
      <c r="CL98" s="711">
        <v>0</v>
      </c>
      <c r="CM98" s="712">
        <v>0</v>
      </c>
      <c r="CN98" s="713">
        <v>0</v>
      </c>
      <c r="CO98" s="712">
        <v>0</v>
      </c>
    </row>
    <row r="99" spans="1:93">
      <c r="A99" s="468">
        <v>97</v>
      </c>
      <c r="B99" s="596">
        <v>0</v>
      </c>
      <c r="C99" s="596">
        <v>0</v>
      </c>
      <c r="D99" s="596">
        <v>0</v>
      </c>
      <c r="E99" s="596">
        <v>0</v>
      </c>
      <c r="F99" s="596">
        <v>0</v>
      </c>
      <c r="G99" s="596">
        <v>0</v>
      </c>
      <c r="H99" s="596">
        <v>0</v>
      </c>
      <c r="I99" s="596">
        <v>0</v>
      </c>
      <c r="J99" s="596">
        <v>0</v>
      </c>
      <c r="K99" s="596">
        <v>0</v>
      </c>
      <c r="L99" s="596">
        <v>0</v>
      </c>
      <c r="M99" s="596">
        <v>0</v>
      </c>
      <c r="N99" s="596">
        <v>0</v>
      </c>
      <c r="O99" s="596">
        <v>0</v>
      </c>
      <c r="P99" s="596">
        <v>0</v>
      </c>
      <c r="Q99" s="596">
        <v>0</v>
      </c>
      <c r="R99" s="596">
        <v>0</v>
      </c>
      <c r="S99" s="596">
        <v>0</v>
      </c>
      <c r="T99" s="596">
        <v>0</v>
      </c>
      <c r="U99" s="596">
        <v>0</v>
      </c>
      <c r="V99" s="596">
        <v>0</v>
      </c>
      <c r="W99" s="612">
        <v>0</v>
      </c>
      <c r="X99" s="704">
        <v>0</v>
      </c>
      <c r="Y99" s="705">
        <v>0</v>
      </c>
      <c r="Z99" s="706">
        <v>0</v>
      </c>
      <c r="AA99" s="707">
        <v>0</v>
      </c>
      <c r="AB99" s="706">
        <v>0</v>
      </c>
      <c r="AC99" s="704">
        <v>0</v>
      </c>
      <c r="AD99" s="706">
        <v>0</v>
      </c>
      <c r="AE99" s="708">
        <v>0</v>
      </c>
      <c r="AF99" s="704">
        <v>0</v>
      </c>
      <c r="AG99" s="704">
        <v>0</v>
      </c>
      <c r="AH99" s="708">
        <v>0</v>
      </c>
      <c r="AI99" s="709">
        <v>0.02</v>
      </c>
      <c r="AJ99" s="706">
        <f t="shared" si="21"/>
        <v>7.1428571428571426E-3</v>
      </c>
      <c r="AK99" s="704">
        <v>0</v>
      </c>
      <c r="AL99" s="706">
        <v>0</v>
      </c>
      <c r="AM99" s="710">
        <v>2E-3</v>
      </c>
      <c r="AN99" s="704">
        <v>0</v>
      </c>
      <c r="AO99" s="706">
        <v>0</v>
      </c>
      <c r="AP99" s="711">
        <v>0</v>
      </c>
      <c r="AQ99" s="712">
        <v>0</v>
      </c>
      <c r="AR99" s="711">
        <v>0</v>
      </c>
      <c r="AS99" s="712">
        <v>0</v>
      </c>
      <c r="AT99" s="711">
        <v>0</v>
      </c>
      <c r="AU99" s="712">
        <v>0</v>
      </c>
      <c r="AV99" s="713">
        <v>0</v>
      </c>
      <c r="AW99" s="714">
        <v>0</v>
      </c>
      <c r="AX99" s="711">
        <v>0</v>
      </c>
      <c r="AY99" s="712">
        <v>0</v>
      </c>
      <c r="AZ99" s="713">
        <v>0</v>
      </c>
      <c r="BA99" s="712">
        <v>0</v>
      </c>
      <c r="BB99" s="713">
        <v>0</v>
      </c>
      <c r="BC99" s="712">
        <v>0</v>
      </c>
      <c r="BD99" s="713">
        <v>0</v>
      </c>
      <c r="BE99" s="712">
        <v>0</v>
      </c>
      <c r="BF99" s="713">
        <v>0</v>
      </c>
      <c r="BG99" s="712">
        <v>0</v>
      </c>
      <c r="BH99" s="713">
        <v>0</v>
      </c>
      <c r="BI99" s="712">
        <v>0</v>
      </c>
      <c r="BJ99" s="713">
        <v>0</v>
      </c>
      <c r="BK99" s="712">
        <v>0</v>
      </c>
      <c r="BL99" s="713">
        <v>0</v>
      </c>
      <c r="BM99" s="712">
        <v>0</v>
      </c>
      <c r="BN99" s="713">
        <v>0</v>
      </c>
      <c r="BO99" s="712">
        <v>0</v>
      </c>
      <c r="BP99" s="713">
        <v>0</v>
      </c>
      <c r="BQ99" s="712">
        <v>0</v>
      </c>
      <c r="BR99" s="713">
        <v>0</v>
      </c>
      <c r="BS99" s="712">
        <v>0</v>
      </c>
      <c r="BT99" s="713">
        <v>0</v>
      </c>
      <c r="BU99" s="712">
        <v>0</v>
      </c>
      <c r="BV99" s="711">
        <v>0</v>
      </c>
      <c r="BW99" s="714">
        <v>0</v>
      </c>
      <c r="BX99" s="711">
        <v>0</v>
      </c>
      <c r="BY99" s="714">
        <v>0</v>
      </c>
      <c r="BZ99" s="711">
        <v>0</v>
      </c>
      <c r="CA99" s="714">
        <v>0</v>
      </c>
      <c r="CB99" s="711">
        <v>0</v>
      </c>
      <c r="CC99" s="714">
        <v>0</v>
      </c>
      <c r="CD99" s="711">
        <v>0</v>
      </c>
      <c r="CE99" s="714">
        <v>0</v>
      </c>
      <c r="CF99" s="711">
        <v>0</v>
      </c>
      <c r="CG99" s="714">
        <v>0</v>
      </c>
      <c r="CH99" s="711">
        <v>0</v>
      </c>
      <c r="CI99" s="714">
        <v>0</v>
      </c>
      <c r="CJ99" s="711">
        <v>0</v>
      </c>
      <c r="CK99" s="712">
        <v>0</v>
      </c>
      <c r="CL99" s="711">
        <v>0</v>
      </c>
      <c r="CM99" s="712">
        <v>0</v>
      </c>
      <c r="CN99" s="713">
        <v>0</v>
      </c>
      <c r="CO99" s="712">
        <v>0</v>
      </c>
    </row>
    <row r="100" spans="1:93">
      <c r="A100" s="468">
        <v>98</v>
      </c>
      <c r="B100" s="596">
        <v>0</v>
      </c>
      <c r="C100" s="596">
        <v>0</v>
      </c>
      <c r="D100" s="596">
        <v>0</v>
      </c>
      <c r="E100" s="596">
        <v>0</v>
      </c>
      <c r="F100" s="596">
        <v>0</v>
      </c>
      <c r="G100" s="596">
        <v>0</v>
      </c>
      <c r="H100" s="596">
        <v>0</v>
      </c>
      <c r="I100" s="596">
        <v>0</v>
      </c>
      <c r="J100" s="596">
        <v>0</v>
      </c>
      <c r="K100" s="596">
        <v>0</v>
      </c>
      <c r="L100" s="596">
        <v>0</v>
      </c>
      <c r="M100" s="596">
        <v>0</v>
      </c>
      <c r="N100" s="596">
        <v>0</v>
      </c>
      <c r="O100" s="596">
        <v>0</v>
      </c>
      <c r="P100" s="596">
        <v>0</v>
      </c>
      <c r="Q100" s="596">
        <v>0</v>
      </c>
      <c r="R100" s="596">
        <v>0</v>
      </c>
      <c r="S100" s="596">
        <v>0</v>
      </c>
      <c r="T100" s="596">
        <v>0</v>
      </c>
      <c r="U100" s="596">
        <v>0</v>
      </c>
      <c r="V100" s="596">
        <v>0</v>
      </c>
      <c r="W100" s="612">
        <v>0</v>
      </c>
      <c r="X100" s="704">
        <v>0</v>
      </c>
      <c r="Y100" s="705">
        <v>0</v>
      </c>
      <c r="Z100" s="706">
        <v>0</v>
      </c>
      <c r="AA100" s="707">
        <v>0</v>
      </c>
      <c r="AB100" s="706">
        <v>0</v>
      </c>
      <c r="AC100" s="704">
        <v>0</v>
      </c>
      <c r="AD100" s="706">
        <v>0</v>
      </c>
      <c r="AE100" s="708">
        <v>0</v>
      </c>
      <c r="AF100" s="704">
        <v>0</v>
      </c>
      <c r="AG100" s="704">
        <v>0</v>
      </c>
      <c r="AH100" s="708">
        <v>0</v>
      </c>
      <c r="AI100" s="709">
        <v>0.02</v>
      </c>
      <c r="AJ100" s="706">
        <f t="shared" si="21"/>
        <v>7.1428571428571426E-3</v>
      </c>
      <c r="AK100" s="704">
        <v>0</v>
      </c>
      <c r="AL100" s="706">
        <v>0</v>
      </c>
      <c r="AM100" s="710">
        <v>2E-3</v>
      </c>
      <c r="AN100" s="704">
        <v>0</v>
      </c>
      <c r="AO100" s="706">
        <v>0</v>
      </c>
      <c r="AP100" s="711">
        <v>0</v>
      </c>
      <c r="AQ100" s="712">
        <v>0</v>
      </c>
      <c r="AR100" s="711">
        <v>0</v>
      </c>
      <c r="AS100" s="712">
        <v>0</v>
      </c>
      <c r="AT100" s="711">
        <v>0</v>
      </c>
      <c r="AU100" s="712">
        <v>0</v>
      </c>
      <c r="AV100" s="713">
        <v>0</v>
      </c>
      <c r="AW100" s="714">
        <v>0</v>
      </c>
      <c r="AX100" s="711">
        <v>0</v>
      </c>
      <c r="AY100" s="712">
        <v>0</v>
      </c>
      <c r="AZ100" s="713">
        <v>0</v>
      </c>
      <c r="BA100" s="712">
        <v>0</v>
      </c>
      <c r="BB100" s="713">
        <v>0</v>
      </c>
      <c r="BC100" s="712">
        <v>0</v>
      </c>
      <c r="BD100" s="713">
        <v>0</v>
      </c>
      <c r="BE100" s="712">
        <v>0</v>
      </c>
      <c r="BF100" s="713">
        <v>0</v>
      </c>
      <c r="BG100" s="712">
        <v>0</v>
      </c>
      <c r="BH100" s="713">
        <v>0</v>
      </c>
      <c r="BI100" s="712">
        <v>0</v>
      </c>
      <c r="BJ100" s="713">
        <v>0</v>
      </c>
      <c r="BK100" s="712">
        <v>0</v>
      </c>
      <c r="BL100" s="713">
        <v>0</v>
      </c>
      <c r="BM100" s="712">
        <v>0</v>
      </c>
      <c r="BN100" s="713">
        <v>0</v>
      </c>
      <c r="BO100" s="712">
        <v>0</v>
      </c>
      <c r="BP100" s="713">
        <v>0</v>
      </c>
      <c r="BQ100" s="712">
        <v>0</v>
      </c>
      <c r="BR100" s="713">
        <v>0</v>
      </c>
      <c r="BS100" s="712">
        <v>0</v>
      </c>
      <c r="BT100" s="713">
        <v>0</v>
      </c>
      <c r="BU100" s="712">
        <v>0</v>
      </c>
      <c r="BV100" s="711">
        <v>0</v>
      </c>
      <c r="BW100" s="714">
        <v>0</v>
      </c>
      <c r="BX100" s="711">
        <v>0</v>
      </c>
      <c r="BY100" s="714">
        <v>0</v>
      </c>
      <c r="BZ100" s="711">
        <v>0</v>
      </c>
      <c r="CA100" s="714">
        <v>0</v>
      </c>
      <c r="CB100" s="711">
        <v>0</v>
      </c>
      <c r="CC100" s="714">
        <v>0</v>
      </c>
      <c r="CD100" s="711">
        <v>0</v>
      </c>
      <c r="CE100" s="714">
        <v>0</v>
      </c>
      <c r="CF100" s="711">
        <v>0</v>
      </c>
      <c r="CG100" s="714">
        <v>0</v>
      </c>
      <c r="CH100" s="711">
        <v>0</v>
      </c>
      <c r="CI100" s="714">
        <v>0</v>
      </c>
      <c r="CJ100" s="711">
        <v>0</v>
      </c>
      <c r="CK100" s="712">
        <v>0</v>
      </c>
      <c r="CL100" s="711">
        <v>0</v>
      </c>
      <c r="CM100" s="712">
        <v>0</v>
      </c>
      <c r="CN100" s="713">
        <v>0</v>
      </c>
      <c r="CO100" s="712">
        <v>0</v>
      </c>
    </row>
    <row r="101" spans="1:93">
      <c r="A101" s="468">
        <v>99</v>
      </c>
      <c r="B101" s="596">
        <v>0</v>
      </c>
      <c r="C101" s="596">
        <v>0</v>
      </c>
      <c r="D101" s="596">
        <v>0</v>
      </c>
      <c r="E101" s="596">
        <v>0</v>
      </c>
      <c r="F101" s="596">
        <v>0</v>
      </c>
      <c r="G101" s="596">
        <v>0</v>
      </c>
      <c r="H101" s="596">
        <v>0</v>
      </c>
      <c r="I101" s="596">
        <v>0</v>
      </c>
      <c r="J101" s="596">
        <v>0</v>
      </c>
      <c r="K101" s="596">
        <v>0</v>
      </c>
      <c r="L101" s="596">
        <v>0</v>
      </c>
      <c r="M101" s="596">
        <v>0</v>
      </c>
      <c r="N101" s="596">
        <v>0</v>
      </c>
      <c r="O101" s="596">
        <v>0</v>
      </c>
      <c r="P101" s="596">
        <v>0</v>
      </c>
      <c r="Q101" s="596">
        <v>0</v>
      </c>
      <c r="R101" s="596">
        <v>0</v>
      </c>
      <c r="S101" s="596">
        <v>0</v>
      </c>
      <c r="T101" s="596">
        <v>0</v>
      </c>
      <c r="U101" s="596">
        <v>0</v>
      </c>
      <c r="V101" s="596">
        <v>0</v>
      </c>
      <c r="W101" s="612">
        <v>0</v>
      </c>
      <c r="X101" s="704">
        <v>0</v>
      </c>
      <c r="Y101" s="705">
        <v>0</v>
      </c>
      <c r="Z101" s="706">
        <v>0</v>
      </c>
      <c r="AA101" s="707">
        <v>0</v>
      </c>
      <c r="AB101" s="706">
        <v>0</v>
      </c>
      <c r="AC101" s="704">
        <v>0</v>
      </c>
      <c r="AD101" s="706">
        <v>0</v>
      </c>
      <c r="AE101" s="708">
        <v>0</v>
      </c>
      <c r="AF101" s="704">
        <v>0</v>
      </c>
      <c r="AG101" s="704">
        <v>0</v>
      </c>
      <c r="AH101" s="708">
        <v>0</v>
      </c>
      <c r="AI101" s="709">
        <v>0.02</v>
      </c>
      <c r="AJ101" s="706">
        <f t="shared" si="21"/>
        <v>7.1428571428571426E-3</v>
      </c>
      <c r="AK101" s="704">
        <v>0</v>
      </c>
      <c r="AL101" s="706">
        <v>0</v>
      </c>
      <c r="AM101" s="710">
        <v>2E-3</v>
      </c>
      <c r="AN101" s="704">
        <v>0</v>
      </c>
      <c r="AO101" s="706">
        <v>0</v>
      </c>
      <c r="AP101" s="711">
        <v>0</v>
      </c>
      <c r="AQ101" s="712">
        <v>0</v>
      </c>
      <c r="AR101" s="711">
        <v>0</v>
      </c>
      <c r="AS101" s="712">
        <v>0</v>
      </c>
      <c r="AT101" s="711">
        <v>0</v>
      </c>
      <c r="AU101" s="712">
        <v>0</v>
      </c>
      <c r="AV101" s="713">
        <v>0</v>
      </c>
      <c r="AW101" s="714">
        <v>0</v>
      </c>
      <c r="AX101" s="711">
        <v>0</v>
      </c>
      <c r="AY101" s="712">
        <v>0</v>
      </c>
      <c r="AZ101" s="713">
        <v>0</v>
      </c>
      <c r="BA101" s="712">
        <v>0</v>
      </c>
      <c r="BB101" s="713">
        <v>0</v>
      </c>
      <c r="BC101" s="712">
        <v>0</v>
      </c>
      <c r="BD101" s="713">
        <v>0</v>
      </c>
      <c r="BE101" s="712">
        <v>0</v>
      </c>
      <c r="BF101" s="713">
        <v>0</v>
      </c>
      <c r="BG101" s="712">
        <v>0</v>
      </c>
      <c r="BH101" s="713">
        <v>0</v>
      </c>
      <c r="BI101" s="712">
        <v>0</v>
      </c>
      <c r="BJ101" s="713">
        <v>0</v>
      </c>
      <c r="BK101" s="712">
        <v>0</v>
      </c>
      <c r="BL101" s="713">
        <v>0</v>
      </c>
      <c r="BM101" s="712">
        <v>0</v>
      </c>
      <c r="BN101" s="713">
        <v>0</v>
      </c>
      <c r="BO101" s="712">
        <v>0</v>
      </c>
      <c r="BP101" s="713">
        <v>0</v>
      </c>
      <c r="BQ101" s="712">
        <v>0</v>
      </c>
      <c r="BR101" s="713">
        <v>0</v>
      </c>
      <c r="BS101" s="712">
        <v>0</v>
      </c>
      <c r="BT101" s="713">
        <v>0</v>
      </c>
      <c r="BU101" s="712">
        <v>0</v>
      </c>
      <c r="BV101" s="711">
        <v>0</v>
      </c>
      <c r="BW101" s="714">
        <v>0</v>
      </c>
      <c r="BX101" s="711">
        <v>0</v>
      </c>
      <c r="BY101" s="714">
        <v>0</v>
      </c>
      <c r="BZ101" s="711">
        <v>0</v>
      </c>
      <c r="CA101" s="714">
        <v>0</v>
      </c>
      <c r="CB101" s="711">
        <v>0</v>
      </c>
      <c r="CC101" s="714">
        <v>0</v>
      </c>
      <c r="CD101" s="711">
        <v>0</v>
      </c>
      <c r="CE101" s="714">
        <v>0</v>
      </c>
      <c r="CF101" s="711">
        <v>0</v>
      </c>
      <c r="CG101" s="714">
        <v>0</v>
      </c>
      <c r="CH101" s="711">
        <v>0</v>
      </c>
      <c r="CI101" s="714">
        <v>0</v>
      </c>
      <c r="CJ101" s="711">
        <v>0</v>
      </c>
      <c r="CK101" s="712">
        <v>0</v>
      </c>
      <c r="CL101" s="711">
        <v>0</v>
      </c>
      <c r="CM101" s="712">
        <v>0</v>
      </c>
      <c r="CN101" s="713">
        <v>0</v>
      </c>
      <c r="CO101" s="712">
        <v>0</v>
      </c>
    </row>
    <row r="102" spans="1:93">
      <c r="A102" s="468">
        <v>100</v>
      </c>
      <c r="B102" s="596">
        <v>0</v>
      </c>
      <c r="C102" s="596">
        <v>0</v>
      </c>
      <c r="D102" s="596">
        <v>0</v>
      </c>
      <c r="E102" s="596">
        <v>0</v>
      </c>
      <c r="F102" s="596">
        <v>0</v>
      </c>
      <c r="G102" s="596">
        <v>0</v>
      </c>
      <c r="H102" s="596">
        <v>0</v>
      </c>
      <c r="I102" s="596">
        <v>0</v>
      </c>
      <c r="J102" s="596">
        <v>0</v>
      </c>
      <c r="K102" s="596">
        <v>0</v>
      </c>
      <c r="L102" s="596">
        <v>0</v>
      </c>
      <c r="M102" s="596">
        <v>0</v>
      </c>
      <c r="N102" s="596">
        <v>0</v>
      </c>
      <c r="O102" s="596">
        <v>0</v>
      </c>
      <c r="P102" s="596">
        <v>0</v>
      </c>
      <c r="Q102" s="596">
        <v>0</v>
      </c>
      <c r="R102" s="596">
        <v>0</v>
      </c>
      <c r="S102" s="596">
        <v>0</v>
      </c>
      <c r="T102" s="596">
        <v>0</v>
      </c>
      <c r="U102" s="596">
        <v>0</v>
      </c>
      <c r="V102" s="596">
        <v>0</v>
      </c>
      <c r="W102" s="612">
        <v>0</v>
      </c>
      <c r="X102" s="704">
        <v>0</v>
      </c>
      <c r="Y102" s="705">
        <v>0</v>
      </c>
      <c r="Z102" s="706">
        <v>0</v>
      </c>
      <c r="AA102" s="707">
        <v>0</v>
      </c>
      <c r="AB102" s="706">
        <v>0</v>
      </c>
      <c r="AC102" s="704">
        <v>0</v>
      </c>
      <c r="AD102" s="706">
        <v>0</v>
      </c>
      <c r="AE102" s="708">
        <v>0</v>
      </c>
      <c r="AF102" s="704">
        <v>0</v>
      </c>
      <c r="AG102" s="704">
        <v>0</v>
      </c>
      <c r="AH102" s="708">
        <v>0</v>
      </c>
      <c r="AI102" s="709">
        <v>0.02</v>
      </c>
      <c r="AJ102" s="706">
        <f t="shared" si="21"/>
        <v>7.1428571428571426E-3</v>
      </c>
      <c r="AK102" s="704">
        <v>0</v>
      </c>
      <c r="AL102" s="706">
        <v>0</v>
      </c>
      <c r="AM102" s="710">
        <v>2E-3</v>
      </c>
      <c r="AN102" s="704">
        <v>0</v>
      </c>
      <c r="AO102" s="706">
        <v>0</v>
      </c>
      <c r="AP102" s="711">
        <v>0</v>
      </c>
      <c r="AQ102" s="712">
        <v>0</v>
      </c>
      <c r="AR102" s="711">
        <v>0</v>
      </c>
      <c r="AS102" s="712">
        <v>0</v>
      </c>
      <c r="AT102" s="711">
        <v>0</v>
      </c>
      <c r="AU102" s="712">
        <v>0</v>
      </c>
      <c r="AV102" s="713">
        <v>0</v>
      </c>
      <c r="AW102" s="714">
        <v>0</v>
      </c>
      <c r="AX102" s="711">
        <v>0</v>
      </c>
      <c r="AY102" s="712">
        <v>0</v>
      </c>
      <c r="AZ102" s="713">
        <v>0</v>
      </c>
      <c r="BA102" s="712">
        <v>0</v>
      </c>
      <c r="BB102" s="713">
        <v>0</v>
      </c>
      <c r="BC102" s="712">
        <v>0</v>
      </c>
      <c r="BD102" s="713">
        <v>0</v>
      </c>
      <c r="BE102" s="712">
        <v>0</v>
      </c>
      <c r="BF102" s="713">
        <v>0</v>
      </c>
      <c r="BG102" s="712">
        <v>0</v>
      </c>
      <c r="BH102" s="713">
        <v>0</v>
      </c>
      <c r="BI102" s="712">
        <v>0</v>
      </c>
      <c r="BJ102" s="713">
        <v>0</v>
      </c>
      <c r="BK102" s="712">
        <v>0</v>
      </c>
      <c r="BL102" s="713">
        <v>0</v>
      </c>
      <c r="BM102" s="712">
        <v>0</v>
      </c>
      <c r="BN102" s="713">
        <v>0</v>
      </c>
      <c r="BO102" s="712">
        <v>0</v>
      </c>
      <c r="BP102" s="713">
        <v>0</v>
      </c>
      <c r="BQ102" s="712">
        <v>0</v>
      </c>
      <c r="BR102" s="713">
        <v>0</v>
      </c>
      <c r="BS102" s="712">
        <v>0</v>
      </c>
      <c r="BT102" s="713">
        <v>0</v>
      </c>
      <c r="BU102" s="712">
        <v>0</v>
      </c>
      <c r="BV102" s="711">
        <v>0</v>
      </c>
      <c r="BW102" s="714">
        <v>0</v>
      </c>
      <c r="BX102" s="711">
        <v>0</v>
      </c>
      <c r="BY102" s="714">
        <v>0</v>
      </c>
      <c r="BZ102" s="711">
        <v>0</v>
      </c>
      <c r="CA102" s="714">
        <v>0</v>
      </c>
      <c r="CB102" s="711">
        <v>0</v>
      </c>
      <c r="CC102" s="714">
        <v>0</v>
      </c>
      <c r="CD102" s="711">
        <v>0</v>
      </c>
      <c r="CE102" s="714">
        <v>0</v>
      </c>
      <c r="CF102" s="711">
        <v>0</v>
      </c>
      <c r="CG102" s="714">
        <v>0</v>
      </c>
      <c r="CH102" s="711">
        <v>0</v>
      </c>
      <c r="CI102" s="714">
        <v>0</v>
      </c>
      <c r="CJ102" s="711">
        <v>0</v>
      </c>
      <c r="CK102" s="712">
        <v>0</v>
      </c>
      <c r="CL102" s="711">
        <v>0</v>
      </c>
      <c r="CM102" s="712">
        <v>0</v>
      </c>
      <c r="CN102" s="713">
        <v>0</v>
      </c>
      <c r="CO102" s="712">
        <v>0</v>
      </c>
    </row>
    <row r="103" spans="1:93">
      <c r="A103" s="468">
        <v>101</v>
      </c>
      <c r="B103" s="596">
        <v>0</v>
      </c>
      <c r="C103" s="596">
        <v>0</v>
      </c>
      <c r="D103" s="596">
        <v>0</v>
      </c>
      <c r="E103" s="596">
        <v>0</v>
      </c>
      <c r="F103" s="596">
        <v>0</v>
      </c>
      <c r="G103" s="596">
        <v>0</v>
      </c>
      <c r="H103" s="596">
        <v>0</v>
      </c>
      <c r="I103" s="596">
        <v>0</v>
      </c>
      <c r="J103" s="596">
        <v>0</v>
      </c>
      <c r="K103" s="596">
        <v>0</v>
      </c>
      <c r="L103" s="596">
        <v>0</v>
      </c>
      <c r="M103" s="596">
        <v>0</v>
      </c>
      <c r="N103" s="596">
        <v>0</v>
      </c>
      <c r="O103" s="596">
        <v>0</v>
      </c>
      <c r="P103" s="596">
        <v>0</v>
      </c>
      <c r="Q103" s="596">
        <v>0</v>
      </c>
      <c r="R103" s="596">
        <v>0</v>
      </c>
      <c r="S103" s="596">
        <v>0</v>
      </c>
      <c r="T103" s="596">
        <v>0</v>
      </c>
      <c r="U103" s="596">
        <v>0</v>
      </c>
      <c r="V103" s="596">
        <v>0</v>
      </c>
      <c r="W103" s="612">
        <v>0</v>
      </c>
      <c r="X103" s="704">
        <v>0</v>
      </c>
      <c r="Y103" s="705">
        <v>0</v>
      </c>
      <c r="Z103" s="706">
        <v>0</v>
      </c>
      <c r="AA103" s="707">
        <v>0</v>
      </c>
      <c r="AB103" s="706">
        <v>0</v>
      </c>
      <c r="AC103" s="704">
        <v>0</v>
      </c>
      <c r="AD103" s="706">
        <v>0</v>
      </c>
      <c r="AE103" s="708">
        <v>0</v>
      </c>
      <c r="AF103" s="704">
        <v>0</v>
      </c>
      <c r="AG103" s="704">
        <v>0</v>
      </c>
      <c r="AH103" s="708">
        <v>0</v>
      </c>
      <c r="AI103" s="709">
        <v>2E-3</v>
      </c>
      <c r="AJ103" s="706">
        <f t="shared" si="21"/>
        <v>7.1428571428571426E-3</v>
      </c>
      <c r="AK103" s="704">
        <v>0</v>
      </c>
      <c r="AL103" s="706">
        <v>0</v>
      </c>
      <c r="AM103" s="710">
        <v>2E-3</v>
      </c>
      <c r="AN103" s="704">
        <v>0</v>
      </c>
      <c r="AO103" s="706">
        <v>0</v>
      </c>
      <c r="AP103" s="711">
        <v>0</v>
      </c>
      <c r="AQ103" s="712">
        <v>0</v>
      </c>
      <c r="AR103" s="711">
        <v>0</v>
      </c>
      <c r="AS103" s="712">
        <v>0</v>
      </c>
      <c r="AT103" s="711">
        <v>0</v>
      </c>
      <c r="AU103" s="712">
        <v>0</v>
      </c>
      <c r="AV103" s="713">
        <v>0</v>
      </c>
      <c r="AW103" s="714">
        <v>0</v>
      </c>
      <c r="AX103" s="711">
        <v>0</v>
      </c>
      <c r="AY103" s="712">
        <v>0</v>
      </c>
      <c r="AZ103" s="713">
        <v>0</v>
      </c>
      <c r="BA103" s="712">
        <v>0</v>
      </c>
      <c r="BB103" s="713">
        <v>0</v>
      </c>
      <c r="BC103" s="712">
        <v>0</v>
      </c>
      <c r="BD103" s="713">
        <v>0</v>
      </c>
      <c r="BE103" s="712">
        <v>0</v>
      </c>
      <c r="BF103" s="713">
        <v>0</v>
      </c>
      <c r="BG103" s="712">
        <v>0</v>
      </c>
      <c r="BH103" s="713">
        <v>0</v>
      </c>
      <c r="BI103" s="712">
        <v>0</v>
      </c>
      <c r="BJ103" s="713">
        <v>0</v>
      </c>
      <c r="BK103" s="712">
        <v>0</v>
      </c>
      <c r="BL103" s="713">
        <v>0</v>
      </c>
      <c r="BM103" s="712">
        <v>0</v>
      </c>
      <c r="BN103" s="713">
        <v>0</v>
      </c>
      <c r="BO103" s="712">
        <v>0</v>
      </c>
      <c r="BP103" s="713">
        <v>0</v>
      </c>
      <c r="BQ103" s="712">
        <v>0</v>
      </c>
      <c r="BR103" s="713">
        <v>0</v>
      </c>
      <c r="BS103" s="712">
        <v>0</v>
      </c>
      <c r="BT103" s="713">
        <v>0</v>
      </c>
      <c r="BU103" s="712">
        <v>0</v>
      </c>
      <c r="BV103" s="711">
        <v>0</v>
      </c>
      <c r="BW103" s="714">
        <v>0</v>
      </c>
      <c r="BX103" s="711">
        <v>0</v>
      </c>
      <c r="BY103" s="714">
        <v>0</v>
      </c>
      <c r="BZ103" s="711">
        <v>0</v>
      </c>
      <c r="CA103" s="714">
        <v>0</v>
      </c>
      <c r="CB103" s="711">
        <v>0</v>
      </c>
      <c r="CC103" s="714">
        <v>0</v>
      </c>
      <c r="CD103" s="711">
        <v>0</v>
      </c>
      <c r="CE103" s="714">
        <v>0</v>
      </c>
      <c r="CF103" s="711">
        <v>0</v>
      </c>
      <c r="CG103" s="714">
        <v>0</v>
      </c>
      <c r="CH103" s="711">
        <v>0</v>
      </c>
      <c r="CI103" s="714">
        <v>0</v>
      </c>
      <c r="CJ103" s="711">
        <v>0</v>
      </c>
      <c r="CK103" s="712">
        <v>0</v>
      </c>
      <c r="CL103" s="711">
        <v>0</v>
      </c>
      <c r="CM103" s="712">
        <v>0</v>
      </c>
      <c r="CN103" s="713">
        <v>0</v>
      </c>
      <c r="CO103" s="712">
        <v>0</v>
      </c>
    </row>
    <row r="104" spans="1:93">
      <c r="A104" s="468">
        <v>102</v>
      </c>
      <c r="B104" s="596">
        <v>0</v>
      </c>
      <c r="C104" s="596">
        <v>0</v>
      </c>
      <c r="D104" s="596">
        <v>0</v>
      </c>
      <c r="E104" s="596">
        <v>0</v>
      </c>
      <c r="F104" s="596">
        <v>0</v>
      </c>
      <c r="G104" s="596">
        <v>0</v>
      </c>
      <c r="H104" s="596">
        <v>0</v>
      </c>
      <c r="I104" s="596">
        <v>0</v>
      </c>
      <c r="J104" s="596">
        <v>0</v>
      </c>
      <c r="K104" s="596">
        <v>0</v>
      </c>
      <c r="L104" s="596">
        <v>0</v>
      </c>
      <c r="M104" s="596">
        <v>0</v>
      </c>
      <c r="N104" s="596">
        <v>0</v>
      </c>
      <c r="O104" s="596">
        <v>0</v>
      </c>
      <c r="P104" s="596">
        <v>0</v>
      </c>
      <c r="Q104" s="596">
        <v>0</v>
      </c>
      <c r="R104" s="596">
        <v>0</v>
      </c>
      <c r="S104" s="596">
        <v>0</v>
      </c>
      <c r="T104" s="596">
        <v>0</v>
      </c>
      <c r="U104" s="596">
        <v>0</v>
      </c>
      <c r="V104" s="596">
        <v>0</v>
      </c>
      <c r="W104" s="612">
        <v>0</v>
      </c>
      <c r="X104" s="704">
        <v>0</v>
      </c>
      <c r="Y104" s="705">
        <v>0</v>
      </c>
      <c r="Z104" s="706">
        <v>0</v>
      </c>
      <c r="AA104" s="707">
        <v>0</v>
      </c>
      <c r="AB104" s="706">
        <v>0</v>
      </c>
      <c r="AC104" s="704">
        <v>0</v>
      </c>
      <c r="AD104" s="706">
        <v>0</v>
      </c>
      <c r="AE104" s="708">
        <v>0</v>
      </c>
      <c r="AF104" s="704">
        <v>0</v>
      </c>
      <c r="AG104" s="704">
        <v>0</v>
      </c>
      <c r="AH104" s="708">
        <v>0</v>
      </c>
      <c r="AI104" s="709">
        <v>2E-3</v>
      </c>
      <c r="AJ104" s="706">
        <f t="shared" si="21"/>
        <v>7.1428571428571426E-3</v>
      </c>
      <c r="AK104" s="704">
        <v>0</v>
      </c>
      <c r="AL104" s="706">
        <v>0</v>
      </c>
      <c r="AM104" s="710">
        <v>2E-3</v>
      </c>
      <c r="AN104" s="704">
        <v>0</v>
      </c>
      <c r="AO104" s="706">
        <v>0</v>
      </c>
      <c r="AP104" s="711">
        <v>0</v>
      </c>
      <c r="AQ104" s="712">
        <v>0</v>
      </c>
      <c r="AR104" s="711">
        <v>0</v>
      </c>
      <c r="AS104" s="712">
        <v>0</v>
      </c>
      <c r="AT104" s="711">
        <v>0</v>
      </c>
      <c r="AU104" s="712">
        <v>0</v>
      </c>
      <c r="AV104" s="713">
        <v>0</v>
      </c>
      <c r="AW104" s="714">
        <v>0</v>
      </c>
      <c r="AX104" s="711">
        <v>0</v>
      </c>
      <c r="AY104" s="712">
        <v>0</v>
      </c>
      <c r="AZ104" s="713">
        <v>0</v>
      </c>
      <c r="BA104" s="712">
        <v>0</v>
      </c>
      <c r="BB104" s="713">
        <v>0</v>
      </c>
      <c r="BC104" s="712">
        <v>0</v>
      </c>
      <c r="BD104" s="713">
        <v>0</v>
      </c>
      <c r="BE104" s="712">
        <v>0</v>
      </c>
      <c r="BF104" s="713">
        <v>0</v>
      </c>
      <c r="BG104" s="712">
        <v>0</v>
      </c>
      <c r="BH104" s="713">
        <v>0</v>
      </c>
      <c r="BI104" s="712">
        <v>0</v>
      </c>
      <c r="BJ104" s="713">
        <v>0</v>
      </c>
      <c r="BK104" s="712">
        <v>0</v>
      </c>
      <c r="BL104" s="713">
        <v>0</v>
      </c>
      <c r="BM104" s="712">
        <v>0</v>
      </c>
      <c r="BN104" s="713">
        <v>0</v>
      </c>
      <c r="BO104" s="712">
        <v>0</v>
      </c>
      <c r="BP104" s="713">
        <v>0</v>
      </c>
      <c r="BQ104" s="712">
        <v>0</v>
      </c>
      <c r="BR104" s="713">
        <v>0</v>
      </c>
      <c r="BS104" s="712">
        <v>0</v>
      </c>
      <c r="BT104" s="713">
        <v>0</v>
      </c>
      <c r="BU104" s="712">
        <v>0</v>
      </c>
      <c r="BV104" s="711">
        <v>0</v>
      </c>
      <c r="BW104" s="714">
        <v>0</v>
      </c>
      <c r="BX104" s="711">
        <v>0</v>
      </c>
      <c r="BY104" s="714">
        <v>0</v>
      </c>
      <c r="BZ104" s="711">
        <v>0</v>
      </c>
      <c r="CA104" s="714">
        <v>0</v>
      </c>
      <c r="CB104" s="711">
        <v>0</v>
      </c>
      <c r="CC104" s="714">
        <v>0</v>
      </c>
      <c r="CD104" s="711">
        <v>0</v>
      </c>
      <c r="CE104" s="714">
        <v>0</v>
      </c>
      <c r="CF104" s="711">
        <v>0</v>
      </c>
      <c r="CG104" s="714">
        <v>0</v>
      </c>
      <c r="CH104" s="711">
        <v>0</v>
      </c>
      <c r="CI104" s="714">
        <v>0</v>
      </c>
      <c r="CJ104" s="711">
        <v>0</v>
      </c>
      <c r="CK104" s="712">
        <v>0</v>
      </c>
      <c r="CL104" s="711">
        <v>0</v>
      </c>
      <c r="CM104" s="712">
        <v>0</v>
      </c>
      <c r="CN104" s="713">
        <v>0</v>
      </c>
      <c r="CO104" s="712">
        <v>0</v>
      </c>
    </row>
    <row r="105" spans="1:93">
      <c r="A105" s="468">
        <v>103</v>
      </c>
      <c r="B105" s="596">
        <v>0</v>
      </c>
      <c r="C105" s="596">
        <v>0</v>
      </c>
      <c r="D105" s="596">
        <v>0</v>
      </c>
      <c r="E105" s="596">
        <v>0</v>
      </c>
      <c r="F105" s="596">
        <v>0</v>
      </c>
      <c r="G105" s="596">
        <v>0</v>
      </c>
      <c r="H105" s="596">
        <v>0</v>
      </c>
      <c r="I105" s="596">
        <v>0</v>
      </c>
      <c r="J105" s="596">
        <v>0</v>
      </c>
      <c r="K105" s="596">
        <v>0</v>
      </c>
      <c r="L105" s="596">
        <v>0</v>
      </c>
      <c r="M105" s="596">
        <v>0</v>
      </c>
      <c r="N105" s="596">
        <v>0</v>
      </c>
      <c r="O105" s="596">
        <v>0</v>
      </c>
      <c r="P105" s="596">
        <v>0</v>
      </c>
      <c r="Q105" s="596">
        <v>0</v>
      </c>
      <c r="R105" s="596">
        <v>0</v>
      </c>
      <c r="S105" s="596">
        <v>0</v>
      </c>
      <c r="T105" s="596">
        <v>0</v>
      </c>
      <c r="U105" s="596">
        <v>0</v>
      </c>
      <c r="V105" s="596">
        <v>0</v>
      </c>
      <c r="W105" s="612">
        <v>0</v>
      </c>
      <c r="X105" s="704">
        <v>0</v>
      </c>
      <c r="Y105" s="705">
        <v>0</v>
      </c>
      <c r="Z105" s="706">
        <v>0</v>
      </c>
      <c r="AA105" s="707">
        <v>0</v>
      </c>
      <c r="AB105" s="706">
        <v>0</v>
      </c>
      <c r="AC105" s="704">
        <v>0</v>
      </c>
      <c r="AD105" s="706">
        <v>0</v>
      </c>
      <c r="AE105" s="708">
        <v>0</v>
      </c>
      <c r="AF105" s="704">
        <v>0</v>
      </c>
      <c r="AG105" s="704">
        <v>0</v>
      </c>
      <c r="AH105" s="708">
        <v>0</v>
      </c>
      <c r="AI105" s="709">
        <v>2E-3</v>
      </c>
      <c r="AJ105" s="706">
        <f t="shared" si="21"/>
        <v>7.1428571428571426E-3</v>
      </c>
      <c r="AK105" s="704">
        <v>0</v>
      </c>
      <c r="AL105" s="706">
        <v>0</v>
      </c>
      <c r="AM105" s="710">
        <v>2E-3</v>
      </c>
      <c r="AN105" s="704">
        <v>0</v>
      </c>
      <c r="AO105" s="706">
        <v>0</v>
      </c>
      <c r="AP105" s="711">
        <v>0</v>
      </c>
      <c r="AQ105" s="712">
        <v>0</v>
      </c>
      <c r="AR105" s="711">
        <v>0</v>
      </c>
      <c r="AS105" s="712">
        <v>0</v>
      </c>
      <c r="AT105" s="711">
        <v>0</v>
      </c>
      <c r="AU105" s="712">
        <v>0</v>
      </c>
      <c r="AV105" s="713">
        <v>0</v>
      </c>
      <c r="AW105" s="714">
        <v>0</v>
      </c>
      <c r="AX105" s="711">
        <v>0</v>
      </c>
      <c r="AY105" s="712">
        <v>0</v>
      </c>
      <c r="AZ105" s="713">
        <v>0</v>
      </c>
      <c r="BA105" s="712">
        <v>0</v>
      </c>
      <c r="BB105" s="713">
        <v>0</v>
      </c>
      <c r="BC105" s="712">
        <v>0</v>
      </c>
      <c r="BD105" s="713">
        <v>0</v>
      </c>
      <c r="BE105" s="712">
        <v>0</v>
      </c>
      <c r="BF105" s="713">
        <v>0</v>
      </c>
      <c r="BG105" s="712">
        <v>0</v>
      </c>
      <c r="BH105" s="713">
        <v>0</v>
      </c>
      <c r="BI105" s="712">
        <v>0</v>
      </c>
      <c r="BJ105" s="713">
        <v>0</v>
      </c>
      <c r="BK105" s="712">
        <v>0</v>
      </c>
      <c r="BL105" s="713">
        <v>0</v>
      </c>
      <c r="BM105" s="712">
        <v>0</v>
      </c>
      <c r="BN105" s="713">
        <v>0</v>
      </c>
      <c r="BO105" s="712">
        <v>0</v>
      </c>
      <c r="BP105" s="713">
        <v>0</v>
      </c>
      <c r="BQ105" s="712">
        <v>0</v>
      </c>
      <c r="BR105" s="713">
        <v>0</v>
      </c>
      <c r="BS105" s="712">
        <v>0</v>
      </c>
      <c r="BT105" s="713">
        <v>0</v>
      </c>
      <c r="BU105" s="712">
        <v>0</v>
      </c>
      <c r="BV105" s="711">
        <v>0</v>
      </c>
      <c r="BW105" s="714">
        <v>0</v>
      </c>
      <c r="BX105" s="711">
        <v>0</v>
      </c>
      <c r="BY105" s="714">
        <v>0</v>
      </c>
      <c r="BZ105" s="711">
        <v>0</v>
      </c>
      <c r="CA105" s="714">
        <v>0</v>
      </c>
      <c r="CB105" s="711">
        <v>0</v>
      </c>
      <c r="CC105" s="714">
        <v>0</v>
      </c>
      <c r="CD105" s="711">
        <v>0</v>
      </c>
      <c r="CE105" s="714">
        <v>0</v>
      </c>
      <c r="CF105" s="711">
        <v>0</v>
      </c>
      <c r="CG105" s="714">
        <v>0</v>
      </c>
      <c r="CH105" s="711">
        <v>0</v>
      </c>
      <c r="CI105" s="714">
        <v>0</v>
      </c>
      <c r="CJ105" s="711">
        <v>0</v>
      </c>
      <c r="CK105" s="712">
        <v>0</v>
      </c>
      <c r="CL105" s="711">
        <v>0</v>
      </c>
      <c r="CM105" s="712">
        <v>0</v>
      </c>
      <c r="CN105" s="713">
        <v>0</v>
      </c>
      <c r="CO105" s="712">
        <v>0</v>
      </c>
    </row>
    <row r="106" spans="1:93">
      <c r="A106" s="468">
        <v>104</v>
      </c>
      <c r="B106" s="596">
        <v>0</v>
      </c>
      <c r="C106" s="596">
        <v>0</v>
      </c>
      <c r="D106" s="596">
        <v>0</v>
      </c>
      <c r="E106" s="596">
        <v>0</v>
      </c>
      <c r="F106" s="596">
        <v>0</v>
      </c>
      <c r="G106" s="596">
        <v>0</v>
      </c>
      <c r="H106" s="596">
        <v>0</v>
      </c>
      <c r="I106" s="596">
        <v>0</v>
      </c>
      <c r="J106" s="596">
        <v>0</v>
      </c>
      <c r="K106" s="596">
        <v>0</v>
      </c>
      <c r="L106" s="596">
        <v>0</v>
      </c>
      <c r="M106" s="596">
        <v>0</v>
      </c>
      <c r="N106" s="596">
        <v>0</v>
      </c>
      <c r="O106" s="596">
        <v>0</v>
      </c>
      <c r="P106" s="596">
        <v>0</v>
      </c>
      <c r="Q106" s="596">
        <v>0</v>
      </c>
      <c r="R106" s="596">
        <v>0</v>
      </c>
      <c r="S106" s="596">
        <v>0</v>
      </c>
      <c r="T106" s="596">
        <v>0</v>
      </c>
      <c r="U106" s="596">
        <v>0</v>
      </c>
      <c r="V106" s="596">
        <v>0</v>
      </c>
      <c r="W106" s="612">
        <v>0</v>
      </c>
      <c r="X106" s="704">
        <v>0</v>
      </c>
      <c r="Y106" s="705">
        <v>0</v>
      </c>
      <c r="Z106" s="706">
        <v>0</v>
      </c>
      <c r="AA106" s="707">
        <v>0</v>
      </c>
      <c r="AB106" s="706">
        <v>0</v>
      </c>
      <c r="AC106" s="704">
        <v>0</v>
      </c>
      <c r="AD106" s="706">
        <v>0</v>
      </c>
      <c r="AE106" s="708">
        <v>0</v>
      </c>
      <c r="AF106" s="704">
        <v>0</v>
      </c>
      <c r="AG106" s="704">
        <v>0</v>
      </c>
      <c r="AH106" s="708">
        <v>0</v>
      </c>
      <c r="AI106" s="709">
        <v>2E-3</v>
      </c>
      <c r="AJ106" s="706">
        <f t="shared" si="21"/>
        <v>7.1428571428571426E-3</v>
      </c>
      <c r="AK106" s="704">
        <v>0</v>
      </c>
      <c r="AL106" s="706">
        <v>0</v>
      </c>
      <c r="AM106" s="710">
        <v>2E-3</v>
      </c>
      <c r="AN106" s="704">
        <v>0</v>
      </c>
      <c r="AO106" s="706">
        <v>0</v>
      </c>
      <c r="AP106" s="711">
        <v>0</v>
      </c>
      <c r="AQ106" s="712">
        <v>0</v>
      </c>
      <c r="AR106" s="711">
        <v>0</v>
      </c>
      <c r="AS106" s="712">
        <v>0</v>
      </c>
      <c r="AT106" s="711">
        <v>0</v>
      </c>
      <c r="AU106" s="712">
        <v>0</v>
      </c>
      <c r="AV106" s="713">
        <v>0</v>
      </c>
      <c r="AW106" s="714">
        <v>0</v>
      </c>
      <c r="AX106" s="711">
        <v>0</v>
      </c>
      <c r="AY106" s="712">
        <v>0</v>
      </c>
      <c r="AZ106" s="713">
        <v>0</v>
      </c>
      <c r="BA106" s="712">
        <v>0</v>
      </c>
      <c r="BB106" s="713">
        <v>0</v>
      </c>
      <c r="BC106" s="712">
        <v>0</v>
      </c>
      <c r="BD106" s="713">
        <v>0</v>
      </c>
      <c r="BE106" s="712">
        <v>0</v>
      </c>
      <c r="BF106" s="713">
        <v>0</v>
      </c>
      <c r="BG106" s="712">
        <v>0</v>
      </c>
      <c r="BH106" s="713">
        <v>0</v>
      </c>
      <c r="BI106" s="712">
        <v>0</v>
      </c>
      <c r="BJ106" s="713">
        <v>0</v>
      </c>
      <c r="BK106" s="712">
        <v>0</v>
      </c>
      <c r="BL106" s="713">
        <v>0</v>
      </c>
      <c r="BM106" s="712">
        <v>0</v>
      </c>
      <c r="BN106" s="713">
        <v>0</v>
      </c>
      <c r="BO106" s="712">
        <v>0</v>
      </c>
      <c r="BP106" s="713">
        <v>0</v>
      </c>
      <c r="BQ106" s="712">
        <v>0</v>
      </c>
      <c r="BR106" s="713">
        <v>0</v>
      </c>
      <c r="BS106" s="712">
        <v>0</v>
      </c>
      <c r="BT106" s="713">
        <v>0</v>
      </c>
      <c r="BU106" s="712">
        <v>0</v>
      </c>
      <c r="BV106" s="711">
        <v>0</v>
      </c>
      <c r="BW106" s="714">
        <v>0</v>
      </c>
      <c r="BX106" s="711">
        <v>0</v>
      </c>
      <c r="BY106" s="714">
        <v>0</v>
      </c>
      <c r="BZ106" s="711">
        <v>0</v>
      </c>
      <c r="CA106" s="714">
        <v>0</v>
      </c>
      <c r="CB106" s="711">
        <v>0</v>
      </c>
      <c r="CC106" s="714">
        <v>0</v>
      </c>
      <c r="CD106" s="711">
        <v>0</v>
      </c>
      <c r="CE106" s="714">
        <v>0</v>
      </c>
      <c r="CF106" s="711">
        <v>0</v>
      </c>
      <c r="CG106" s="714">
        <v>0</v>
      </c>
      <c r="CH106" s="711">
        <v>0</v>
      </c>
      <c r="CI106" s="714">
        <v>0</v>
      </c>
      <c r="CJ106" s="711">
        <v>0</v>
      </c>
      <c r="CK106" s="712">
        <v>0</v>
      </c>
      <c r="CL106" s="711">
        <v>0</v>
      </c>
      <c r="CM106" s="712">
        <v>0</v>
      </c>
      <c r="CN106" s="713">
        <v>0</v>
      </c>
      <c r="CO106" s="712">
        <v>0</v>
      </c>
    </row>
    <row r="107" spans="1:93">
      <c r="A107" s="468">
        <v>105</v>
      </c>
      <c r="B107" s="596">
        <v>0</v>
      </c>
      <c r="C107" s="596">
        <v>0</v>
      </c>
      <c r="D107" s="596">
        <v>0</v>
      </c>
      <c r="E107" s="596">
        <v>0</v>
      </c>
      <c r="F107" s="596">
        <v>0</v>
      </c>
      <c r="G107" s="596">
        <v>0</v>
      </c>
      <c r="H107" s="596">
        <v>0</v>
      </c>
      <c r="I107" s="596">
        <v>0</v>
      </c>
      <c r="J107" s="596">
        <v>0</v>
      </c>
      <c r="K107" s="596">
        <v>0</v>
      </c>
      <c r="L107" s="596">
        <v>0</v>
      </c>
      <c r="M107" s="596">
        <v>0</v>
      </c>
      <c r="N107" s="596">
        <v>0</v>
      </c>
      <c r="O107" s="596">
        <v>0</v>
      </c>
      <c r="P107" s="596">
        <v>0</v>
      </c>
      <c r="Q107" s="596">
        <v>0</v>
      </c>
      <c r="R107" s="596">
        <v>0</v>
      </c>
      <c r="S107" s="596">
        <v>0</v>
      </c>
      <c r="T107" s="596">
        <v>0</v>
      </c>
      <c r="U107" s="596">
        <v>0</v>
      </c>
      <c r="V107" s="596">
        <v>0</v>
      </c>
      <c r="W107" s="612">
        <v>0</v>
      </c>
      <c r="X107" s="704">
        <v>0</v>
      </c>
      <c r="Y107" s="705">
        <v>0</v>
      </c>
      <c r="Z107" s="706">
        <v>0</v>
      </c>
      <c r="AA107" s="707">
        <v>0</v>
      </c>
      <c r="AB107" s="706">
        <v>0</v>
      </c>
      <c r="AC107" s="704">
        <v>0</v>
      </c>
      <c r="AD107" s="706">
        <v>0</v>
      </c>
      <c r="AE107" s="708">
        <v>0</v>
      </c>
      <c r="AF107" s="704">
        <v>0</v>
      </c>
      <c r="AG107" s="704">
        <v>0</v>
      </c>
      <c r="AH107" s="708">
        <v>0</v>
      </c>
      <c r="AI107" s="709">
        <v>2E-3</v>
      </c>
      <c r="AJ107" s="706">
        <f t="shared" si="21"/>
        <v>7.1428571428571426E-3</v>
      </c>
      <c r="AK107" s="704">
        <v>0</v>
      </c>
      <c r="AL107" s="706">
        <v>0</v>
      </c>
      <c r="AM107" s="710">
        <v>2E-3</v>
      </c>
      <c r="AN107" s="704">
        <v>0</v>
      </c>
      <c r="AO107" s="706">
        <v>0</v>
      </c>
      <c r="AP107" s="711">
        <v>0</v>
      </c>
      <c r="AQ107" s="712">
        <v>0</v>
      </c>
      <c r="AR107" s="711">
        <v>0</v>
      </c>
      <c r="AS107" s="712">
        <v>0</v>
      </c>
      <c r="AT107" s="711">
        <v>0</v>
      </c>
      <c r="AU107" s="712">
        <v>0</v>
      </c>
      <c r="AV107" s="713">
        <v>0</v>
      </c>
      <c r="AW107" s="714">
        <v>0</v>
      </c>
      <c r="AX107" s="711">
        <v>0</v>
      </c>
      <c r="AY107" s="712">
        <v>0</v>
      </c>
      <c r="AZ107" s="713">
        <v>0</v>
      </c>
      <c r="BA107" s="712">
        <v>0</v>
      </c>
      <c r="BB107" s="713">
        <v>0</v>
      </c>
      <c r="BC107" s="712">
        <v>0</v>
      </c>
      <c r="BD107" s="713">
        <v>0</v>
      </c>
      <c r="BE107" s="712">
        <v>0</v>
      </c>
      <c r="BF107" s="713">
        <v>0</v>
      </c>
      <c r="BG107" s="712">
        <v>0</v>
      </c>
      <c r="BH107" s="713">
        <v>0</v>
      </c>
      <c r="BI107" s="712">
        <v>0</v>
      </c>
      <c r="BJ107" s="713">
        <v>0</v>
      </c>
      <c r="BK107" s="712">
        <v>0</v>
      </c>
      <c r="BL107" s="713">
        <v>0</v>
      </c>
      <c r="BM107" s="712">
        <v>0</v>
      </c>
      <c r="BN107" s="713">
        <v>0</v>
      </c>
      <c r="BO107" s="712">
        <v>0</v>
      </c>
      <c r="BP107" s="713">
        <v>0</v>
      </c>
      <c r="BQ107" s="712">
        <v>0</v>
      </c>
      <c r="BR107" s="713">
        <v>0</v>
      </c>
      <c r="BS107" s="712">
        <v>0</v>
      </c>
      <c r="BT107" s="713">
        <v>0</v>
      </c>
      <c r="BU107" s="712">
        <v>0</v>
      </c>
      <c r="BV107" s="711">
        <v>0</v>
      </c>
      <c r="BW107" s="714">
        <v>0</v>
      </c>
      <c r="BX107" s="711">
        <v>0</v>
      </c>
      <c r="BY107" s="714">
        <v>0</v>
      </c>
      <c r="BZ107" s="711">
        <v>0</v>
      </c>
      <c r="CA107" s="714">
        <v>0</v>
      </c>
      <c r="CB107" s="711">
        <v>0</v>
      </c>
      <c r="CC107" s="714">
        <v>0</v>
      </c>
      <c r="CD107" s="711">
        <v>0</v>
      </c>
      <c r="CE107" s="714">
        <v>0</v>
      </c>
      <c r="CF107" s="711">
        <v>0</v>
      </c>
      <c r="CG107" s="714">
        <v>0</v>
      </c>
      <c r="CH107" s="711">
        <v>0</v>
      </c>
      <c r="CI107" s="714">
        <v>0</v>
      </c>
      <c r="CJ107" s="711">
        <v>0</v>
      </c>
      <c r="CK107" s="712">
        <v>0</v>
      </c>
      <c r="CL107" s="711">
        <v>0</v>
      </c>
      <c r="CM107" s="712">
        <v>0</v>
      </c>
      <c r="CN107" s="713">
        <v>0</v>
      </c>
      <c r="CO107" s="712">
        <v>0</v>
      </c>
    </row>
    <row r="108" spans="1:93">
      <c r="A108" s="468">
        <v>106</v>
      </c>
      <c r="B108" s="596">
        <v>0</v>
      </c>
      <c r="C108" s="596">
        <v>0</v>
      </c>
      <c r="D108" s="596">
        <v>0</v>
      </c>
      <c r="E108" s="596">
        <v>0</v>
      </c>
      <c r="F108" s="596">
        <v>0</v>
      </c>
      <c r="G108" s="596">
        <v>0</v>
      </c>
      <c r="H108" s="596">
        <v>0</v>
      </c>
      <c r="I108" s="596">
        <v>0</v>
      </c>
      <c r="J108" s="596">
        <v>0</v>
      </c>
      <c r="K108" s="596">
        <v>0</v>
      </c>
      <c r="L108" s="596">
        <v>0</v>
      </c>
      <c r="M108" s="596">
        <v>0</v>
      </c>
      <c r="N108" s="596">
        <v>0</v>
      </c>
      <c r="O108" s="596">
        <v>0</v>
      </c>
      <c r="P108" s="596">
        <v>0</v>
      </c>
      <c r="Q108" s="596">
        <v>0</v>
      </c>
      <c r="R108" s="596">
        <v>0</v>
      </c>
      <c r="S108" s="596">
        <v>0</v>
      </c>
      <c r="T108" s="596">
        <v>0</v>
      </c>
      <c r="U108" s="596">
        <v>0</v>
      </c>
      <c r="V108" s="596">
        <v>0</v>
      </c>
      <c r="W108" s="612">
        <v>0</v>
      </c>
      <c r="X108" s="704">
        <v>0</v>
      </c>
      <c r="Y108" s="705">
        <v>0</v>
      </c>
      <c r="Z108" s="706">
        <v>0</v>
      </c>
      <c r="AA108" s="707">
        <v>0</v>
      </c>
      <c r="AB108" s="706">
        <v>0</v>
      </c>
      <c r="AC108" s="704">
        <v>0</v>
      </c>
      <c r="AD108" s="706">
        <v>0</v>
      </c>
      <c r="AE108" s="708">
        <v>0</v>
      </c>
      <c r="AF108" s="704">
        <v>0</v>
      </c>
      <c r="AG108" s="704">
        <v>0</v>
      </c>
      <c r="AH108" s="708">
        <v>0</v>
      </c>
      <c r="AI108" s="709">
        <v>2E-3</v>
      </c>
      <c r="AJ108" s="706">
        <f t="shared" si="21"/>
        <v>7.1428571428571426E-3</v>
      </c>
      <c r="AK108" s="704">
        <v>0</v>
      </c>
      <c r="AL108" s="706">
        <v>0</v>
      </c>
      <c r="AM108" s="710">
        <v>2E-3</v>
      </c>
      <c r="AN108" s="704">
        <v>0</v>
      </c>
      <c r="AO108" s="706">
        <v>0</v>
      </c>
      <c r="AP108" s="711">
        <v>0</v>
      </c>
      <c r="AQ108" s="712">
        <v>0</v>
      </c>
      <c r="AR108" s="711">
        <v>0</v>
      </c>
      <c r="AS108" s="712">
        <v>0</v>
      </c>
      <c r="AT108" s="711">
        <v>0</v>
      </c>
      <c r="AU108" s="712">
        <v>0</v>
      </c>
      <c r="AV108" s="713">
        <v>0</v>
      </c>
      <c r="AW108" s="714">
        <v>0</v>
      </c>
      <c r="AX108" s="711">
        <v>0</v>
      </c>
      <c r="AY108" s="712">
        <v>0</v>
      </c>
      <c r="AZ108" s="713">
        <v>0</v>
      </c>
      <c r="BA108" s="712">
        <v>0</v>
      </c>
      <c r="BB108" s="713">
        <v>0</v>
      </c>
      <c r="BC108" s="712">
        <v>0</v>
      </c>
      <c r="BD108" s="713">
        <v>0</v>
      </c>
      <c r="BE108" s="712">
        <v>0</v>
      </c>
      <c r="BF108" s="713">
        <v>0</v>
      </c>
      <c r="BG108" s="712">
        <v>0</v>
      </c>
      <c r="BH108" s="713">
        <v>0</v>
      </c>
      <c r="BI108" s="712">
        <v>0</v>
      </c>
      <c r="BJ108" s="713">
        <v>0</v>
      </c>
      <c r="BK108" s="712">
        <v>0</v>
      </c>
      <c r="BL108" s="713">
        <v>0</v>
      </c>
      <c r="BM108" s="712">
        <v>0</v>
      </c>
      <c r="BN108" s="713">
        <v>0</v>
      </c>
      <c r="BO108" s="712">
        <v>0</v>
      </c>
      <c r="BP108" s="713">
        <v>0</v>
      </c>
      <c r="BQ108" s="712">
        <v>0</v>
      </c>
      <c r="BR108" s="713">
        <v>0</v>
      </c>
      <c r="BS108" s="712">
        <v>0</v>
      </c>
      <c r="BT108" s="713">
        <v>0</v>
      </c>
      <c r="BU108" s="712">
        <v>0</v>
      </c>
      <c r="BV108" s="711">
        <v>0</v>
      </c>
      <c r="BW108" s="714">
        <v>0</v>
      </c>
      <c r="BX108" s="711">
        <v>0</v>
      </c>
      <c r="BY108" s="714">
        <v>0</v>
      </c>
      <c r="BZ108" s="711">
        <v>0</v>
      </c>
      <c r="CA108" s="714">
        <v>0</v>
      </c>
      <c r="CB108" s="711">
        <v>0</v>
      </c>
      <c r="CC108" s="714">
        <v>0</v>
      </c>
      <c r="CD108" s="711">
        <v>0</v>
      </c>
      <c r="CE108" s="714">
        <v>0</v>
      </c>
      <c r="CF108" s="711">
        <v>0</v>
      </c>
      <c r="CG108" s="714">
        <v>0</v>
      </c>
      <c r="CH108" s="711">
        <v>0</v>
      </c>
      <c r="CI108" s="714">
        <v>0</v>
      </c>
      <c r="CJ108" s="711">
        <v>0</v>
      </c>
      <c r="CK108" s="712">
        <v>0</v>
      </c>
      <c r="CL108" s="711">
        <v>0</v>
      </c>
      <c r="CM108" s="712">
        <v>0</v>
      </c>
      <c r="CN108" s="713">
        <v>0</v>
      </c>
      <c r="CO108" s="712">
        <v>0</v>
      </c>
    </row>
    <row r="109" spans="1:93">
      <c r="A109" s="468">
        <v>107</v>
      </c>
      <c r="B109" s="596">
        <v>0</v>
      </c>
      <c r="C109" s="596">
        <v>0</v>
      </c>
      <c r="D109" s="596">
        <v>0</v>
      </c>
      <c r="E109" s="596">
        <v>0</v>
      </c>
      <c r="F109" s="596">
        <v>0</v>
      </c>
      <c r="G109" s="596">
        <v>0</v>
      </c>
      <c r="H109" s="596">
        <v>0</v>
      </c>
      <c r="I109" s="596">
        <v>0</v>
      </c>
      <c r="J109" s="596">
        <v>0</v>
      </c>
      <c r="K109" s="596">
        <v>0</v>
      </c>
      <c r="L109" s="596">
        <v>0</v>
      </c>
      <c r="M109" s="596">
        <v>0</v>
      </c>
      <c r="N109" s="596">
        <v>0</v>
      </c>
      <c r="O109" s="596">
        <v>0</v>
      </c>
      <c r="P109" s="596">
        <v>0</v>
      </c>
      <c r="Q109" s="596">
        <v>0</v>
      </c>
      <c r="R109" s="596">
        <v>0</v>
      </c>
      <c r="S109" s="596">
        <v>0</v>
      </c>
      <c r="T109" s="596">
        <v>0</v>
      </c>
      <c r="U109" s="596">
        <v>0</v>
      </c>
      <c r="V109" s="596">
        <v>0</v>
      </c>
      <c r="W109" s="612">
        <v>0</v>
      </c>
      <c r="X109" s="704">
        <v>0</v>
      </c>
      <c r="Y109" s="705">
        <v>0</v>
      </c>
      <c r="Z109" s="706">
        <v>0</v>
      </c>
      <c r="AA109" s="707">
        <v>0</v>
      </c>
      <c r="AB109" s="706">
        <v>0</v>
      </c>
      <c r="AC109" s="704">
        <v>0</v>
      </c>
      <c r="AD109" s="706">
        <v>0</v>
      </c>
      <c r="AE109" s="708">
        <v>0</v>
      </c>
      <c r="AF109" s="704">
        <v>0</v>
      </c>
      <c r="AG109" s="704">
        <v>0</v>
      </c>
      <c r="AH109" s="708">
        <v>0</v>
      </c>
      <c r="AI109" s="709">
        <v>2E-3</v>
      </c>
      <c r="AJ109" s="706">
        <f t="shared" si="21"/>
        <v>7.1428571428571426E-3</v>
      </c>
      <c r="AK109" s="704">
        <v>0</v>
      </c>
      <c r="AL109" s="706">
        <v>0</v>
      </c>
      <c r="AM109" s="710">
        <v>2E-3</v>
      </c>
      <c r="AN109" s="704">
        <v>0</v>
      </c>
      <c r="AO109" s="706">
        <v>0</v>
      </c>
      <c r="AP109" s="711">
        <v>0</v>
      </c>
      <c r="AQ109" s="712">
        <v>0</v>
      </c>
      <c r="AR109" s="711">
        <v>0</v>
      </c>
      <c r="AS109" s="712">
        <v>0</v>
      </c>
      <c r="AT109" s="711">
        <v>0</v>
      </c>
      <c r="AU109" s="712">
        <v>0</v>
      </c>
      <c r="AV109" s="713">
        <v>0</v>
      </c>
      <c r="AW109" s="714">
        <v>0</v>
      </c>
      <c r="AX109" s="711">
        <v>0</v>
      </c>
      <c r="AY109" s="712">
        <v>0</v>
      </c>
      <c r="AZ109" s="713">
        <v>0</v>
      </c>
      <c r="BA109" s="712">
        <v>0</v>
      </c>
      <c r="BB109" s="713">
        <v>0</v>
      </c>
      <c r="BC109" s="712">
        <v>0</v>
      </c>
      <c r="BD109" s="713">
        <v>0</v>
      </c>
      <c r="BE109" s="712">
        <v>0</v>
      </c>
      <c r="BF109" s="713">
        <v>0</v>
      </c>
      <c r="BG109" s="712">
        <v>0</v>
      </c>
      <c r="BH109" s="713">
        <v>0</v>
      </c>
      <c r="BI109" s="712">
        <v>0</v>
      </c>
      <c r="BJ109" s="713">
        <v>0</v>
      </c>
      <c r="BK109" s="712">
        <v>0</v>
      </c>
      <c r="BL109" s="713">
        <v>0</v>
      </c>
      <c r="BM109" s="712">
        <v>0</v>
      </c>
      <c r="BN109" s="713">
        <v>0</v>
      </c>
      <c r="BO109" s="712">
        <v>0</v>
      </c>
      <c r="BP109" s="713">
        <v>0</v>
      </c>
      <c r="BQ109" s="712">
        <v>0</v>
      </c>
      <c r="BR109" s="713">
        <v>0</v>
      </c>
      <c r="BS109" s="712">
        <v>0</v>
      </c>
      <c r="BT109" s="713">
        <v>0</v>
      </c>
      <c r="BU109" s="712">
        <v>0</v>
      </c>
      <c r="BV109" s="711">
        <v>0</v>
      </c>
      <c r="BW109" s="714">
        <v>0</v>
      </c>
      <c r="BX109" s="711">
        <v>0</v>
      </c>
      <c r="BY109" s="714">
        <v>0</v>
      </c>
      <c r="BZ109" s="711">
        <v>0</v>
      </c>
      <c r="CA109" s="714">
        <v>0</v>
      </c>
      <c r="CB109" s="711">
        <v>0</v>
      </c>
      <c r="CC109" s="714">
        <v>0</v>
      </c>
      <c r="CD109" s="711">
        <v>0</v>
      </c>
      <c r="CE109" s="714">
        <v>0</v>
      </c>
      <c r="CF109" s="711">
        <v>0</v>
      </c>
      <c r="CG109" s="714">
        <v>0</v>
      </c>
      <c r="CH109" s="711">
        <v>0</v>
      </c>
      <c r="CI109" s="714">
        <v>0</v>
      </c>
      <c r="CJ109" s="711">
        <v>0</v>
      </c>
      <c r="CK109" s="712">
        <v>0</v>
      </c>
      <c r="CL109" s="711">
        <v>0</v>
      </c>
      <c r="CM109" s="712">
        <v>0</v>
      </c>
      <c r="CN109" s="713">
        <v>0</v>
      </c>
      <c r="CO109" s="712">
        <v>0</v>
      </c>
    </row>
    <row r="110" spans="1:93">
      <c r="A110" s="468">
        <v>108</v>
      </c>
      <c r="B110" s="596">
        <v>0</v>
      </c>
      <c r="C110" s="596">
        <v>0</v>
      </c>
      <c r="D110" s="596">
        <v>0</v>
      </c>
      <c r="E110" s="596">
        <v>0</v>
      </c>
      <c r="F110" s="596">
        <v>0</v>
      </c>
      <c r="G110" s="596">
        <v>0</v>
      </c>
      <c r="H110" s="596">
        <v>0</v>
      </c>
      <c r="I110" s="596">
        <v>0</v>
      </c>
      <c r="J110" s="596">
        <v>0</v>
      </c>
      <c r="K110" s="596">
        <v>0</v>
      </c>
      <c r="L110" s="596">
        <v>0</v>
      </c>
      <c r="M110" s="596">
        <v>0</v>
      </c>
      <c r="N110" s="596">
        <v>0</v>
      </c>
      <c r="O110" s="596">
        <v>0</v>
      </c>
      <c r="P110" s="596">
        <v>0</v>
      </c>
      <c r="Q110" s="596">
        <v>0</v>
      </c>
      <c r="R110" s="596">
        <v>0</v>
      </c>
      <c r="S110" s="596">
        <v>0</v>
      </c>
      <c r="T110" s="596">
        <v>0</v>
      </c>
      <c r="U110" s="596">
        <v>0</v>
      </c>
      <c r="V110" s="596">
        <v>0</v>
      </c>
      <c r="W110" s="612">
        <v>0</v>
      </c>
      <c r="X110" s="704">
        <v>0</v>
      </c>
      <c r="Y110" s="705">
        <v>0</v>
      </c>
      <c r="Z110" s="706">
        <v>0</v>
      </c>
      <c r="AA110" s="707">
        <v>0</v>
      </c>
      <c r="AB110" s="706">
        <v>0</v>
      </c>
      <c r="AC110" s="704">
        <v>0</v>
      </c>
      <c r="AD110" s="706">
        <v>0</v>
      </c>
      <c r="AE110" s="708">
        <v>0</v>
      </c>
      <c r="AF110" s="704">
        <v>0</v>
      </c>
      <c r="AG110" s="704">
        <v>0</v>
      </c>
      <c r="AH110" s="708">
        <v>0</v>
      </c>
      <c r="AI110" s="709">
        <v>2E-3</v>
      </c>
      <c r="AJ110" s="706">
        <f t="shared" si="21"/>
        <v>7.1428571428571426E-3</v>
      </c>
      <c r="AK110" s="704">
        <v>0</v>
      </c>
      <c r="AL110" s="706">
        <v>0</v>
      </c>
      <c r="AM110" s="710">
        <v>2E-3</v>
      </c>
      <c r="AN110" s="704">
        <v>0</v>
      </c>
      <c r="AO110" s="706">
        <v>0</v>
      </c>
      <c r="AP110" s="711">
        <v>0</v>
      </c>
      <c r="AQ110" s="712">
        <v>0</v>
      </c>
      <c r="AR110" s="711">
        <v>0</v>
      </c>
      <c r="AS110" s="712">
        <v>0</v>
      </c>
      <c r="AT110" s="711">
        <v>0</v>
      </c>
      <c r="AU110" s="712">
        <v>0</v>
      </c>
      <c r="AV110" s="713">
        <v>0</v>
      </c>
      <c r="AW110" s="714">
        <v>0</v>
      </c>
      <c r="AX110" s="711">
        <v>0</v>
      </c>
      <c r="AY110" s="712">
        <v>0</v>
      </c>
      <c r="AZ110" s="713">
        <v>0</v>
      </c>
      <c r="BA110" s="712">
        <v>0</v>
      </c>
      <c r="BB110" s="713">
        <v>0</v>
      </c>
      <c r="BC110" s="712">
        <v>0</v>
      </c>
      <c r="BD110" s="713">
        <v>0</v>
      </c>
      <c r="BE110" s="712">
        <v>0</v>
      </c>
      <c r="BF110" s="713">
        <v>0</v>
      </c>
      <c r="BG110" s="712">
        <v>0</v>
      </c>
      <c r="BH110" s="713">
        <v>0</v>
      </c>
      <c r="BI110" s="712">
        <v>0</v>
      </c>
      <c r="BJ110" s="713">
        <v>0</v>
      </c>
      <c r="BK110" s="712">
        <v>0</v>
      </c>
      <c r="BL110" s="713">
        <v>0</v>
      </c>
      <c r="BM110" s="712">
        <v>0</v>
      </c>
      <c r="BN110" s="713">
        <v>0</v>
      </c>
      <c r="BO110" s="712">
        <v>0</v>
      </c>
      <c r="BP110" s="713">
        <v>0</v>
      </c>
      <c r="BQ110" s="712">
        <v>0</v>
      </c>
      <c r="BR110" s="713">
        <v>0</v>
      </c>
      <c r="BS110" s="712">
        <v>0</v>
      </c>
      <c r="BT110" s="713">
        <v>0</v>
      </c>
      <c r="BU110" s="712">
        <v>0</v>
      </c>
      <c r="BV110" s="711">
        <v>0</v>
      </c>
      <c r="BW110" s="714">
        <v>0</v>
      </c>
      <c r="BX110" s="711">
        <v>0</v>
      </c>
      <c r="BY110" s="714">
        <v>0</v>
      </c>
      <c r="BZ110" s="711">
        <v>0</v>
      </c>
      <c r="CA110" s="714">
        <v>0</v>
      </c>
      <c r="CB110" s="711">
        <v>0</v>
      </c>
      <c r="CC110" s="714">
        <v>0</v>
      </c>
      <c r="CD110" s="711">
        <v>0</v>
      </c>
      <c r="CE110" s="714">
        <v>0</v>
      </c>
      <c r="CF110" s="711">
        <v>0</v>
      </c>
      <c r="CG110" s="714">
        <v>0</v>
      </c>
      <c r="CH110" s="711">
        <v>0</v>
      </c>
      <c r="CI110" s="714">
        <v>0</v>
      </c>
      <c r="CJ110" s="711">
        <v>0</v>
      </c>
      <c r="CK110" s="712">
        <v>0</v>
      </c>
      <c r="CL110" s="711">
        <v>0</v>
      </c>
      <c r="CM110" s="712">
        <v>0</v>
      </c>
      <c r="CN110" s="713">
        <v>0</v>
      </c>
      <c r="CO110" s="712">
        <v>0</v>
      </c>
    </row>
    <row r="111" spans="1:93">
      <c r="A111" s="468">
        <v>109</v>
      </c>
      <c r="B111" s="596">
        <v>0</v>
      </c>
      <c r="C111" s="596">
        <v>0</v>
      </c>
      <c r="D111" s="596">
        <v>0</v>
      </c>
      <c r="E111" s="596">
        <v>0</v>
      </c>
      <c r="F111" s="596">
        <v>0</v>
      </c>
      <c r="G111" s="596">
        <v>0</v>
      </c>
      <c r="H111" s="596">
        <v>0</v>
      </c>
      <c r="I111" s="596">
        <v>0</v>
      </c>
      <c r="J111" s="596">
        <v>0</v>
      </c>
      <c r="K111" s="596">
        <v>0</v>
      </c>
      <c r="L111" s="596">
        <v>0</v>
      </c>
      <c r="M111" s="596">
        <v>0</v>
      </c>
      <c r="N111" s="596">
        <v>0</v>
      </c>
      <c r="O111" s="596">
        <v>0</v>
      </c>
      <c r="P111" s="596">
        <v>0</v>
      </c>
      <c r="Q111" s="596">
        <v>0</v>
      </c>
      <c r="R111" s="596">
        <v>0</v>
      </c>
      <c r="S111" s="596">
        <v>0</v>
      </c>
      <c r="T111" s="596">
        <v>0</v>
      </c>
      <c r="U111" s="596">
        <v>0</v>
      </c>
      <c r="V111" s="596">
        <v>0</v>
      </c>
      <c r="W111" s="612">
        <v>0</v>
      </c>
      <c r="X111" s="704">
        <v>0</v>
      </c>
      <c r="Y111" s="705">
        <v>0</v>
      </c>
      <c r="Z111" s="706">
        <v>0</v>
      </c>
      <c r="AA111" s="707">
        <v>0</v>
      </c>
      <c r="AB111" s="706">
        <v>0</v>
      </c>
      <c r="AC111" s="704">
        <v>0</v>
      </c>
      <c r="AD111" s="706">
        <v>0</v>
      </c>
      <c r="AE111" s="708">
        <v>0</v>
      </c>
      <c r="AF111" s="704">
        <v>0</v>
      </c>
      <c r="AG111" s="704">
        <v>0</v>
      </c>
      <c r="AH111" s="708">
        <v>0</v>
      </c>
      <c r="AI111" s="709">
        <v>2E-3</v>
      </c>
      <c r="AJ111" s="706">
        <f t="shared" si="21"/>
        <v>7.1428571428571426E-3</v>
      </c>
      <c r="AK111" s="704">
        <v>0</v>
      </c>
      <c r="AL111" s="706">
        <v>0</v>
      </c>
      <c r="AM111" s="710">
        <v>2E-3</v>
      </c>
      <c r="AN111" s="704">
        <v>0</v>
      </c>
      <c r="AO111" s="706">
        <v>0</v>
      </c>
      <c r="AP111" s="711">
        <v>0</v>
      </c>
      <c r="AQ111" s="712">
        <v>0</v>
      </c>
      <c r="AR111" s="711">
        <v>0</v>
      </c>
      <c r="AS111" s="712">
        <v>0</v>
      </c>
      <c r="AT111" s="711">
        <v>0</v>
      </c>
      <c r="AU111" s="712">
        <v>0</v>
      </c>
      <c r="AV111" s="713">
        <v>0</v>
      </c>
      <c r="AW111" s="714">
        <v>0</v>
      </c>
      <c r="AX111" s="711">
        <v>0</v>
      </c>
      <c r="AY111" s="712">
        <v>0</v>
      </c>
      <c r="AZ111" s="713">
        <v>0</v>
      </c>
      <c r="BA111" s="712">
        <v>0</v>
      </c>
      <c r="BB111" s="713">
        <v>0</v>
      </c>
      <c r="BC111" s="712">
        <v>0</v>
      </c>
      <c r="BD111" s="713">
        <v>0</v>
      </c>
      <c r="BE111" s="712">
        <v>0</v>
      </c>
      <c r="BF111" s="713">
        <v>0</v>
      </c>
      <c r="BG111" s="712">
        <v>0</v>
      </c>
      <c r="BH111" s="713">
        <v>0</v>
      </c>
      <c r="BI111" s="712">
        <v>0</v>
      </c>
      <c r="BJ111" s="713">
        <v>0</v>
      </c>
      <c r="BK111" s="712">
        <v>0</v>
      </c>
      <c r="BL111" s="713">
        <v>0</v>
      </c>
      <c r="BM111" s="712">
        <v>0</v>
      </c>
      <c r="BN111" s="713">
        <v>0</v>
      </c>
      <c r="BO111" s="712">
        <v>0</v>
      </c>
      <c r="BP111" s="713">
        <v>0</v>
      </c>
      <c r="BQ111" s="712">
        <v>0</v>
      </c>
      <c r="BR111" s="713">
        <v>0</v>
      </c>
      <c r="BS111" s="712">
        <v>0</v>
      </c>
      <c r="BT111" s="713">
        <v>0</v>
      </c>
      <c r="BU111" s="712">
        <v>0</v>
      </c>
      <c r="BV111" s="711">
        <v>0</v>
      </c>
      <c r="BW111" s="714">
        <v>0</v>
      </c>
      <c r="BX111" s="711">
        <v>0</v>
      </c>
      <c r="BY111" s="714">
        <v>0</v>
      </c>
      <c r="BZ111" s="711">
        <v>0</v>
      </c>
      <c r="CA111" s="714">
        <v>0</v>
      </c>
      <c r="CB111" s="711">
        <v>0</v>
      </c>
      <c r="CC111" s="714">
        <v>0</v>
      </c>
      <c r="CD111" s="711">
        <v>0</v>
      </c>
      <c r="CE111" s="714">
        <v>0</v>
      </c>
      <c r="CF111" s="711">
        <v>0</v>
      </c>
      <c r="CG111" s="714">
        <v>0</v>
      </c>
      <c r="CH111" s="711">
        <v>0</v>
      </c>
      <c r="CI111" s="714">
        <v>0</v>
      </c>
      <c r="CJ111" s="711">
        <v>0</v>
      </c>
      <c r="CK111" s="712">
        <v>0</v>
      </c>
      <c r="CL111" s="711">
        <v>0</v>
      </c>
      <c r="CM111" s="712">
        <v>0</v>
      </c>
      <c r="CN111" s="713">
        <v>0</v>
      </c>
      <c r="CO111" s="712">
        <v>0</v>
      </c>
    </row>
    <row r="112" spans="1:93">
      <c r="A112" s="468">
        <v>110</v>
      </c>
      <c r="B112" s="596">
        <v>0</v>
      </c>
      <c r="C112" s="596">
        <v>0</v>
      </c>
      <c r="D112" s="596">
        <v>0</v>
      </c>
      <c r="E112" s="596">
        <v>0</v>
      </c>
      <c r="F112" s="596">
        <v>0</v>
      </c>
      <c r="G112" s="596">
        <v>0</v>
      </c>
      <c r="H112" s="596">
        <v>0</v>
      </c>
      <c r="I112" s="596">
        <v>0</v>
      </c>
      <c r="J112" s="596">
        <v>0</v>
      </c>
      <c r="K112" s="596">
        <v>0</v>
      </c>
      <c r="L112" s="596">
        <v>0</v>
      </c>
      <c r="M112" s="596">
        <v>0</v>
      </c>
      <c r="N112" s="596">
        <v>0</v>
      </c>
      <c r="O112" s="596">
        <v>0</v>
      </c>
      <c r="P112" s="596">
        <v>0</v>
      </c>
      <c r="Q112" s="596">
        <v>0</v>
      </c>
      <c r="R112" s="596">
        <v>0</v>
      </c>
      <c r="S112" s="596">
        <v>0</v>
      </c>
      <c r="T112" s="596">
        <v>0</v>
      </c>
      <c r="U112" s="596">
        <v>0</v>
      </c>
      <c r="V112" s="596">
        <v>0</v>
      </c>
      <c r="W112" s="612">
        <v>0</v>
      </c>
      <c r="X112" s="704">
        <v>0</v>
      </c>
      <c r="Y112" s="705">
        <v>0</v>
      </c>
      <c r="Z112" s="706">
        <v>0</v>
      </c>
      <c r="AA112" s="707">
        <v>0</v>
      </c>
      <c r="AB112" s="706">
        <v>0</v>
      </c>
      <c r="AC112" s="704">
        <v>0</v>
      </c>
      <c r="AD112" s="706">
        <v>0</v>
      </c>
      <c r="AE112" s="708">
        <v>0</v>
      </c>
      <c r="AF112" s="704">
        <v>0</v>
      </c>
      <c r="AG112" s="704">
        <v>0</v>
      </c>
      <c r="AH112" s="708">
        <v>0</v>
      </c>
      <c r="AI112" s="709">
        <v>2E-3</v>
      </c>
      <c r="AJ112" s="706">
        <f t="shared" si="21"/>
        <v>7.1428571428571426E-3</v>
      </c>
      <c r="AK112" s="704">
        <v>0</v>
      </c>
      <c r="AL112" s="706">
        <v>0</v>
      </c>
      <c r="AM112" s="710">
        <v>2E-3</v>
      </c>
      <c r="AN112" s="704">
        <v>0</v>
      </c>
      <c r="AO112" s="706">
        <v>0</v>
      </c>
      <c r="AP112" s="711">
        <v>0</v>
      </c>
      <c r="AQ112" s="712">
        <v>0</v>
      </c>
      <c r="AR112" s="711">
        <v>0</v>
      </c>
      <c r="AS112" s="712">
        <v>0</v>
      </c>
      <c r="AT112" s="711">
        <v>0</v>
      </c>
      <c r="AU112" s="712">
        <v>0</v>
      </c>
      <c r="AV112" s="713">
        <v>0</v>
      </c>
      <c r="AW112" s="714">
        <v>0</v>
      </c>
      <c r="AX112" s="711">
        <v>0</v>
      </c>
      <c r="AY112" s="712">
        <v>0</v>
      </c>
      <c r="AZ112" s="713">
        <v>0</v>
      </c>
      <c r="BA112" s="712">
        <v>0</v>
      </c>
      <c r="BB112" s="713">
        <v>0</v>
      </c>
      <c r="BC112" s="712">
        <v>0</v>
      </c>
      <c r="BD112" s="713">
        <v>0</v>
      </c>
      <c r="BE112" s="712">
        <v>0</v>
      </c>
      <c r="BF112" s="713">
        <v>0</v>
      </c>
      <c r="BG112" s="712">
        <v>0</v>
      </c>
      <c r="BH112" s="713">
        <v>0</v>
      </c>
      <c r="BI112" s="712">
        <v>0</v>
      </c>
      <c r="BJ112" s="713">
        <v>0</v>
      </c>
      <c r="BK112" s="712">
        <v>0</v>
      </c>
      <c r="BL112" s="713">
        <v>0</v>
      </c>
      <c r="BM112" s="712">
        <v>0</v>
      </c>
      <c r="BN112" s="713">
        <v>0</v>
      </c>
      <c r="BO112" s="712">
        <v>0</v>
      </c>
      <c r="BP112" s="713">
        <v>0</v>
      </c>
      <c r="BQ112" s="712">
        <v>0</v>
      </c>
      <c r="BR112" s="713">
        <v>0</v>
      </c>
      <c r="BS112" s="712">
        <v>0</v>
      </c>
      <c r="BT112" s="713">
        <v>0</v>
      </c>
      <c r="BU112" s="712">
        <v>0</v>
      </c>
      <c r="BV112" s="711">
        <v>0</v>
      </c>
      <c r="BW112" s="714">
        <v>0</v>
      </c>
      <c r="BX112" s="711">
        <v>0</v>
      </c>
      <c r="BY112" s="714">
        <v>0</v>
      </c>
      <c r="BZ112" s="711">
        <v>0</v>
      </c>
      <c r="CA112" s="714">
        <v>0</v>
      </c>
      <c r="CB112" s="711">
        <v>0</v>
      </c>
      <c r="CC112" s="714">
        <v>0</v>
      </c>
      <c r="CD112" s="711">
        <v>0</v>
      </c>
      <c r="CE112" s="714">
        <v>0</v>
      </c>
      <c r="CF112" s="711">
        <v>0</v>
      </c>
      <c r="CG112" s="714">
        <v>0</v>
      </c>
      <c r="CH112" s="711">
        <v>0</v>
      </c>
      <c r="CI112" s="714">
        <v>0</v>
      </c>
      <c r="CJ112" s="711">
        <v>0</v>
      </c>
      <c r="CK112" s="712">
        <v>0</v>
      </c>
      <c r="CL112" s="711">
        <v>0</v>
      </c>
      <c r="CM112" s="712">
        <v>0</v>
      </c>
      <c r="CN112" s="713">
        <v>0</v>
      </c>
      <c r="CO112" s="712">
        <v>0</v>
      </c>
    </row>
    <row r="113" spans="1:93">
      <c r="A113" s="468">
        <v>111</v>
      </c>
      <c r="B113" s="596">
        <v>0</v>
      </c>
      <c r="C113" s="596">
        <v>0</v>
      </c>
      <c r="D113" s="596">
        <v>0</v>
      </c>
      <c r="E113" s="596">
        <v>0</v>
      </c>
      <c r="F113" s="596">
        <v>0</v>
      </c>
      <c r="G113" s="596">
        <v>0</v>
      </c>
      <c r="H113" s="596">
        <v>0</v>
      </c>
      <c r="I113" s="596">
        <v>0</v>
      </c>
      <c r="J113" s="596">
        <v>0</v>
      </c>
      <c r="K113" s="596">
        <v>0</v>
      </c>
      <c r="L113" s="596">
        <v>0</v>
      </c>
      <c r="M113" s="596">
        <v>0</v>
      </c>
      <c r="N113" s="596">
        <v>0</v>
      </c>
      <c r="O113" s="596">
        <v>0</v>
      </c>
      <c r="P113" s="596">
        <v>0</v>
      </c>
      <c r="Q113" s="596">
        <v>0</v>
      </c>
      <c r="R113" s="596">
        <v>0</v>
      </c>
      <c r="S113" s="596">
        <v>0</v>
      </c>
      <c r="T113" s="596">
        <v>0</v>
      </c>
      <c r="U113" s="596">
        <v>0</v>
      </c>
      <c r="V113" s="596">
        <v>0</v>
      </c>
      <c r="W113" s="612">
        <v>0</v>
      </c>
      <c r="X113" s="704">
        <v>0</v>
      </c>
      <c r="Y113" s="705">
        <v>0</v>
      </c>
      <c r="Z113" s="706">
        <v>0</v>
      </c>
      <c r="AA113" s="707">
        <v>0</v>
      </c>
      <c r="AB113" s="706">
        <v>0</v>
      </c>
      <c r="AC113" s="704">
        <v>0</v>
      </c>
      <c r="AD113" s="706">
        <v>0</v>
      </c>
      <c r="AE113" s="708">
        <v>0</v>
      </c>
      <c r="AF113" s="704">
        <v>0</v>
      </c>
      <c r="AG113" s="704">
        <v>0</v>
      </c>
      <c r="AH113" s="708">
        <v>0</v>
      </c>
      <c r="AI113" s="709">
        <v>2E-3</v>
      </c>
      <c r="AJ113" s="706">
        <f t="shared" si="21"/>
        <v>7.1428571428571426E-3</v>
      </c>
      <c r="AK113" s="704">
        <v>0</v>
      </c>
      <c r="AL113" s="706">
        <v>0</v>
      </c>
      <c r="AM113" s="710">
        <v>2E-3</v>
      </c>
      <c r="AN113" s="704">
        <v>0</v>
      </c>
      <c r="AO113" s="706">
        <v>0</v>
      </c>
      <c r="AP113" s="711">
        <v>0</v>
      </c>
      <c r="AQ113" s="712">
        <v>0</v>
      </c>
      <c r="AR113" s="711">
        <v>0</v>
      </c>
      <c r="AS113" s="712">
        <v>0</v>
      </c>
      <c r="AT113" s="711">
        <v>0</v>
      </c>
      <c r="AU113" s="712">
        <v>0</v>
      </c>
      <c r="AV113" s="713">
        <v>0</v>
      </c>
      <c r="AW113" s="714">
        <v>0</v>
      </c>
      <c r="AX113" s="711">
        <v>0</v>
      </c>
      <c r="AY113" s="712">
        <v>0</v>
      </c>
      <c r="AZ113" s="713">
        <v>0</v>
      </c>
      <c r="BA113" s="712">
        <v>0</v>
      </c>
      <c r="BB113" s="713">
        <v>0</v>
      </c>
      <c r="BC113" s="712">
        <v>0</v>
      </c>
      <c r="BD113" s="713">
        <v>0</v>
      </c>
      <c r="BE113" s="712">
        <v>0</v>
      </c>
      <c r="BF113" s="713">
        <v>0</v>
      </c>
      <c r="BG113" s="712">
        <v>0</v>
      </c>
      <c r="BH113" s="713">
        <v>0</v>
      </c>
      <c r="BI113" s="712">
        <v>0</v>
      </c>
      <c r="BJ113" s="713">
        <v>0</v>
      </c>
      <c r="BK113" s="712">
        <v>0</v>
      </c>
      <c r="BL113" s="713">
        <v>0</v>
      </c>
      <c r="BM113" s="712">
        <v>0</v>
      </c>
      <c r="BN113" s="713">
        <v>0</v>
      </c>
      <c r="BO113" s="712">
        <v>0</v>
      </c>
      <c r="BP113" s="713">
        <v>0</v>
      </c>
      <c r="BQ113" s="712">
        <v>0</v>
      </c>
      <c r="BR113" s="713">
        <v>0</v>
      </c>
      <c r="BS113" s="712">
        <v>0</v>
      </c>
      <c r="BT113" s="713">
        <v>0</v>
      </c>
      <c r="BU113" s="712">
        <v>0</v>
      </c>
      <c r="BV113" s="711">
        <v>0</v>
      </c>
      <c r="BW113" s="714">
        <v>0</v>
      </c>
      <c r="BX113" s="711">
        <v>0</v>
      </c>
      <c r="BY113" s="714">
        <v>0</v>
      </c>
      <c r="BZ113" s="711">
        <v>0</v>
      </c>
      <c r="CA113" s="714">
        <v>0</v>
      </c>
      <c r="CB113" s="711">
        <v>0</v>
      </c>
      <c r="CC113" s="714">
        <v>0</v>
      </c>
      <c r="CD113" s="711">
        <v>0</v>
      </c>
      <c r="CE113" s="714">
        <v>0</v>
      </c>
      <c r="CF113" s="711">
        <v>0</v>
      </c>
      <c r="CG113" s="714">
        <v>0</v>
      </c>
      <c r="CH113" s="711">
        <v>0</v>
      </c>
      <c r="CI113" s="714">
        <v>0</v>
      </c>
      <c r="CJ113" s="711">
        <v>0</v>
      </c>
      <c r="CK113" s="712">
        <v>0</v>
      </c>
      <c r="CL113" s="711">
        <v>0</v>
      </c>
      <c r="CM113" s="712">
        <v>0</v>
      </c>
      <c r="CN113" s="713">
        <v>0</v>
      </c>
      <c r="CO113" s="712">
        <v>0</v>
      </c>
    </row>
    <row r="114" spans="1:93">
      <c r="A114" s="468">
        <v>112</v>
      </c>
      <c r="B114" s="596">
        <v>0</v>
      </c>
      <c r="C114" s="596">
        <v>0</v>
      </c>
      <c r="D114" s="596">
        <v>0</v>
      </c>
      <c r="E114" s="596">
        <v>0</v>
      </c>
      <c r="F114" s="596">
        <v>0</v>
      </c>
      <c r="G114" s="596">
        <v>0</v>
      </c>
      <c r="H114" s="596">
        <v>0</v>
      </c>
      <c r="I114" s="596">
        <v>0</v>
      </c>
      <c r="J114" s="596">
        <v>0</v>
      </c>
      <c r="K114" s="596">
        <v>0</v>
      </c>
      <c r="L114" s="596">
        <v>0</v>
      </c>
      <c r="M114" s="596">
        <v>0</v>
      </c>
      <c r="N114" s="596">
        <v>0</v>
      </c>
      <c r="O114" s="596">
        <v>0</v>
      </c>
      <c r="P114" s="596">
        <v>0</v>
      </c>
      <c r="Q114" s="596">
        <v>0</v>
      </c>
      <c r="R114" s="596">
        <v>0</v>
      </c>
      <c r="S114" s="596">
        <v>0</v>
      </c>
      <c r="T114" s="596">
        <v>0</v>
      </c>
      <c r="U114" s="596">
        <v>0</v>
      </c>
      <c r="V114" s="596">
        <v>0</v>
      </c>
      <c r="W114" s="612">
        <v>0</v>
      </c>
      <c r="X114" s="704">
        <v>0</v>
      </c>
      <c r="Y114" s="705">
        <v>0</v>
      </c>
      <c r="Z114" s="706">
        <v>0</v>
      </c>
      <c r="AA114" s="707">
        <v>0</v>
      </c>
      <c r="AB114" s="706">
        <v>0</v>
      </c>
      <c r="AC114" s="704">
        <v>0</v>
      </c>
      <c r="AD114" s="706">
        <v>0</v>
      </c>
      <c r="AE114" s="708">
        <v>0</v>
      </c>
      <c r="AF114" s="704">
        <v>0</v>
      </c>
      <c r="AG114" s="704">
        <v>0</v>
      </c>
      <c r="AH114" s="708">
        <v>0</v>
      </c>
      <c r="AI114" s="709">
        <v>2E-3</v>
      </c>
      <c r="AJ114" s="706">
        <f t="shared" si="21"/>
        <v>7.1428571428571426E-3</v>
      </c>
      <c r="AK114" s="704">
        <v>0</v>
      </c>
      <c r="AL114" s="706">
        <v>0</v>
      </c>
      <c r="AM114" s="710">
        <v>2E-3</v>
      </c>
      <c r="AN114" s="704">
        <v>0</v>
      </c>
      <c r="AO114" s="706">
        <v>0</v>
      </c>
      <c r="AP114" s="711">
        <v>0</v>
      </c>
      <c r="AQ114" s="712">
        <v>0</v>
      </c>
      <c r="AR114" s="711">
        <v>0</v>
      </c>
      <c r="AS114" s="712">
        <v>0</v>
      </c>
      <c r="AT114" s="711">
        <v>0</v>
      </c>
      <c r="AU114" s="712">
        <v>0</v>
      </c>
      <c r="AV114" s="713">
        <v>0</v>
      </c>
      <c r="AW114" s="714">
        <v>0</v>
      </c>
      <c r="AX114" s="711">
        <v>0</v>
      </c>
      <c r="AY114" s="712">
        <v>0</v>
      </c>
      <c r="AZ114" s="713">
        <v>0</v>
      </c>
      <c r="BA114" s="712">
        <v>0</v>
      </c>
      <c r="BB114" s="713">
        <v>0</v>
      </c>
      <c r="BC114" s="712">
        <v>0</v>
      </c>
      <c r="BD114" s="713">
        <v>0</v>
      </c>
      <c r="BE114" s="712">
        <v>0</v>
      </c>
      <c r="BF114" s="713">
        <v>0</v>
      </c>
      <c r="BG114" s="712">
        <v>0</v>
      </c>
      <c r="BH114" s="713">
        <v>0</v>
      </c>
      <c r="BI114" s="712">
        <v>0</v>
      </c>
      <c r="BJ114" s="713">
        <v>0</v>
      </c>
      <c r="BK114" s="712">
        <v>0</v>
      </c>
      <c r="BL114" s="713">
        <v>0</v>
      </c>
      <c r="BM114" s="712">
        <v>0</v>
      </c>
      <c r="BN114" s="713">
        <v>0</v>
      </c>
      <c r="BO114" s="712">
        <v>0</v>
      </c>
      <c r="BP114" s="713">
        <v>0</v>
      </c>
      <c r="BQ114" s="712">
        <v>0</v>
      </c>
      <c r="BR114" s="713">
        <v>0</v>
      </c>
      <c r="BS114" s="712">
        <v>0</v>
      </c>
      <c r="BT114" s="713">
        <v>0</v>
      </c>
      <c r="BU114" s="712">
        <v>0</v>
      </c>
      <c r="BV114" s="711">
        <v>0</v>
      </c>
      <c r="BW114" s="714">
        <v>0</v>
      </c>
      <c r="BX114" s="711">
        <v>0</v>
      </c>
      <c r="BY114" s="714">
        <v>0</v>
      </c>
      <c r="BZ114" s="711">
        <v>0</v>
      </c>
      <c r="CA114" s="714">
        <v>0</v>
      </c>
      <c r="CB114" s="711">
        <v>0</v>
      </c>
      <c r="CC114" s="714">
        <v>0</v>
      </c>
      <c r="CD114" s="711">
        <v>0</v>
      </c>
      <c r="CE114" s="714">
        <v>0</v>
      </c>
      <c r="CF114" s="711">
        <v>0</v>
      </c>
      <c r="CG114" s="714">
        <v>0</v>
      </c>
      <c r="CH114" s="711">
        <v>0</v>
      </c>
      <c r="CI114" s="714">
        <v>0</v>
      </c>
      <c r="CJ114" s="711">
        <v>0</v>
      </c>
      <c r="CK114" s="712">
        <v>0</v>
      </c>
      <c r="CL114" s="711">
        <v>0</v>
      </c>
      <c r="CM114" s="712">
        <v>0</v>
      </c>
      <c r="CN114" s="713">
        <v>0</v>
      </c>
      <c r="CO114" s="712">
        <v>0</v>
      </c>
    </row>
    <row r="115" spans="1:93">
      <c r="A115" s="468">
        <v>113</v>
      </c>
      <c r="B115" s="596">
        <v>0</v>
      </c>
      <c r="C115" s="596">
        <v>0</v>
      </c>
      <c r="D115" s="596">
        <v>0</v>
      </c>
      <c r="E115" s="596">
        <v>0</v>
      </c>
      <c r="F115" s="596">
        <v>0</v>
      </c>
      <c r="G115" s="596">
        <v>0</v>
      </c>
      <c r="H115" s="596">
        <v>0</v>
      </c>
      <c r="I115" s="596">
        <v>0</v>
      </c>
      <c r="J115" s="596">
        <v>0</v>
      </c>
      <c r="K115" s="596">
        <v>0</v>
      </c>
      <c r="L115" s="596">
        <v>0</v>
      </c>
      <c r="M115" s="596">
        <v>0</v>
      </c>
      <c r="N115" s="596">
        <v>0</v>
      </c>
      <c r="O115" s="596">
        <v>0</v>
      </c>
      <c r="P115" s="596">
        <v>0</v>
      </c>
      <c r="Q115" s="596">
        <v>0</v>
      </c>
      <c r="R115" s="596">
        <v>0</v>
      </c>
      <c r="S115" s="596">
        <v>0</v>
      </c>
      <c r="T115" s="596">
        <v>0</v>
      </c>
      <c r="U115" s="596">
        <v>0</v>
      </c>
      <c r="V115" s="596">
        <v>0</v>
      </c>
      <c r="W115" s="612">
        <v>0</v>
      </c>
      <c r="X115" s="704">
        <v>0</v>
      </c>
      <c r="Y115" s="705">
        <v>0</v>
      </c>
      <c r="Z115" s="706">
        <v>0</v>
      </c>
      <c r="AA115" s="707">
        <v>0</v>
      </c>
      <c r="AB115" s="706">
        <v>0</v>
      </c>
      <c r="AC115" s="704">
        <v>0</v>
      </c>
      <c r="AD115" s="706">
        <v>0</v>
      </c>
      <c r="AE115" s="708">
        <v>0</v>
      </c>
      <c r="AF115" s="704">
        <v>0</v>
      </c>
      <c r="AG115" s="704">
        <v>0</v>
      </c>
      <c r="AH115" s="708">
        <v>0</v>
      </c>
      <c r="AI115" s="709">
        <v>2E-3</v>
      </c>
      <c r="AJ115" s="706">
        <f t="shared" si="21"/>
        <v>7.1428571428571426E-3</v>
      </c>
      <c r="AK115" s="704">
        <v>0</v>
      </c>
      <c r="AL115" s="706">
        <v>0</v>
      </c>
      <c r="AM115" s="710">
        <v>2E-3</v>
      </c>
      <c r="AN115" s="704">
        <v>0</v>
      </c>
      <c r="AO115" s="706">
        <v>0</v>
      </c>
      <c r="AP115" s="711">
        <v>0</v>
      </c>
      <c r="AQ115" s="712">
        <v>0</v>
      </c>
      <c r="AR115" s="711">
        <v>0</v>
      </c>
      <c r="AS115" s="712">
        <v>0</v>
      </c>
      <c r="AT115" s="711">
        <v>0</v>
      </c>
      <c r="AU115" s="712">
        <v>0</v>
      </c>
      <c r="AV115" s="713">
        <v>0</v>
      </c>
      <c r="AW115" s="714">
        <v>0</v>
      </c>
      <c r="AX115" s="711">
        <v>0</v>
      </c>
      <c r="AY115" s="712">
        <v>0</v>
      </c>
      <c r="AZ115" s="713">
        <v>0</v>
      </c>
      <c r="BA115" s="712">
        <v>0</v>
      </c>
      <c r="BB115" s="713">
        <v>0</v>
      </c>
      <c r="BC115" s="712">
        <v>0</v>
      </c>
      <c r="BD115" s="713">
        <v>0</v>
      </c>
      <c r="BE115" s="712">
        <v>0</v>
      </c>
      <c r="BF115" s="713">
        <v>0</v>
      </c>
      <c r="BG115" s="712">
        <v>0</v>
      </c>
      <c r="BH115" s="713">
        <v>0</v>
      </c>
      <c r="BI115" s="712">
        <v>0</v>
      </c>
      <c r="BJ115" s="713">
        <v>0</v>
      </c>
      <c r="BK115" s="712">
        <v>0</v>
      </c>
      <c r="BL115" s="713">
        <v>0</v>
      </c>
      <c r="BM115" s="712">
        <v>0</v>
      </c>
      <c r="BN115" s="713">
        <v>0</v>
      </c>
      <c r="BO115" s="712">
        <v>0</v>
      </c>
      <c r="BP115" s="713">
        <v>0</v>
      </c>
      <c r="BQ115" s="712">
        <v>0</v>
      </c>
      <c r="BR115" s="713">
        <v>0</v>
      </c>
      <c r="BS115" s="712">
        <v>0</v>
      </c>
      <c r="BT115" s="713">
        <v>0</v>
      </c>
      <c r="BU115" s="712">
        <v>0</v>
      </c>
      <c r="BV115" s="711">
        <v>0</v>
      </c>
      <c r="BW115" s="714">
        <v>0</v>
      </c>
      <c r="BX115" s="711">
        <v>0</v>
      </c>
      <c r="BY115" s="714">
        <v>0</v>
      </c>
      <c r="BZ115" s="711">
        <v>0</v>
      </c>
      <c r="CA115" s="714">
        <v>0</v>
      </c>
      <c r="CB115" s="711">
        <v>0</v>
      </c>
      <c r="CC115" s="714">
        <v>0</v>
      </c>
      <c r="CD115" s="711">
        <v>0</v>
      </c>
      <c r="CE115" s="714">
        <v>0</v>
      </c>
      <c r="CF115" s="711">
        <v>0</v>
      </c>
      <c r="CG115" s="714">
        <v>0</v>
      </c>
      <c r="CH115" s="711">
        <v>0</v>
      </c>
      <c r="CI115" s="714">
        <v>0</v>
      </c>
      <c r="CJ115" s="711">
        <v>0</v>
      </c>
      <c r="CK115" s="712">
        <v>0</v>
      </c>
      <c r="CL115" s="711">
        <v>0</v>
      </c>
      <c r="CM115" s="712">
        <v>0</v>
      </c>
      <c r="CN115" s="713">
        <v>0</v>
      </c>
      <c r="CO115" s="712">
        <v>0</v>
      </c>
    </row>
    <row r="116" spans="1:93">
      <c r="A116" s="468">
        <v>114</v>
      </c>
      <c r="B116" s="596">
        <v>0</v>
      </c>
      <c r="C116" s="596">
        <v>0</v>
      </c>
      <c r="D116" s="596">
        <v>0</v>
      </c>
      <c r="E116" s="596">
        <v>0</v>
      </c>
      <c r="F116" s="596">
        <v>0</v>
      </c>
      <c r="G116" s="596">
        <v>0</v>
      </c>
      <c r="H116" s="596">
        <v>0</v>
      </c>
      <c r="I116" s="596">
        <v>0</v>
      </c>
      <c r="J116" s="596">
        <v>0</v>
      </c>
      <c r="K116" s="596">
        <v>0</v>
      </c>
      <c r="L116" s="596">
        <v>0</v>
      </c>
      <c r="M116" s="596">
        <v>0</v>
      </c>
      <c r="N116" s="596">
        <v>0</v>
      </c>
      <c r="O116" s="596">
        <v>0</v>
      </c>
      <c r="P116" s="596">
        <v>0</v>
      </c>
      <c r="Q116" s="596">
        <v>0</v>
      </c>
      <c r="R116" s="596">
        <v>0</v>
      </c>
      <c r="S116" s="596">
        <v>0</v>
      </c>
      <c r="T116" s="596">
        <v>0</v>
      </c>
      <c r="U116" s="596">
        <v>0</v>
      </c>
      <c r="V116" s="596">
        <v>0</v>
      </c>
      <c r="W116" s="612">
        <v>0</v>
      </c>
      <c r="X116" s="704">
        <v>0</v>
      </c>
      <c r="Y116" s="705">
        <v>0</v>
      </c>
      <c r="Z116" s="706">
        <v>0</v>
      </c>
      <c r="AA116" s="707">
        <v>0</v>
      </c>
      <c r="AB116" s="706">
        <v>0</v>
      </c>
      <c r="AC116" s="704">
        <v>0</v>
      </c>
      <c r="AD116" s="706">
        <v>0</v>
      </c>
      <c r="AE116" s="708">
        <v>0</v>
      </c>
      <c r="AF116" s="704">
        <v>0</v>
      </c>
      <c r="AG116" s="704">
        <v>0</v>
      </c>
      <c r="AH116" s="708">
        <v>0</v>
      </c>
      <c r="AI116" s="709">
        <v>2E-3</v>
      </c>
      <c r="AJ116" s="706">
        <f t="shared" si="21"/>
        <v>7.1428571428571426E-3</v>
      </c>
      <c r="AK116" s="704">
        <v>0</v>
      </c>
      <c r="AL116" s="706">
        <v>0</v>
      </c>
      <c r="AM116" s="710">
        <v>2E-3</v>
      </c>
      <c r="AN116" s="704">
        <v>0</v>
      </c>
      <c r="AO116" s="706">
        <v>0</v>
      </c>
      <c r="AP116" s="711">
        <v>0</v>
      </c>
      <c r="AQ116" s="712">
        <v>0</v>
      </c>
      <c r="AR116" s="711">
        <v>0</v>
      </c>
      <c r="AS116" s="712">
        <v>0</v>
      </c>
      <c r="AT116" s="711">
        <v>0</v>
      </c>
      <c r="AU116" s="712">
        <v>0</v>
      </c>
      <c r="AV116" s="713">
        <v>0</v>
      </c>
      <c r="AW116" s="714">
        <v>0</v>
      </c>
      <c r="AX116" s="711">
        <v>0</v>
      </c>
      <c r="AY116" s="712">
        <v>0</v>
      </c>
      <c r="AZ116" s="713">
        <v>0</v>
      </c>
      <c r="BA116" s="712">
        <v>0</v>
      </c>
      <c r="BB116" s="713">
        <v>0</v>
      </c>
      <c r="BC116" s="712">
        <v>0</v>
      </c>
      <c r="BD116" s="713">
        <v>0</v>
      </c>
      <c r="BE116" s="712">
        <v>0</v>
      </c>
      <c r="BF116" s="713">
        <v>0</v>
      </c>
      <c r="BG116" s="712">
        <v>0</v>
      </c>
      <c r="BH116" s="713">
        <v>0</v>
      </c>
      <c r="BI116" s="712">
        <v>0</v>
      </c>
      <c r="BJ116" s="713">
        <v>0</v>
      </c>
      <c r="BK116" s="712">
        <v>0</v>
      </c>
      <c r="BL116" s="713">
        <v>0</v>
      </c>
      <c r="BM116" s="712">
        <v>0</v>
      </c>
      <c r="BN116" s="713">
        <v>0</v>
      </c>
      <c r="BO116" s="712">
        <v>0</v>
      </c>
      <c r="BP116" s="713">
        <v>0</v>
      </c>
      <c r="BQ116" s="712">
        <v>0</v>
      </c>
      <c r="BR116" s="713">
        <v>0</v>
      </c>
      <c r="BS116" s="712">
        <v>0</v>
      </c>
      <c r="BT116" s="713">
        <v>0</v>
      </c>
      <c r="BU116" s="712">
        <v>0</v>
      </c>
      <c r="BV116" s="711">
        <v>0</v>
      </c>
      <c r="BW116" s="714">
        <v>0</v>
      </c>
      <c r="BX116" s="711">
        <v>0</v>
      </c>
      <c r="BY116" s="714">
        <v>0</v>
      </c>
      <c r="BZ116" s="711">
        <v>0</v>
      </c>
      <c r="CA116" s="714">
        <v>0</v>
      </c>
      <c r="CB116" s="711">
        <v>0</v>
      </c>
      <c r="CC116" s="714">
        <v>0</v>
      </c>
      <c r="CD116" s="711">
        <v>0</v>
      </c>
      <c r="CE116" s="714">
        <v>0</v>
      </c>
      <c r="CF116" s="711">
        <v>0</v>
      </c>
      <c r="CG116" s="714">
        <v>0</v>
      </c>
      <c r="CH116" s="711">
        <v>0</v>
      </c>
      <c r="CI116" s="714">
        <v>0</v>
      </c>
      <c r="CJ116" s="711">
        <v>0</v>
      </c>
      <c r="CK116" s="712">
        <v>0</v>
      </c>
      <c r="CL116" s="711">
        <v>0</v>
      </c>
      <c r="CM116" s="712">
        <v>0</v>
      </c>
      <c r="CN116" s="713">
        <v>0</v>
      </c>
      <c r="CO116" s="712">
        <v>0</v>
      </c>
    </row>
    <row r="117" spans="1:93">
      <c r="A117" s="468">
        <v>115</v>
      </c>
      <c r="B117" s="596">
        <v>0</v>
      </c>
      <c r="C117" s="596">
        <v>0</v>
      </c>
      <c r="D117" s="596">
        <v>0</v>
      </c>
      <c r="E117" s="596">
        <v>0</v>
      </c>
      <c r="F117" s="596">
        <v>0</v>
      </c>
      <c r="G117" s="596">
        <v>0</v>
      </c>
      <c r="H117" s="596">
        <v>0</v>
      </c>
      <c r="I117" s="596">
        <v>0</v>
      </c>
      <c r="J117" s="596">
        <v>0</v>
      </c>
      <c r="K117" s="596">
        <v>0</v>
      </c>
      <c r="L117" s="596">
        <v>0</v>
      </c>
      <c r="M117" s="596">
        <v>0</v>
      </c>
      <c r="N117" s="596">
        <v>0</v>
      </c>
      <c r="O117" s="596">
        <v>0</v>
      </c>
      <c r="P117" s="596">
        <v>0</v>
      </c>
      <c r="Q117" s="596">
        <v>0</v>
      </c>
      <c r="R117" s="596">
        <v>0</v>
      </c>
      <c r="S117" s="596">
        <v>0</v>
      </c>
      <c r="T117" s="596">
        <v>0</v>
      </c>
      <c r="U117" s="596">
        <v>0</v>
      </c>
      <c r="V117" s="596">
        <v>0</v>
      </c>
      <c r="W117" s="612">
        <v>0</v>
      </c>
      <c r="X117" s="704">
        <v>0</v>
      </c>
      <c r="Y117" s="705">
        <v>0</v>
      </c>
      <c r="Z117" s="706">
        <v>0</v>
      </c>
      <c r="AA117" s="707">
        <v>0</v>
      </c>
      <c r="AB117" s="706">
        <v>0</v>
      </c>
      <c r="AC117" s="704">
        <v>0</v>
      </c>
      <c r="AD117" s="706">
        <v>0</v>
      </c>
      <c r="AE117" s="708">
        <v>0</v>
      </c>
      <c r="AF117" s="704">
        <v>0</v>
      </c>
      <c r="AG117" s="704">
        <v>0</v>
      </c>
      <c r="AH117" s="708">
        <v>0</v>
      </c>
      <c r="AI117" s="709">
        <v>2E-3</v>
      </c>
      <c r="AJ117" s="706">
        <f t="shared" si="21"/>
        <v>7.1428571428571426E-3</v>
      </c>
      <c r="AK117" s="704">
        <v>0</v>
      </c>
      <c r="AL117" s="706">
        <v>0</v>
      </c>
      <c r="AM117" s="710">
        <v>2E-3</v>
      </c>
      <c r="AN117" s="704">
        <v>0</v>
      </c>
      <c r="AO117" s="706">
        <v>0</v>
      </c>
      <c r="AP117" s="711">
        <v>0</v>
      </c>
      <c r="AQ117" s="712">
        <v>0</v>
      </c>
      <c r="AR117" s="711">
        <v>0</v>
      </c>
      <c r="AS117" s="712">
        <v>0</v>
      </c>
      <c r="AT117" s="711">
        <v>0</v>
      </c>
      <c r="AU117" s="712">
        <v>0</v>
      </c>
      <c r="AV117" s="713">
        <v>0</v>
      </c>
      <c r="AW117" s="714">
        <v>0</v>
      </c>
      <c r="AX117" s="711">
        <v>0</v>
      </c>
      <c r="AY117" s="712">
        <v>0</v>
      </c>
      <c r="AZ117" s="713">
        <v>0</v>
      </c>
      <c r="BA117" s="712">
        <v>0</v>
      </c>
      <c r="BB117" s="713">
        <v>0</v>
      </c>
      <c r="BC117" s="712">
        <v>0</v>
      </c>
      <c r="BD117" s="713">
        <v>0</v>
      </c>
      <c r="BE117" s="712">
        <v>0</v>
      </c>
      <c r="BF117" s="713">
        <v>0</v>
      </c>
      <c r="BG117" s="712">
        <v>0</v>
      </c>
      <c r="BH117" s="713">
        <v>0</v>
      </c>
      <c r="BI117" s="712">
        <v>0</v>
      </c>
      <c r="BJ117" s="713">
        <v>0</v>
      </c>
      <c r="BK117" s="712">
        <v>0</v>
      </c>
      <c r="BL117" s="713">
        <v>0</v>
      </c>
      <c r="BM117" s="712">
        <v>0</v>
      </c>
      <c r="BN117" s="713">
        <v>0</v>
      </c>
      <c r="BO117" s="712">
        <v>0</v>
      </c>
      <c r="BP117" s="713">
        <v>0</v>
      </c>
      <c r="BQ117" s="712">
        <v>0</v>
      </c>
      <c r="BR117" s="713">
        <v>0</v>
      </c>
      <c r="BS117" s="712">
        <v>0</v>
      </c>
      <c r="BT117" s="713">
        <v>0</v>
      </c>
      <c r="BU117" s="712">
        <v>0</v>
      </c>
      <c r="BV117" s="711">
        <v>0</v>
      </c>
      <c r="BW117" s="714">
        <v>0</v>
      </c>
      <c r="BX117" s="711">
        <v>0</v>
      </c>
      <c r="BY117" s="714">
        <v>0</v>
      </c>
      <c r="BZ117" s="711">
        <v>0</v>
      </c>
      <c r="CA117" s="714">
        <v>0</v>
      </c>
      <c r="CB117" s="711">
        <v>0</v>
      </c>
      <c r="CC117" s="714">
        <v>0</v>
      </c>
      <c r="CD117" s="711">
        <v>0</v>
      </c>
      <c r="CE117" s="714">
        <v>0</v>
      </c>
      <c r="CF117" s="711">
        <v>0</v>
      </c>
      <c r="CG117" s="714">
        <v>0</v>
      </c>
      <c r="CH117" s="711">
        <v>0</v>
      </c>
      <c r="CI117" s="714">
        <v>0</v>
      </c>
      <c r="CJ117" s="711">
        <v>0</v>
      </c>
      <c r="CK117" s="712">
        <v>0</v>
      </c>
      <c r="CL117" s="711">
        <v>0</v>
      </c>
      <c r="CM117" s="712">
        <v>0</v>
      </c>
      <c r="CN117" s="713">
        <v>0</v>
      </c>
      <c r="CO117" s="712">
        <v>0</v>
      </c>
    </row>
    <row r="118" spans="1:93">
      <c r="A118" s="468">
        <v>116</v>
      </c>
      <c r="B118" s="596">
        <v>0</v>
      </c>
      <c r="C118" s="596">
        <v>0</v>
      </c>
      <c r="D118" s="596">
        <v>0</v>
      </c>
      <c r="E118" s="596">
        <v>0</v>
      </c>
      <c r="F118" s="596">
        <v>0</v>
      </c>
      <c r="G118" s="596">
        <v>0</v>
      </c>
      <c r="H118" s="596">
        <v>0</v>
      </c>
      <c r="I118" s="596">
        <v>0</v>
      </c>
      <c r="J118" s="596">
        <v>0</v>
      </c>
      <c r="K118" s="596">
        <v>0</v>
      </c>
      <c r="L118" s="596">
        <v>0</v>
      </c>
      <c r="M118" s="596">
        <v>0</v>
      </c>
      <c r="N118" s="596">
        <v>0</v>
      </c>
      <c r="O118" s="596">
        <v>0</v>
      </c>
      <c r="P118" s="596">
        <v>0</v>
      </c>
      <c r="Q118" s="596">
        <v>0</v>
      </c>
      <c r="R118" s="596">
        <v>0</v>
      </c>
      <c r="S118" s="596">
        <v>0</v>
      </c>
      <c r="T118" s="596">
        <v>0</v>
      </c>
      <c r="U118" s="596">
        <v>0</v>
      </c>
      <c r="V118" s="596">
        <v>0</v>
      </c>
      <c r="W118" s="612">
        <v>0</v>
      </c>
      <c r="X118" s="704">
        <v>0</v>
      </c>
      <c r="Y118" s="705">
        <v>0</v>
      </c>
      <c r="Z118" s="706">
        <v>0</v>
      </c>
      <c r="AA118" s="707">
        <v>0</v>
      </c>
      <c r="AB118" s="706">
        <v>0</v>
      </c>
      <c r="AC118" s="704">
        <v>0</v>
      </c>
      <c r="AD118" s="706">
        <v>0</v>
      </c>
      <c r="AE118" s="708">
        <v>0</v>
      </c>
      <c r="AF118" s="704">
        <v>0</v>
      </c>
      <c r="AG118" s="704">
        <v>0</v>
      </c>
      <c r="AH118" s="708">
        <v>0</v>
      </c>
      <c r="AI118" s="709">
        <v>2E-3</v>
      </c>
      <c r="AJ118" s="706">
        <f t="shared" si="21"/>
        <v>7.1428571428571426E-3</v>
      </c>
      <c r="AK118" s="704">
        <v>0</v>
      </c>
      <c r="AL118" s="706">
        <v>0</v>
      </c>
      <c r="AM118" s="710">
        <v>2E-3</v>
      </c>
      <c r="AN118" s="704">
        <v>0</v>
      </c>
      <c r="AO118" s="706">
        <v>0</v>
      </c>
      <c r="AP118" s="711">
        <v>0</v>
      </c>
      <c r="AQ118" s="712">
        <v>0</v>
      </c>
      <c r="AR118" s="711">
        <v>0</v>
      </c>
      <c r="AS118" s="712">
        <v>0</v>
      </c>
      <c r="AT118" s="711">
        <v>0</v>
      </c>
      <c r="AU118" s="712">
        <v>0</v>
      </c>
      <c r="AV118" s="713">
        <v>0</v>
      </c>
      <c r="AW118" s="714">
        <v>0</v>
      </c>
      <c r="AX118" s="711">
        <v>0</v>
      </c>
      <c r="AY118" s="712">
        <v>0</v>
      </c>
      <c r="AZ118" s="713">
        <v>0</v>
      </c>
      <c r="BA118" s="712">
        <v>0</v>
      </c>
      <c r="BB118" s="713">
        <v>0</v>
      </c>
      <c r="BC118" s="712">
        <v>0</v>
      </c>
      <c r="BD118" s="713">
        <v>0</v>
      </c>
      <c r="BE118" s="712">
        <v>0</v>
      </c>
      <c r="BF118" s="713">
        <v>0</v>
      </c>
      <c r="BG118" s="712">
        <v>0</v>
      </c>
      <c r="BH118" s="713">
        <v>0</v>
      </c>
      <c r="BI118" s="712">
        <v>0</v>
      </c>
      <c r="BJ118" s="713">
        <v>0</v>
      </c>
      <c r="BK118" s="712">
        <v>0</v>
      </c>
      <c r="BL118" s="713">
        <v>0</v>
      </c>
      <c r="BM118" s="712">
        <v>0</v>
      </c>
      <c r="BN118" s="713">
        <v>0</v>
      </c>
      <c r="BO118" s="712">
        <v>0</v>
      </c>
      <c r="BP118" s="713">
        <v>0</v>
      </c>
      <c r="BQ118" s="712">
        <v>0</v>
      </c>
      <c r="BR118" s="713">
        <v>0</v>
      </c>
      <c r="BS118" s="712">
        <v>0</v>
      </c>
      <c r="BT118" s="713">
        <v>0</v>
      </c>
      <c r="BU118" s="712">
        <v>0</v>
      </c>
      <c r="BV118" s="711">
        <v>0</v>
      </c>
      <c r="BW118" s="714">
        <v>0</v>
      </c>
      <c r="BX118" s="711">
        <v>0</v>
      </c>
      <c r="BY118" s="714">
        <v>0</v>
      </c>
      <c r="BZ118" s="711">
        <v>0</v>
      </c>
      <c r="CA118" s="714">
        <v>0</v>
      </c>
      <c r="CB118" s="711">
        <v>0</v>
      </c>
      <c r="CC118" s="714">
        <v>0</v>
      </c>
      <c r="CD118" s="711">
        <v>0</v>
      </c>
      <c r="CE118" s="714">
        <v>0</v>
      </c>
      <c r="CF118" s="711">
        <v>0</v>
      </c>
      <c r="CG118" s="714">
        <v>0</v>
      </c>
      <c r="CH118" s="711">
        <v>0</v>
      </c>
      <c r="CI118" s="714">
        <v>0</v>
      </c>
      <c r="CJ118" s="711">
        <v>0</v>
      </c>
      <c r="CK118" s="712">
        <v>0</v>
      </c>
      <c r="CL118" s="711">
        <v>0</v>
      </c>
      <c r="CM118" s="712">
        <v>0</v>
      </c>
      <c r="CN118" s="713">
        <v>0</v>
      </c>
      <c r="CO118" s="712">
        <v>0</v>
      </c>
    </row>
    <row r="119" spans="1:93">
      <c r="A119" s="468">
        <v>117</v>
      </c>
      <c r="B119" s="596">
        <v>0</v>
      </c>
      <c r="C119" s="596">
        <v>0</v>
      </c>
      <c r="D119" s="596">
        <v>0</v>
      </c>
      <c r="E119" s="596">
        <v>0</v>
      </c>
      <c r="F119" s="596">
        <v>0</v>
      </c>
      <c r="G119" s="596">
        <v>0</v>
      </c>
      <c r="H119" s="596">
        <v>0</v>
      </c>
      <c r="I119" s="596">
        <v>0</v>
      </c>
      <c r="J119" s="596">
        <v>0</v>
      </c>
      <c r="K119" s="596">
        <v>0</v>
      </c>
      <c r="L119" s="596">
        <v>0</v>
      </c>
      <c r="M119" s="596">
        <v>0</v>
      </c>
      <c r="N119" s="596">
        <v>0</v>
      </c>
      <c r="O119" s="596">
        <v>0</v>
      </c>
      <c r="P119" s="596">
        <v>0</v>
      </c>
      <c r="Q119" s="596">
        <v>0</v>
      </c>
      <c r="R119" s="596">
        <v>0</v>
      </c>
      <c r="S119" s="596">
        <v>0</v>
      </c>
      <c r="T119" s="596">
        <v>0</v>
      </c>
      <c r="U119" s="596">
        <v>0</v>
      </c>
      <c r="V119" s="596">
        <v>0</v>
      </c>
      <c r="W119" s="612">
        <v>0</v>
      </c>
      <c r="X119" s="704">
        <v>0</v>
      </c>
      <c r="Y119" s="705">
        <v>0</v>
      </c>
      <c r="Z119" s="706">
        <v>0</v>
      </c>
      <c r="AA119" s="707">
        <v>0</v>
      </c>
      <c r="AB119" s="706">
        <v>0</v>
      </c>
      <c r="AC119" s="704">
        <v>0</v>
      </c>
      <c r="AD119" s="706">
        <v>0</v>
      </c>
      <c r="AE119" s="708">
        <v>0</v>
      </c>
      <c r="AF119" s="704">
        <v>0</v>
      </c>
      <c r="AG119" s="704">
        <v>0</v>
      </c>
      <c r="AH119" s="708">
        <v>0</v>
      </c>
      <c r="AI119" s="709">
        <v>2E-3</v>
      </c>
      <c r="AJ119" s="706">
        <f t="shared" si="21"/>
        <v>7.1428571428571426E-3</v>
      </c>
      <c r="AK119" s="704">
        <v>0</v>
      </c>
      <c r="AL119" s="706">
        <v>0</v>
      </c>
      <c r="AM119" s="710">
        <v>0</v>
      </c>
      <c r="AN119" s="704">
        <v>0</v>
      </c>
      <c r="AO119" s="706">
        <v>0</v>
      </c>
      <c r="AP119" s="711">
        <v>0</v>
      </c>
      <c r="AQ119" s="712">
        <v>0</v>
      </c>
      <c r="AR119" s="711">
        <v>0</v>
      </c>
      <c r="AS119" s="712">
        <v>0</v>
      </c>
      <c r="AT119" s="711">
        <v>0</v>
      </c>
      <c r="AU119" s="712">
        <v>0</v>
      </c>
      <c r="AV119" s="713">
        <v>0</v>
      </c>
      <c r="AW119" s="714">
        <v>0</v>
      </c>
      <c r="AX119" s="711">
        <v>0</v>
      </c>
      <c r="AY119" s="712">
        <v>0</v>
      </c>
      <c r="AZ119" s="713">
        <v>0</v>
      </c>
      <c r="BA119" s="712">
        <v>0</v>
      </c>
      <c r="BB119" s="713">
        <v>0</v>
      </c>
      <c r="BC119" s="712">
        <v>0</v>
      </c>
      <c r="BD119" s="713">
        <v>0</v>
      </c>
      <c r="BE119" s="712">
        <v>0</v>
      </c>
      <c r="BF119" s="713">
        <v>0</v>
      </c>
      <c r="BG119" s="712">
        <v>0</v>
      </c>
      <c r="BH119" s="713">
        <v>0</v>
      </c>
      <c r="BI119" s="712">
        <v>0</v>
      </c>
      <c r="BJ119" s="713">
        <v>0</v>
      </c>
      <c r="BK119" s="712">
        <v>0</v>
      </c>
      <c r="BL119" s="713">
        <v>0</v>
      </c>
      <c r="BM119" s="712">
        <v>0</v>
      </c>
      <c r="BN119" s="713">
        <v>0</v>
      </c>
      <c r="BO119" s="712">
        <v>0</v>
      </c>
      <c r="BP119" s="713">
        <v>0</v>
      </c>
      <c r="BQ119" s="712">
        <v>0</v>
      </c>
      <c r="BR119" s="713">
        <v>0</v>
      </c>
      <c r="BS119" s="712">
        <v>0</v>
      </c>
      <c r="BT119" s="713">
        <v>0</v>
      </c>
      <c r="BU119" s="712">
        <v>0</v>
      </c>
      <c r="BV119" s="711">
        <v>0</v>
      </c>
      <c r="BW119" s="714">
        <v>0</v>
      </c>
      <c r="BX119" s="711">
        <v>0</v>
      </c>
      <c r="BY119" s="714">
        <v>0</v>
      </c>
      <c r="BZ119" s="711">
        <v>0</v>
      </c>
      <c r="CA119" s="714">
        <v>0</v>
      </c>
      <c r="CB119" s="711">
        <v>0</v>
      </c>
      <c r="CC119" s="714">
        <v>0</v>
      </c>
      <c r="CD119" s="711">
        <v>0</v>
      </c>
      <c r="CE119" s="714">
        <v>0</v>
      </c>
      <c r="CF119" s="711">
        <v>0</v>
      </c>
      <c r="CG119" s="714">
        <v>0</v>
      </c>
      <c r="CH119" s="711">
        <v>0</v>
      </c>
      <c r="CI119" s="714">
        <v>0</v>
      </c>
      <c r="CJ119" s="711">
        <v>0</v>
      </c>
      <c r="CK119" s="712">
        <v>0</v>
      </c>
      <c r="CL119" s="711">
        <v>0</v>
      </c>
      <c r="CM119" s="712">
        <v>0</v>
      </c>
      <c r="CN119" s="713">
        <v>0</v>
      </c>
      <c r="CO119" s="712">
        <v>0</v>
      </c>
    </row>
    <row r="120" spans="1:93">
      <c r="A120" s="468">
        <v>118</v>
      </c>
      <c r="B120" s="596">
        <v>0</v>
      </c>
      <c r="C120" s="596">
        <v>0</v>
      </c>
      <c r="D120" s="596">
        <v>0</v>
      </c>
      <c r="E120" s="596">
        <v>0</v>
      </c>
      <c r="F120" s="596">
        <v>0</v>
      </c>
      <c r="G120" s="596">
        <v>0</v>
      </c>
      <c r="H120" s="596">
        <v>0</v>
      </c>
      <c r="I120" s="596">
        <v>0</v>
      </c>
      <c r="J120" s="596">
        <v>0</v>
      </c>
      <c r="K120" s="596">
        <v>0</v>
      </c>
      <c r="L120" s="596">
        <v>0</v>
      </c>
      <c r="M120" s="596">
        <v>0</v>
      </c>
      <c r="N120" s="596">
        <v>0</v>
      </c>
      <c r="O120" s="596">
        <v>0</v>
      </c>
      <c r="P120" s="596">
        <v>0</v>
      </c>
      <c r="Q120" s="596">
        <v>0</v>
      </c>
      <c r="R120" s="596">
        <v>0</v>
      </c>
      <c r="S120" s="596">
        <v>0</v>
      </c>
      <c r="T120" s="596">
        <v>0</v>
      </c>
      <c r="U120" s="596">
        <v>0</v>
      </c>
      <c r="V120" s="596">
        <v>0</v>
      </c>
      <c r="W120" s="612">
        <v>0</v>
      </c>
      <c r="X120" s="704">
        <v>0</v>
      </c>
      <c r="Y120" s="705">
        <v>0</v>
      </c>
      <c r="Z120" s="706">
        <v>0</v>
      </c>
      <c r="AA120" s="707">
        <v>0</v>
      </c>
      <c r="AB120" s="706">
        <v>0</v>
      </c>
      <c r="AC120" s="704">
        <v>0</v>
      </c>
      <c r="AD120" s="706">
        <v>0</v>
      </c>
      <c r="AE120" s="708">
        <v>0</v>
      </c>
      <c r="AF120" s="704">
        <v>0</v>
      </c>
      <c r="AG120" s="704">
        <v>0</v>
      </c>
      <c r="AH120" s="708">
        <v>0</v>
      </c>
      <c r="AI120" s="709">
        <v>2E-3</v>
      </c>
      <c r="AJ120" s="706">
        <f t="shared" si="21"/>
        <v>7.1428571428571426E-3</v>
      </c>
      <c r="AK120" s="704">
        <v>0</v>
      </c>
      <c r="AL120" s="706">
        <v>0</v>
      </c>
      <c r="AM120" s="710">
        <v>0</v>
      </c>
      <c r="AN120" s="704">
        <v>0</v>
      </c>
      <c r="AO120" s="706">
        <v>0</v>
      </c>
      <c r="AP120" s="711">
        <v>0</v>
      </c>
      <c r="AQ120" s="712">
        <v>0</v>
      </c>
      <c r="AR120" s="711">
        <v>0</v>
      </c>
      <c r="AS120" s="712">
        <v>0</v>
      </c>
      <c r="AT120" s="711">
        <v>0</v>
      </c>
      <c r="AU120" s="712">
        <v>0</v>
      </c>
      <c r="AV120" s="713">
        <v>0</v>
      </c>
      <c r="AW120" s="714">
        <v>0</v>
      </c>
      <c r="AX120" s="711">
        <v>0</v>
      </c>
      <c r="AY120" s="712">
        <v>0</v>
      </c>
      <c r="AZ120" s="713">
        <v>0</v>
      </c>
      <c r="BA120" s="712">
        <v>0</v>
      </c>
      <c r="BB120" s="713">
        <v>0</v>
      </c>
      <c r="BC120" s="712">
        <v>0</v>
      </c>
      <c r="BD120" s="713">
        <v>0</v>
      </c>
      <c r="BE120" s="712">
        <v>0</v>
      </c>
      <c r="BF120" s="713">
        <v>0</v>
      </c>
      <c r="BG120" s="712">
        <v>0</v>
      </c>
      <c r="BH120" s="713">
        <v>0</v>
      </c>
      <c r="BI120" s="712">
        <v>0</v>
      </c>
      <c r="BJ120" s="713">
        <v>0</v>
      </c>
      <c r="BK120" s="712">
        <v>0</v>
      </c>
      <c r="BL120" s="713">
        <v>0</v>
      </c>
      <c r="BM120" s="712">
        <v>0</v>
      </c>
      <c r="BN120" s="713">
        <v>0</v>
      </c>
      <c r="BO120" s="712">
        <v>0</v>
      </c>
      <c r="BP120" s="713">
        <v>0</v>
      </c>
      <c r="BQ120" s="712">
        <v>0</v>
      </c>
      <c r="BR120" s="713">
        <v>0</v>
      </c>
      <c r="BS120" s="712">
        <v>0</v>
      </c>
      <c r="BT120" s="713">
        <v>0</v>
      </c>
      <c r="BU120" s="712">
        <v>0</v>
      </c>
      <c r="BV120" s="711">
        <v>0</v>
      </c>
      <c r="BW120" s="714">
        <v>0</v>
      </c>
      <c r="BX120" s="711">
        <v>0</v>
      </c>
      <c r="BY120" s="714">
        <v>0</v>
      </c>
      <c r="BZ120" s="711">
        <v>0</v>
      </c>
      <c r="CA120" s="714">
        <v>0</v>
      </c>
      <c r="CB120" s="711">
        <v>0</v>
      </c>
      <c r="CC120" s="714">
        <v>0</v>
      </c>
      <c r="CD120" s="711">
        <v>0</v>
      </c>
      <c r="CE120" s="714">
        <v>0</v>
      </c>
      <c r="CF120" s="711">
        <v>0</v>
      </c>
      <c r="CG120" s="714">
        <v>0</v>
      </c>
      <c r="CH120" s="711">
        <v>0</v>
      </c>
      <c r="CI120" s="714">
        <v>0</v>
      </c>
      <c r="CJ120" s="711">
        <v>0</v>
      </c>
      <c r="CK120" s="712">
        <v>0</v>
      </c>
      <c r="CL120" s="711">
        <v>0</v>
      </c>
      <c r="CM120" s="712">
        <v>0</v>
      </c>
      <c r="CN120" s="713">
        <v>0</v>
      </c>
      <c r="CO120" s="712">
        <v>0</v>
      </c>
    </row>
    <row r="121" spans="1:93">
      <c r="A121" s="468">
        <v>119</v>
      </c>
      <c r="B121" s="596">
        <v>0</v>
      </c>
      <c r="C121" s="596">
        <v>0</v>
      </c>
      <c r="D121" s="596">
        <v>0</v>
      </c>
      <c r="E121" s="596">
        <v>0</v>
      </c>
      <c r="F121" s="596">
        <v>0</v>
      </c>
      <c r="G121" s="596">
        <v>0</v>
      </c>
      <c r="H121" s="596">
        <v>0</v>
      </c>
      <c r="I121" s="596">
        <v>0</v>
      </c>
      <c r="J121" s="596">
        <v>0</v>
      </c>
      <c r="K121" s="596">
        <v>0</v>
      </c>
      <c r="L121" s="596">
        <v>0</v>
      </c>
      <c r="M121" s="596">
        <v>0</v>
      </c>
      <c r="N121" s="596">
        <v>0</v>
      </c>
      <c r="O121" s="596">
        <v>0</v>
      </c>
      <c r="P121" s="596">
        <v>0</v>
      </c>
      <c r="Q121" s="596">
        <v>0</v>
      </c>
      <c r="R121" s="596">
        <v>0</v>
      </c>
      <c r="S121" s="596">
        <v>0</v>
      </c>
      <c r="T121" s="596">
        <v>0</v>
      </c>
      <c r="U121" s="596">
        <v>0</v>
      </c>
      <c r="V121" s="596">
        <v>0</v>
      </c>
      <c r="W121" s="612">
        <v>0</v>
      </c>
      <c r="X121" s="704">
        <v>0</v>
      </c>
      <c r="Y121" s="705">
        <v>0</v>
      </c>
      <c r="Z121" s="706">
        <v>0</v>
      </c>
      <c r="AA121" s="707">
        <v>0</v>
      </c>
      <c r="AB121" s="706">
        <v>0</v>
      </c>
      <c r="AC121" s="704">
        <v>0</v>
      </c>
      <c r="AD121" s="706">
        <v>0</v>
      </c>
      <c r="AE121" s="708">
        <v>0</v>
      </c>
      <c r="AF121" s="704">
        <v>0</v>
      </c>
      <c r="AG121" s="704">
        <v>0</v>
      </c>
      <c r="AH121" s="708">
        <v>0</v>
      </c>
      <c r="AI121" s="709">
        <v>2E-3</v>
      </c>
      <c r="AJ121" s="706">
        <f t="shared" si="21"/>
        <v>7.1428571428571426E-3</v>
      </c>
      <c r="AK121" s="704">
        <v>0</v>
      </c>
      <c r="AL121" s="706">
        <v>0</v>
      </c>
      <c r="AM121" s="710">
        <v>0</v>
      </c>
      <c r="AN121" s="704">
        <v>0</v>
      </c>
      <c r="AO121" s="706">
        <v>0</v>
      </c>
      <c r="AP121" s="711">
        <v>0</v>
      </c>
      <c r="AQ121" s="712">
        <v>0</v>
      </c>
      <c r="AR121" s="711">
        <v>0</v>
      </c>
      <c r="AS121" s="712">
        <v>0</v>
      </c>
      <c r="AT121" s="711">
        <v>0</v>
      </c>
      <c r="AU121" s="712">
        <v>0</v>
      </c>
      <c r="AV121" s="713">
        <v>0</v>
      </c>
      <c r="AW121" s="714">
        <v>0</v>
      </c>
      <c r="AX121" s="711">
        <v>0</v>
      </c>
      <c r="AY121" s="712">
        <v>0</v>
      </c>
      <c r="AZ121" s="713">
        <v>0</v>
      </c>
      <c r="BA121" s="712">
        <v>0</v>
      </c>
      <c r="BB121" s="713">
        <v>0</v>
      </c>
      <c r="BC121" s="712">
        <v>0</v>
      </c>
      <c r="BD121" s="713">
        <v>0</v>
      </c>
      <c r="BE121" s="712">
        <v>0</v>
      </c>
      <c r="BF121" s="713">
        <v>0</v>
      </c>
      <c r="BG121" s="712">
        <v>0</v>
      </c>
      <c r="BH121" s="713">
        <v>0</v>
      </c>
      <c r="BI121" s="712">
        <v>0</v>
      </c>
      <c r="BJ121" s="713">
        <v>0</v>
      </c>
      <c r="BK121" s="712">
        <v>0</v>
      </c>
      <c r="BL121" s="713">
        <v>0</v>
      </c>
      <c r="BM121" s="712">
        <v>0</v>
      </c>
      <c r="BN121" s="713">
        <v>0</v>
      </c>
      <c r="BO121" s="712">
        <v>0</v>
      </c>
      <c r="BP121" s="713">
        <v>0</v>
      </c>
      <c r="BQ121" s="712">
        <v>0</v>
      </c>
      <c r="BR121" s="713">
        <v>0</v>
      </c>
      <c r="BS121" s="712">
        <v>0</v>
      </c>
      <c r="BT121" s="713">
        <v>0</v>
      </c>
      <c r="BU121" s="712">
        <v>0</v>
      </c>
      <c r="BV121" s="711">
        <v>0</v>
      </c>
      <c r="BW121" s="714">
        <v>0</v>
      </c>
      <c r="BX121" s="711">
        <v>0</v>
      </c>
      <c r="BY121" s="714">
        <v>0</v>
      </c>
      <c r="BZ121" s="711">
        <v>0</v>
      </c>
      <c r="CA121" s="714">
        <v>0</v>
      </c>
      <c r="CB121" s="711">
        <v>0</v>
      </c>
      <c r="CC121" s="714">
        <v>0</v>
      </c>
      <c r="CD121" s="711">
        <v>0</v>
      </c>
      <c r="CE121" s="714">
        <v>0</v>
      </c>
      <c r="CF121" s="711">
        <v>0</v>
      </c>
      <c r="CG121" s="714">
        <v>0</v>
      </c>
      <c r="CH121" s="711">
        <v>0</v>
      </c>
      <c r="CI121" s="714">
        <v>0</v>
      </c>
      <c r="CJ121" s="711">
        <v>0</v>
      </c>
      <c r="CK121" s="712">
        <v>0</v>
      </c>
      <c r="CL121" s="711">
        <v>0</v>
      </c>
      <c r="CM121" s="712">
        <v>0</v>
      </c>
      <c r="CN121" s="713">
        <v>0</v>
      </c>
      <c r="CO121" s="712">
        <v>0</v>
      </c>
    </row>
    <row r="122" spans="1:93">
      <c r="A122" s="468">
        <v>120</v>
      </c>
      <c r="B122" s="596">
        <v>0</v>
      </c>
      <c r="C122" s="596">
        <v>0</v>
      </c>
      <c r="D122" s="596">
        <v>0</v>
      </c>
      <c r="E122" s="596">
        <v>0</v>
      </c>
      <c r="F122" s="596">
        <v>0</v>
      </c>
      <c r="G122" s="596">
        <v>0</v>
      </c>
      <c r="H122" s="596">
        <v>0</v>
      </c>
      <c r="I122" s="596">
        <v>0</v>
      </c>
      <c r="J122" s="596">
        <v>0</v>
      </c>
      <c r="K122" s="596">
        <v>0</v>
      </c>
      <c r="L122" s="596">
        <v>0</v>
      </c>
      <c r="M122" s="596">
        <v>0</v>
      </c>
      <c r="N122" s="596">
        <v>0</v>
      </c>
      <c r="O122" s="596">
        <v>0</v>
      </c>
      <c r="P122" s="596">
        <v>0</v>
      </c>
      <c r="Q122" s="596">
        <v>0</v>
      </c>
      <c r="R122" s="596">
        <v>0</v>
      </c>
      <c r="S122" s="596">
        <v>0</v>
      </c>
      <c r="T122" s="596">
        <v>0</v>
      </c>
      <c r="U122" s="596">
        <v>0</v>
      </c>
      <c r="V122" s="596">
        <v>0</v>
      </c>
      <c r="W122" s="612">
        <v>0</v>
      </c>
      <c r="X122" s="704">
        <v>0</v>
      </c>
      <c r="Y122" s="705">
        <v>0</v>
      </c>
      <c r="Z122" s="706">
        <v>0</v>
      </c>
      <c r="AA122" s="707">
        <v>0</v>
      </c>
      <c r="AB122" s="706">
        <v>0</v>
      </c>
      <c r="AC122" s="704">
        <v>0</v>
      </c>
      <c r="AD122" s="706">
        <v>0</v>
      </c>
      <c r="AE122" s="708">
        <v>0</v>
      </c>
      <c r="AF122" s="704">
        <v>0</v>
      </c>
      <c r="AG122" s="704">
        <v>0</v>
      </c>
      <c r="AH122" s="708">
        <v>0</v>
      </c>
      <c r="AI122" s="709">
        <v>2E-3</v>
      </c>
      <c r="AJ122" s="706">
        <f t="shared" si="21"/>
        <v>7.1428571428571426E-3</v>
      </c>
      <c r="AK122" s="704">
        <v>0</v>
      </c>
      <c r="AL122" s="706">
        <v>0</v>
      </c>
      <c r="AM122" s="710">
        <v>0</v>
      </c>
      <c r="AN122" s="704">
        <v>0</v>
      </c>
      <c r="AO122" s="706">
        <v>0</v>
      </c>
      <c r="AP122" s="711">
        <v>0</v>
      </c>
      <c r="AQ122" s="712">
        <v>0</v>
      </c>
      <c r="AR122" s="711">
        <v>0</v>
      </c>
      <c r="AS122" s="712">
        <v>0</v>
      </c>
      <c r="AT122" s="711">
        <v>0</v>
      </c>
      <c r="AU122" s="712">
        <v>0</v>
      </c>
      <c r="AV122" s="713">
        <v>0</v>
      </c>
      <c r="AW122" s="714">
        <v>0</v>
      </c>
      <c r="AX122" s="711">
        <v>0</v>
      </c>
      <c r="AY122" s="712">
        <v>0</v>
      </c>
      <c r="AZ122" s="713">
        <v>0</v>
      </c>
      <c r="BA122" s="712">
        <v>0</v>
      </c>
      <c r="BB122" s="713">
        <v>0</v>
      </c>
      <c r="BC122" s="712">
        <v>0</v>
      </c>
      <c r="BD122" s="713">
        <v>0</v>
      </c>
      <c r="BE122" s="712">
        <v>0</v>
      </c>
      <c r="BF122" s="713">
        <v>0</v>
      </c>
      <c r="BG122" s="712">
        <v>0</v>
      </c>
      <c r="BH122" s="713">
        <v>0</v>
      </c>
      <c r="BI122" s="712">
        <v>0</v>
      </c>
      <c r="BJ122" s="713">
        <v>0</v>
      </c>
      <c r="BK122" s="712">
        <v>0</v>
      </c>
      <c r="BL122" s="713">
        <v>0</v>
      </c>
      <c r="BM122" s="712">
        <v>0</v>
      </c>
      <c r="BN122" s="713">
        <v>0</v>
      </c>
      <c r="BO122" s="712">
        <v>0</v>
      </c>
      <c r="BP122" s="713">
        <v>0</v>
      </c>
      <c r="BQ122" s="712">
        <v>0</v>
      </c>
      <c r="BR122" s="713">
        <v>0</v>
      </c>
      <c r="BS122" s="712">
        <v>0</v>
      </c>
      <c r="BT122" s="713">
        <v>0</v>
      </c>
      <c r="BU122" s="712">
        <v>0</v>
      </c>
      <c r="BV122" s="711">
        <v>0</v>
      </c>
      <c r="BW122" s="714">
        <v>0</v>
      </c>
      <c r="BX122" s="711">
        <v>0</v>
      </c>
      <c r="BY122" s="714">
        <v>0</v>
      </c>
      <c r="BZ122" s="711">
        <v>0</v>
      </c>
      <c r="CA122" s="714">
        <v>0</v>
      </c>
      <c r="CB122" s="711">
        <v>0</v>
      </c>
      <c r="CC122" s="714">
        <v>0</v>
      </c>
      <c r="CD122" s="711">
        <v>0</v>
      </c>
      <c r="CE122" s="714">
        <v>0</v>
      </c>
      <c r="CF122" s="711">
        <v>0</v>
      </c>
      <c r="CG122" s="714">
        <v>0</v>
      </c>
      <c r="CH122" s="711">
        <v>0</v>
      </c>
      <c r="CI122" s="714">
        <v>0</v>
      </c>
      <c r="CJ122" s="711">
        <v>0</v>
      </c>
      <c r="CK122" s="712">
        <v>0</v>
      </c>
      <c r="CL122" s="711">
        <v>0</v>
      </c>
      <c r="CM122" s="712">
        <v>0</v>
      </c>
      <c r="CN122" s="713">
        <v>0</v>
      </c>
      <c r="CO122" s="712">
        <v>0</v>
      </c>
    </row>
    <row r="123" spans="1:93">
      <c r="A123" s="468">
        <v>121</v>
      </c>
      <c r="B123" s="596">
        <v>0</v>
      </c>
      <c r="C123" s="596">
        <v>0</v>
      </c>
      <c r="D123" s="596">
        <v>0</v>
      </c>
      <c r="E123" s="596">
        <v>0</v>
      </c>
      <c r="F123" s="596">
        <v>0</v>
      </c>
      <c r="G123" s="596">
        <v>0</v>
      </c>
      <c r="H123" s="596">
        <v>0</v>
      </c>
      <c r="I123" s="596">
        <v>0</v>
      </c>
      <c r="J123" s="596">
        <v>0</v>
      </c>
      <c r="K123" s="596">
        <v>0</v>
      </c>
      <c r="L123" s="596">
        <v>0</v>
      </c>
      <c r="M123" s="596">
        <v>0</v>
      </c>
      <c r="N123" s="596">
        <v>0</v>
      </c>
      <c r="O123" s="596">
        <v>0</v>
      </c>
      <c r="P123" s="596">
        <v>0</v>
      </c>
      <c r="Q123" s="596">
        <v>0</v>
      </c>
      <c r="R123" s="596">
        <v>0</v>
      </c>
      <c r="S123" s="596">
        <v>0</v>
      </c>
      <c r="T123" s="596">
        <v>0</v>
      </c>
      <c r="U123" s="596">
        <v>0</v>
      </c>
      <c r="V123" s="596">
        <v>0</v>
      </c>
      <c r="W123" s="612">
        <v>0</v>
      </c>
      <c r="X123" s="704">
        <v>0</v>
      </c>
      <c r="Y123" s="705">
        <v>0</v>
      </c>
      <c r="Z123" s="706">
        <v>0</v>
      </c>
      <c r="AA123" s="707">
        <v>0</v>
      </c>
      <c r="AB123" s="706">
        <v>0</v>
      </c>
      <c r="AC123" s="704">
        <v>0</v>
      </c>
      <c r="AD123" s="706">
        <v>0</v>
      </c>
      <c r="AE123" s="708">
        <v>0</v>
      </c>
      <c r="AF123" s="704">
        <v>0</v>
      </c>
      <c r="AG123" s="704">
        <v>0</v>
      </c>
      <c r="AH123" s="708">
        <v>0</v>
      </c>
      <c r="AI123" s="709">
        <v>2E-3</v>
      </c>
      <c r="AJ123" s="706">
        <f t="shared" si="21"/>
        <v>7.1428571428571426E-3</v>
      </c>
      <c r="AK123" s="704">
        <v>0</v>
      </c>
      <c r="AL123" s="706">
        <v>0</v>
      </c>
      <c r="AM123" s="710">
        <v>0</v>
      </c>
      <c r="AN123" s="704">
        <v>0</v>
      </c>
      <c r="AO123" s="706">
        <v>0</v>
      </c>
      <c r="AP123" s="711">
        <v>0</v>
      </c>
      <c r="AQ123" s="712">
        <v>0</v>
      </c>
      <c r="AR123" s="711">
        <v>0</v>
      </c>
      <c r="AS123" s="712">
        <v>0</v>
      </c>
      <c r="AT123" s="711">
        <v>0</v>
      </c>
      <c r="AU123" s="712">
        <v>0</v>
      </c>
      <c r="AV123" s="713">
        <v>0</v>
      </c>
      <c r="AW123" s="714">
        <v>0</v>
      </c>
      <c r="AX123" s="711">
        <v>0</v>
      </c>
      <c r="AY123" s="712">
        <v>0</v>
      </c>
      <c r="AZ123" s="713">
        <v>0</v>
      </c>
      <c r="BA123" s="712">
        <v>0</v>
      </c>
      <c r="BB123" s="713">
        <v>0</v>
      </c>
      <c r="BC123" s="712">
        <v>0</v>
      </c>
      <c r="BD123" s="713">
        <v>0</v>
      </c>
      <c r="BE123" s="712">
        <v>0</v>
      </c>
      <c r="BF123" s="713">
        <v>0</v>
      </c>
      <c r="BG123" s="712">
        <v>0</v>
      </c>
      <c r="BH123" s="713">
        <v>0</v>
      </c>
      <c r="BI123" s="712">
        <v>0</v>
      </c>
      <c r="BJ123" s="713">
        <v>0</v>
      </c>
      <c r="BK123" s="712">
        <v>0</v>
      </c>
      <c r="BL123" s="713">
        <v>0</v>
      </c>
      <c r="BM123" s="712">
        <v>0</v>
      </c>
      <c r="BN123" s="713">
        <v>0</v>
      </c>
      <c r="BO123" s="712">
        <v>0</v>
      </c>
      <c r="BP123" s="713">
        <v>0</v>
      </c>
      <c r="BQ123" s="712">
        <v>0</v>
      </c>
      <c r="BR123" s="713">
        <v>0</v>
      </c>
      <c r="BS123" s="712">
        <v>0</v>
      </c>
      <c r="BT123" s="713">
        <v>0</v>
      </c>
      <c r="BU123" s="712">
        <v>0</v>
      </c>
      <c r="BV123" s="711">
        <v>0</v>
      </c>
      <c r="BW123" s="714">
        <v>0</v>
      </c>
      <c r="BX123" s="711">
        <v>0</v>
      </c>
      <c r="BY123" s="714">
        <v>0</v>
      </c>
      <c r="BZ123" s="711">
        <v>0</v>
      </c>
      <c r="CA123" s="714">
        <v>0</v>
      </c>
      <c r="CB123" s="711">
        <v>0</v>
      </c>
      <c r="CC123" s="714">
        <v>0</v>
      </c>
      <c r="CD123" s="711">
        <v>0</v>
      </c>
      <c r="CE123" s="714">
        <v>0</v>
      </c>
      <c r="CF123" s="711">
        <v>0</v>
      </c>
      <c r="CG123" s="714">
        <v>0</v>
      </c>
      <c r="CH123" s="711">
        <v>0</v>
      </c>
      <c r="CI123" s="714">
        <v>0</v>
      </c>
      <c r="CJ123" s="711">
        <v>0</v>
      </c>
      <c r="CK123" s="712">
        <v>0</v>
      </c>
      <c r="CL123" s="711">
        <v>0</v>
      </c>
      <c r="CM123" s="712">
        <v>0</v>
      </c>
      <c r="CN123" s="713">
        <v>0</v>
      </c>
      <c r="CO123" s="712">
        <v>0</v>
      </c>
    </row>
    <row r="124" spans="1:93">
      <c r="A124" s="468">
        <v>122</v>
      </c>
      <c r="B124" s="596">
        <v>0</v>
      </c>
      <c r="C124" s="596">
        <v>0</v>
      </c>
      <c r="D124" s="596">
        <v>0</v>
      </c>
      <c r="E124" s="596">
        <v>0</v>
      </c>
      <c r="F124" s="596">
        <v>0</v>
      </c>
      <c r="G124" s="596">
        <v>0</v>
      </c>
      <c r="H124" s="596">
        <v>0</v>
      </c>
      <c r="I124" s="596">
        <v>0</v>
      </c>
      <c r="J124" s="596">
        <v>0</v>
      </c>
      <c r="K124" s="596">
        <v>0</v>
      </c>
      <c r="L124" s="596">
        <v>0</v>
      </c>
      <c r="M124" s="596">
        <v>0</v>
      </c>
      <c r="N124" s="596">
        <v>0</v>
      </c>
      <c r="O124" s="596">
        <v>0</v>
      </c>
      <c r="P124" s="596">
        <v>0</v>
      </c>
      <c r="Q124" s="596">
        <v>0</v>
      </c>
      <c r="R124" s="596">
        <v>0</v>
      </c>
      <c r="S124" s="596">
        <v>0</v>
      </c>
      <c r="T124" s="596">
        <v>0</v>
      </c>
      <c r="U124" s="596">
        <v>0</v>
      </c>
      <c r="V124" s="596">
        <v>0</v>
      </c>
      <c r="W124" s="612">
        <v>0</v>
      </c>
      <c r="X124" s="704">
        <v>0</v>
      </c>
      <c r="Y124" s="705">
        <v>0</v>
      </c>
      <c r="Z124" s="706">
        <v>0</v>
      </c>
      <c r="AA124" s="707">
        <v>0</v>
      </c>
      <c r="AB124" s="706">
        <v>0</v>
      </c>
      <c r="AC124" s="704">
        <v>0</v>
      </c>
      <c r="AD124" s="706">
        <v>0</v>
      </c>
      <c r="AE124" s="708">
        <v>0</v>
      </c>
      <c r="AF124" s="704">
        <v>0</v>
      </c>
      <c r="AG124" s="704">
        <v>0</v>
      </c>
      <c r="AH124" s="708">
        <v>0</v>
      </c>
      <c r="AI124" s="709">
        <v>2E-3</v>
      </c>
      <c r="AJ124" s="706">
        <f t="shared" si="21"/>
        <v>7.1428571428571426E-3</v>
      </c>
      <c r="AK124" s="704">
        <v>0</v>
      </c>
      <c r="AL124" s="706">
        <v>0</v>
      </c>
      <c r="AM124" s="710">
        <v>0</v>
      </c>
      <c r="AN124" s="704">
        <v>0</v>
      </c>
      <c r="AO124" s="706">
        <v>0</v>
      </c>
      <c r="AP124" s="711">
        <v>0</v>
      </c>
      <c r="AQ124" s="712">
        <v>0</v>
      </c>
      <c r="AR124" s="711">
        <v>0</v>
      </c>
      <c r="AS124" s="712">
        <v>0</v>
      </c>
      <c r="AT124" s="711">
        <v>0</v>
      </c>
      <c r="AU124" s="712">
        <v>0</v>
      </c>
      <c r="AV124" s="713">
        <v>0</v>
      </c>
      <c r="AW124" s="714">
        <v>0</v>
      </c>
      <c r="AX124" s="711">
        <v>0</v>
      </c>
      <c r="AY124" s="712">
        <v>0</v>
      </c>
      <c r="AZ124" s="713">
        <v>0</v>
      </c>
      <c r="BA124" s="712">
        <v>0</v>
      </c>
      <c r="BB124" s="713">
        <v>0</v>
      </c>
      <c r="BC124" s="712">
        <v>0</v>
      </c>
      <c r="BD124" s="713">
        <v>0</v>
      </c>
      <c r="BE124" s="712">
        <v>0</v>
      </c>
      <c r="BF124" s="713">
        <v>0</v>
      </c>
      <c r="BG124" s="712">
        <v>0</v>
      </c>
      <c r="BH124" s="713">
        <v>0</v>
      </c>
      <c r="BI124" s="712">
        <v>0</v>
      </c>
      <c r="BJ124" s="713">
        <v>0</v>
      </c>
      <c r="BK124" s="712">
        <v>0</v>
      </c>
      <c r="BL124" s="713">
        <v>0</v>
      </c>
      <c r="BM124" s="712">
        <v>0</v>
      </c>
      <c r="BN124" s="713">
        <v>0</v>
      </c>
      <c r="BO124" s="712">
        <v>0</v>
      </c>
      <c r="BP124" s="713">
        <v>0</v>
      </c>
      <c r="BQ124" s="712">
        <v>0</v>
      </c>
      <c r="BR124" s="713">
        <v>0</v>
      </c>
      <c r="BS124" s="712">
        <v>0</v>
      </c>
      <c r="BT124" s="713">
        <v>0</v>
      </c>
      <c r="BU124" s="712">
        <v>0</v>
      </c>
      <c r="BV124" s="711">
        <v>0</v>
      </c>
      <c r="BW124" s="714">
        <v>0</v>
      </c>
      <c r="BX124" s="711">
        <v>0</v>
      </c>
      <c r="BY124" s="714">
        <v>0</v>
      </c>
      <c r="BZ124" s="711">
        <v>0</v>
      </c>
      <c r="CA124" s="714">
        <v>0</v>
      </c>
      <c r="CB124" s="711">
        <v>0</v>
      </c>
      <c r="CC124" s="714">
        <v>0</v>
      </c>
      <c r="CD124" s="711">
        <v>0</v>
      </c>
      <c r="CE124" s="714">
        <v>0</v>
      </c>
      <c r="CF124" s="711">
        <v>0</v>
      </c>
      <c r="CG124" s="714">
        <v>0</v>
      </c>
      <c r="CH124" s="711">
        <v>0</v>
      </c>
      <c r="CI124" s="714">
        <v>0</v>
      </c>
      <c r="CJ124" s="711">
        <v>0</v>
      </c>
      <c r="CK124" s="712">
        <v>0</v>
      </c>
      <c r="CL124" s="711">
        <v>0</v>
      </c>
      <c r="CM124" s="712">
        <v>0</v>
      </c>
      <c r="CN124" s="713">
        <v>0</v>
      </c>
      <c r="CO124" s="712">
        <v>0</v>
      </c>
    </row>
    <row r="125" spans="1:93">
      <c r="A125" s="468">
        <v>123</v>
      </c>
      <c r="B125" s="596">
        <v>0</v>
      </c>
      <c r="C125" s="596">
        <v>0</v>
      </c>
      <c r="D125" s="596">
        <v>0</v>
      </c>
      <c r="E125" s="596">
        <v>0</v>
      </c>
      <c r="F125" s="596">
        <v>0</v>
      </c>
      <c r="G125" s="596">
        <v>0</v>
      </c>
      <c r="H125" s="596">
        <v>0</v>
      </c>
      <c r="I125" s="596">
        <v>0</v>
      </c>
      <c r="J125" s="596">
        <v>0</v>
      </c>
      <c r="K125" s="596">
        <v>0</v>
      </c>
      <c r="L125" s="596">
        <v>0</v>
      </c>
      <c r="M125" s="596">
        <v>0</v>
      </c>
      <c r="N125" s="596">
        <v>0</v>
      </c>
      <c r="O125" s="596">
        <v>0</v>
      </c>
      <c r="P125" s="596">
        <v>0</v>
      </c>
      <c r="Q125" s="596">
        <v>0</v>
      </c>
      <c r="R125" s="596">
        <v>0</v>
      </c>
      <c r="S125" s="596">
        <v>0</v>
      </c>
      <c r="T125" s="596">
        <v>0</v>
      </c>
      <c r="U125" s="596">
        <v>0</v>
      </c>
      <c r="V125" s="596">
        <v>0</v>
      </c>
      <c r="W125" s="612">
        <v>0</v>
      </c>
      <c r="X125" s="704">
        <v>0</v>
      </c>
      <c r="Y125" s="705">
        <v>0</v>
      </c>
      <c r="Z125" s="706">
        <v>0</v>
      </c>
      <c r="AA125" s="707">
        <v>0</v>
      </c>
      <c r="AB125" s="706">
        <v>0</v>
      </c>
      <c r="AC125" s="704">
        <v>0</v>
      </c>
      <c r="AD125" s="706">
        <v>0</v>
      </c>
      <c r="AE125" s="708">
        <v>0</v>
      </c>
      <c r="AF125" s="704">
        <v>0</v>
      </c>
      <c r="AG125" s="704">
        <v>0</v>
      </c>
      <c r="AH125" s="708">
        <v>0</v>
      </c>
      <c r="AI125" s="709">
        <v>2E-3</v>
      </c>
      <c r="AJ125" s="706">
        <f t="shared" si="21"/>
        <v>7.1428571428571426E-3</v>
      </c>
      <c r="AK125" s="704">
        <v>0</v>
      </c>
      <c r="AL125" s="706">
        <v>0</v>
      </c>
      <c r="AM125" s="710">
        <v>0</v>
      </c>
      <c r="AN125" s="704">
        <v>0</v>
      </c>
      <c r="AO125" s="706">
        <v>0</v>
      </c>
      <c r="AP125" s="711">
        <v>0</v>
      </c>
      <c r="AQ125" s="712">
        <v>0</v>
      </c>
      <c r="AR125" s="711">
        <v>0</v>
      </c>
      <c r="AS125" s="712">
        <v>0</v>
      </c>
      <c r="AT125" s="711">
        <v>0</v>
      </c>
      <c r="AU125" s="712">
        <v>0</v>
      </c>
      <c r="AV125" s="713">
        <v>0</v>
      </c>
      <c r="AW125" s="714">
        <v>0</v>
      </c>
      <c r="AX125" s="711">
        <v>0</v>
      </c>
      <c r="AY125" s="712">
        <v>0</v>
      </c>
      <c r="AZ125" s="713">
        <v>0</v>
      </c>
      <c r="BA125" s="712">
        <v>0</v>
      </c>
      <c r="BB125" s="713">
        <v>0</v>
      </c>
      <c r="BC125" s="712">
        <v>0</v>
      </c>
      <c r="BD125" s="713">
        <v>0</v>
      </c>
      <c r="BE125" s="712">
        <v>0</v>
      </c>
      <c r="BF125" s="713">
        <v>0</v>
      </c>
      <c r="BG125" s="712">
        <v>0</v>
      </c>
      <c r="BH125" s="713">
        <v>0</v>
      </c>
      <c r="BI125" s="712">
        <v>0</v>
      </c>
      <c r="BJ125" s="713">
        <v>0</v>
      </c>
      <c r="BK125" s="712">
        <v>0</v>
      </c>
      <c r="BL125" s="713">
        <v>0</v>
      </c>
      <c r="BM125" s="712">
        <v>0</v>
      </c>
      <c r="BN125" s="713">
        <v>0</v>
      </c>
      <c r="BO125" s="712">
        <v>0</v>
      </c>
      <c r="BP125" s="713">
        <v>0</v>
      </c>
      <c r="BQ125" s="712">
        <v>0</v>
      </c>
      <c r="BR125" s="713">
        <v>0</v>
      </c>
      <c r="BS125" s="712">
        <v>0</v>
      </c>
      <c r="BT125" s="713">
        <v>0</v>
      </c>
      <c r="BU125" s="712">
        <v>0</v>
      </c>
      <c r="BV125" s="711">
        <v>0</v>
      </c>
      <c r="BW125" s="714">
        <v>0</v>
      </c>
      <c r="BX125" s="711">
        <v>0</v>
      </c>
      <c r="BY125" s="714">
        <v>0</v>
      </c>
      <c r="BZ125" s="711">
        <v>0</v>
      </c>
      <c r="CA125" s="714">
        <v>0</v>
      </c>
      <c r="CB125" s="711">
        <v>0</v>
      </c>
      <c r="CC125" s="714">
        <v>0</v>
      </c>
      <c r="CD125" s="711">
        <v>0</v>
      </c>
      <c r="CE125" s="714">
        <v>0</v>
      </c>
      <c r="CF125" s="711">
        <v>0</v>
      </c>
      <c r="CG125" s="714">
        <v>0</v>
      </c>
      <c r="CH125" s="711">
        <v>0</v>
      </c>
      <c r="CI125" s="714">
        <v>0</v>
      </c>
      <c r="CJ125" s="711">
        <v>0</v>
      </c>
      <c r="CK125" s="712">
        <v>0</v>
      </c>
      <c r="CL125" s="711">
        <v>0</v>
      </c>
      <c r="CM125" s="712">
        <v>0</v>
      </c>
      <c r="CN125" s="713">
        <v>0</v>
      </c>
      <c r="CO125" s="712">
        <v>0</v>
      </c>
    </row>
    <row r="126" spans="1:93">
      <c r="A126" s="468">
        <v>124</v>
      </c>
      <c r="B126" s="596">
        <v>0</v>
      </c>
      <c r="C126" s="596">
        <v>0</v>
      </c>
      <c r="D126" s="596">
        <v>0</v>
      </c>
      <c r="E126" s="596">
        <v>0</v>
      </c>
      <c r="F126" s="596">
        <v>0</v>
      </c>
      <c r="G126" s="596">
        <v>0</v>
      </c>
      <c r="H126" s="596">
        <v>0</v>
      </c>
      <c r="I126" s="596">
        <v>0</v>
      </c>
      <c r="J126" s="596">
        <v>0</v>
      </c>
      <c r="K126" s="596">
        <v>0</v>
      </c>
      <c r="L126" s="596">
        <v>0</v>
      </c>
      <c r="M126" s="596">
        <v>0</v>
      </c>
      <c r="N126" s="596">
        <v>0</v>
      </c>
      <c r="O126" s="596">
        <v>0</v>
      </c>
      <c r="P126" s="596">
        <v>0</v>
      </c>
      <c r="Q126" s="596">
        <v>0</v>
      </c>
      <c r="R126" s="596">
        <v>0</v>
      </c>
      <c r="S126" s="596">
        <v>0</v>
      </c>
      <c r="T126" s="596">
        <v>0</v>
      </c>
      <c r="U126" s="596">
        <v>0</v>
      </c>
      <c r="V126" s="596">
        <v>0</v>
      </c>
      <c r="W126" s="612">
        <v>0</v>
      </c>
      <c r="X126" s="704">
        <v>0</v>
      </c>
      <c r="Y126" s="705">
        <v>0</v>
      </c>
      <c r="Z126" s="706">
        <v>0</v>
      </c>
      <c r="AA126" s="707">
        <v>0</v>
      </c>
      <c r="AB126" s="706">
        <v>0</v>
      </c>
      <c r="AC126" s="704">
        <v>0</v>
      </c>
      <c r="AD126" s="706">
        <v>0</v>
      </c>
      <c r="AE126" s="708">
        <v>0</v>
      </c>
      <c r="AF126" s="704">
        <v>0</v>
      </c>
      <c r="AG126" s="704">
        <v>0</v>
      </c>
      <c r="AH126" s="708">
        <v>0</v>
      </c>
      <c r="AI126" s="709">
        <v>2E-3</v>
      </c>
      <c r="AJ126" s="706">
        <f t="shared" si="21"/>
        <v>7.1428571428571426E-3</v>
      </c>
      <c r="AK126" s="704">
        <v>0</v>
      </c>
      <c r="AL126" s="706">
        <v>0</v>
      </c>
      <c r="AM126" s="710">
        <v>0</v>
      </c>
      <c r="AN126" s="704">
        <v>0</v>
      </c>
      <c r="AO126" s="706">
        <v>0</v>
      </c>
      <c r="AP126" s="711">
        <v>0</v>
      </c>
      <c r="AQ126" s="712">
        <v>0</v>
      </c>
      <c r="AR126" s="711">
        <v>0</v>
      </c>
      <c r="AS126" s="712">
        <v>0</v>
      </c>
      <c r="AT126" s="711">
        <v>0</v>
      </c>
      <c r="AU126" s="712">
        <v>0</v>
      </c>
      <c r="AV126" s="713">
        <v>0</v>
      </c>
      <c r="AW126" s="714">
        <v>0</v>
      </c>
      <c r="AX126" s="711">
        <v>0</v>
      </c>
      <c r="AY126" s="712">
        <v>0</v>
      </c>
      <c r="AZ126" s="713">
        <v>0</v>
      </c>
      <c r="BA126" s="712">
        <v>0</v>
      </c>
      <c r="BB126" s="713">
        <v>0</v>
      </c>
      <c r="BC126" s="712">
        <v>0</v>
      </c>
      <c r="BD126" s="713">
        <v>0</v>
      </c>
      <c r="BE126" s="712">
        <v>0</v>
      </c>
      <c r="BF126" s="713">
        <v>0</v>
      </c>
      <c r="BG126" s="712">
        <v>0</v>
      </c>
      <c r="BH126" s="713">
        <v>0</v>
      </c>
      <c r="BI126" s="712">
        <v>0</v>
      </c>
      <c r="BJ126" s="713">
        <v>0</v>
      </c>
      <c r="BK126" s="712">
        <v>0</v>
      </c>
      <c r="BL126" s="713">
        <v>0</v>
      </c>
      <c r="BM126" s="712">
        <v>0</v>
      </c>
      <c r="BN126" s="713">
        <v>0</v>
      </c>
      <c r="BO126" s="712">
        <v>0</v>
      </c>
      <c r="BP126" s="713">
        <v>0</v>
      </c>
      <c r="BQ126" s="712">
        <v>0</v>
      </c>
      <c r="BR126" s="713">
        <v>0</v>
      </c>
      <c r="BS126" s="712">
        <v>0</v>
      </c>
      <c r="BT126" s="713">
        <v>0</v>
      </c>
      <c r="BU126" s="712">
        <v>0</v>
      </c>
      <c r="BV126" s="711">
        <v>0</v>
      </c>
      <c r="BW126" s="714">
        <v>0</v>
      </c>
      <c r="BX126" s="711">
        <v>0</v>
      </c>
      <c r="BY126" s="714">
        <v>0</v>
      </c>
      <c r="BZ126" s="711">
        <v>0</v>
      </c>
      <c r="CA126" s="714">
        <v>0</v>
      </c>
      <c r="CB126" s="711">
        <v>0</v>
      </c>
      <c r="CC126" s="714">
        <v>0</v>
      </c>
      <c r="CD126" s="711">
        <v>0</v>
      </c>
      <c r="CE126" s="714">
        <v>0</v>
      </c>
      <c r="CF126" s="711">
        <v>0</v>
      </c>
      <c r="CG126" s="714">
        <v>0</v>
      </c>
      <c r="CH126" s="711">
        <v>0</v>
      </c>
      <c r="CI126" s="714">
        <v>0</v>
      </c>
      <c r="CJ126" s="711">
        <v>0</v>
      </c>
      <c r="CK126" s="712">
        <v>0</v>
      </c>
      <c r="CL126" s="711">
        <v>0</v>
      </c>
      <c r="CM126" s="712">
        <v>0</v>
      </c>
      <c r="CN126" s="713">
        <v>0</v>
      </c>
      <c r="CO126" s="712">
        <v>0</v>
      </c>
    </row>
    <row r="127" spans="1:93">
      <c r="A127" s="468">
        <v>125</v>
      </c>
      <c r="B127" s="596">
        <v>0</v>
      </c>
      <c r="C127" s="596">
        <v>0</v>
      </c>
      <c r="D127" s="596">
        <v>0</v>
      </c>
      <c r="E127" s="596">
        <v>0</v>
      </c>
      <c r="F127" s="596">
        <v>0</v>
      </c>
      <c r="G127" s="596">
        <v>0</v>
      </c>
      <c r="H127" s="596">
        <v>0</v>
      </c>
      <c r="I127" s="596">
        <v>0</v>
      </c>
      <c r="J127" s="596">
        <v>0</v>
      </c>
      <c r="K127" s="596">
        <v>0</v>
      </c>
      <c r="L127" s="596">
        <v>0</v>
      </c>
      <c r="M127" s="596">
        <v>0</v>
      </c>
      <c r="N127" s="596">
        <v>0</v>
      </c>
      <c r="O127" s="596">
        <v>0</v>
      </c>
      <c r="P127" s="596">
        <v>0</v>
      </c>
      <c r="Q127" s="596">
        <v>0</v>
      </c>
      <c r="R127" s="596">
        <v>0</v>
      </c>
      <c r="S127" s="596">
        <v>0</v>
      </c>
      <c r="T127" s="596">
        <v>0</v>
      </c>
      <c r="U127" s="596">
        <v>0</v>
      </c>
      <c r="V127" s="596">
        <v>0</v>
      </c>
      <c r="W127" s="612">
        <v>0</v>
      </c>
      <c r="X127" s="704">
        <v>0</v>
      </c>
      <c r="Y127" s="705">
        <v>0</v>
      </c>
      <c r="Z127" s="706">
        <v>0</v>
      </c>
      <c r="AA127" s="707">
        <v>0</v>
      </c>
      <c r="AB127" s="706">
        <v>0</v>
      </c>
      <c r="AC127" s="704">
        <v>0</v>
      </c>
      <c r="AD127" s="706">
        <v>0</v>
      </c>
      <c r="AE127" s="708">
        <v>0</v>
      </c>
      <c r="AF127" s="704">
        <v>0</v>
      </c>
      <c r="AG127" s="704">
        <v>0</v>
      </c>
      <c r="AH127" s="708">
        <v>0</v>
      </c>
      <c r="AI127" s="709">
        <v>2E-3</v>
      </c>
      <c r="AJ127" s="706">
        <f t="shared" si="21"/>
        <v>7.1428571428571426E-3</v>
      </c>
      <c r="AK127" s="704">
        <v>0</v>
      </c>
      <c r="AL127" s="706">
        <v>0</v>
      </c>
      <c r="AM127" s="710">
        <v>0</v>
      </c>
      <c r="AN127" s="704">
        <v>0</v>
      </c>
      <c r="AO127" s="706">
        <v>0</v>
      </c>
      <c r="AP127" s="711">
        <v>0</v>
      </c>
      <c r="AQ127" s="712">
        <v>0</v>
      </c>
      <c r="AR127" s="711">
        <v>0</v>
      </c>
      <c r="AS127" s="712">
        <v>0</v>
      </c>
      <c r="AT127" s="711">
        <v>0</v>
      </c>
      <c r="AU127" s="712">
        <v>0</v>
      </c>
      <c r="AV127" s="713">
        <v>0</v>
      </c>
      <c r="AW127" s="714">
        <v>0</v>
      </c>
      <c r="AX127" s="711">
        <v>0</v>
      </c>
      <c r="AY127" s="712">
        <v>0</v>
      </c>
      <c r="AZ127" s="713">
        <v>0</v>
      </c>
      <c r="BA127" s="712">
        <v>0</v>
      </c>
      <c r="BB127" s="713">
        <v>0</v>
      </c>
      <c r="BC127" s="712">
        <v>0</v>
      </c>
      <c r="BD127" s="713">
        <v>0</v>
      </c>
      <c r="BE127" s="712">
        <v>0</v>
      </c>
      <c r="BF127" s="713">
        <v>0</v>
      </c>
      <c r="BG127" s="712">
        <v>0</v>
      </c>
      <c r="BH127" s="713">
        <v>0</v>
      </c>
      <c r="BI127" s="712">
        <v>0</v>
      </c>
      <c r="BJ127" s="713">
        <v>0</v>
      </c>
      <c r="BK127" s="712">
        <v>0</v>
      </c>
      <c r="BL127" s="713">
        <v>0</v>
      </c>
      <c r="BM127" s="712">
        <v>0</v>
      </c>
      <c r="BN127" s="713">
        <v>0</v>
      </c>
      <c r="BO127" s="712">
        <v>0</v>
      </c>
      <c r="BP127" s="713">
        <v>0</v>
      </c>
      <c r="BQ127" s="712">
        <v>0</v>
      </c>
      <c r="BR127" s="713">
        <v>0</v>
      </c>
      <c r="BS127" s="712">
        <v>0</v>
      </c>
      <c r="BT127" s="713">
        <v>0</v>
      </c>
      <c r="BU127" s="712">
        <v>0</v>
      </c>
      <c r="BV127" s="711">
        <v>0</v>
      </c>
      <c r="BW127" s="714">
        <v>0</v>
      </c>
      <c r="BX127" s="711">
        <v>0</v>
      </c>
      <c r="BY127" s="714">
        <v>0</v>
      </c>
      <c r="BZ127" s="711">
        <v>0</v>
      </c>
      <c r="CA127" s="714">
        <v>0</v>
      </c>
      <c r="CB127" s="711">
        <v>0</v>
      </c>
      <c r="CC127" s="714">
        <v>0</v>
      </c>
      <c r="CD127" s="711">
        <v>0</v>
      </c>
      <c r="CE127" s="714">
        <v>0</v>
      </c>
      <c r="CF127" s="711">
        <v>0</v>
      </c>
      <c r="CG127" s="714">
        <v>0</v>
      </c>
      <c r="CH127" s="711">
        <v>0</v>
      </c>
      <c r="CI127" s="714">
        <v>0</v>
      </c>
      <c r="CJ127" s="711">
        <v>0</v>
      </c>
      <c r="CK127" s="712">
        <v>0</v>
      </c>
      <c r="CL127" s="711">
        <v>0</v>
      </c>
      <c r="CM127" s="712">
        <v>0</v>
      </c>
      <c r="CN127" s="713">
        <v>0</v>
      </c>
      <c r="CO127" s="712">
        <v>0</v>
      </c>
    </row>
    <row r="128" spans="1:93">
      <c r="A128" s="468">
        <v>126</v>
      </c>
      <c r="B128" s="596">
        <v>0</v>
      </c>
      <c r="C128" s="596">
        <v>0</v>
      </c>
      <c r="D128" s="596">
        <v>0</v>
      </c>
      <c r="E128" s="596">
        <v>0</v>
      </c>
      <c r="F128" s="596">
        <v>0</v>
      </c>
      <c r="G128" s="596">
        <v>0</v>
      </c>
      <c r="H128" s="596">
        <v>0</v>
      </c>
      <c r="I128" s="596">
        <v>0</v>
      </c>
      <c r="J128" s="596">
        <v>0</v>
      </c>
      <c r="K128" s="596">
        <v>0</v>
      </c>
      <c r="L128" s="596">
        <v>0</v>
      </c>
      <c r="M128" s="596">
        <v>0</v>
      </c>
      <c r="N128" s="596">
        <v>0</v>
      </c>
      <c r="O128" s="596">
        <v>0</v>
      </c>
      <c r="P128" s="596">
        <v>0</v>
      </c>
      <c r="Q128" s="596">
        <v>0</v>
      </c>
      <c r="R128" s="596">
        <v>0</v>
      </c>
      <c r="S128" s="596">
        <v>0</v>
      </c>
      <c r="T128" s="596">
        <v>0</v>
      </c>
      <c r="U128" s="596">
        <v>0</v>
      </c>
      <c r="V128" s="596">
        <v>0</v>
      </c>
      <c r="W128" s="612">
        <v>0</v>
      </c>
      <c r="X128" s="704">
        <v>0</v>
      </c>
      <c r="Y128" s="705">
        <v>0</v>
      </c>
      <c r="Z128" s="706">
        <v>0</v>
      </c>
      <c r="AA128" s="707">
        <v>0</v>
      </c>
      <c r="AB128" s="706">
        <v>0</v>
      </c>
      <c r="AC128" s="704">
        <v>0</v>
      </c>
      <c r="AD128" s="706">
        <v>0</v>
      </c>
      <c r="AE128" s="708">
        <v>0</v>
      </c>
      <c r="AF128" s="704">
        <v>0</v>
      </c>
      <c r="AG128" s="704">
        <v>0</v>
      </c>
      <c r="AH128" s="708">
        <v>0</v>
      </c>
      <c r="AI128" s="709">
        <v>2E-3</v>
      </c>
      <c r="AJ128" s="706">
        <f t="shared" si="21"/>
        <v>7.1428571428571426E-3</v>
      </c>
      <c r="AK128" s="704">
        <v>0</v>
      </c>
      <c r="AL128" s="706">
        <v>0</v>
      </c>
      <c r="AM128" s="710">
        <v>0</v>
      </c>
      <c r="AN128" s="704">
        <v>0</v>
      </c>
      <c r="AO128" s="706">
        <v>0</v>
      </c>
      <c r="AP128" s="711">
        <v>0</v>
      </c>
      <c r="AQ128" s="712">
        <v>0</v>
      </c>
      <c r="AR128" s="711">
        <v>0</v>
      </c>
      <c r="AS128" s="712">
        <v>0</v>
      </c>
      <c r="AT128" s="711">
        <v>0</v>
      </c>
      <c r="AU128" s="712">
        <v>0</v>
      </c>
      <c r="AV128" s="713">
        <v>0</v>
      </c>
      <c r="AW128" s="714">
        <v>0</v>
      </c>
      <c r="AX128" s="711">
        <v>0</v>
      </c>
      <c r="AY128" s="712">
        <v>0</v>
      </c>
      <c r="AZ128" s="713">
        <v>0</v>
      </c>
      <c r="BA128" s="712">
        <v>0</v>
      </c>
      <c r="BB128" s="713">
        <v>0</v>
      </c>
      <c r="BC128" s="712">
        <v>0</v>
      </c>
      <c r="BD128" s="713">
        <v>0</v>
      </c>
      <c r="BE128" s="712">
        <v>0</v>
      </c>
      <c r="BF128" s="713">
        <v>0</v>
      </c>
      <c r="BG128" s="712">
        <v>0</v>
      </c>
      <c r="BH128" s="713">
        <v>0</v>
      </c>
      <c r="BI128" s="712">
        <v>0</v>
      </c>
      <c r="BJ128" s="713">
        <v>0</v>
      </c>
      <c r="BK128" s="712">
        <v>0</v>
      </c>
      <c r="BL128" s="713">
        <v>0</v>
      </c>
      <c r="BM128" s="712">
        <v>0</v>
      </c>
      <c r="BN128" s="713">
        <v>0</v>
      </c>
      <c r="BO128" s="712">
        <v>0</v>
      </c>
      <c r="BP128" s="713">
        <v>0</v>
      </c>
      <c r="BQ128" s="712">
        <v>0</v>
      </c>
      <c r="BR128" s="713">
        <v>0</v>
      </c>
      <c r="BS128" s="712">
        <v>0</v>
      </c>
      <c r="BT128" s="713">
        <v>0</v>
      </c>
      <c r="BU128" s="712">
        <v>0</v>
      </c>
      <c r="BV128" s="711">
        <v>0</v>
      </c>
      <c r="BW128" s="714">
        <v>0</v>
      </c>
      <c r="BX128" s="711">
        <v>0</v>
      </c>
      <c r="BY128" s="714">
        <v>0</v>
      </c>
      <c r="BZ128" s="711">
        <v>0</v>
      </c>
      <c r="CA128" s="714">
        <v>0</v>
      </c>
      <c r="CB128" s="711">
        <v>0</v>
      </c>
      <c r="CC128" s="714">
        <v>0</v>
      </c>
      <c r="CD128" s="711">
        <v>0</v>
      </c>
      <c r="CE128" s="714">
        <v>0</v>
      </c>
      <c r="CF128" s="711">
        <v>0</v>
      </c>
      <c r="CG128" s="714">
        <v>0</v>
      </c>
      <c r="CH128" s="711">
        <v>0</v>
      </c>
      <c r="CI128" s="714">
        <v>0</v>
      </c>
      <c r="CJ128" s="711">
        <v>0</v>
      </c>
      <c r="CK128" s="712">
        <v>0</v>
      </c>
      <c r="CL128" s="711">
        <v>0</v>
      </c>
      <c r="CM128" s="712">
        <v>0</v>
      </c>
      <c r="CN128" s="713">
        <v>0</v>
      </c>
      <c r="CO128" s="712">
        <v>0</v>
      </c>
    </row>
    <row r="129" spans="1:93">
      <c r="A129" s="468">
        <v>127</v>
      </c>
      <c r="B129" s="596">
        <v>0</v>
      </c>
      <c r="C129" s="596">
        <v>0</v>
      </c>
      <c r="D129" s="596">
        <v>0</v>
      </c>
      <c r="E129" s="596">
        <v>0</v>
      </c>
      <c r="F129" s="596">
        <v>0</v>
      </c>
      <c r="G129" s="596">
        <v>0</v>
      </c>
      <c r="H129" s="596">
        <v>0</v>
      </c>
      <c r="I129" s="596">
        <v>0</v>
      </c>
      <c r="J129" s="596">
        <v>0</v>
      </c>
      <c r="K129" s="596">
        <v>0</v>
      </c>
      <c r="L129" s="596">
        <v>0</v>
      </c>
      <c r="M129" s="596">
        <v>0</v>
      </c>
      <c r="N129" s="596">
        <v>0</v>
      </c>
      <c r="O129" s="596">
        <v>0</v>
      </c>
      <c r="P129" s="596">
        <v>0</v>
      </c>
      <c r="Q129" s="596">
        <v>0</v>
      </c>
      <c r="R129" s="596">
        <v>0</v>
      </c>
      <c r="S129" s="596">
        <v>0</v>
      </c>
      <c r="T129" s="596">
        <v>0</v>
      </c>
      <c r="U129" s="596">
        <v>0</v>
      </c>
      <c r="V129" s="596">
        <v>0</v>
      </c>
      <c r="W129" s="612">
        <v>0</v>
      </c>
      <c r="X129" s="704">
        <v>0</v>
      </c>
      <c r="Y129" s="705">
        <v>0</v>
      </c>
      <c r="Z129" s="706">
        <v>0</v>
      </c>
      <c r="AA129" s="707">
        <v>0</v>
      </c>
      <c r="AB129" s="706">
        <v>0</v>
      </c>
      <c r="AC129" s="704">
        <v>0</v>
      </c>
      <c r="AD129" s="706">
        <v>0</v>
      </c>
      <c r="AE129" s="708">
        <v>0</v>
      </c>
      <c r="AF129" s="704">
        <v>0</v>
      </c>
      <c r="AG129" s="704">
        <v>0</v>
      </c>
      <c r="AH129" s="708">
        <v>0</v>
      </c>
      <c r="AI129" s="709">
        <v>2E-3</v>
      </c>
      <c r="AJ129" s="706">
        <f t="shared" si="21"/>
        <v>7.1428571428571426E-3</v>
      </c>
      <c r="AK129" s="704">
        <v>0</v>
      </c>
      <c r="AL129" s="706">
        <v>0</v>
      </c>
      <c r="AM129" s="710">
        <v>0</v>
      </c>
      <c r="AN129" s="704">
        <v>0</v>
      </c>
      <c r="AO129" s="706">
        <v>0</v>
      </c>
      <c r="AP129" s="711">
        <v>0</v>
      </c>
      <c r="AQ129" s="712">
        <v>0</v>
      </c>
      <c r="AR129" s="711">
        <v>0</v>
      </c>
      <c r="AS129" s="712">
        <v>0</v>
      </c>
      <c r="AT129" s="711">
        <v>0</v>
      </c>
      <c r="AU129" s="712">
        <v>0</v>
      </c>
      <c r="AV129" s="713">
        <v>0</v>
      </c>
      <c r="AW129" s="714">
        <v>0</v>
      </c>
      <c r="AX129" s="711">
        <v>0</v>
      </c>
      <c r="AY129" s="712">
        <v>0</v>
      </c>
      <c r="AZ129" s="713">
        <v>0</v>
      </c>
      <c r="BA129" s="712">
        <v>0</v>
      </c>
      <c r="BB129" s="713">
        <v>0</v>
      </c>
      <c r="BC129" s="712">
        <v>0</v>
      </c>
      <c r="BD129" s="713">
        <v>0</v>
      </c>
      <c r="BE129" s="712">
        <v>0</v>
      </c>
      <c r="BF129" s="713">
        <v>0</v>
      </c>
      <c r="BG129" s="712">
        <v>0</v>
      </c>
      <c r="BH129" s="713">
        <v>0</v>
      </c>
      <c r="BI129" s="712">
        <v>0</v>
      </c>
      <c r="BJ129" s="713">
        <v>0</v>
      </c>
      <c r="BK129" s="712">
        <v>0</v>
      </c>
      <c r="BL129" s="713">
        <v>0</v>
      </c>
      <c r="BM129" s="712">
        <v>0</v>
      </c>
      <c r="BN129" s="713">
        <v>0</v>
      </c>
      <c r="BO129" s="712">
        <v>0</v>
      </c>
      <c r="BP129" s="713">
        <v>0</v>
      </c>
      <c r="BQ129" s="712">
        <v>0</v>
      </c>
      <c r="BR129" s="713">
        <v>0</v>
      </c>
      <c r="BS129" s="712">
        <v>0</v>
      </c>
      <c r="BT129" s="713">
        <v>0</v>
      </c>
      <c r="BU129" s="712">
        <v>0</v>
      </c>
      <c r="BV129" s="711">
        <v>0</v>
      </c>
      <c r="BW129" s="714">
        <v>0</v>
      </c>
      <c r="BX129" s="711">
        <v>0</v>
      </c>
      <c r="BY129" s="714">
        <v>0</v>
      </c>
      <c r="BZ129" s="711">
        <v>0</v>
      </c>
      <c r="CA129" s="714">
        <v>0</v>
      </c>
      <c r="CB129" s="711">
        <v>0</v>
      </c>
      <c r="CC129" s="714">
        <v>0</v>
      </c>
      <c r="CD129" s="711">
        <v>0</v>
      </c>
      <c r="CE129" s="714">
        <v>0</v>
      </c>
      <c r="CF129" s="711">
        <v>0</v>
      </c>
      <c r="CG129" s="714">
        <v>0</v>
      </c>
      <c r="CH129" s="711">
        <v>0</v>
      </c>
      <c r="CI129" s="714">
        <v>0</v>
      </c>
      <c r="CJ129" s="711">
        <v>0</v>
      </c>
      <c r="CK129" s="712">
        <v>0</v>
      </c>
      <c r="CL129" s="711">
        <v>0</v>
      </c>
      <c r="CM129" s="712">
        <v>0</v>
      </c>
      <c r="CN129" s="713">
        <v>0</v>
      </c>
      <c r="CO129" s="712">
        <v>0</v>
      </c>
    </row>
    <row r="130" spans="1:93">
      <c r="A130" s="468">
        <v>128</v>
      </c>
      <c r="B130" s="596">
        <v>0</v>
      </c>
      <c r="C130" s="596">
        <v>0</v>
      </c>
      <c r="D130" s="596">
        <v>0</v>
      </c>
      <c r="E130" s="596">
        <v>0</v>
      </c>
      <c r="F130" s="596">
        <v>0</v>
      </c>
      <c r="G130" s="596">
        <v>0</v>
      </c>
      <c r="H130" s="596">
        <v>0</v>
      </c>
      <c r="I130" s="596">
        <v>0</v>
      </c>
      <c r="J130" s="596">
        <v>0</v>
      </c>
      <c r="K130" s="596">
        <v>0</v>
      </c>
      <c r="L130" s="596">
        <v>0</v>
      </c>
      <c r="M130" s="596">
        <v>0</v>
      </c>
      <c r="N130" s="596">
        <v>0</v>
      </c>
      <c r="O130" s="596">
        <v>0</v>
      </c>
      <c r="P130" s="596">
        <v>0</v>
      </c>
      <c r="Q130" s="596">
        <v>0</v>
      </c>
      <c r="R130" s="596">
        <v>0</v>
      </c>
      <c r="S130" s="596">
        <v>0</v>
      </c>
      <c r="T130" s="596">
        <v>0</v>
      </c>
      <c r="U130" s="596">
        <v>0</v>
      </c>
      <c r="V130" s="596">
        <v>0</v>
      </c>
      <c r="W130" s="612">
        <v>0</v>
      </c>
      <c r="X130" s="704">
        <v>0</v>
      </c>
      <c r="Y130" s="705">
        <v>0</v>
      </c>
      <c r="Z130" s="706">
        <v>0</v>
      </c>
      <c r="AA130" s="707">
        <v>0</v>
      </c>
      <c r="AB130" s="706">
        <v>0</v>
      </c>
      <c r="AC130" s="704">
        <v>0</v>
      </c>
      <c r="AD130" s="706">
        <v>0</v>
      </c>
      <c r="AE130" s="708">
        <v>0</v>
      </c>
      <c r="AF130" s="704">
        <v>0</v>
      </c>
      <c r="AG130" s="704">
        <v>0</v>
      </c>
      <c r="AH130" s="708">
        <v>0</v>
      </c>
      <c r="AI130" s="709">
        <v>2E-3</v>
      </c>
      <c r="AJ130" s="706">
        <f t="shared" si="21"/>
        <v>7.1428571428571426E-3</v>
      </c>
      <c r="AK130" s="704">
        <v>0</v>
      </c>
      <c r="AL130" s="706">
        <v>0</v>
      </c>
      <c r="AM130" s="710">
        <v>0</v>
      </c>
      <c r="AN130" s="704">
        <v>0</v>
      </c>
      <c r="AO130" s="706">
        <v>0</v>
      </c>
      <c r="AP130" s="711">
        <v>0</v>
      </c>
      <c r="AQ130" s="712">
        <v>0</v>
      </c>
      <c r="AR130" s="711">
        <v>0</v>
      </c>
      <c r="AS130" s="712">
        <v>0</v>
      </c>
      <c r="AT130" s="711">
        <v>0</v>
      </c>
      <c r="AU130" s="712">
        <v>0</v>
      </c>
      <c r="AV130" s="713">
        <v>0</v>
      </c>
      <c r="AW130" s="714">
        <v>0</v>
      </c>
      <c r="AX130" s="711">
        <v>0</v>
      </c>
      <c r="AY130" s="712">
        <v>0</v>
      </c>
      <c r="AZ130" s="713">
        <v>0</v>
      </c>
      <c r="BA130" s="712">
        <v>0</v>
      </c>
      <c r="BB130" s="713">
        <v>0</v>
      </c>
      <c r="BC130" s="712">
        <v>0</v>
      </c>
      <c r="BD130" s="713">
        <v>0</v>
      </c>
      <c r="BE130" s="712">
        <v>0</v>
      </c>
      <c r="BF130" s="713">
        <v>0</v>
      </c>
      <c r="BG130" s="712">
        <v>0</v>
      </c>
      <c r="BH130" s="713">
        <v>0</v>
      </c>
      <c r="BI130" s="712">
        <v>0</v>
      </c>
      <c r="BJ130" s="713">
        <v>0</v>
      </c>
      <c r="BK130" s="712">
        <v>0</v>
      </c>
      <c r="BL130" s="713">
        <v>0</v>
      </c>
      <c r="BM130" s="712">
        <v>0</v>
      </c>
      <c r="BN130" s="713">
        <v>0</v>
      </c>
      <c r="BO130" s="712">
        <v>0</v>
      </c>
      <c r="BP130" s="713">
        <v>0</v>
      </c>
      <c r="BQ130" s="712">
        <v>0</v>
      </c>
      <c r="BR130" s="713">
        <v>0</v>
      </c>
      <c r="BS130" s="712">
        <v>0</v>
      </c>
      <c r="BT130" s="713">
        <v>0</v>
      </c>
      <c r="BU130" s="712">
        <v>0</v>
      </c>
      <c r="BV130" s="711">
        <v>0</v>
      </c>
      <c r="BW130" s="714">
        <v>0</v>
      </c>
      <c r="BX130" s="711">
        <v>0</v>
      </c>
      <c r="BY130" s="714">
        <v>0</v>
      </c>
      <c r="BZ130" s="711">
        <v>0</v>
      </c>
      <c r="CA130" s="714">
        <v>0</v>
      </c>
      <c r="CB130" s="711">
        <v>0</v>
      </c>
      <c r="CC130" s="714">
        <v>0</v>
      </c>
      <c r="CD130" s="711">
        <v>0</v>
      </c>
      <c r="CE130" s="714">
        <v>0</v>
      </c>
      <c r="CF130" s="711">
        <v>0</v>
      </c>
      <c r="CG130" s="714">
        <v>0</v>
      </c>
      <c r="CH130" s="711">
        <v>0</v>
      </c>
      <c r="CI130" s="714">
        <v>0</v>
      </c>
      <c r="CJ130" s="711">
        <v>0</v>
      </c>
      <c r="CK130" s="712">
        <v>0</v>
      </c>
      <c r="CL130" s="711">
        <v>0</v>
      </c>
      <c r="CM130" s="712">
        <v>0</v>
      </c>
      <c r="CN130" s="713">
        <v>0</v>
      </c>
      <c r="CO130" s="712">
        <v>0</v>
      </c>
    </row>
    <row r="131" spans="1:93">
      <c r="A131" s="468">
        <v>129</v>
      </c>
      <c r="B131" s="596">
        <v>0</v>
      </c>
      <c r="C131" s="596">
        <v>0</v>
      </c>
      <c r="D131" s="596">
        <v>0</v>
      </c>
      <c r="E131" s="596">
        <v>0</v>
      </c>
      <c r="F131" s="596">
        <v>0</v>
      </c>
      <c r="G131" s="596">
        <v>0</v>
      </c>
      <c r="H131" s="596">
        <v>0</v>
      </c>
      <c r="I131" s="596">
        <v>0</v>
      </c>
      <c r="J131" s="596">
        <v>0</v>
      </c>
      <c r="K131" s="596">
        <v>0</v>
      </c>
      <c r="L131" s="596">
        <v>0</v>
      </c>
      <c r="M131" s="596">
        <v>0</v>
      </c>
      <c r="N131" s="596">
        <v>0</v>
      </c>
      <c r="O131" s="596">
        <v>0</v>
      </c>
      <c r="P131" s="596">
        <v>0</v>
      </c>
      <c r="Q131" s="596">
        <v>0</v>
      </c>
      <c r="R131" s="596">
        <v>0</v>
      </c>
      <c r="S131" s="596">
        <v>0</v>
      </c>
      <c r="T131" s="596">
        <v>0</v>
      </c>
      <c r="U131" s="596">
        <v>0</v>
      </c>
      <c r="V131" s="596">
        <v>0</v>
      </c>
      <c r="W131" s="612">
        <v>0</v>
      </c>
      <c r="X131" s="704">
        <v>0</v>
      </c>
      <c r="Y131" s="705">
        <v>0</v>
      </c>
      <c r="Z131" s="706">
        <v>0</v>
      </c>
      <c r="AA131" s="707">
        <v>0</v>
      </c>
      <c r="AB131" s="706">
        <v>0</v>
      </c>
      <c r="AC131" s="704">
        <v>0</v>
      </c>
      <c r="AD131" s="706">
        <v>0</v>
      </c>
      <c r="AE131" s="708">
        <v>0</v>
      </c>
      <c r="AF131" s="704">
        <v>0</v>
      </c>
      <c r="AG131" s="704">
        <v>0</v>
      </c>
      <c r="AH131" s="708">
        <v>0</v>
      </c>
      <c r="AI131" s="709">
        <v>2E-3</v>
      </c>
      <c r="AJ131" s="706">
        <f t="shared" si="21"/>
        <v>7.1428571428571426E-3</v>
      </c>
      <c r="AK131" s="704">
        <v>0</v>
      </c>
      <c r="AL131" s="706">
        <v>0</v>
      </c>
      <c r="AM131" s="710">
        <v>0</v>
      </c>
      <c r="AN131" s="704">
        <v>0</v>
      </c>
      <c r="AO131" s="706">
        <v>0</v>
      </c>
      <c r="AP131" s="711">
        <v>0</v>
      </c>
      <c r="AQ131" s="712">
        <v>0</v>
      </c>
      <c r="AR131" s="711">
        <v>0</v>
      </c>
      <c r="AS131" s="712">
        <v>0</v>
      </c>
      <c r="AT131" s="711">
        <v>0</v>
      </c>
      <c r="AU131" s="712">
        <v>0</v>
      </c>
      <c r="AV131" s="713">
        <v>0</v>
      </c>
      <c r="AW131" s="714">
        <v>0</v>
      </c>
      <c r="AX131" s="711">
        <v>0</v>
      </c>
      <c r="AY131" s="712">
        <v>0</v>
      </c>
      <c r="AZ131" s="713">
        <v>0</v>
      </c>
      <c r="BA131" s="712">
        <v>0</v>
      </c>
      <c r="BB131" s="713">
        <v>0</v>
      </c>
      <c r="BC131" s="712">
        <v>0</v>
      </c>
      <c r="BD131" s="713">
        <v>0</v>
      </c>
      <c r="BE131" s="712">
        <v>0</v>
      </c>
      <c r="BF131" s="713">
        <v>0</v>
      </c>
      <c r="BG131" s="712">
        <v>0</v>
      </c>
      <c r="BH131" s="713">
        <v>0</v>
      </c>
      <c r="BI131" s="712">
        <v>0</v>
      </c>
      <c r="BJ131" s="713">
        <v>0</v>
      </c>
      <c r="BK131" s="712">
        <v>0</v>
      </c>
      <c r="BL131" s="713">
        <v>0</v>
      </c>
      <c r="BM131" s="712">
        <v>0</v>
      </c>
      <c r="BN131" s="713">
        <v>0</v>
      </c>
      <c r="BO131" s="712">
        <v>0</v>
      </c>
      <c r="BP131" s="713">
        <v>0</v>
      </c>
      <c r="BQ131" s="712">
        <v>0</v>
      </c>
      <c r="BR131" s="713">
        <v>0</v>
      </c>
      <c r="BS131" s="712">
        <v>0</v>
      </c>
      <c r="BT131" s="713">
        <v>0</v>
      </c>
      <c r="BU131" s="712">
        <v>0</v>
      </c>
      <c r="BV131" s="711">
        <v>0</v>
      </c>
      <c r="BW131" s="714">
        <v>0</v>
      </c>
      <c r="BX131" s="711">
        <v>0</v>
      </c>
      <c r="BY131" s="714">
        <v>0</v>
      </c>
      <c r="BZ131" s="711">
        <v>0</v>
      </c>
      <c r="CA131" s="714">
        <v>0</v>
      </c>
      <c r="CB131" s="711">
        <v>0</v>
      </c>
      <c r="CC131" s="714">
        <v>0</v>
      </c>
      <c r="CD131" s="711">
        <v>0</v>
      </c>
      <c r="CE131" s="714">
        <v>0</v>
      </c>
      <c r="CF131" s="711">
        <v>0</v>
      </c>
      <c r="CG131" s="714">
        <v>0</v>
      </c>
      <c r="CH131" s="711">
        <v>0</v>
      </c>
      <c r="CI131" s="714">
        <v>0</v>
      </c>
      <c r="CJ131" s="711">
        <v>0</v>
      </c>
      <c r="CK131" s="712">
        <v>0</v>
      </c>
      <c r="CL131" s="711">
        <v>0</v>
      </c>
      <c r="CM131" s="712">
        <v>0</v>
      </c>
      <c r="CN131" s="713">
        <v>0</v>
      </c>
      <c r="CO131" s="712">
        <v>0</v>
      </c>
    </row>
    <row r="132" spans="1:93">
      <c r="A132" s="468">
        <v>130</v>
      </c>
      <c r="B132" s="596">
        <v>0</v>
      </c>
      <c r="C132" s="596">
        <v>0</v>
      </c>
      <c r="D132" s="596">
        <v>0</v>
      </c>
      <c r="E132" s="596">
        <v>0</v>
      </c>
      <c r="F132" s="596">
        <v>0</v>
      </c>
      <c r="G132" s="596">
        <v>0</v>
      </c>
      <c r="H132" s="596">
        <v>0</v>
      </c>
      <c r="I132" s="596">
        <v>0</v>
      </c>
      <c r="J132" s="596">
        <v>0</v>
      </c>
      <c r="K132" s="596">
        <v>0</v>
      </c>
      <c r="L132" s="596">
        <v>0</v>
      </c>
      <c r="M132" s="596">
        <v>0</v>
      </c>
      <c r="N132" s="596">
        <v>0</v>
      </c>
      <c r="O132" s="596">
        <v>0</v>
      </c>
      <c r="P132" s="596">
        <v>0</v>
      </c>
      <c r="Q132" s="596">
        <v>0</v>
      </c>
      <c r="R132" s="596">
        <v>0</v>
      </c>
      <c r="S132" s="596">
        <v>0</v>
      </c>
      <c r="T132" s="596">
        <v>0</v>
      </c>
      <c r="U132" s="596">
        <v>0</v>
      </c>
      <c r="V132" s="596">
        <v>0</v>
      </c>
      <c r="W132" s="612">
        <v>0</v>
      </c>
      <c r="X132" s="704">
        <v>0</v>
      </c>
      <c r="Y132" s="705">
        <v>0</v>
      </c>
      <c r="Z132" s="706">
        <v>0</v>
      </c>
      <c r="AA132" s="707">
        <v>0</v>
      </c>
      <c r="AB132" s="706">
        <v>0</v>
      </c>
      <c r="AC132" s="704">
        <v>0</v>
      </c>
      <c r="AD132" s="706">
        <v>0</v>
      </c>
      <c r="AE132" s="708">
        <v>0</v>
      </c>
      <c r="AF132" s="704">
        <v>0</v>
      </c>
      <c r="AG132" s="704">
        <v>0</v>
      </c>
      <c r="AH132" s="708">
        <v>0</v>
      </c>
      <c r="AI132" s="709">
        <v>2E-3</v>
      </c>
      <c r="AJ132" s="706">
        <f t="shared" ref="AJ132:AJ141" si="22">1/140</f>
        <v>7.1428571428571426E-3</v>
      </c>
      <c r="AK132" s="704">
        <v>0</v>
      </c>
      <c r="AL132" s="706">
        <v>0</v>
      </c>
      <c r="AM132" s="710">
        <v>0</v>
      </c>
      <c r="AN132" s="704">
        <v>0</v>
      </c>
      <c r="AO132" s="706">
        <v>0</v>
      </c>
      <c r="AP132" s="711">
        <v>0</v>
      </c>
      <c r="AQ132" s="712">
        <v>0</v>
      </c>
      <c r="AR132" s="711">
        <v>0</v>
      </c>
      <c r="AS132" s="712">
        <v>0</v>
      </c>
      <c r="AT132" s="711">
        <v>0</v>
      </c>
      <c r="AU132" s="712">
        <v>0</v>
      </c>
      <c r="AV132" s="713">
        <v>0</v>
      </c>
      <c r="AW132" s="714">
        <v>0</v>
      </c>
      <c r="AX132" s="711">
        <v>0</v>
      </c>
      <c r="AY132" s="712">
        <v>0</v>
      </c>
      <c r="AZ132" s="713">
        <v>0</v>
      </c>
      <c r="BA132" s="712">
        <v>0</v>
      </c>
      <c r="BB132" s="713">
        <v>0</v>
      </c>
      <c r="BC132" s="712">
        <v>0</v>
      </c>
      <c r="BD132" s="713">
        <v>0</v>
      </c>
      <c r="BE132" s="712">
        <v>0</v>
      </c>
      <c r="BF132" s="713">
        <v>0</v>
      </c>
      <c r="BG132" s="712">
        <v>0</v>
      </c>
      <c r="BH132" s="713">
        <v>0</v>
      </c>
      <c r="BI132" s="712">
        <v>0</v>
      </c>
      <c r="BJ132" s="713">
        <v>0</v>
      </c>
      <c r="BK132" s="712">
        <v>0</v>
      </c>
      <c r="BL132" s="713">
        <v>0</v>
      </c>
      <c r="BM132" s="712">
        <v>0</v>
      </c>
      <c r="BN132" s="713">
        <v>0</v>
      </c>
      <c r="BO132" s="712">
        <v>0</v>
      </c>
      <c r="BP132" s="713">
        <v>0</v>
      </c>
      <c r="BQ132" s="712">
        <v>0</v>
      </c>
      <c r="BR132" s="713">
        <v>0</v>
      </c>
      <c r="BS132" s="712">
        <v>0</v>
      </c>
      <c r="BT132" s="713">
        <v>0</v>
      </c>
      <c r="BU132" s="712">
        <v>0</v>
      </c>
      <c r="BV132" s="711">
        <v>0</v>
      </c>
      <c r="BW132" s="714">
        <v>0</v>
      </c>
      <c r="BX132" s="711">
        <v>0</v>
      </c>
      <c r="BY132" s="714">
        <v>0</v>
      </c>
      <c r="BZ132" s="711">
        <v>0</v>
      </c>
      <c r="CA132" s="714">
        <v>0</v>
      </c>
      <c r="CB132" s="711">
        <v>0</v>
      </c>
      <c r="CC132" s="714">
        <v>0</v>
      </c>
      <c r="CD132" s="711">
        <v>0</v>
      </c>
      <c r="CE132" s="714">
        <v>0</v>
      </c>
      <c r="CF132" s="711">
        <v>0</v>
      </c>
      <c r="CG132" s="714">
        <v>0</v>
      </c>
      <c r="CH132" s="711">
        <v>0</v>
      </c>
      <c r="CI132" s="714">
        <v>0</v>
      </c>
      <c r="CJ132" s="711">
        <v>0</v>
      </c>
      <c r="CK132" s="712">
        <v>0</v>
      </c>
      <c r="CL132" s="711">
        <v>0</v>
      </c>
      <c r="CM132" s="712">
        <v>0</v>
      </c>
      <c r="CN132" s="713">
        <v>0</v>
      </c>
      <c r="CO132" s="712">
        <v>0</v>
      </c>
    </row>
    <row r="133" spans="1:93">
      <c r="A133" s="468">
        <v>131</v>
      </c>
      <c r="B133" s="596">
        <v>0</v>
      </c>
      <c r="C133" s="596">
        <v>0</v>
      </c>
      <c r="D133" s="596">
        <v>0</v>
      </c>
      <c r="E133" s="596">
        <v>0</v>
      </c>
      <c r="F133" s="596">
        <v>0</v>
      </c>
      <c r="G133" s="596">
        <v>0</v>
      </c>
      <c r="H133" s="596">
        <v>0</v>
      </c>
      <c r="I133" s="596">
        <v>0</v>
      </c>
      <c r="J133" s="596">
        <v>0</v>
      </c>
      <c r="K133" s="596">
        <v>0</v>
      </c>
      <c r="L133" s="596">
        <v>0</v>
      </c>
      <c r="M133" s="596">
        <v>0</v>
      </c>
      <c r="N133" s="596">
        <v>0</v>
      </c>
      <c r="O133" s="596">
        <v>0</v>
      </c>
      <c r="P133" s="596">
        <v>0</v>
      </c>
      <c r="Q133" s="596">
        <v>0</v>
      </c>
      <c r="R133" s="596">
        <v>0</v>
      </c>
      <c r="S133" s="596">
        <v>0</v>
      </c>
      <c r="T133" s="596">
        <v>0</v>
      </c>
      <c r="U133" s="596">
        <v>0</v>
      </c>
      <c r="V133" s="596">
        <v>0</v>
      </c>
      <c r="W133" s="612">
        <v>0</v>
      </c>
      <c r="X133" s="704">
        <v>0</v>
      </c>
      <c r="Y133" s="705">
        <v>0</v>
      </c>
      <c r="Z133" s="706">
        <v>0</v>
      </c>
      <c r="AA133" s="707">
        <v>0</v>
      </c>
      <c r="AB133" s="706">
        <v>0</v>
      </c>
      <c r="AC133" s="704">
        <v>0</v>
      </c>
      <c r="AD133" s="706">
        <v>0</v>
      </c>
      <c r="AE133" s="708">
        <v>0</v>
      </c>
      <c r="AF133" s="704">
        <v>0</v>
      </c>
      <c r="AG133" s="704">
        <v>0</v>
      </c>
      <c r="AH133" s="708">
        <v>0</v>
      </c>
      <c r="AI133" s="709">
        <v>2E-3</v>
      </c>
      <c r="AJ133" s="706">
        <f t="shared" si="22"/>
        <v>7.1428571428571426E-3</v>
      </c>
      <c r="AK133" s="704">
        <v>0</v>
      </c>
      <c r="AL133" s="706">
        <v>0</v>
      </c>
      <c r="AM133" s="710">
        <v>0</v>
      </c>
      <c r="AN133" s="704">
        <v>0</v>
      </c>
      <c r="AO133" s="706">
        <v>0</v>
      </c>
      <c r="AP133" s="711">
        <v>0</v>
      </c>
      <c r="AQ133" s="712">
        <v>0</v>
      </c>
      <c r="AR133" s="711">
        <v>0</v>
      </c>
      <c r="AS133" s="712">
        <v>0</v>
      </c>
      <c r="AT133" s="711">
        <v>0</v>
      </c>
      <c r="AU133" s="712">
        <v>0</v>
      </c>
      <c r="AV133" s="713">
        <v>0</v>
      </c>
      <c r="AW133" s="714">
        <v>0</v>
      </c>
      <c r="AX133" s="711">
        <v>0</v>
      </c>
      <c r="AY133" s="712">
        <v>0</v>
      </c>
      <c r="AZ133" s="713">
        <v>0</v>
      </c>
      <c r="BA133" s="712">
        <v>0</v>
      </c>
      <c r="BB133" s="713">
        <v>0</v>
      </c>
      <c r="BC133" s="712">
        <v>0</v>
      </c>
      <c r="BD133" s="713">
        <v>0</v>
      </c>
      <c r="BE133" s="712">
        <v>0</v>
      </c>
      <c r="BF133" s="713">
        <v>0</v>
      </c>
      <c r="BG133" s="712">
        <v>0</v>
      </c>
      <c r="BH133" s="713">
        <v>0</v>
      </c>
      <c r="BI133" s="712">
        <v>0</v>
      </c>
      <c r="BJ133" s="713">
        <v>0</v>
      </c>
      <c r="BK133" s="712">
        <v>0</v>
      </c>
      <c r="BL133" s="713">
        <v>0</v>
      </c>
      <c r="BM133" s="712">
        <v>0</v>
      </c>
      <c r="BN133" s="713">
        <v>0</v>
      </c>
      <c r="BO133" s="712">
        <v>0</v>
      </c>
      <c r="BP133" s="713">
        <v>0</v>
      </c>
      <c r="BQ133" s="712">
        <v>0</v>
      </c>
      <c r="BR133" s="713">
        <v>0</v>
      </c>
      <c r="BS133" s="712">
        <v>0</v>
      </c>
      <c r="BT133" s="713">
        <v>0</v>
      </c>
      <c r="BU133" s="712">
        <v>0</v>
      </c>
      <c r="BV133" s="711">
        <v>0</v>
      </c>
      <c r="BW133" s="714">
        <v>0</v>
      </c>
      <c r="BX133" s="711">
        <v>0</v>
      </c>
      <c r="BY133" s="714">
        <v>0</v>
      </c>
      <c r="BZ133" s="711">
        <v>0</v>
      </c>
      <c r="CA133" s="714">
        <v>0</v>
      </c>
      <c r="CB133" s="711">
        <v>0</v>
      </c>
      <c r="CC133" s="714">
        <v>0</v>
      </c>
      <c r="CD133" s="711">
        <v>0</v>
      </c>
      <c r="CE133" s="714">
        <v>0</v>
      </c>
      <c r="CF133" s="711">
        <v>0</v>
      </c>
      <c r="CG133" s="714">
        <v>0</v>
      </c>
      <c r="CH133" s="711">
        <v>0</v>
      </c>
      <c r="CI133" s="714">
        <v>0</v>
      </c>
      <c r="CJ133" s="711">
        <v>0</v>
      </c>
      <c r="CK133" s="712">
        <v>0</v>
      </c>
      <c r="CL133" s="711">
        <v>0</v>
      </c>
      <c r="CM133" s="712">
        <v>0</v>
      </c>
      <c r="CN133" s="713">
        <v>0</v>
      </c>
      <c r="CO133" s="712">
        <v>0</v>
      </c>
    </row>
    <row r="134" spans="1:93">
      <c r="A134" s="468">
        <v>132</v>
      </c>
      <c r="B134" s="596">
        <v>0</v>
      </c>
      <c r="C134" s="596">
        <v>0</v>
      </c>
      <c r="D134" s="596">
        <v>0</v>
      </c>
      <c r="E134" s="596">
        <v>0</v>
      </c>
      <c r="F134" s="596">
        <v>0</v>
      </c>
      <c r="G134" s="596">
        <v>0</v>
      </c>
      <c r="H134" s="596">
        <v>0</v>
      </c>
      <c r="I134" s="596">
        <v>0</v>
      </c>
      <c r="J134" s="596">
        <v>0</v>
      </c>
      <c r="K134" s="596">
        <v>0</v>
      </c>
      <c r="L134" s="596">
        <v>0</v>
      </c>
      <c r="M134" s="596">
        <v>0</v>
      </c>
      <c r="N134" s="596">
        <v>0</v>
      </c>
      <c r="O134" s="596">
        <v>0</v>
      </c>
      <c r="P134" s="596">
        <v>0</v>
      </c>
      <c r="Q134" s="596">
        <v>0</v>
      </c>
      <c r="R134" s="596">
        <v>0</v>
      </c>
      <c r="S134" s="596">
        <v>0</v>
      </c>
      <c r="T134" s="596">
        <v>0</v>
      </c>
      <c r="U134" s="596">
        <v>0</v>
      </c>
      <c r="V134" s="596">
        <v>0</v>
      </c>
      <c r="W134" s="612">
        <v>0</v>
      </c>
      <c r="X134" s="704">
        <v>0</v>
      </c>
      <c r="Y134" s="705">
        <v>0</v>
      </c>
      <c r="Z134" s="706">
        <v>0</v>
      </c>
      <c r="AA134" s="707">
        <v>0</v>
      </c>
      <c r="AB134" s="706">
        <v>0</v>
      </c>
      <c r="AC134" s="704">
        <v>0</v>
      </c>
      <c r="AD134" s="706">
        <v>0</v>
      </c>
      <c r="AE134" s="708">
        <v>0</v>
      </c>
      <c r="AF134" s="704">
        <v>0</v>
      </c>
      <c r="AG134" s="704">
        <v>0</v>
      </c>
      <c r="AH134" s="708">
        <v>0</v>
      </c>
      <c r="AI134" s="709">
        <v>2E-3</v>
      </c>
      <c r="AJ134" s="706">
        <f t="shared" si="22"/>
        <v>7.1428571428571426E-3</v>
      </c>
      <c r="AK134" s="704">
        <v>0</v>
      </c>
      <c r="AL134" s="706">
        <v>0</v>
      </c>
      <c r="AM134" s="710">
        <v>0</v>
      </c>
      <c r="AN134" s="704">
        <v>0</v>
      </c>
      <c r="AO134" s="706">
        <v>0</v>
      </c>
      <c r="AP134" s="711">
        <v>0</v>
      </c>
      <c r="AQ134" s="712">
        <v>0</v>
      </c>
      <c r="AR134" s="711">
        <v>0</v>
      </c>
      <c r="AS134" s="712">
        <v>0</v>
      </c>
      <c r="AT134" s="711">
        <v>0</v>
      </c>
      <c r="AU134" s="712">
        <v>0</v>
      </c>
      <c r="AV134" s="713">
        <v>0</v>
      </c>
      <c r="AW134" s="714">
        <v>0</v>
      </c>
      <c r="AX134" s="711">
        <v>0</v>
      </c>
      <c r="AY134" s="712">
        <v>0</v>
      </c>
      <c r="AZ134" s="713">
        <v>0</v>
      </c>
      <c r="BA134" s="712">
        <v>0</v>
      </c>
      <c r="BB134" s="713">
        <v>0</v>
      </c>
      <c r="BC134" s="712">
        <v>0</v>
      </c>
      <c r="BD134" s="713">
        <v>0</v>
      </c>
      <c r="BE134" s="712">
        <v>0</v>
      </c>
      <c r="BF134" s="713">
        <v>0</v>
      </c>
      <c r="BG134" s="712">
        <v>0</v>
      </c>
      <c r="BH134" s="713">
        <v>0</v>
      </c>
      <c r="BI134" s="712">
        <v>0</v>
      </c>
      <c r="BJ134" s="713">
        <v>0</v>
      </c>
      <c r="BK134" s="712">
        <v>0</v>
      </c>
      <c r="BL134" s="713">
        <v>0</v>
      </c>
      <c r="BM134" s="712">
        <v>0</v>
      </c>
      <c r="BN134" s="713">
        <v>0</v>
      </c>
      <c r="BO134" s="712">
        <v>0</v>
      </c>
      <c r="BP134" s="713">
        <v>0</v>
      </c>
      <c r="BQ134" s="712">
        <v>0</v>
      </c>
      <c r="BR134" s="713">
        <v>0</v>
      </c>
      <c r="BS134" s="712">
        <v>0</v>
      </c>
      <c r="BT134" s="713">
        <v>0</v>
      </c>
      <c r="BU134" s="712">
        <v>0</v>
      </c>
      <c r="BV134" s="711">
        <v>0</v>
      </c>
      <c r="BW134" s="714">
        <v>0</v>
      </c>
      <c r="BX134" s="711">
        <v>0</v>
      </c>
      <c r="BY134" s="714">
        <v>0</v>
      </c>
      <c r="BZ134" s="711">
        <v>0</v>
      </c>
      <c r="CA134" s="714">
        <v>0</v>
      </c>
      <c r="CB134" s="711">
        <v>0</v>
      </c>
      <c r="CC134" s="714">
        <v>0</v>
      </c>
      <c r="CD134" s="711">
        <v>0</v>
      </c>
      <c r="CE134" s="714">
        <v>0</v>
      </c>
      <c r="CF134" s="711">
        <v>0</v>
      </c>
      <c r="CG134" s="714">
        <v>0</v>
      </c>
      <c r="CH134" s="711">
        <v>0</v>
      </c>
      <c r="CI134" s="714">
        <v>0</v>
      </c>
      <c r="CJ134" s="711">
        <v>0</v>
      </c>
      <c r="CK134" s="712">
        <v>0</v>
      </c>
      <c r="CL134" s="711">
        <v>0</v>
      </c>
      <c r="CM134" s="712">
        <v>0</v>
      </c>
      <c r="CN134" s="713">
        <v>0</v>
      </c>
      <c r="CO134" s="712">
        <v>0</v>
      </c>
    </row>
    <row r="135" spans="1:93">
      <c r="A135" s="468">
        <v>133</v>
      </c>
      <c r="B135" s="596">
        <v>0</v>
      </c>
      <c r="C135" s="596">
        <v>0</v>
      </c>
      <c r="D135" s="596">
        <v>0</v>
      </c>
      <c r="E135" s="596">
        <v>0</v>
      </c>
      <c r="F135" s="596">
        <v>0</v>
      </c>
      <c r="G135" s="596">
        <v>0</v>
      </c>
      <c r="H135" s="596">
        <v>0</v>
      </c>
      <c r="I135" s="596">
        <v>0</v>
      </c>
      <c r="J135" s="596">
        <v>0</v>
      </c>
      <c r="K135" s="596">
        <v>0</v>
      </c>
      <c r="L135" s="596">
        <v>0</v>
      </c>
      <c r="M135" s="596">
        <v>0</v>
      </c>
      <c r="N135" s="596">
        <v>0</v>
      </c>
      <c r="O135" s="596">
        <v>0</v>
      </c>
      <c r="P135" s="596">
        <v>0</v>
      </c>
      <c r="Q135" s="596">
        <v>0</v>
      </c>
      <c r="R135" s="596">
        <v>0</v>
      </c>
      <c r="S135" s="596">
        <v>0</v>
      </c>
      <c r="T135" s="596">
        <v>0</v>
      </c>
      <c r="U135" s="596">
        <v>0</v>
      </c>
      <c r="V135" s="596">
        <v>0</v>
      </c>
      <c r="W135" s="612">
        <v>0</v>
      </c>
      <c r="X135" s="704">
        <v>0</v>
      </c>
      <c r="Y135" s="705">
        <v>0</v>
      </c>
      <c r="Z135" s="706">
        <v>0</v>
      </c>
      <c r="AA135" s="707">
        <v>0</v>
      </c>
      <c r="AB135" s="706">
        <v>0</v>
      </c>
      <c r="AC135" s="704">
        <v>0</v>
      </c>
      <c r="AD135" s="706">
        <v>0</v>
      </c>
      <c r="AE135" s="708">
        <v>0</v>
      </c>
      <c r="AF135" s="704">
        <v>0</v>
      </c>
      <c r="AG135" s="704">
        <v>0</v>
      </c>
      <c r="AH135" s="708">
        <v>0</v>
      </c>
      <c r="AI135" s="709">
        <v>2E-3</v>
      </c>
      <c r="AJ135" s="706">
        <f t="shared" si="22"/>
        <v>7.1428571428571426E-3</v>
      </c>
      <c r="AK135" s="704">
        <v>0</v>
      </c>
      <c r="AL135" s="706">
        <v>0</v>
      </c>
      <c r="AM135" s="710">
        <v>0</v>
      </c>
      <c r="AN135" s="704">
        <v>0</v>
      </c>
      <c r="AO135" s="706">
        <v>0</v>
      </c>
      <c r="AP135" s="711">
        <v>0</v>
      </c>
      <c r="AQ135" s="712">
        <v>0</v>
      </c>
      <c r="AR135" s="711">
        <v>0</v>
      </c>
      <c r="AS135" s="712">
        <v>0</v>
      </c>
      <c r="AT135" s="711">
        <v>0</v>
      </c>
      <c r="AU135" s="712">
        <v>0</v>
      </c>
      <c r="AV135" s="713">
        <v>0</v>
      </c>
      <c r="AW135" s="714">
        <v>0</v>
      </c>
      <c r="AX135" s="711">
        <v>0</v>
      </c>
      <c r="AY135" s="712">
        <v>0</v>
      </c>
      <c r="AZ135" s="713">
        <v>0</v>
      </c>
      <c r="BA135" s="712">
        <v>0</v>
      </c>
      <c r="BB135" s="713">
        <v>0</v>
      </c>
      <c r="BC135" s="712">
        <v>0</v>
      </c>
      <c r="BD135" s="713">
        <v>0</v>
      </c>
      <c r="BE135" s="712">
        <v>0</v>
      </c>
      <c r="BF135" s="713">
        <v>0</v>
      </c>
      <c r="BG135" s="712">
        <v>0</v>
      </c>
      <c r="BH135" s="713">
        <v>0</v>
      </c>
      <c r="BI135" s="712">
        <v>0</v>
      </c>
      <c r="BJ135" s="713">
        <v>0</v>
      </c>
      <c r="BK135" s="712">
        <v>0</v>
      </c>
      <c r="BL135" s="713">
        <v>0</v>
      </c>
      <c r="BM135" s="712">
        <v>0</v>
      </c>
      <c r="BN135" s="713">
        <v>0</v>
      </c>
      <c r="BO135" s="712">
        <v>0</v>
      </c>
      <c r="BP135" s="713">
        <v>0</v>
      </c>
      <c r="BQ135" s="712">
        <v>0</v>
      </c>
      <c r="BR135" s="713">
        <v>0</v>
      </c>
      <c r="BS135" s="712">
        <v>0</v>
      </c>
      <c r="BT135" s="713">
        <v>0</v>
      </c>
      <c r="BU135" s="712">
        <v>0</v>
      </c>
      <c r="BV135" s="711">
        <v>0</v>
      </c>
      <c r="BW135" s="714">
        <v>0</v>
      </c>
      <c r="BX135" s="711">
        <v>0</v>
      </c>
      <c r="BY135" s="714">
        <v>0</v>
      </c>
      <c r="BZ135" s="711">
        <v>0</v>
      </c>
      <c r="CA135" s="714">
        <v>0</v>
      </c>
      <c r="CB135" s="711">
        <v>0</v>
      </c>
      <c r="CC135" s="714">
        <v>0</v>
      </c>
      <c r="CD135" s="711">
        <v>0</v>
      </c>
      <c r="CE135" s="714">
        <v>0</v>
      </c>
      <c r="CF135" s="711">
        <v>0</v>
      </c>
      <c r="CG135" s="714">
        <v>0</v>
      </c>
      <c r="CH135" s="711">
        <v>0</v>
      </c>
      <c r="CI135" s="714">
        <v>0</v>
      </c>
      <c r="CJ135" s="711">
        <v>0</v>
      </c>
      <c r="CK135" s="712">
        <v>0</v>
      </c>
      <c r="CL135" s="711">
        <v>0</v>
      </c>
      <c r="CM135" s="712">
        <v>0</v>
      </c>
      <c r="CN135" s="713">
        <v>0</v>
      </c>
      <c r="CO135" s="712">
        <v>0</v>
      </c>
    </row>
    <row r="136" spans="1:93">
      <c r="A136" s="468">
        <v>134</v>
      </c>
      <c r="B136" s="596">
        <v>0</v>
      </c>
      <c r="C136" s="596">
        <v>0</v>
      </c>
      <c r="D136" s="596">
        <v>0</v>
      </c>
      <c r="E136" s="596">
        <v>0</v>
      </c>
      <c r="F136" s="596">
        <v>0</v>
      </c>
      <c r="G136" s="596">
        <v>0</v>
      </c>
      <c r="H136" s="596">
        <v>0</v>
      </c>
      <c r="I136" s="596">
        <v>0</v>
      </c>
      <c r="J136" s="596">
        <v>0</v>
      </c>
      <c r="K136" s="596">
        <v>0</v>
      </c>
      <c r="L136" s="596">
        <v>0</v>
      </c>
      <c r="M136" s="596">
        <v>0</v>
      </c>
      <c r="N136" s="596">
        <v>0</v>
      </c>
      <c r="O136" s="596">
        <v>0</v>
      </c>
      <c r="P136" s="596">
        <v>0</v>
      </c>
      <c r="Q136" s="596">
        <v>0</v>
      </c>
      <c r="R136" s="596">
        <v>0</v>
      </c>
      <c r="S136" s="596">
        <v>0</v>
      </c>
      <c r="T136" s="596">
        <v>0</v>
      </c>
      <c r="U136" s="596">
        <v>0</v>
      </c>
      <c r="V136" s="596">
        <v>0</v>
      </c>
      <c r="W136" s="612">
        <v>0</v>
      </c>
      <c r="X136" s="704">
        <v>0</v>
      </c>
      <c r="Y136" s="705">
        <v>0</v>
      </c>
      <c r="Z136" s="706">
        <v>0</v>
      </c>
      <c r="AA136" s="707">
        <v>0</v>
      </c>
      <c r="AB136" s="706">
        <v>0</v>
      </c>
      <c r="AC136" s="704">
        <v>0</v>
      </c>
      <c r="AD136" s="706">
        <v>0</v>
      </c>
      <c r="AE136" s="708">
        <v>0</v>
      </c>
      <c r="AF136" s="704">
        <v>0</v>
      </c>
      <c r="AG136" s="704">
        <v>0</v>
      </c>
      <c r="AH136" s="708">
        <v>0</v>
      </c>
      <c r="AI136" s="709">
        <v>2E-3</v>
      </c>
      <c r="AJ136" s="706">
        <f t="shared" si="22"/>
        <v>7.1428571428571426E-3</v>
      </c>
      <c r="AK136" s="704">
        <v>0</v>
      </c>
      <c r="AL136" s="706">
        <v>0</v>
      </c>
      <c r="AM136" s="710">
        <v>0</v>
      </c>
      <c r="AN136" s="704">
        <v>0</v>
      </c>
      <c r="AO136" s="706">
        <v>0</v>
      </c>
      <c r="AP136" s="711">
        <v>0</v>
      </c>
      <c r="AQ136" s="712">
        <v>0</v>
      </c>
      <c r="AR136" s="711">
        <v>0</v>
      </c>
      <c r="AS136" s="712">
        <v>0</v>
      </c>
      <c r="AT136" s="711">
        <v>0</v>
      </c>
      <c r="AU136" s="712">
        <v>0</v>
      </c>
      <c r="AV136" s="713">
        <v>0</v>
      </c>
      <c r="AW136" s="714">
        <v>0</v>
      </c>
      <c r="AX136" s="711">
        <v>0</v>
      </c>
      <c r="AY136" s="712">
        <v>0</v>
      </c>
      <c r="AZ136" s="713">
        <v>0</v>
      </c>
      <c r="BA136" s="712">
        <v>0</v>
      </c>
      <c r="BB136" s="713">
        <v>0</v>
      </c>
      <c r="BC136" s="712">
        <v>0</v>
      </c>
      <c r="BD136" s="713">
        <v>0</v>
      </c>
      <c r="BE136" s="712">
        <v>0</v>
      </c>
      <c r="BF136" s="713">
        <v>0</v>
      </c>
      <c r="BG136" s="712">
        <v>0</v>
      </c>
      <c r="BH136" s="713">
        <v>0</v>
      </c>
      <c r="BI136" s="712">
        <v>0</v>
      </c>
      <c r="BJ136" s="713">
        <v>0</v>
      </c>
      <c r="BK136" s="712">
        <v>0</v>
      </c>
      <c r="BL136" s="713">
        <v>0</v>
      </c>
      <c r="BM136" s="712">
        <v>0</v>
      </c>
      <c r="BN136" s="713">
        <v>0</v>
      </c>
      <c r="BO136" s="712">
        <v>0</v>
      </c>
      <c r="BP136" s="713">
        <v>0</v>
      </c>
      <c r="BQ136" s="712">
        <v>0</v>
      </c>
      <c r="BR136" s="713">
        <v>0</v>
      </c>
      <c r="BS136" s="712">
        <v>0</v>
      </c>
      <c r="BT136" s="713">
        <v>0</v>
      </c>
      <c r="BU136" s="712">
        <v>0</v>
      </c>
      <c r="BV136" s="711">
        <v>0</v>
      </c>
      <c r="BW136" s="714">
        <v>0</v>
      </c>
      <c r="BX136" s="711">
        <v>0</v>
      </c>
      <c r="BY136" s="714">
        <v>0</v>
      </c>
      <c r="BZ136" s="711">
        <v>0</v>
      </c>
      <c r="CA136" s="714">
        <v>0</v>
      </c>
      <c r="CB136" s="711">
        <v>0</v>
      </c>
      <c r="CC136" s="714">
        <v>0</v>
      </c>
      <c r="CD136" s="711">
        <v>0</v>
      </c>
      <c r="CE136" s="714">
        <v>0</v>
      </c>
      <c r="CF136" s="711">
        <v>0</v>
      </c>
      <c r="CG136" s="714">
        <v>0</v>
      </c>
      <c r="CH136" s="711">
        <v>0</v>
      </c>
      <c r="CI136" s="714">
        <v>0</v>
      </c>
      <c r="CJ136" s="711">
        <v>0</v>
      </c>
      <c r="CK136" s="712">
        <v>0</v>
      </c>
      <c r="CL136" s="711">
        <v>0</v>
      </c>
      <c r="CM136" s="712">
        <v>0</v>
      </c>
      <c r="CN136" s="713">
        <v>0</v>
      </c>
      <c r="CO136" s="712">
        <v>0</v>
      </c>
    </row>
    <row r="137" spans="1:93">
      <c r="A137" s="468">
        <v>135</v>
      </c>
      <c r="B137" s="596">
        <v>0</v>
      </c>
      <c r="C137" s="596">
        <v>0</v>
      </c>
      <c r="D137" s="596">
        <v>0</v>
      </c>
      <c r="E137" s="596">
        <v>0</v>
      </c>
      <c r="F137" s="596">
        <v>0</v>
      </c>
      <c r="G137" s="596">
        <v>0</v>
      </c>
      <c r="H137" s="596">
        <v>0</v>
      </c>
      <c r="I137" s="596">
        <v>0</v>
      </c>
      <c r="J137" s="596">
        <v>0</v>
      </c>
      <c r="K137" s="596">
        <v>0</v>
      </c>
      <c r="L137" s="596">
        <v>0</v>
      </c>
      <c r="M137" s="596">
        <v>0</v>
      </c>
      <c r="N137" s="596">
        <v>0</v>
      </c>
      <c r="O137" s="596">
        <v>0</v>
      </c>
      <c r="P137" s="596">
        <v>0</v>
      </c>
      <c r="Q137" s="596">
        <v>0</v>
      </c>
      <c r="R137" s="596">
        <v>0</v>
      </c>
      <c r="S137" s="596">
        <v>0</v>
      </c>
      <c r="T137" s="596">
        <v>0</v>
      </c>
      <c r="U137" s="596">
        <v>0</v>
      </c>
      <c r="V137" s="596">
        <v>0</v>
      </c>
      <c r="W137" s="612">
        <v>0</v>
      </c>
      <c r="X137" s="704">
        <v>0</v>
      </c>
      <c r="Y137" s="705">
        <v>0</v>
      </c>
      <c r="Z137" s="706">
        <v>0</v>
      </c>
      <c r="AA137" s="707">
        <v>0</v>
      </c>
      <c r="AB137" s="706">
        <v>0</v>
      </c>
      <c r="AC137" s="704">
        <v>0</v>
      </c>
      <c r="AD137" s="706">
        <v>0</v>
      </c>
      <c r="AE137" s="708">
        <v>0</v>
      </c>
      <c r="AF137" s="704">
        <v>0</v>
      </c>
      <c r="AG137" s="704">
        <v>0</v>
      </c>
      <c r="AH137" s="708">
        <v>0</v>
      </c>
      <c r="AI137" s="709">
        <v>2E-3</v>
      </c>
      <c r="AJ137" s="706">
        <f t="shared" si="22"/>
        <v>7.1428571428571426E-3</v>
      </c>
      <c r="AK137" s="704">
        <v>0</v>
      </c>
      <c r="AL137" s="706">
        <v>0</v>
      </c>
      <c r="AM137" s="710">
        <v>0</v>
      </c>
      <c r="AN137" s="704">
        <v>0</v>
      </c>
      <c r="AO137" s="706">
        <v>0</v>
      </c>
      <c r="AP137" s="711">
        <v>0</v>
      </c>
      <c r="AQ137" s="712">
        <v>0</v>
      </c>
      <c r="AR137" s="711">
        <v>0</v>
      </c>
      <c r="AS137" s="712">
        <v>0</v>
      </c>
      <c r="AT137" s="711">
        <v>0</v>
      </c>
      <c r="AU137" s="712">
        <v>0</v>
      </c>
      <c r="AV137" s="713">
        <v>0</v>
      </c>
      <c r="AW137" s="714">
        <v>0</v>
      </c>
      <c r="AX137" s="711">
        <v>0</v>
      </c>
      <c r="AY137" s="712">
        <v>0</v>
      </c>
      <c r="AZ137" s="713">
        <v>0</v>
      </c>
      <c r="BA137" s="712">
        <v>0</v>
      </c>
      <c r="BB137" s="713">
        <v>0</v>
      </c>
      <c r="BC137" s="712">
        <v>0</v>
      </c>
      <c r="BD137" s="713">
        <v>0</v>
      </c>
      <c r="BE137" s="712">
        <v>0</v>
      </c>
      <c r="BF137" s="713">
        <v>0</v>
      </c>
      <c r="BG137" s="712">
        <v>0</v>
      </c>
      <c r="BH137" s="713">
        <v>0</v>
      </c>
      <c r="BI137" s="712">
        <v>0</v>
      </c>
      <c r="BJ137" s="713">
        <v>0</v>
      </c>
      <c r="BK137" s="712">
        <v>0</v>
      </c>
      <c r="BL137" s="713">
        <v>0</v>
      </c>
      <c r="BM137" s="712">
        <v>0</v>
      </c>
      <c r="BN137" s="713">
        <v>0</v>
      </c>
      <c r="BO137" s="712">
        <v>0</v>
      </c>
      <c r="BP137" s="713">
        <v>0</v>
      </c>
      <c r="BQ137" s="712">
        <v>0</v>
      </c>
      <c r="BR137" s="713">
        <v>0</v>
      </c>
      <c r="BS137" s="712">
        <v>0</v>
      </c>
      <c r="BT137" s="713">
        <v>0</v>
      </c>
      <c r="BU137" s="712">
        <v>0</v>
      </c>
      <c r="BV137" s="711">
        <v>0</v>
      </c>
      <c r="BW137" s="714">
        <v>0</v>
      </c>
      <c r="BX137" s="711">
        <v>0</v>
      </c>
      <c r="BY137" s="714">
        <v>0</v>
      </c>
      <c r="BZ137" s="711">
        <v>0</v>
      </c>
      <c r="CA137" s="714">
        <v>0</v>
      </c>
      <c r="CB137" s="711">
        <v>0</v>
      </c>
      <c r="CC137" s="714">
        <v>0</v>
      </c>
      <c r="CD137" s="711">
        <v>0</v>
      </c>
      <c r="CE137" s="714">
        <v>0</v>
      </c>
      <c r="CF137" s="711">
        <v>0</v>
      </c>
      <c r="CG137" s="714">
        <v>0</v>
      </c>
      <c r="CH137" s="711">
        <v>0</v>
      </c>
      <c r="CI137" s="714">
        <v>0</v>
      </c>
      <c r="CJ137" s="711">
        <v>0</v>
      </c>
      <c r="CK137" s="712">
        <v>0</v>
      </c>
      <c r="CL137" s="711">
        <v>0</v>
      </c>
      <c r="CM137" s="712">
        <v>0</v>
      </c>
      <c r="CN137" s="713">
        <v>0</v>
      </c>
      <c r="CO137" s="712">
        <v>0</v>
      </c>
    </row>
    <row r="138" spans="1:93">
      <c r="A138" s="468">
        <v>136</v>
      </c>
      <c r="B138" s="596">
        <v>0</v>
      </c>
      <c r="C138" s="596">
        <v>0</v>
      </c>
      <c r="D138" s="596">
        <v>0</v>
      </c>
      <c r="E138" s="596">
        <v>0</v>
      </c>
      <c r="F138" s="596">
        <v>0</v>
      </c>
      <c r="G138" s="596">
        <v>0</v>
      </c>
      <c r="H138" s="596">
        <v>0</v>
      </c>
      <c r="I138" s="596">
        <v>0</v>
      </c>
      <c r="J138" s="596">
        <v>0</v>
      </c>
      <c r="K138" s="596">
        <v>0</v>
      </c>
      <c r="L138" s="596">
        <v>0</v>
      </c>
      <c r="M138" s="596">
        <v>0</v>
      </c>
      <c r="N138" s="596">
        <v>0</v>
      </c>
      <c r="O138" s="596">
        <v>0</v>
      </c>
      <c r="P138" s="596">
        <v>0</v>
      </c>
      <c r="Q138" s="596">
        <v>0</v>
      </c>
      <c r="R138" s="596">
        <v>0</v>
      </c>
      <c r="S138" s="596">
        <v>0</v>
      </c>
      <c r="T138" s="596">
        <v>0</v>
      </c>
      <c r="U138" s="596">
        <v>0</v>
      </c>
      <c r="V138" s="596">
        <v>0</v>
      </c>
      <c r="W138" s="612">
        <v>0</v>
      </c>
      <c r="X138" s="704">
        <v>0</v>
      </c>
      <c r="Y138" s="705">
        <v>0</v>
      </c>
      <c r="Z138" s="706">
        <v>0</v>
      </c>
      <c r="AA138" s="707">
        <v>0</v>
      </c>
      <c r="AB138" s="706">
        <v>0</v>
      </c>
      <c r="AC138" s="704">
        <v>0</v>
      </c>
      <c r="AD138" s="706">
        <v>0</v>
      </c>
      <c r="AE138" s="708">
        <v>0</v>
      </c>
      <c r="AF138" s="704">
        <v>0</v>
      </c>
      <c r="AG138" s="704">
        <v>0</v>
      </c>
      <c r="AH138" s="708">
        <v>0</v>
      </c>
      <c r="AI138" s="709">
        <v>2E-3</v>
      </c>
      <c r="AJ138" s="706">
        <f t="shared" si="22"/>
        <v>7.1428571428571426E-3</v>
      </c>
      <c r="AK138" s="704">
        <v>0</v>
      </c>
      <c r="AL138" s="706">
        <v>0</v>
      </c>
      <c r="AM138" s="710">
        <v>0</v>
      </c>
      <c r="AN138" s="704">
        <v>0</v>
      </c>
      <c r="AO138" s="706">
        <v>0</v>
      </c>
      <c r="AP138" s="711">
        <v>0</v>
      </c>
      <c r="AQ138" s="712">
        <v>0</v>
      </c>
      <c r="AR138" s="711">
        <v>0</v>
      </c>
      <c r="AS138" s="712">
        <v>0</v>
      </c>
      <c r="AT138" s="711">
        <v>0</v>
      </c>
      <c r="AU138" s="712">
        <v>0</v>
      </c>
      <c r="AV138" s="713">
        <v>0</v>
      </c>
      <c r="AW138" s="714">
        <v>0</v>
      </c>
      <c r="AX138" s="711">
        <v>0</v>
      </c>
      <c r="AY138" s="712">
        <v>0</v>
      </c>
      <c r="AZ138" s="713">
        <v>0</v>
      </c>
      <c r="BA138" s="712">
        <v>0</v>
      </c>
      <c r="BB138" s="713">
        <v>0</v>
      </c>
      <c r="BC138" s="712">
        <v>0</v>
      </c>
      <c r="BD138" s="713">
        <v>0</v>
      </c>
      <c r="BE138" s="712">
        <v>0</v>
      </c>
      <c r="BF138" s="713">
        <v>0</v>
      </c>
      <c r="BG138" s="712">
        <v>0</v>
      </c>
      <c r="BH138" s="713">
        <v>0</v>
      </c>
      <c r="BI138" s="712">
        <v>0</v>
      </c>
      <c r="BJ138" s="713">
        <v>0</v>
      </c>
      <c r="BK138" s="712">
        <v>0</v>
      </c>
      <c r="BL138" s="713">
        <v>0</v>
      </c>
      <c r="BM138" s="712">
        <v>0</v>
      </c>
      <c r="BN138" s="713">
        <v>0</v>
      </c>
      <c r="BO138" s="712">
        <v>0</v>
      </c>
      <c r="BP138" s="713">
        <v>0</v>
      </c>
      <c r="BQ138" s="712">
        <v>0</v>
      </c>
      <c r="BR138" s="713">
        <v>0</v>
      </c>
      <c r="BS138" s="712">
        <v>0</v>
      </c>
      <c r="BT138" s="713">
        <v>0</v>
      </c>
      <c r="BU138" s="712">
        <v>0</v>
      </c>
      <c r="BV138" s="711">
        <v>0</v>
      </c>
      <c r="BW138" s="714">
        <v>0</v>
      </c>
      <c r="BX138" s="711">
        <v>0</v>
      </c>
      <c r="BY138" s="714">
        <v>0</v>
      </c>
      <c r="BZ138" s="711">
        <v>0</v>
      </c>
      <c r="CA138" s="714">
        <v>0</v>
      </c>
      <c r="CB138" s="711">
        <v>0</v>
      </c>
      <c r="CC138" s="714">
        <v>0</v>
      </c>
      <c r="CD138" s="711">
        <v>0</v>
      </c>
      <c r="CE138" s="714">
        <v>0</v>
      </c>
      <c r="CF138" s="711">
        <v>0</v>
      </c>
      <c r="CG138" s="714">
        <v>0</v>
      </c>
      <c r="CH138" s="711">
        <v>0</v>
      </c>
      <c r="CI138" s="714">
        <v>0</v>
      </c>
      <c r="CJ138" s="711">
        <v>0</v>
      </c>
      <c r="CK138" s="712">
        <v>0</v>
      </c>
      <c r="CL138" s="711">
        <v>0</v>
      </c>
      <c r="CM138" s="712">
        <v>0</v>
      </c>
      <c r="CN138" s="713">
        <v>0</v>
      </c>
      <c r="CO138" s="712">
        <v>0</v>
      </c>
    </row>
    <row r="139" spans="1:93">
      <c r="A139" s="468">
        <v>137</v>
      </c>
      <c r="B139" s="596">
        <v>0</v>
      </c>
      <c r="C139" s="596">
        <v>0</v>
      </c>
      <c r="D139" s="596">
        <v>0</v>
      </c>
      <c r="E139" s="596">
        <v>0</v>
      </c>
      <c r="F139" s="596">
        <v>0</v>
      </c>
      <c r="G139" s="596">
        <v>0</v>
      </c>
      <c r="H139" s="596">
        <v>0</v>
      </c>
      <c r="I139" s="596">
        <v>0</v>
      </c>
      <c r="J139" s="596">
        <v>0</v>
      </c>
      <c r="K139" s="596">
        <v>0</v>
      </c>
      <c r="L139" s="596">
        <v>0</v>
      </c>
      <c r="M139" s="596">
        <v>0</v>
      </c>
      <c r="N139" s="596">
        <v>0</v>
      </c>
      <c r="O139" s="596">
        <v>0</v>
      </c>
      <c r="P139" s="596">
        <v>0</v>
      </c>
      <c r="Q139" s="596">
        <v>0</v>
      </c>
      <c r="R139" s="596">
        <v>0</v>
      </c>
      <c r="S139" s="596">
        <v>0</v>
      </c>
      <c r="T139" s="596">
        <v>0</v>
      </c>
      <c r="U139" s="596">
        <v>0</v>
      </c>
      <c r="V139" s="596">
        <v>0</v>
      </c>
      <c r="W139" s="612">
        <v>0</v>
      </c>
      <c r="X139" s="704">
        <v>0</v>
      </c>
      <c r="Y139" s="705">
        <v>0</v>
      </c>
      <c r="Z139" s="706">
        <v>0</v>
      </c>
      <c r="AA139" s="707">
        <v>0</v>
      </c>
      <c r="AB139" s="706">
        <v>0</v>
      </c>
      <c r="AC139" s="704">
        <v>0</v>
      </c>
      <c r="AD139" s="706">
        <v>0</v>
      </c>
      <c r="AE139" s="708">
        <v>0</v>
      </c>
      <c r="AF139" s="704">
        <v>0</v>
      </c>
      <c r="AG139" s="704">
        <v>0</v>
      </c>
      <c r="AH139" s="708">
        <v>0</v>
      </c>
      <c r="AI139" s="709">
        <v>2E-3</v>
      </c>
      <c r="AJ139" s="706">
        <f t="shared" si="22"/>
        <v>7.1428571428571426E-3</v>
      </c>
      <c r="AK139" s="704">
        <v>0</v>
      </c>
      <c r="AL139" s="706">
        <v>0</v>
      </c>
      <c r="AM139" s="710">
        <v>0</v>
      </c>
      <c r="AN139" s="704">
        <v>0</v>
      </c>
      <c r="AO139" s="706">
        <v>0</v>
      </c>
      <c r="AP139" s="711">
        <v>0</v>
      </c>
      <c r="AQ139" s="712">
        <v>0</v>
      </c>
      <c r="AR139" s="711">
        <v>0</v>
      </c>
      <c r="AS139" s="712">
        <v>0</v>
      </c>
      <c r="AT139" s="711">
        <v>0</v>
      </c>
      <c r="AU139" s="712">
        <v>0</v>
      </c>
      <c r="AV139" s="713">
        <v>0</v>
      </c>
      <c r="AW139" s="714">
        <v>0</v>
      </c>
      <c r="AX139" s="711">
        <v>0</v>
      </c>
      <c r="AY139" s="712">
        <v>0</v>
      </c>
      <c r="AZ139" s="713">
        <v>0</v>
      </c>
      <c r="BA139" s="712">
        <v>0</v>
      </c>
      <c r="BB139" s="713">
        <v>0</v>
      </c>
      <c r="BC139" s="712">
        <v>0</v>
      </c>
      <c r="BD139" s="713">
        <v>0</v>
      </c>
      <c r="BE139" s="712">
        <v>0</v>
      </c>
      <c r="BF139" s="713">
        <v>0</v>
      </c>
      <c r="BG139" s="712">
        <v>0</v>
      </c>
      <c r="BH139" s="713">
        <v>0</v>
      </c>
      <c r="BI139" s="712">
        <v>0</v>
      </c>
      <c r="BJ139" s="713">
        <v>0</v>
      </c>
      <c r="BK139" s="712">
        <v>0</v>
      </c>
      <c r="BL139" s="713">
        <v>0</v>
      </c>
      <c r="BM139" s="712">
        <v>0</v>
      </c>
      <c r="BN139" s="713">
        <v>0</v>
      </c>
      <c r="BO139" s="712">
        <v>0</v>
      </c>
      <c r="BP139" s="713">
        <v>0</v>
      </c>
      <c r="BQ139" s="712">
        <v>0</v>
      </c>
      <c r="BR139" s="713">
        <v>0</v>
      </c>
      <c r="BS139" s="712">
        <v>0</v>
      </c>
      <c r="BT139" s="713">
        <v>0</v>
      </c>
      <c r="BU139" s="712">
        <v>0</v>
      </c>
      <c r="BV139" s="711">
        <v>0</v>
      </c>
      <c r="BW139" s="714">
        <v>0</v>
      </c>
      <c r="BX139" s="711">
        <v>0</v>
      </c>
      <c r="BY139" s="714">
        <v>0</v>
      </c>
      <c r="BZ139" s="711">
        <v>0</v>
      </c>
      <c r="CA139" s="714">
        <v>0</v>
      </c>
      <c r="CB139" s="711">
        <v>0</v>
      </c>
      <c r="CC139" s="714">
        <v>0</v>
      </c>
      <c r="CD139" s="711">
        <v>0</v>
      </c>
      <c r="CE139" s="714">
        <v>0</v>
      </c>
      <c r="CF139" s="711">
        <v>0</v>
      </c>
      <c r="CG139" s="714">
        <v>0</v>
      </c>
      <c r="CH139" s="711">
        <v>0</v>
      </c>
      <c r="CI139" s="714">
        <v>0</v>
      </c>
      <c r="CJ139" s="711">
        <v>0</v>
      </c>
      <c r="CK139" s="712">
        <v>0</v>
      </c>
      <c r="CL139" s="711">
        <v>0</v>
      </c>
      <c r="CM139" s="712">
        <v>0</v>
      </c>
      <c r="CN139" s="713">
        <v>0</v>
      </c>
      <c r="CO139" s="712">
        <v>0</v>
      </c>
    </row>
    <row r="140" spans="1:93">
      <c r="A140" s="468">
        <v>138</v>
      </c>
      <c r="B140" s="596">
        <v>0</v>
      </c>
      <c r="C140" s="596">
        <v>0</v>
      </c>
      <c r="D140" s="596">
        <v>0</v>
      </c>
      <c r="E140" s="596">
        <v>0</v>
      </c>
      <c r="F140" s="596">
        <v>0</v>
      </c>
      <c r="G140" s="596">
        <v>0</v>
      </c>
      <c r="H140" s="596">
        <v>0</v>
      </c>
      <c r="I140" s="596">
        <v>0</v>
      </c>
      <c r="J140" s="596">
        <v>0</v>
      </c>
      <c r="K140" s="596">
        <v>0</v>
      </c>
      <c r="L140" s="596">
        <v>0</v>
      </c>
      <c r="M140" s="596">
        <v>0</v>
      </c>
      <c r="N140" s="596">
        <v>0</v>
      </c>
      <c r="O140" s="596">
        <v>0</v>
      </c>
      <c r="P140" s="596">
        <v>0</v>
      </c>
      <c r="Q140" s="596">
        <v>0</v>
      </c>
      <c r="R140" s="596">
        <v>0</v>
      </c>
      <c r="S140" s="596">
        <v>0</v>
      </c>
      <c r="T140" s="596">
        <v>0</v>
      </c>
      <c r="U140" s="596">
        <v>0</v>
      </c>
      <c r="V140" s="596">
        <v>0</v>
      </c>
      <c r="W140" s="612">
        <v>0</v>
      </c>
      <c r="X140" s="704">
        <v>0</v>
      </c>
      <c r="Y140" s="705">
        <v>0</v>
      </c>
      <c r="Z140" s="706">
        <v>0</v>
      </c>
      <c r="AA140" s="707">
        <v>0</v>
      </c>
      <c r="AB140" s="706">
        <v>0</v>
      </c>
      <c r="AC140" s="704">
        <v>0</v>
      </c>
      <c r="AD140" s="706">
        <v>0</v>
      </c>
      <c r="AE140" s="708">
        <v>0</v>
      </c>
      <c r="AF140" s="704">
        <v>0</v>
      </c>
      <c r="AG140" s="704">
        <v>0</v>
      </c>
      <c r="AH140" s="708">
        <v>0</v>
      </c>
      <c r="AI140" s="709">
        <v>2E-3</v>
      </c>
      <c r="AJ140" s="706">
        <f t="shared" si="22"/>
        <v>7.1428571428571426E-3</v>
      </c>
      <c r="AK140" s="704">
        <v>0</v>
      </c>
      <c r="AL140" s="706">
        <v>0</v>
      </c>
      <c r="AM140" s="710">
        <v>0</v>
      </c>
      <c r="AN140" s="704">
        <v>0</v>
      </c>
      <c r="AO140" s="706">
        <v>0</v>
      </c>
      <c r="AP140" s="711">
        <v>0</v>
      </c>
      <c r="AQ140" s="712">
        <v>0</v>
      </c>
      <c r="AR140" s="711">
        <v>0</v>
      </c>
      <c r="AS140" s="712">
        <v>0</v>
      </c>
      <c r="AT140" s="711">
        <v>0</v>
      </c>
      <c r="AU140" s="712">
        <v>0</v>
      </c>
      <c r="AV140" s="713">
        <v>0</v>
      </c>
      <c r="AW140" s="714">
        <v>0</v>
      </c>
      <c r="AX140" s="711">
        <v>0</v>
      </c>
      <c r="AY140" s="712">
        <v>0</v>
      </c>
      <c r="AZ140" s="713">
        <v>0</v>
      </c>
      <c r="BA140" s="712">
        <v>0</v>
      </c>
      <c r="BB140" s="713">
        <v>0</v>
      </c>
      <c r="BC140" s="712">
        <v>0</v>
      </c>
      <c r="BD140" s="713">
        <v>0</v>
      </c>
      <c r="BE140" s="712">
        <v>0</v>
      </c>
      <c r="BF140" s="713">
        <v>0</v>
      </c>
      <c r="BG140" s="712">
        <v>0</v>
      </c>
      <c r="BH140" s="713">
        <v>0</v>
      </c>
      <c r="BI140" s="712">
        <v>0</v>
      </c>
      <c r="BJ140" s="713">
        <v>0</v>
      </c>
      <c r="BK140" s="712">
        <v>0</v>
      </c>
      <c r="BL140" s="713">
        <v>0</v>
      </c>
      <c r="BM140" s="712">
        <v>0</v>
      </c>
      <c r="BN140" s="713">
        <v>0</v>
      </c>
      <c r="BO140" s="712">
        <v>0</v>
      </c>
      <c r="BP140" s="713">
        <v>0</v>
      </c>
      <c r="BQ140" s="712">
        <v>0</v>
      </c>
      <c r="BR140" s="713">
        <v>0</v>
      </c>
      <c r="BS140" s="712">
        <v>0</v>
      </c>
      <c r="BT140" s="713">
        <v>0</v>
      </c>
      <c r="BU140" s="712">
        <v>0</v>
      </c>
      <c r="BV140" s="711">
        <v>0</v>
      </c>
      <c r="BW140" s="714">
        <v>0</v>
      </c>
      <c r="BX140" s="711">
        <v>0</v>
      </c>
      <c r="BY140" s="714">
        <v>0</v>
      </c>
      <c r="BZ140" s="711">
        <v>0</v>
      </c>
      <c r="CA140" s="714">
        <v>0</v>
      </c>
      <c r="CB140" s="711">
        <v>0</v>
      </c>
      <c r="CC140" s="714">
        <v>0</v>
      </c>
      <c r="CD140" s="711">
        <v>0</v>
      </c>
      <c r="CE140" s="714">
        <v>0</v>
      </c>
      <c r="CF140" s="711">
        <v>0</v>
      </c>
      <c r="CG140" s="714">
        <v>0</v>
      </c>
      <c r="CH140" s="711">
        <v>0</v>
      </c>
      <c r="CI140" s="714">
        <v>0</v>
      </c>
      <c r="CJ140" s="711">
        <v>0</v>
      </c>
      <c r="CK140" s="712">
        <v>0</v>
      </c>
      <c r="CL140" s="711">
        <v>0</v>
      </c>
      <c r="CM140" s="712">
        <v>0</v>
      </c>
      <c r="CN140" s="713">
        <v>0</v>
      </c>
      <c r="CO140" s="712">
        <v>0</v>
      </c>
    </row>
    <row r="141" spans="1:93">
      <c r="A141" s="468">
        <v>139</v>
      </c>
      <c r="B141" s="596">
        <v>0</v>
      </c>
      <c r="C141" s="596">
        <v>0</v>
      </c>
      <c r="D141" s="596">
        <v>0</v>
      </c>
      <c r="E141" s="596">
        <v>0</v>
      </c>
      <c r="F141" s="596">
        <v>0</v>
      </c>
      <c r="G141" s="596">
        <v>0</v>
      </c>
      <c r="H141" s="596">
        <v>0</v>
      </c>
      <c r="I141" s="596">
        <v>0</v>
      </c>
      <c r="J141" s="596">
        <v>0</v>
      </c>
      <c r="K141" s="596">
        <v>0</v>
      </c>
      <c r="L141" s="596">
        <v>0</v>
      </c>
      <c r="M141" s="596">
        <v>0</v>
      </c>
      <c r="N141" s="596">
        <v>0</v>
      </c>
      <c r="O141" s="596">
        <v>0</v>
      </c>
      <c r="P141" s="596">
        <v>0</v>
      </c>
      <c r="Q141" s="596">
        <v>0</v>
      </c>
      <c r="R141" s="596">
        <v>0</v>
      </c>
      <c r="S141" s="596">
        <v>0</v>
      </c>
      <c r="T141" s="596">
        <v>0</v>
      </c>
      <c r="U141" s="596">
        <v>0</v>
      </c>
      <c r="V141" s="596">
        <v>0</v>
      </c>
      <c r="W141" s="612">
        <v>0</v>
      </c>
      <c r="X141" s="704">
        <v>0</v>
      </c>
      <c r="Y141" s="705">
        <v>0</v>
      </c>
      <c r="Z141" s="706">
        <v>0</v>
      </c>
      <c r="AA141" s="707">
        <v>0</v>
      </c>
      <c r="AB141" s="706">
        <v>0</v>
      </c>
      <c r="AC141" s="704">
        <v>0</v>
      </c>
      <c r="AD141" s="706">
        <v>0</v>
      </c>
      <c r="AE141" s="708">
        <v>0</v>
      </c>
      <c r="AF141" s="704">
        <v>0</v>
      </c>
      <c r="AG141" s="704">
        <v>0</v>
      </c>
      <c r="AH141" s="708">
        <v>0</v>
      </c>
      <c r="AI141" s="709">
        <v>2E-3</v>
      </c>
      <c r="AJ141" s="706">
        <f t="shared" si="22"/>
        <v>7.1428571428571426E-3</v>
      </c>
      <c r="AK141" s="704">
        <v>0</v>
      </c>
      <c r="AL141" s="706">
        <v>0</v>
      </c>
      <c r="AM141" s="710">
        <v>0</v>
      </c>
      <c r="AN141" s="704">
        <v>0</v>
      </c>
      <c r="AO141" s="706">
        <v>0</v>
      </c>
      <c r="AP141" s="711">
        <v>0</v>
      </c>
      <c r="AQ141" s="712">
        <v>0</v>
      </c>
      <c r="AR141" s="711">
        <v>0</v>
      </c>
      <c r="AS141" s="712">
        <v>0</v>
      </c>
      <c r="AT141" s="711">
        <v>0</v>
      </c>
      <c r="AU141" s="712">
        <v>0</v>
      </c>
      <c r="AV141" s="713">
        <v>0</v>
      </c>
      <c r="AW141" s="714">
        <v>0</v>
      </c>
      <c r="AX141" s="711">
        <v>0</v>
      </c>
      <c r="AY141" s="712">
        <v>0</v>
      </c>
      <c r="AZ141" s="713">
        <v>0</v>
      </c>
      <c r="BA141" s="712">
        <v>0</v>
      </c>
      <c r="BB141" s="713">
        <v>0</v>
      </c>
      <c r="BC141" s="712">
        <v>0</v>
      </c>
      <c r="BD141" s="713">
        <v>0</v>
      </c>
      <c r="BE141" s="712">
        <v>0</v>
      </c>
      <c r="BF141" s="713">
        <v>0</v>
      </c>
      <c r="BG141" s="712">
        <v>0</v>
      </c>
      <c r="BH141" s="713">
        <v>0</v>
      </c>
      <c r="BI141" s="712">
        <v>0</v>
      </c>
      <c r="BJ141" s="713">
        <v>0</v>
      </c>
      <c r="BK141" s="712">
        <v>0</v>
      </c>
      <c r="BL141" s="713">
        <v>0</v>
      </c>
      <c r="BM141" s="712">
        <v>0</v>
      </c>
      <c r="BN141" s="713">
        <v>0</v>
      </c>
      <c r="BO141" s="712">
        <v>0</v>
      </c>
      <c r="BP141" s="713">
        <v>0</v>
      </c>
      <c r="BQ141" s="712">
        <v>0</v>
      </c>
      <c r="BR141" s="713">
        <v>0</v>
      </c>
      <c r="BS141" s="712">
        <v>0</v>
      </c>
      <c r="BT141" s="713">
        <v>0</v>
      </c>
      <c r="BU141" s="712">
        <v>0</v>
      </c>
      <c r="BV141" s="711">
        <v>0</v>
      </c>
      <c r="BW141" s="714">
        <v>0</v>
      </c>
      <c r="BX141" s="711">
        <v>0</v>
      </c>
      <c r="BY141" s="714">
        <v>0</v>
      </c>
      <c r="BZ141" s="711">
        <v>0</v>
      </c>
      <c r="CA141" s="714">
        <v>0</v>
      </c>
      <c r="CB141" s="711">
        <v>0</v>
      </c>
      <c r="CC141" s="714">
        <v>0</v>
      </c>
      <c r="CD141" s="711">
        <v>0</v>
      </c>
      <c r="CE141" s="714">
        <v>0</v>
      </c>
      <c r="CF141" s="711">
        <v>0</v>
      </c>
      <c r="CG141" s="714">
        <v>0</v>
      </c>
      <c r="CH141" s="711">
        <v>0</v>
      </c>
      <c r="CI141" s="714">
        <v>0</v>
      </c>
      <c r="CJ141" s="711">
        <v>0</v>
      </c>
      <c r="CK141" s="712">
        <v>0</v>
      </c>
      <c r="CL141" s="711">
        <v>0</v>
      </c>
      <c r="CM141" s="712">
        <v>0</v>
      </c>
      <c r="CN141" s="713">
        <v>0</v>
      </c>
      <c r="CO141" s="712">
        <v>0</v>
      </c>
    </row>
    <row r="142" spans="1:93">
      <c r="A142" s="468">
        <v>140</v>
      </c>
      <c r="B142" s="596">
        <v>0</v>
      </c>
      <c r="C142" s="596">
        <v>0</v>
      </c>
      <c r="D142" s="596">
        <v>0</v>
      </c>
      <c r="E142" s="596">
        <v>0</v>
      </c>
      <c r="F142" s="596">
        <v>0</v>
      </c>
      <c r="G142" s="596">
        <v>0</v>
      </c>
      <c r="H142" s="596">
        <v>0</v>
      </c>
      <c r="I142" s="596">
        <v>0</v>
      </c>
      <c r="J142" s="596">
        <v>0</v>
      </c>
      <c r="K142" s="596">
        <v>0</v>
      </c>
      <c r="L142" s="596">
        <v>0</v>
      </c>
      <c r="M142" s="596">
        <v>0</v>
      </c>
      <c r="N142" s="596">
        <v>0</v>
      </c>
      <c r="O142" s="596">
        <v>0</v>
      </c>
      <c r="P142" s="596">
        <v>0</v>
      </c>
      <c r="Q142" s="596">
        <v>0</v>
      </c>
      <c r="R142" s="596">
        <v>0</v>
      </c>
      <c r="S142" s="596">
        <v>0</v>
      </c>
      <c r="T142" s="596">
        <v>0</v>
      </c>
      <c r="U142" s="596">
        <v>0</v>
      </c>
      <c r="V142" s="596">
        <v>0</v>
      </c>
      <c r="W142" s="612">
        <v>0</v>
      </c>
      <c r="X142" s="704">
        <v>0</v>
      </c>
      <c r="Y142" s="705">
        <v>0</v>
      </c>
      <c r="Z142" s="706">
        <v>0</v>
      </c>
      <c r="AA142" s="707">
        <v>0</v>
      </c>
      <c r="AB142" s="706">
        <v>0</v>
      </c>
      <c r="AC142" s="704">
        <v>0</v>
      </c>
      <c r="AD142" s="706">
        <v>0</v>
      </c>
      <c r="AE142" s="708">
        <v>0</v>
      </c>
      <c r="AF142" s="704">
        <v>0</v>
      </c>
      <c r="AG142" s="704">
        <v>0</v>
      </c>
      <c r="AH142" s="708">
        <v>0</v>
      </c>
      <c r="AI142" s="709">
        <v>0</v>
      </c>
      <c r="AJ142" s="706">
        <v>0</v>
      </c>
      <c r="AK142" s="704">
        <v>0</v>
      </c>
      <c r="AL142" s="706">
        <v>0</v>
      </c>
      <c r="AM142" s="710">
        <v>0</v>
      </c>
      <c r="AN142" s="704">
        <v>0</v>
      </c>
      <c r="AO142" s="706">
        <v>0</v>
      </c>
      <c r="AP142" s="711">
        <v>0</v>
      </c>
      <c r="AQ142" s="712">
        <v>0</v>
      </c>
      <c r="AR142" s="711">
        <v>0</v>
      </c>
      <c r="AS142" s="712">
        <v>0</v>
      </c>
      <c r="AT142" s="711">
        <v>0</v>
      </c>
      <c r="AU142" s="712">
        <v>0</v>
      </c>
      <c r="AV142" s="713">
        <v>0</v>
      </c>
      <c r="AW142" s="714">
        <v>0</v>
      </c>
      <c r="AX142" s="711">
        <v>0</v>
      </c>
      <c r="AY142" s="712">
        <v>0</v>
      </c>
      <c r="AZ142" s="713">
        <v>0</v>
      </c>
      <c r="BA142" s="712">
        <v>0</v>
      </c>
      <c r="BB142" s="713">
        <v>0</v>
      </c>
      <c r="BC142" s="712">
        <v>0</v>
      </c>
      <c r="BD142" s="713">
        <v>0</v>
      </c>
      <c r="BE142" s="712">
        <v>0</v>
      </c>
      <c r="BF142" s="713">
        <v>0</v>
      </c>
      <c r="BG142" s="712">
        <v>0</v>
      </c>
      <c r="BH142" s="713">
        <v>0</v>
      </c>
      <c r="BI142" s="712">
        <v>0</v>
      </c>
      <c r="BJ142" s="713">
        <v>0</v>
      </c>
      <c r="BK142" s="712">
        <v>0</v>
      </c>
      <c r="BL142" s="713">
        <v>0</v>
      </c>
      <c r="BM142" s="712">
        <v>0</v>
      </c>
      <c r="BN142" s="713">
        <v>0</v>
      </c>
      <c r="BO142" s="712">
        <v>0</v>
      </c>
      <c r="BP142" s="713">
        <v>0</v>
      </c>
      <c r="BQ142" s="712">
        <v>0</v>
      </c>
      <c r="BR142" s="713">
        <v>0</v>
      </c>
      <c r="BS142" s="712">
        <v>0</v>
      </c>
      <c r="BT142" s="713">
        <v>0</v>
      </c>
      <c r="BU142" s="712">
        <v>0</v>
      </c>
      <c r="BV142" s="711">
        <v>0</v>
      </c>
      <c r="BW142" s="714">
        <v>0</v>
      </c>
      <c r="BX142" s="711">
        <v>0</v>
      </c>
      <c r="BY142" s="714">
        <v>0</v>
      </c>
      <c r="BZ142" s="711">
        <v>0</v>
      </c>
      <c r="CA142" s="714">
        <v>0</v>
      </c>
      <c r="CB142" s="711">
        <v>0</v>
      </c>
      <c r="CC142" s="714">
        <v>0</v>
      </c>
      <c r="CD142" s="711">
        <v>0</v>
      </c>
      <c r="CE142" s="714">
        <v>0</v>
      </c>
      <c r="CF142" s="711">
        <v>0</v>
      </c>
      <c r="CG142" s="714">
        <v>0</v>
      </c>
      <c r="CH142" s="711">
        <v>0</v>
      </c>
      <c r="CI142" s="714">
        <v>0</v>
      </c>
      <c r="CJ142" s="711">
        <v>0</v>
      </c>
      <c r="CK142" s="712">
        <v>0</v>
      </c>
      <c r="CL142" s="711">
        <v>0</v>
      </c>
      <c r="CM142" s="712">
        <v>0</v>
      </c>
      <c r="CN142" s="713">
        <v>0</v>
      </c>
      <c r="CO142" s="712">
        <v>0</v>
      </c>
    </row>
    <row r="143" spans="1:93">
      <c r="A143" s="468">
        <v>141</v>
      </c>
      <c r="B143" s="596">
        <v>0</v>
      </c>
      <c r="C143" s="596">
        <v>0</v>
      </c>
      <c r="D143" s="596">
        <v>0</v>
      </c>
      <c r="E143" s="596">
        <v>0</v>
      </c>
      <c r="F143" s="596">
        <v>0</v>
      </c>
      <c r="G143" s="596">
        <v>0</v>
      </c>
      <c r="H143" s="596">
        <v>0</v>
      </c>
      <c r="I143" s="596">
        <v>0</v>
      </c>
      <c r="J143" s="596">
        <v>0</v>
      </c>
      <c r="K143" s="596">
        <v>0</v>
      </c>
      <c r="L143" s="596">
        <v>0</v>
      </c>
      <c r="M143" s="596">
        <v>0</v>
      </c>
      <c r="N143" s="596">
        <v>0</v>
      </c>
      <c r="O143" s="596">
        <v>0</v>
      </c>
      <c r="P143" s="596">
        <v>0</v>
      </c>
      <c r="Q143" s="596">
        <v>0</v>
      </c>
      <c r="R143" s="596">
        <v>0</v>
      </c>
      <c r="S143" s="596">
        <v>0</v>
      </c>
      <c r="T143" s="596">
        <v>0</v>
      </c>
      <c r="U143" s="596">
        <v>0</v>
      </c>
      <c r="V143" s="596">
        <v>0</v>
      </c>
      <c r="W143" s="612">
        <v>0</v>
      </c>
      <c r="X143" s="704">
        <v>0</v>
      </c>
      <c r="Y143" s="705">
        <v>0</v>
      </c>
      <c r="Z143" s="706">
        <v>0</v>
      </c>
      <c r="AA143" s="707">
        <v>0</v>
      </c>
      <c r="AB143" s="706">
        <v>0</v>
      </c>
      <c r="AC143" s="704">
        <v>0</v>
      </c>
      <c r="AD143" s="706">
        <v>0</v>
      </c>
      <c r="AE143" s="708">
        <v>0</v>
      </c>
      <c r="AF143" s="704">
        <v>0</v>
      </c>
      <c r="AG143" s="704">
        <v>0</v>
      </c>
      <c r="AH143" s="708">
        <v>0</v>
      </c>
      <c r="AI143" s="709">
        <v>0</v>
      </c>
      <c r="AJ143" s="706">
        <v>0</v>
      </c>
      <c r="AK143" s="704">
        <v>0</v>
      </c>
      <c r="AL143" s="706">
        <v>0</v>
      </c>
      <c r="AM143" s="710">
        <v>0</v>
      </c>
      <c r="AN143" s="704">
        <v>0</v>
      </c>
      <c r="AO143" s="706">
        <v>0</v>
      </c>
      <c r="AP143" s="711">
        <v>0</v>
      </c>
      <c r="AQ143" s="712">
        <v>0</v>
      </c>
      <c r="AR143" s="711">
        <v>0</v>
      </c>
      <c r="AS143" s="712">
        <v>0</v>
      </c>
      <c r="AT143" s="711">
        <v>0</v>
      </c>
      <c r="AU143" s="712">
        <v>0</v>
      </c>
      <c r="AV143" s="713">
        <v>0</v>
      </c>
      <c r="AW143" s="714">
        <v>0</v>
      </c>
      <c r="AX143" s="711">
        <v>0</v>
      </c>
      <c r="AY143" s="712">
        <v>0</v>
      </c>
      <c r="AZ143" s="713">
        <v>0</v>
      </c>
      <c r="BA143" s="712">
        <v>0</v>
      </c>
      <c r="BB143" s="713">
        <v>0</v>
      </c>
      <c r="BC143" s="712">
        <v>0</v>
      </c>
      <c r="BD143" s="713">
        <v>0</v>
      </c>
      <c r="BE143" s="712">
        <v>0</v>
      </c>
      <c r="BF143" s="713">
        <v>0</v>
      </c>
      <c r="BG143" s="712">
        <v>0</v>
      </c>
      <c r="BH143" s="713">
        <v>0</v>
      </c>
      <c r="BI143" s="712">
        <v>0</v>
      </c>
      <c r="BJ143" s="713">
        <v>0</v>
      </c>
      <c r="BK143" s="712">
        <v>0</v>
      </c>
      <c r="BL143" s="713">
        <v>0</v>
      </c>
      <c r="BM143" s="712">
        <v>0</v>
      </c>
      <c r="BN143" s="713">
        <v>0</v>
      </c>
      <c r="BO143" s="712">
        <v>0</v>
      </c>
      <c r="BP143" s="713">
        <v>0</v>
      </c>
      <c r="BQ143" s="712">
        <v>0</v>
      </c>
      <c r="BR143" s="713">
        <v>0</v>
      </c>
      <c r="BS143" s="712">
        <v>0</v>
      </c>
      <c r="BT143" s="713">
        <v>0</v>
      </c>
      <c r="BU143" s="712">
        <v>0</v>
      </c>
      <c r="BV143" s="711">
        <v>0</v>
      </c>
      <c r="BW143" s="714">
        <v>0</v>
      </c>
      <c r="BX143" s="711">
        <v>0</v>
      </c>
      <c r="BY143" s="714">
        <v>0</v>
      </c>
      <c r="BZ143" s="711">
        <v>0</v>
      </c>
      <c r="CA143" s="714">
        <v>0</v>
      </c>
      <c r="CB143" s="711">
        <v>0</v>
      </c>
      <c r="CC143" s="714">
        <v>0</v>
      </c>
      <c r="CD143" s="711">
        <v>0</v>
      </c>
      <c r="CE143" s="714">
        <v>0</v>
      </c>
      <c r="CF143" s="711">
        <v>0</v>
      </c>
      <c r="CG143" s="714">
        <v>0</v>
      </c>
      <c r="CH143" s="711">
        <v>0</v>
      </c>
      <c r="CI143" s="714">
        <v>0</v>
      </c>
      <c r="CJ143" s="711">
        <v>0</v>
      </c>
      <c r="CK143" s="712">
        <v>0</v>
      </c>
      <c r="CL143" s="711">
        <v>0</v>
      </c>
      <c r="CM143" s="712">
        <v>0</v>
      </c>
      <c r="CN143" s="713">
        <v>0</v>
      </c>
      <c r="CO143" s="712">
        <v>0</v>
      </c>
    </row>
    <row r="144" spans="1:93">
      <c r="A144" s="468">
        <v>142</v>
      </c>
      <c r="B144" s="596">
        <v>0</v>
      </c>
      <c r="C144" s="596">
        <v>0</v>
      </c>
      <c r="D144" s="596">
        <v>0</v>
      </c>
      <c r="E144" s="596">
        <v>0</v>
      </c>
      <c r="F144" s="596">
        <v>0</v>
      </c>
      <c r="G144" s="596">
        <v>0</v>
      </c>
      <c r="H144" s="596">
        <v>0</v>
      </c>
      <c r="I144" s="596">
        <v>0</v>
      </c>
      <c r="J144" s="596">
        <v>0</v>
      </c>
      <c r="K144" s="596">
        <v>0</v>
      </c>
      <c r="L144" s="596">
        <v>0</v>
      </c>
      <c r="M144" s="596">
        <v>0</v>
      </c>
      <c r="N144" s="596">
        <v>0</v>
      </c>
      <c r="O144" s="596">
        <v>0</v>
      </c>
      <c r="P144" s="596">
        <v>0</v>
      </c>
      <c r="Q144" s="596">
        <v>0</v>
      </c>
      <c r="R144" s="596">
        <v>0</v>
      </c>
      <c r="S144" s="596">
        <v>0</v>
      </c>
      <c r="T144" s="596">
        <v>0</v>
      </c>
      <c r="U144" s="596">
        <v>0</v>
      </c>
      <c r="V144" s="596">
        <v>0</v>
      </c>
      <c r="W144" s="612">
        <v>0</v>
      </c>
      <c r="X144" s="704">
        <v>0</v>
      </c>
      <c r="Y144" s="705">
        <v>0</v>
      </c>
      <c r="Z144" s="706">
        <v>0</v>
      </c>
      <c r="AA144" s="707">
        <v>0</v>
      </c>
      <c r="AB144" s="706">
        <v>0</v>
      </c>
      <c r="AC144" s="704">
        <v>0</v>
      </c>
      <c r="AD144" s="706">
        <v>0</v>
      </c>
      <c r="AE144" s="708">
        <v>0</v>
      </c>
      <c r="AF144" s="704">
        <v>0</v>
      </c>
      <c r="AG144" s="704">
        <v>0</v>
      </c>
      <c r="AH144" s="708">
        <v>0</v>
      </c>
      <c r="AI144" s="709">
        <v>0</v>
      </c>
      <c r="AJ144" s="706">
        <v>0</v>
      </c>
      <c r="AK144" s="704">
        <v>0</v>
      </c>
      <c r="AL144" s="706">
        <v>0</v>
      </c>
      <c r="AM144" s="710">
        <v>0</v>
      </c>
      <c r="AN144" s="704">
        <v>0</v>
      </c>
      <c r="AO144" s="706">
        <v>0</v>
      </c>
      <c r="AP144" s="711">
        <v>0</v>
      </c>
      <c r="AQ144" s="712">
        <v>0</v>
      </c>
      <c r="AR144" s="711">
        <v>0</v>
      </c>
      <c r="AS144" s="712">
        <v>0</v>
      </c>
      <c r="AT144" s="711">
        <v>0</v>
      </c>
      <c r="AU144" s="712">
        <v>0</v>
      </c>
      <c r="AV144" s="713">
        <v>0</v>
      </c>
      <c r="AW144" s="714">
        <v>0</v>
      </c>
      <c r="AX144" s="711">
        <v>0</v>
      </c>
      <c r="AY144" s="712">
        <v>0</v>
      </c>
      <c r="AZ144" s="713">
        <v>0</v>
      </c>
      <c r="BA144" s="712">
        <v>0</v>
      </c>
      <c r="BB144" s="713">
        <v>0</v>
      </c>
      <c r="BC144" s="712">
        <v>0</v>
      </c>
      <c r="BD144" s="713">
        <v>0</v>
      </c>
      <c r="BE144" s="712">
        <v>0</v>
      </c>
      <c r="BF144" s="713">
        <v>0</v>
      </c>
      <c r="BG144" s="712">
        <v>0</v>
      </c>
      <c r="BH144" s="713">
        <v>0</v>
      </c>
      <c r="BI144" s="712">
        <v>0</v>
      </c>
      <c r="BJ144" s="713">
        <v>0</v>
      </c>
      <c r="BK144" s="712">
        <v>0</v>
      </c>
      <c r="BL144" s="713">
        <v>0</v>
      </c>
      <c r="BM144" s="712">
        <v>0</v>
      </c>
      <c r="BN144" s="713">
        <v>0</v>
      </c>
      <c r="BO144" s="712">
        <v>0</v>
      </c>
      <c r="BP144" s="713">
        <v>0</v>
      </c>
      <c r="BQ144" s="712">
        <v>0</v>
      </c>
      <c r="BR144" s="713">
        <v>0</v>
      </c>
      <c r="BS144" s="712">
        <v>0</v>
      </c>
      <c r="BT144" s="713">
        <v>0</v>
      </c>
      <c r="BU144" s="712">
        <v>0</v>
      </c>
      <c r="BV144" s="711">
        <v>0</v>
      </c>
      <c r="BW144" s="714">
        <v>0</v>
      </c>
      <c r="BX144" s="711">
        <v>0</v>
      </c>
      <c r="BY144" s="714">
        <v>0</v>
      </c>
      <c r="BZ144" s="711">
        <v>0</v>
      </c>
      <c r="CA144" s="714">
        <v>0</v>
      </c>
      <c r="CB144" s="711">
        <v>0</v>
      </c>
      <c r="CC144" s="714">
        <v>0</v>
      </c>
      <c r="CD144" s="711">
        <v>0</v>
      </c>
      <c r="CE144" s="714">
        <v>0</v>
      </c>
      <c r="CF144" s="711">
        <v>0</v>
      </c>
      <c r="CG144" s="714">
        <v>0</v>
      </c>
      <c r="CH144" s="711">
        <v>0</v>
      </c>
      <c r="CI144" s="714">
        <v>0</v>
      </c>
      <c r="CJ144" s="711">
        <v>0</v>
      </c>
      <c r="CK144" s="712">
        <v>0</v>
      </c>
      <c r="CL144" s="711">
        <v>0</v>
      </c>
      <c r="CM144" s="712">
        <v>0</v>
      </c>
      <c r="CN144" s="713">
        <v>0</v>
      </c>
      <c r="CO144" s="712">
        <v>0</v>
      </c>
    </row>
    <row r="145" spans="1:93">
      <c r="A145" s="468">
        <v>143</v>
      </c>
      <c r="B145" s="596">
        <v>0</v>
      </c>
      <c r="C145" s="596">
        <v>0</v>
      </c>
      <c r="D145" s="596">
        <v>0</v>
      </c>
      <c r="E145" s="596">
        <v>0</v>
      </c>
      <c r="F145" s="596">
        <v>0</v>
      </c>
      <c r="G145" s="596">
        <v>0</v>
      </c>
      <c r="H145" s="596">
        <v>0</v>
      </c>
      <c r="I145" s="596">
        <v>0</v>
      </c>
      <c r="J145" s="596">
        <v>0</v>
      </c>
      <c r="K145" s="596">
        <v>0</v>
      </c>
      <c r="L145" s="596">
        <v>0</v>
      </c>
      <c r="M145" s="596">
        <v>0</v>
      </c>
      <c r="N145" s="596">
        <v>0</v>
      </c>
      <c r="O145" s="596">
        <v>0</v>
      </c>
      <c r="P145" s="596">
        <v>0</v>
      </c>
      <c r="Q145" s="596">
        <v>0</v>
      </c>
      <c r="R145" s="596">
        <v>0</v>
      </c>
      <c r="S145" s="596">
        <v>0</v>
      </c>
      <c r="T145" s="596">
        <v>0</v>
      </c>
      <c r="U145" s="596">
        <v>0</v>
      </c>
      <c r="V145" s="596">
        <v>0</v>
      </c>
      <c r="W145" s="612">
        <v>0</v>
      </c>
      <c r="X145" s="704">
        <v>0</v>
      </c>
      <c r="Y145" s="705">
        <v>0</v>
      </c>
      <c r="Z145" s="706">
        <v>0</v>
      </c>
      <c r="AA145" s="707">
        <v>0</v>
      </c>
      <c r="AB145" s="706">
        <v>0</v>
      </c>
      <c r="AC145" s="704">
        <v>0</v>
      </c>
      <c r="AD145" s="706">
        <v>0</v>
      </c>
      <c r="AE145" s="708">
        <v>0</v>
      </c>
      <c r="AF145" s="704">
        <v>0</v>
      </c>
      <c r="AG145" s="704">
        <v>0</v>
      </c>
      <c r="AH145" s="708">
        <v>0</v>
      </c>
      <c r="AI145" s="709">
        <v>0</v>
      </c>
      <c r="AJ145" s="706">
        <v>0</v>
      </c>
      <c r="AK145" s="704">
        <v>0</v>
      </c>
      <c r="AL145" s="706">
        <v>0</v>
      </c>
      <c r="AM145" s="710">
        <v>0</v>
      </c>
      <c r="AN145" s="704">
        <v>0</v>
      </c>
      <c r="AO145" s="706">
        <v>0</v>
      </c>
      <c r="AP145" s="711">
        <v>0</v>
      </c>
      <c r="AQ145" s="712">
        <v>0</v>
      </c>
      <c r="AR145" s="711">
        <v>0</v>
      </c>
      <c r="AS145" s="712">
        <v>0</v>
      </c>
      <c r="AT145" s="711">
        <v>0</v>
      </c>
      <c r="AU145" s="712">
        <v>0</v>
      </c>
      <c r="AV145" s="713">
        <v>0</v>
      </c>
      <c r="AW145" s="714">
        <v>0</v>
      </c>
      <c r="AX145" s="711">
        <v>0</v>
      </c>
      <c r="AY145" s="712">
        <v>0</v>
      </c>
      <c r="AZ145" s="713">
        <v>0</v>
      </c>
      <c r="BA145" s="712">
        <v>0</v>
      </c>
      <c r="BB145" s="713">
        <v>0</v>
      </c>
      <c r="BC145" s="712">
        <v>0</v>
      </c>
      <c r="BD145" s="713">
        <v>0</v>
      </c>
      <c r="BE145" s="712">
        <v>0</v>
      </c>
      <c r="BF145" s="713">
        <v>0</v>
      </c>
      <c r="BG145" s="712">
        <v>0</v>
      </c>
      <c r="BH145" s="713">
        <v>0</v>
      </c>
      <c r="BI145" s="712">
        <v>0</v>
      </c>
      <c r="BJ145" s="713">
        <v>0</v>
      </c>
      <c r="BK145" s="712">
        <v>0</v>
      </c>
      <c r="BL145" s="713">
        <v>0</v>
      </c>
      <c r="BM145" s="712">
        <v>0</v>
      </c>
      <c r="BN145" s="713">
        <v>0</v>
      </c>
      <c r="BO145" s="712">
        <v>0</v>
      </c>
      <c r="BP145" s="713">
        <v>0</v>
      </c>
      <c r="BQ145" s="712">
        <v>0</v>
      </c>
      <c r="BR145" s="713">
        <v>0</v>
      </c>
      <c r="BS145" s="712">
        <v>0</v>
      </c>
      <c r="BT145" s="713">
        <v>0</v>
      </c>
      <c r="BU145" s="712">
        <v>0</v>
      </c>
      <c r="BV145" s="711">
        <v>0</v>
      </c>
      <c r="BW145" s="714">
        <v>0</v>
      </c>
      <c r="BX145" s="711">
        <v>0</v>
      </c>
      <c r="BY145" s="714">
        <v>0</v>
      </c>
      <c r="BZ145" s="711">
        <v>0</v>
      </c>
      <c r="CA145" s="714">
        <v>0</v>
      </c>
      <c r="CB145" s="711">
        <v>0</v>
      </c>
      <c r="CC145" s="714">
        <v>0</v>
      </c>
      <c r="CD145" s="711">
        <v>0</v>
      </c>
      <c r="CE145" s="714">
        <v>0</v>
      </c>
      <c r="CF145" s="711">
        <v>0</v>
      </c>
      <c r="CG145" s="714">
        <v>0</v>
      </c>
      <c r="CH145" s="711">
        <v>0</v>
      </c>
      <c r="CI145" s="714">
        <v>0</v>
      </c>
      <c r="CJ145" s="711">
        <v>0</v>
      </c>
      <c r="CK145" s="712">
        <v>0</v>
      </c>
      <c r="CL145" s="711">
        <v>0</v>
      </c>
      <c r="CM145" s="712">
        <v>0</v>
      </c>
      <c r="CN145" s="713">
        <v>0</v>
      </c>
      <c r="CO145" s="712">
        <v>0</v>
      </c>
    </row>
    <row r="146" spans="1:93">
      <c r="A146" s="468">
        <v>144</v>
      </c>
      <c r="B146" s="596">
        <v>0</v>
      </c>
      <c r="C146" s="596">
        <v>0</v>
      </c>
      <c r="D146" s="596">
        <v>0</v>
      </c>
      <c r="E146" s="596">
        <v>0</v>
      </c>
      <c r="F146" s="596">
        <v>0</v>
      </c>
      <c r="G146" s="596">
        <v>0</v>
      </c>
      <c r="H146" s="596">
        <v>0</v>
      </c>
      <c r="I146" s="596">
        <v>0</v>
      </c>
      <c r="J146" s="596">
        <v>0</v>
      </c>
      <c r="K146" s="596">
        <v>0</v>
      </c>
      <c r="L146" s="596">
        <v>0</v>
      </c>
      <c r="M146" s="596">
        <v>0</v>
      </c>
      <c r="N146" s="596">
        <v>0</v>
      </c>
      <c r="O146" s="596">
        <v>0</v>
      </c>
      <c r="P146" s="596">
        <v>0</v>
      </c>
      <c r="Q146" s="596">
        <v>0</v>
      </c>
      <c r="R146" s="596">
        <v>0</v>
      </c>
      <c r="S146" s="596">
        <v>0</v>
      </c>
      <c r="T146" s="596">
        <v>0</v>
      </c>
      <c r="U146" s="596">
        <v>0</v>
      </c>
      <c r="V146" s="596">
        <v>0</v>
      </c>
      <c r="W146" s="612">
        <v>0</v>
      </c>
      <c r="X146" s="704">
        <v>0</v>
      </c>
      <c r="Y146" s="705">
        <v>0</v>
      </c>
      <c r="Z146" s="706">
        <v>0</v>
      </c>
      <c r="AA146" s="707">
        <v>0</v>
      </c>
      <c r="AB146" s="706">
        <v>0</v>
      </c>
      <c r="AC146" s="704">
        <v>0</v>
      </c>
      <c r="AD146" s="706">
        <v>0</v>
      </c>
      <c r="AE146" s="708">
        <v>0</v>
      </c>
      <c r="AF146" s="704">
        <v>0</v>
      </c>
      <c r="AG146" s="704">
        <v>0</v>
      </c>
      <c r="AH146" s="708">
        <v>0</v>
      </c>
      <c r="AI146" s="709">
        <v>2E-3</v>
      </c>
      <c r="AJ146" s="706">
        <v>0</v>
      </c>
      <c r="AK146" s="704">
        <v>0</v>
      </c>
      <c r="AL146" s="706">
        <v>0</v>
      </c>
      <c r="AM146" s="710">
        <v>0</v>
      </c>
      <c r="AN146" s="704">
        <v>0</v>
      </c>
      <c r="AO146" s="706">
        <v>0</v>
      </c>
      <c r="AP146" s="711">
        <v>0</v>
      </c>
      <c r="AQ146" s="712">
        <v>0</v>
      </c>
      <c r="AR146" s="711">
        <v>0</v>
      </c>
      <c r="AS146" s="712">
        <v>0</v>
      </c>
      <c r="AT146" s="711">
        <v>0</v>
      </c>
      <c r="AU146" s="712">
        <v>0</v>
      </c>
      <c r="AV146" s="713">
        <v>0</v>
      </c>
      <c r="AW146" s="714">
        <v>0</v>
      </c>
      <c r="AX146" s="711">
        <v>0</v>
      </c>
      <c r="AY146" s="712">
        <v>0</v>
      </c>
      <c r="AZ146" s="713">
        <v>0</v>
      </c>
      <c r="BA146" s="712">
        <v>0</v>
      </c>
      <c r="BB146" s="713">
        <v>0</v>
      </c>
      <c r="BC146" s="712">
        <v>0</v>
      </c>
      <c r="BD146" s="713">
        <v>0</v>
      </c>
      <c r="BE146" s="712">
        <v>0</v>
      </c>
      <c r="BF146" s="713">
        <v>0</v>
      </c>
      <c r="BG146" s="712">
        <v>0</v>
      </c>
      <c r="BH146" s="713">
        <v>0</v>
      </c>
      <c r="BI146" s="712">
        <v>0</v>
      </c>
      <c r="BJ146" s="713">
        <v>0</v>
      </c>
      <c r="BK146" s="712">
        <v>0</v>
      </c>
      <c r="BL146" s="713">
        <v>0</v>
      </c>
      <c r="BM146" s="712">
        <v>0</v>
      </c>
      <c r="BN146" s="713">
        <v>0</v>
      </c>
      <c r="BO146" s="712">
        <v>0</v>
      </c>
      <c r="BP146" s="713">
        <v>0</v>
      </c>
      <c r="BQ146" s="712">
        <v>0</v>
      </c>
      <c r="BR146" s="713">
        <v>0</v>
      </c>
      <c r="BS146" s="712">
        <v>0</v>
      </c>
      <c r="BT146" s="713">
        <v>0</v>
      </c>
      <c r="BU146" s="712">
        <v>0</v>
      </c>
      <c r="BV146" s="711">
        <v>0</v>
      </c>
      <c r="BW146" s="714">
        <v>0</v>
      </c>
      <c r="BX146" s="711">
        <v>0</v>
      </c>
      <c r="BY146" s="714">
        <v>0</v>
      </c>
      <c r="BZ146" s="711">
        <v>0</v>
      </c>
      <c r="CA146" s="714">
        <v>0</v>
      </c>
      <c r="CB146" s="711">
        <v>0</v>
      </c>
      <c r="CC146" s="714">
        <v>0</v>
      </c>
      <c r="CD146" s="711">
        <v>0</v>
      </c>
      <c r="CE146" s="714">
        <v>0</v>
      </c>
      <c r="CF146" s="711">
        <v>0</v>
      </c>
      <c r="CG146" s="714">
        <v>0</v>
      </c>
      <c r="CH146" s="711">
        <v>0</v>
      </c>
      <c r="CI146" s="714">
        <v>0</v>
      </c>
      <c r="CJ146" s="711">
        <v>0</v>
      </c>
      <c r="CK146" s="712">
        <v>0</v>
      </c>
      <c r="CL146" s="711">
        <v>0</v>
      </c>
      <c r="CM146" s="712">
        <v>0</v>
      </c>
      <c r="CN146" s="713">
        <v>0</v>
      </c>
      <c r="CO146" s="712">
        <v>0</v>
      </c>
    </row>
    <row r="147" spans="1:93">
      <c r="A147" s="468">
        <v>145</v>
      </c>
      <c r="B147" s="596">
        <v>0</v>
      </c>
      <c r="C147" s="596">
        <v>0</v>
      </c>
      <c r="D147" s="596">
        <v>0</v>
      </c>
      <c r="E147" s="596">
        <v>0</v>
      </c>
      <c r="F147" s="596">
        <v>0</v>
      </c>
      <c r="G147" s="596">
        <v>0</v>
      </c>
      <c r="H147" s="596">
        <v>0</v>
      </c>
      <c r="I147" s="596">
        <v>0</v>
      </c>
      <c r="J147" s="596">
        <v>0</v>
      </c>
      <c r="K147" s="596">
        <v>0</v>
      </c>
      <c r="L147" s="596">
        <v>0</v>
      </c>
      <c r="M147" s="596">
        <v>0</v>
      </c>
      <c r="N147" s="596">
        <v>0</v>
      </c>
      <c r="O147" s="596">
        <v>0</v>
      </c>
      <c r="P147" s="596">
        <v>0</v>
      </c>
      <c r="Q147" s="596">
        <v>0</v>
      </c>
      <c r="R147" s="596">
        <v>0</v>
      </c>
      <c r="S147" s="596">
        <v>0</v>
      </c>
      <c r="T147" s="596">
        <v>0</v>
      </c>
      <c r="U147" s="596">
        <v>0</v>
      </c>
      <c r="V147" s="596">
        <v>0</v>
      </c>
      <c r="W147" s="612">
        <v>0</v>
      </c>
      <c r="X147" s="704">
        <v>0</v>
      </c>
      <c r="Y147" s="705">
        <v>0</v>
      </c>
      <c r="Z147" s="706">
        <v>0</v>
      </c>
      <c r="AA147" s="707">
        <v>0</v>
      </c>
      <c r="AB147" s="706">
        <v>0</v>
      </c>
      <c r="AC147" s="704">
        <v>0</v>
      </c>
      <c r="AD147" s="706">
        <v>0</v>
      </c>
      <c r="AE147" s="708">
        <v>0</v>
      </c>
      <c r="AF147" s="704">
        <v>0</v>
      </c>
      <c r="AG147" s="704">
        <v>0</v>
      </c>
      <c r="AH147" s="708">
        <v>0</v>
      </c>
      <c r="AI147" s="709">
        <v>0</v>
      </c>
      <c r="AJ147" s="706">
        <v>0</v>
      </c>
      <c r="AK147" s="704">
        <v>0</v>
      </c>
      <c r="AL147" s="706">
        <v>0</v>
      </c>
      <c r="AM147" s="710">
        <v>0</v>
      </c>
      <c r="AN147" s="704">
        <v>0</v>
      </c>
      <c r="AO147" s="706">
        <v>0</v>
      </c>
      <c r="AP147" s="711">
        <v>0</v>
      </c>
      <c r="AQ147" s="712">
        <v>0</v>
      </c>
      <c r="AR147" s="711">
        <v>0</v>
      </c>
      <c r="AS147" s="712">
        <v>0</v>
      </c>
      <c r="AT147" s="711">
        <v>0</v>
      </c>
      <c r="AU147" s="712">
        <v>0</v>
      </c>
      <c r="AV147" s="713">
        <v>0</v>
      </c>
      <c r="AW147" s="714">
        <v>0</v>
      </c>
      <c r="AX147" s="711">
        <v>0</v>
      </c>
      <c r="AY147" s="712">
        <v>0</v>
      </c>
      <c r="AZ147" s="713">
        <v>0</v>
      </c>
      <c r="BA147" s="712">
        <v>0</v>
      </c>
      <c r="BB147" s="713">
        <v>0</v>
      </c>
      <c r="BC147" s="712">
        <v>0</v>
      </c>
      <c r="BD147" s="713">
        <v>0</v>
      </c>
      <c r="BE147" s="712">
        <v>0</v>
      </c>
      <c r="BF147" s="713">
        <v>0</v>
      </c>
      <c r="BG147" s="712">
        <v>0</v>
      </c>
      <c r="BH147" s="713">
        <v>0</v>
      </c>
      <c r="BI147" s="712">
        <v>0</v>
      </c>
      <c r="BJ147" s="713">
        <v>0</v>
      </c>
      <c r="BK147" s="712">
        <v>0</v>
      </c>
      <c r="BL147" s="713">
        <v>0</v>
      </c>
      <c r="BM147" s="712">
        <v>0</v>
      </c>
      <c r="BN147" s="713">
        <v>0</v>
      </c>
      <c r="BO147" s="712">
        <v>0</v>
      </c>
      <c r="BP147" s="713">
        <v>0</v>
      </c>
      <c r="BQ147" s="712">
        <v>0</v>
      </c>
      <c r="BR147" s="713">
        <v>0</v>
      </c>
      <c r="BS147" s="712">
        <v>0</v>
      </c>
      <c r="BT147" s="713">
        <v>0</v>
      </c>
      <c r="BU147" s="712">
        <v>0</v>
      </c>
      <c r="BV147" s="711">
        <v>0</v>
      </c>
      <c r="BW147" s="714">
        <v>0</v>
      </c>
      <c r="BX147" s="711">
        <v>0</v>
      </c>
      <c r="BY147" s="714">
        <v>0</v>
      </c>
      <c r="BZ147" s="711">
        <v>0</v>
      </c>
      <c r="CA147" s="714">
        <v>0</v>
      </c>
      <c r="CB147" s="711">
        <v>0</v>
      </c>
      <c r="CC147" s="714">
        <v>0</v>
      </c>
      <c r="CD147" s="711">
        <v>0</v>
      </c>
      <c r="CE147" s="714">
        <v>0</v>
      </c>
      <c r="CF147" s="711">
        <v>0</v>
      </c>
      <c r="CG147" s="714">
        <v>0</v>
      </c>
      <c r="CH147" s="711">
        <v>0</v>
      </c>
      <c r="CI147" s="714">
        <v>0</v>
      </c>
      <c r="CJ147" s="711">
        <v>0</v>
      </c>
      <c r="CK147" s="712">
        <v>0</v>
      </c>
      <c r="CL147" s="711">
        <v>0</v>
      </c>
      <c r="CM147" s="712">
        <v>0</v>
      </c>
      <c r="CN147" s="713">
        <v>0</v>
      </c>
      <c r="CO147" s="712">
        <v>0</v>
      </c>
    </row>
    <row r="148" spans="1:93">
      <c r="A148" s="468">
        <v>146</v>
      </c>
      <c r="B148" s="596">
        <v>0</v>
      </c>
      <c r="C148" s="596">
        <v>0</v>
      </c>
      <c r="D148" s="596">
        <v>0</v>
      </c>
      <c r="E148" s="596">
        <v>0</v>
      </c>
      <c r="F148" s="596">
        <v>0</v>
      </c>
      <c r="G148" s="596">
        <v>0</v>
      </c>
      <c r="H148" s="596">
        <v>0</v>
      </c>
      <c r="I148" s="596">
        <v>0</v>
      </c>
      <c r="J148" s="596">
        <v>0</v>
      </c>
      <c r="K148" s="596">
        <v>0</v>
      </c>
      <c r="L148" s="596">
        <v>0</v>
      </c>
      <c r="M148" s="596">
        <v>0</v>
      </c>
      <c r="N148" s="596">
        <v>0</v>
      </c>
      <c r="O148" s="596">
        <v>0</v>
      </c>
      <c r="P148" s="596">
        <v>0</v>
      </c>
      <c r="Q148" s="596">
        <v>0</v>
      </c>
      <c r="R148" s="596">
        <v>0</v>
      </c>
      <c r="S148" s="596">
        <v>0</v>
      </c>
      <c r="T148" s="596">
        <v>0</v>
      </c>
      <c r="U148" s="596">
        <v>0</v>
      </c>
      <c r="V148" s="596">
        <v>0</v>
      </c>
      <c r="W148" s="612">
        <v>0</v>
      </c>
      <c r="X148" s="704">
        <v>0</v>
      </c>
      <c r="Y148" s="705">
        <v>0</v>
      </c>
      <c r="Z148" s="706">
        <v>0</v>
      </c>
      <c r="AA148" s="707">
        <v>0</v>
      </c>
      <c r="AB148" s="706">
        <v>0</v>
      </c>
      <c r="AC148" s="704">
        <v>0</v>
      </c>
      <c r="AD148" s="706">
        <v>0</v>
      </c>
      <c r="AE148" s="708">
        <v>0</v>
      </c>
      <c r="AF148" s="704">
        <v>0</v>
      </c>
      <c r="AG148" s="704">
        <v>0</v>
      </c>
      <c r="AH148" s="708">
        <v>0</v>
      </c>
      <c r="AI148" s="709">
        <v>0</v>
      </c>
      <c r="AJ148" s="706">
        <v>0</v>
      </c>
      <c r="AK148" s="704">
        <v>0</v>
      </c>
      <c r="AL148" s="706">
        <v>0</v>
      </c>
      <c r="AM148" s="710">
        <v>0</v>
      </c>
      <c r="AN148" s="704">
        <v>0</v>
      </c>
      <c r="AO148" s="706">
        <v>0</v>
      </c>
      <c r="AP148" s="711">
        <v>0</v>
      </c>
      <c r="AQ148" s="712">
        <v>0</v>
      </c>
      <c r="AR148" s="711">
        <v>0</v>
      </c>
      <c r="AS148" s="712">
        <v>0</v>
      </c>
      <c r="AT148" s="711">
        <v>0</v>
      </c>
      <c r="AU148" s="712">
        <v>0</v>
      </c>
      <c r="AV148" s="713">
        <v>0</v>
      </c>
      <c r="AW148" s="714">
        <v>0</v>
      </c>
      <c r="AX148" s="711">
        <v>0</v>
      </c>
      <c r="AY148" s="712">
        <v>0</v>
      </c>
      <c r="AZ148" s="713">
        <v>0</v>
      </c>
      <c r="BA148" s="712">
        <v>0</v>
      </c>
      <c r="BB148" s="713">
        <v>0</v>
      </c>
      <c r="BC148" s="712">
        <v>0</v>
      </c>
      <c r="BD148" s="713">
        <v>0</v>
      </c>
      <c r="BE148" s="712">
        <v>0</v>
      </c>
      <c r="BF148" s="713">
        <v>0</v>
      </c>
      <c r="BG148" s="712">
        <v>0</v>
      </c>
      <c r="BH148" s="713">
        <v>0</v>
      </c>
      <c r="BI148" s="712">
        <v>0</v>
      </c>
      <c r="BJ148" s="713">
        <v>0</v>
      </c>
      <c r="BK148" s="712">
        <v>0</v>
      </c>
      <c r="BL148" s="713">
        <v>0</v>
      </c>
      <c r="BM148" s="712">
        <v>0</v>
      </c>
      <c r="BN148" s="713">
        <v>0</v>
      </c>
      <c r="BO148" s="712">
        <v>0</v>
      </c>
      <c r="BP148" s="713">
        <v>0</v>
      </c>
      <c r="BQ148" s="712">
        <v>0</v>
      </c>
      <c r="BR148" s="713">
        <v>0</v>
      </c>
      <c r="BS148" s="712">
        <v>0</v>
      </c>
      <c r="BT148" s="713">
        <v>0</v>
      </c>
      <c r="BU148" s="712">
        <v>0</v>
      </c>
      <c r="BV148" s="711">
        <v>0</v>
      </c>
      <c r="BW148" s="714">
        <v>0</v>
      </c>
      <c r="BX148" s="711">
        <v>0</v>
      </c>
      <c r="BY148" s="714">
        <v>0</v>
      </c>
      <c r="BZ148" s="711">
        <v>0</v>
      </c>
      <c r="CA148" s="714">
        <v>0</v>
      </c>
      <c r="CB148" s="711">
        <v>0</v>
      </c>
      <c r="CC148" s="714">
        <v>0</v>
      </c>
      <c r="CD148" s="711">
        <v>0</v>
      </c>
      <c r="CE148" s="714">
        <v>0</v>
      </c>
      <c r="CF148" s="711">
        <v>0</v>
      </c>
      <c r="CG148" s="714">
        <v>0</v>
      </c>
      <c r="CH148" s="711">
        <v>0</v>
      </c>
      <c r="CI148" s="714">
        <v>0</v>
      </c>
      <c r="CJ148" s="711">
        <v>0</v>
      </c>
      <c r="CK148" s="712">
        <v>0</v>
      </c>
      <c r="CL148" s="711">
        <v>0</v>
      </c>
      <c r="CM148" s="712">
        <v>0</v>
      </c>
      <c r="CN148" s="713">
        <v>0</v>
      </c>
      <c r="CO148" s="712">
        <v>0</v>
      </c>
    </row>
    <row r="149" spans="1:93">
      <c r="A149" s="468">
        <v>147</v>
      </c>
      <c r="B149" s="596">
        <v>0</v>
      </c>
      <c r="C149" s="596">
        <v>0</v>
      </c>
      <c r="D149" s="596">
        <v>0</v>
      </c>
      <c r="E149" s="596">
        <v>0</v>
      </c>
      <c r="F149" s="596">
        <v>0</v>
      </c>
      <c r="G149" s="596">
        <v>0</v>
      </c>
      <c r="H149" s="596">
        <v>0</v>
      </c>
      <c r="I149" s="596">
        <v>0</v>
      </c>
      <c r="J149" s="596">
        <v>0</v>
      </c>
      <c r="K149" s="596">
        <v>0</v>
      </c>
      <c r="L149" s="596">
        <v>0</v>
      </c>
      <c r="M149" s="596">
        <v>0</v>
      </c>
      <c r="N149" s="596">
        <v>0</v>
      </c>
      <c r="O149" s="596">
        <v>0</v>
      </c>
      <c r="P149" s="596">
        <v>0</v>
      </c>
      <c r="Q149" s="596">
        <v>0</v>
      </c>
      <c r="R149" s="596">
        <v>0</v>
      </c>
      <c r="S149" s="596">
        <v>0</v>
      </c>
      <c r="T149" s="596">
        <v>0</v>
      </c>
      <c r="U149" s="596">
        <v>0</v>
      </c>
      <c r="V149" s="596">
        <v>0</v>
      </c>
      <c r="W149" s="612">
        <v>0</v>
      </c>
      <c r="X149" s="704">
        <v>0</v>
      </c>
      <c r="Y149" s="705">
        <v>0</v>
      </c>
      <c r="Z149" s="706">
        <v>0</v>
      </c>
      <c r="AA149" s="707">
        <v>0</v>
      </c>
      <c r="AB149" s="706">
        <v>0</v>
      </c>
      <c r="AC149" s="704">
        <v>0</v>
      </c>
      <c r="AD149" s="706">
        <v>0</v>
      </c>
      <c r="AE149" s="708">
        <v>0</v>
      </c>
      <c r="AF149" s="704">
        <v>0</v>
      </c>
      <c r="AG149" s="704">
        <v>0</v>
      </c>
      <c r="AH149" s="708">
        <v>0</v>
      </c>
      <c r="AI149" s="709">
        <v>0</v>
      </c>
      <c r="AJ149" s="706">
        <v>0</v>
      </c>
      <c r="AK149" s="704">
        <v>0</v>
      </c>
      <c r="AL149" s="706">
        <v>0</v>
      </c>
      <c r="AM149" s="710">
        <v>0</v>
      </c>
      <c r="AN149" s="704">
        <v>0</v>
      </c>
      <c r="AO149" s="706">
        <v>0</v>
      </c>
      <c r="AP149" s="711">
        <v>0</v>
      </c>
      <c r="AQ149" s="712">
        <v>0</v>
      </c>
      <c r="AR149" s="711">
        <v>0</v>
      </c>
      <c r="AS149" s="712">
        <v>0</v>
      </c>
      <c r="AT149" s="711">
        <v>0</v>
      </c>
      <c r="AU149" s="712">
        <v>0</v>
      </c>
      <c r="AV149" s="713">
        <v>0</v>
      </c>
      <c r="AW149" s="714">
        <v>0</v>
      </c>
      <c r="AX149" s="711">
        <v>0</v>
      </c>
      <c r="AY149" s="712">
        <v>0</v>
      </c>
      <c r="AZ149" s="713">
        <v>0</v>
      </c>
      <c r="BA149" s="712">
        <v>0</v>
      </c>
      <c r="BB149" s="713">
        <v>0</v>
      </c>
      <c r="BC149" s="712">
        <v>0</v>
      </c>
      <c r="BD149" s="713">
        <v>0</v>
      </c>
      <c r="BE149" s="712">
        <v>0</v>
      </c>
      <c r="BF149" s="713">
        <v>0</v>
      </c>
      <c r="BG149" s="712">
        <v>0</v>
      </c>
      <c r="BH149" s="713">
        <v>0</v>
      </c>
      <c r="BI149" s="712">
        <v>0</v>
      </c>
      <c r="BJ149" s="713">
        <v>0</v>
      </c>
      <c r="BK149" s="712">
        <v>0</v>
      </c>
      <c r="BL149" s="713">
        <v>0</v>
      </c>
      <c r="BM149" s="712">
        <v>0</v>
      </c>
      <c r="BN149" s="713">
        <v>0</v>
      </c>
      <c r="BO149" s="712">
        <v>0</v>
      </c>
      <c r="BP149" s="713">
        <v>0</v>
      </c>
      <c r="BQ149" s="712">
        <v>0</v>
      </c>
      <c r="BR149" s="713">
        <v>0</v>
      </c>
      <c r="BS149" s="712">
        <v>0</v>
      </c>
      <c r="BT149" s="713">
        <v>0</v>
      </c>
      <c r="BU149" s="712">
        <v>0</v>
      </c>
      <c r="BV149" s="711">
        <v>0</v>
      </c>
      <c r="BW149" s="714">
        <v>0</v>
      </c>
      <c r="BX149" s="711">
        <v>0</v>
      </c>
      <c r="BY149" s="714">
        <v>0</v>
      </c>
      <c r="BZ149" s="711">
        <v>0</v>
      </c>
      <c r="CA149" s="714">
        <v>0</v>
      </c>
      <c r="CB149" s="711">
        <v>0</v>
      </c>
      <c r="CC149" s="714">
        <v>0</v>
      </c>
      <c r="CD149" s="711">
        <v>0</v>
      </c>
      <c r="CE149" s="714">
        <v>0</v>
      </c>
      <c r="CF149" s="711">
        <v>0</v>
      </c>
      <c r="CG149" s="714">
        <v>0</v>
      </c>
      <c r="CH149" s="711">
        <v>0</v>
      </c>
      <c r="CI149" s="714">
        <v>0</v>
      </c>
      <c r="CJ149" s="711">
        <v>0</v>
      </c>
      <c r="CK149" s="712">
        <v>0</v>
      </c>
      <c r="CL149" s="711">
        <v>0</v>
      </c>
      <c r="CM149" s="712">
        <v>0</v>
      </c>
      <c r="CN149" s="713">
        <v>0</v>
      </c>
      <c r="CO149" s="712">
        <v>0</v>
      </c>
    </row>
    <row r="150" spans="1:93">
      <c r="A150" s="468">
        <v>148</v>
      </c>
      <c r="B150" s="596">
        <v>0</v>
      </c>
      <c r="C150" s="596">
        <v>0</v>
      </c>
      <c r="D150" s="596">
        <v>0</v>
      </c>
      <c r="E150" s="596">
        <v>0</v>
      </c>
      <c r="F150" s="596">
        <v>0</v>
      </c>
      <c r="G150" s="596">
        <v>0</v>
      </c>
      <c r="H150" s="596">
        <v>0</v>
      </c>
      <c r="I150" s="596">
        <v>0</v>
      </c>
      <c r="J150" s="596">
        <v>0</v>
      </c>
      <c r="K150" s="596">
        <v>0</v>
      </c>
      <c r="L150" s="596">
        <v>0</v>
      </c>
      <c r="M150" s="596">
        <v>0</v>
      </c>
      <c r="N150" s="596">
        <v>0</v>
      </c>
      <c r="O150" s="596">
        <v>0</v>
      </c>
      <c r="P150" s="596">
        <v>0</v>
      </c>
      <c r="Q150" s="596">
        <v>0</v>
      </c>
      <c r="R150" s="596">
        <v>0</v>
      </c>
      <c r="S150" s="596">
        <v>0</v>
      </c>
      <c r="T150" s="596">
        <v>0</v>
      </c>
      <c r="U150" s="596">
        <v>0</v>
      </c>
      <c r="V150" s="596">
        <v>0</v>
      </c>
      <c r="W150" s="612">
        <v>0</v>
      </c>
      <c r="X150" s="704">
        <v>0</v>
      </c>
      <c r="Y150" s="705">
        <v>0</v>
      </c>
      <c r="Z150" s="706">
        <v>0</v>
      </c>
      <c r="AA150" s="707">
        <v>0</v>
      </c>
      <c r="AB150" s="706">
        <v>0</v>
      </c>
      <c r="AC150" s="704">
        <v>0</v>
      </c>
      <c r="AD150" s="706">
        <v>0</v>
      </c>
      <c r="AE150" s="708">
        <v>0</v>
      </c>
      <c r="AF150" s="704">
        <v>0</v>
      </c>
      <c r="AG150" s="704">
        <v>0</v>
      </c>
      <c r="AH150" s="708">
        <v>0</v>
      </c>
      <c r="AI150" s="709">
        <v>0</v>
      </c>
      <c r="AJ150" s="706">
        <v>0</v>
      </c>
      <c r="AK150" s="704">
        <v>0</v>
      </c>
      <c r="AL150" s="706">
        <v>0</v>
      </c>
      <c r="AM150" s="710">
        <v>0</v>
      </c>
      <c r="AN150" s="704">
        <v>0</v>
      </c>
      <c r="AO150" s="706">
        <v>0</v>
      </c>
      <c r="AP150" s="711">
        <v>0</v>
      </c>
      <c r="AQ150" s="712">
        <v>0</v>
      </c>
      <c r="AR150" s="711">
        <v>0</v>
      </c>
      <c r="AS150" s="712">
        <v>0</v>
      </c>
      <c r="AT150" s="711">
        <v>0</v>
      </c>
      <c r="AU150" s="712">
        <v>0</v>
      </c>
      <c r="AV150" s="713">
        <v>0</v>
      </c>
      <c r="AW150" s="714">
        <v>0</v>
      </c>
      <c r="AX150" s="711">
        <v>0</v>
      </c>
      <c r="AY150" s="712">
        <v>0</v>
      </c>
      <c r="AZ150" s="713">
        <v>0</v>
      </c>
      <c r="BA150" s="712">
        <v>0</v>
      </c>
      <c r="BB150" s="713">
        <v>0</v>
      </c>
      <c r="BC150" s="712">
        <v>0</v>
      </c>
      <c r="BD150" s="713">
        <v>0</v>
      </c>
      <c r="BE150" s="712">
        <v>0</v>
      </c>
      <c r="BF150" s="713">
        <v>0</v>
      </c>
      <c r="BG150" s="712">
        <v>0</v>
      </c>
      <c r="BH150" s="713">
        <v>0</v>
      </c>
      <c r="BI150" s="712">
        <v>0</v>
      </c>
      <c r="BJ150" s="713">
        <v>0</v>
      </c>
      <c r="BK150" s="712">
        <v>0</v>
      </c>
      <c r="BL150" s="713">
        <v>0</v>
      </c>
      <c r="BM150" s="712">
        <v>0</v>
      </c>
      <c r="BN150" s="713">
        <v>0</v>
      </c>
      <c r="BO150" s="712">
        <v>0</v>
      </c>
      <c r="BP150" s="713">
        <v>0</v>
      </c>
      <c r="BQ150" s="712">
        <v>0</v>
      </c>
      <c r="BR150" s="713">
        <v>0</v>
      </c>
      <c r="BS150" s="712">
        <v>0</v>
      </c>
      <c r="BT150" s="713">
        <v>0</v>
      </c>
      <c r="BU150" s="712">
        <v>0</v>
      </c>
      <c r="BV150" s="711">
        <v>0</v>
      </c>
      <c r="BW150" s="714">
        <v>0</v>
      </c>
      <c r="BX150" s="711">
        <v>0</v>
      </c>
      <c r="BY150" s="714">
        <v>0</v>
      </c>
      <c r="BZ150" s="711">
        <v>0</v>
      </c>
      <c r="CA150" s="714">
        <v>0</v>
      </c>
      <c r="CB150" s="711">
        <v>0</v>
      </c>
      <c r="CC150" s="714">
        <v>0</v>
      </c>
      <c r="CD150" s="711">
        <v>0</v>
      </c>
      <c r="CE150" s="714">
        <v>0</v>
      </c>
      <c r="CF150" s="711">
        <v>0</v>
      </c>
      <c r="CG150" s="714">
        <v>0</v>
      </c>
      <c r="CH150" s="711">
        <v>0</v>
      </c>
      <c r="CI150" s="714">
        <v>0</v>
      </c>
      <c r="CJ150" s="711">
        <v>0</v>
      </c>
      <c r="CK150" s="712">
        <v>0</v>
      </c>
      <c r="CL150" s="711">
        <v>0</v>
      </c>
      <c r="CM150" s="712">
        <v>0</v>
      </c>
      <c r="CN150" s="713">
        <v>0</v>
      </c>
      <c r="CO150" s="712">
        <v>0</v>
      </c>
    </row>
    <row r="151" spans="1:93">
      <c r="A151" s="468">
        <v>149</v>
      </c>
      <c r="B151" s="596">
        <v>0</v>
      </c>
      <c r="C151" s="596">
        <v>0</v>
      </c>
      <c r="D151" s="596">
        <v>0</v>
      </c>
      <c r="E151" s="596">
        <v>0</v>
      </c>
      <c r="F151" s="596">
        <v>0</v>
      </c>
      <c r="G151" s="596">
        <v>0</v>
      </c>
      <c r="H151" s="596">
        <v>0</v>
      </c>
      <c r="I151" s="596">
        <v>0</v>
      </c>
      <c r="J151" s="596">
        <v>0</v>
      </c>
      <c r="K151" s="596">
        <v>0</v>
      </c>
      <c r="L151" s="596">
        <v>0</v>
      </c>
      <c r="M151" s="596">
        <v>0</v>
      </c>
      <c r="N151" s="596">
        <v>0</v>
      </c>
      <c r="O151" s="596">
        <v>0</v>
      </c>
      <c r="P151" s="596">
        <v>0</v>
      </c>
      <c r="Q151" s="596">
        <v>0</v>
      </c>
      <c r="R151" s="596">
        <v>0</v>
      </c>
      <c r="S151" s="596">
        <v>0</v>
      </c>
      <c r="T151" s="596">
        <v>0</v>
      </c>
      <c r="U151" s="596">
        <v>0</v>
      </c>
      <c r="V151" s="596">
        <v>0</v>
      </c>
      <c r="W151" s="612">
        <v>0</v>
      </c>
      <c r="X151" s="704">
        <v>0</v>
      </c>
      <c r="Y151" s="705">
        <v>0</v>
      </c>
      <c r="Z151" s="706">
        <v>0</v>
      </c>
      <c r="AA151" s="707">
        <v>0</v>
      </c>
      <c r="AB151" s="706">
        <v>0</v>
      </c>
      <c r="AC151" s="704">
        <v>0</v>
      </c>
      <c r="AD151" s="706">
        <v>0</v>
      </c>
      <c r="AE151" s="708">
        <v>0</v>
      </c>
      <c r="AF151" s="704">
        <v>0</v>
      </c>
      <c r="AG151" s="704">
        <v>0</v>
      </c>
      <c r="AH151" s="708">
        <v>0</v>
      </c>
      <c r="AI151" s="709">
        <v>0</v>
      </c>
      <c r="AJ151" s="706">
        <v>0</v>
      </c>
      <c r="AK151" s="704">
        <v>0</v>
      </c>
      <c r="AL151" s="706">
        <v>0</v>
      </c>
      <c r="AM151" s="710">
        <v>0</v>
      </c>
      <c r="AN151" s="704">
        <v>0</v>
      </c>
      <c r="AO151" s="706">
        <v>0</v>
      </c>
      <c r="AP151" s="711">
        <v>0</v>
      </c>
      <c r="AQ151" s="712">
        <v>0</v>
      </c>
      <c r="AR151" s="711">
        <v>0</v>
      </c>
      <c r="AS151" s="712">
        <v>0</v>
      </c>
      <c r="AT151" s="711">
        <v>0</v>
      </c>
      <c r="AU151" s="712">
        <v>0</v>
      </c>
      <c r="AV151" s="713">
        <v>0</v>
      </c>
      <c r="AW151" s="714">
        <v>0</v>
      </c>
      <c r="AX151" s="711">
        <v>0</v>
      </c>
      <c r="AY151" s="712">
        <v>0</v>
      </c>
      <c r="AZ151" s="713">
        <v>0</v>
      </c>
      <c r="BA151" s="712">
        <v>0</v>
      </c>
      <c r="BB151" s="713">
        <v>0</v>
      </c>
      <c r="BC151" s="712">
        <v>0</v>
      </c>
      <c r="BD151" s="713">
        <v>0</v>
      </c>
      <c r="BE151" s="712">
        <v>0</v>
      </c>
      <c r="BF151" s="713">
        <v>0</v>
      </c>
      <c r="BG151" s="712">
        <v>0</v>
      </c>
      <c r="BH151" s="713">
        <v>0</v>
      </c>
      <c r="BI151" s="712">
        <v>0</v>
      </c>
      <c r="BJ151" s="713">
        <v>0</v>
      </c>
      <c r="BK151" s="712">
        <v>0</v>
      </c>
      <c r="BL151" s="713">
        <v>0</v>
      </c>
      <c r="BM151" s="712">
        <v>0</v>
      </c>
      <c r="BN151" s="713">
        <v>0</v>
      </c>
      <c r="BO151" s="712">
        <v>0</v>
      </c>
      <c r="BP151" s="713">
        <v>0</v>
      </c>
      <c r="BQ151" s="712">
        <v>0</v>
      </c>
      <c r="BR151" s="713">
        <v>0</v>
      </c>
      <c r="BS151" s="712">
        <v>0</v>
      </c>
      <c r="BT151" s="713">
        <v>0</v>
      </c>
      <c r="BU151" s="712">
        <v>0</v>
      </c>
      <c r="BV151" s="711">
        <v>0</v>
      </c>
      <c r="BW151" s="714">
        <v>0</v>
      </c>
      <c r="BX151" s="711">
        <v>0</v>
      </c>
      <c r="BY151" s="714">
        <v>0</v>
      </c>
      <c r="BZ151" s="711">
        <v>0</v>
      </c>
      <c r="CA151" s="714">
        <v>0</v>
      </c>
      <c r="CB151" s="711">
        <v>0</v>
      </c>
      <c r="CC151" s="714">
        <v>0</v>
      </c>
      <c r="CD151" s="711">
        <v>0</v>
      </c>
      <c r="CE151" s="714">
        <v>0</v>
      </c>
      <c r="CF151" s="711">
        <v>0</v>
      </c>
      <c r="CG151" s="714">
        <v>0</v>
      </c>
      <c r="CH151" s="711">
        <v>0</v>
      </c>
      <c r="CI151" s="714">
        <v>0</v>
      </c>
      <c r="CJ151" s="711">
        <v>0</v>
      </c>
      <c r="CK151" s="712">
        <v>0</v>
      </c>
      <c r="CL151" s="711">
        <v>0</v>
      </c>
      <c r="CM151" s="712">
        <v>0</v>
      </c>
      <c r="CN151" s="713">
        <v>0</v>
      </c>
      <c r="CO151" s="712">
        <v>0</v>
      </c>
    </row>
    <row r="152" spans="1:93">
      <c r="A152" s="468">
        <v>150</v>
      </c>
      <c r="B152" s="596">
        <v>0</v>
      </c>
      <c r="C152" s="596">
        <v>0</v>
      </c>
      <c r="D152" s="596">
        <v>0</v>
      </c>
      <c r="E152" s="596">
        <v>0</v>
      </c>
      <c r="F152" s="596">
        <v>0</v>
      </c>
      <c r="G152" s="596">
        <v>0</v>
      </c>
      <c r="H152" s="596">
        <v>0</v>
      </c>
      <c r="I152" s="596">
        <v>0</v>
      </c>
      <c r="J152" s="596">
        <v>0</v>
      </c>
      <c r="K152" s="596">
        <v>0</v>
      </c>
      <c r="L152" s="596">
        <v>0</v>
      </c>
      <c r="M152" s="596">
        <v>0</v>
      </c>
      <c r="N152" s="596">
        <v>0</v>
      </c>
      <c r="O152" s="596">
        <v>0</v>
      </c>
      <c r="P152" s="596">
        <v>0</v>
      </c>
      <c r="Q152" s="596">
        <v>0</v>
      </c>
      <c r="R152" s="596">
        <v>0</v>
      </c>
      <c r="S152" s="596">
        <v>0</v>
      </c>
      <c r="T152" s="596">
        <v>0</v>
      </c>
      <c r="U152" s="596">
        <v>0</v>
      </c>
      <c r="V152" s="596">
        <v>0</v>
      </c>
      <c r="W152" s="612">
        <v>0</v>
      </c>
      <c r="X152" s="704">
        <v>0</v>
      </c>
      <c r="Y152" s="705">
        <v>0</v>
      </c>
      <c r="Z152" s="706">
        <v>0</v>
      </c>
      <c r="AA152" s="707">
        <v>0</v>
      </c>
      <c r="AB152" s="706">
        <v>0</v>
      </c>
      <c r="AC152" s="704">
        <v>0</v>
      </c>
      <c r="AD152" s="706">
        <v>0</v>
      </c>
      <c r="AE152" s="708">
        <v>0</v>
      </c>
      <c r="AF152" s="704">
        <v>0</v>
      </c>
      <c r="AG152" s="704">
        <v>0</v>
      </c>
      <c r="AH152" s="708">
        <v>0</v>
      </c>
      <c r="AI152" s="709">
        <v>0</v>
      </c>
      <c r="AJ152" s="706">
        <v>0</v>
      </c>
      <c r="AK152" s="704">
        <v>0</v>
      </c>
      <c r="AL152" s="706">
        <v>0</v>
      </c>
      <c r="AM152" s="710">
        <v>0</v>
      </c>
      <c r="AN152" s="704">
        <v>0</v>
      </c>
      <c r="AO152" s="706">
        <v>0</v>
      </c>
      <c r="AP152" s="711">
        <v>0</v>
      </c>
      <c r="AQ152" s="712">
        <v>0</v>
      </c>
      <c r="AR152" s="711">
        <v>0</v>
      </c>
      <c r="AS152" s="712">
        <v>0</v>
      </c>
      <c r="AT152" s="711">
        <v>0</v>
      </c>
      <c r="AU152" s="712">
        <v>0</v>
      </c>
      <c r="AV152" s="713">
        <v>0</v>
      </c>
      <c r="AW152" s="714">
        <v>0</v>
      </c>
      <c r="AX152" s="711">
        <v>0</v>
      </c>
      <c r="AY152" s="712">
        <v>0</v>
      </c>
      <c r="AZ152" s="713">
        <v>0</v>
      </c>
      <c r="BA152" s="712">
        <v>0</v>
      </c>
      <c r="BB152" s="713">
        <v>0</v>
      </c>
      <c r="BC152" s="712">
        <v>0</v>
      </c>
      <c r="BD152" s="713">
        <v>0</v>
      </c>
      <c r="BE152" s="712">
        <v>0</v>
      </c>
      <c r="BF152" s="713">
        <v>0</v>
      </c>
      <c r="BG152" s="712">
        <v>0</v>
      </c>
      <c r="BH152" s="713">
        <v>0</v>
      </c>
      <c r="BI152" s="712">
        <v>0</v>
      </c>
      <c r="BJ152" s="713">
        <v>0</v>
      </c>
      <c r="BK152" s="712">
        <v>0</v>
      </c>
      <c r="BL152" s="713">
        <v>0</v>
      </c>
      <c r="BM152" s="712">
        <v>0</v>
      </c>
      <c r="BN152" s="713">
        <v>0</v>
      </c>
      <c r="BO152" s="712">
        <v>0</v>
      </c>
      <c r="BP152" s="713">
        <v>0</v>
      </c>
      <c r="BQ152" s="712">
        <v>0</v>
      </c>
      <c r="BR152" s="713">
        <v>0</v>
      </c>
      <c r="BS152" s="712">
        <v>0</v>
      </c>
      <c r="BT152" s="713">
        <v>0</v>
      </c>
      <c r="BU152" s="712">
        <v>0</v>
      </c>
      <c r="BV152" s="711">
        <v>0</v>
      </c>
      <c r="BW152" s="714">
        <v>0</v>
      </c>
      <c r="BX152" s="711">
        <v>0</v>
      </c>
      <c r="BY152" s="714">
        <v>0</v>
      </c>
      <c r="BZ152" s="711">
        <v>0</v>
      </c>
      <c r="CA152" s="714">
        <v>0</v>
      </c>
      <c r="CB152" s="711">
        <v>0</v>
      </c>
      <c r="CC152" s="714">
        <v>0</v>
      </c>
      <c r="CD152" s="711">
        <v>0</v>
      </c>
      <c r="CE152" s="714">
        <v>0</v>
      </c>
      <c r="CF152" s="711">
        <v>0</v>
      </c>
      <c r="CG152" s="714">
        <v>0</v>
      </c>
      <c r="CH152" s="711">
        <v>0</v>
      </c>
      <c r="CI152" s="714">
        <v>0</v>
      </c>
      <c r="CJ152" s="711">
        <v>0</v>
      </c>
      <c r="CK152" s="712">
        <v>0</v>
      </c>
      <c r="CL152" s="711">
        <v>0</v>
      </c>
      <c r="CM152" s="712">
        <v>0</v>
      </c>
      <c r="CN152" s="713">
        <v>0</v>
      </c>
      <c r="CO152" s="712">
        <v>0</v>
      </c>
    </row>
    <row r="153" spans="1:93">
      <c r="A153" s="468">
        <v>151</v>
      </c>
      <c r="B153" s="596">
        <v>0</v>
      </c>
      <c r="C153" s="596">
        <v>0</v>
      </c>
      <c r="D153" s="596">
        <v>0</v>
      </c>
      <c r="E153" s="596">
        <v>0</v>
      </c>
      <c r="F153" s="596">
        <v>0</v>
      </c>
      <c r="G153" s="596">
        <v>0</v>
      </c>
      <c r="H153" s="596">
        <v>0</v>
      </c>
      <c r="I153" s="596">
        <v>0</v>
      </c>
      <c r="J153" s="596">
        <v>0</v>
      </c>
      <c r="K153" s="596">
        <v>0</v>
      </c>
      <c r="L153" s="596">
        <v>0</v>
      </c>
      <c r="M153" s="596">
        <v>0</v>
      </c>
      <c r="N153" s="596">
        <v>0</v>
      </c>
      <c r="O153" s="596">
        <v>0</v>
      </c>
      <c r="P153" s="596">
        <v>0</v>
      </c>
      <c r="Q153" s="596">
        <v>0</v>
      </c>
      <c r="R153" s="596">
        <v>0</v>
      </c>
      <c r="S153" s="596">
        <v>0</v>
      </c>
      <c r="T153" s="596">
        <v>0</v>
      </c>
      <c r="U153" s="596">
        <v>0</v>
      </c>
      <c r="V153" s="596">
        <v>0</v>
      </c>
      <c r="W153" s="612">
        <v>0</v>
      </c>
      <c r="X153" s="704">
        <v>0</v>
      </c>
      <c r="Y153" s="705">
        <v>0</v>
      </c>
      <c r="Z153" s="706">
        <v>0</v>
      </c>
      <c r="AA153" s="707">
        <v>0</v>
      </c>
      <c r="AB153" s="706">
        <v>0</v>
      </c>
      <c r="AC153" s="704">
        <v>0</v>
      </c>
      <c r="AD153" s="706">
        <v>0</v>
      </c>
      <c r="AE153" s="708">
        <v>0</v>
      </c>
      <c r="AF153" s="704">
        <v>0</v>
      </c>
      <c r="AG153" s="704">
        <v>0</v>
      </c>
      <c r="AH153" s="708">
        <v>0</v>
      </c>
      <c r="AI153" s="709">
        <v>0</v>
      </c>
      <c r="AJ153" s="706">
        <v>0</v>
      </c>
      <c r="AK153" s="704">
        <v>0</v>
      </c>
      <c r="AL153" s="706">
        <v>0</v>
      </c>
      <c r="AM153" s="710">
        <v>0</v>
      </c>
      <c r="AN153" s="704">
        <v>0</v>
      </c>
      <c r="AO153" s="706">
        <v>0</v>
      </c>
      <c r="AP153" s="711">
        <v>0</v>
      </c>
      <c r="AQ153" s="712">
        <v>0</v>
      </c>
      <c r="AR153" s="711">
        <v>0</v>
      </c>
      <c r="AS153" s="712">
        <v>0</v>
      </c>
      <c r="AT153" s="711">
        <v>0</v>
      </c>
      <c r="AU153" s="712">
        <v>0</v>
      </c>
      <c r="AV153" s="713">
        <v>0</v>
      </c>
      <c r="AW153" s="714">
        <v>0</v>
      </c>
      <c r="AX153" s="711">
        <v>0</v>
      </c>
      <c r="AY153" s="712">
        <v>0</v>
      </c>
      <c r="AZ153" s="713">
        <v>0</v>
      </c>
      <c r="BA153" s="712">
        <v>0</v>
      </c>
      <c r="BB153" s="713">
        <v>0</v>
      </c>
      <c r="BC153" s="712">
        <v>0</v>
      </c>
      <c r="BD153" s="713">
        <v>0</v>
      </c>
      <c r="BE153" s="712">
        <v>0</v>
      </c>
      <c r="BF153" s="713">
        <v>0</v>
      </c>
      <c r="BG153" s="712">
        <v>0</v>
      </c>
      <c r="BH153" s="713">
        <v>0</v>
      </c>
      <c r="BI153" s="712">
        <v>0</v>
      </c>
      <c r="BJ153" s="713">
        <v>0</v>
      </c>
      <c r="BK153" s="712">
        <v>0</v>
      </c>
      <c r="BL153" s="713">
        <v>0</v>
      </c>
      <c r="BM153" s="712">
        <v>0</v>
      </c>
      <c r="BN153" s="713">
        <v>0</v>
      </c>
      <c r="BO153" s="712">
        <v>0</v>
      </c>
      <c r="BP153" s="713">
        <v>0</v>
      </c>
      <c r="BQ153" s="712">
        <v>0</v>
      </c>
      <c r="BR153" s="713">
        <v>0</v>
      </c>
      <c r="BS153" s="712">
        <v>0</v>
      </c>
      <c r="BT153" s="713">
        <v>0</v>
      </c>
      <c r="BU153" s="712">
        <v>0</v>
      </c>
      <c r="BV153" s="711">
        <v>0</v>
      </c>
      <c r="BW153" s="714">
        <v>0</v>
      </c>
      <c r="BX153" s="711">
        <v>0</v>
      </c>
      <c r="BY153" s="714">
        <v>0</v>
      </c>
      <c r="BZ153" s="711">
        <v>0</v>
      </c>
      <c r="CA153" s="714">
        <v>0</v>
      </c>
      <c r="CB153" s="711">
        <v>0</v>
      </c>
      <c r="CC153" s="714">
        <v>0</v>
      </c>
      <c r="CD153" s="711">
        <v>0</v>
      </c>
      <c r="CE153" s="714">
        <v>0</v>
      </c>
      <c r="CF153" s="711">
        <v>0</v>
      </c>
      <c r="CG153" s="714">
        <v>0</v>
      </c>
      <c r="CH153" s="711">
        <v>0</v>
      </c>
      <c r="CI153" s="714">
        <v>0</v>
      </c>
      <c r="CJ153" s="711">
        <v>0</v>
      </c>
      <c r="CK153" s="712">
        <v>0</v>
      </c>
      <c r="CL153" s="711">
        <v>0</v>
      </c>
      <c r="CM153" s="712">
        <v>0</v>
      </c>
      <c r="CN153" s="713">
        <v>0</v>
      </c>
      <c r="CO153" s="712">
        <v>0</v>
      </c>
    </row>
    <row r="154" spans="1:93">
      <c r="A154" s="468">
        <v>152</v>
      </c>
      <c r="B154" s="596">
        <v>0</v>
      </c>
      <c r="C154" s="596">
        <v>0</v>
      </c>
      <c r="D154" s="596">
        <v>0</v>
      </c>
      <c r="E154" s="596">
        <v>0</v>
      </c>
      <c r="F154" s="596">
        <v>0</v>
      </c>
      <c r="G154" s="596">
        <v>0</v>
      </c>
      <c r="H154" s="596">
        <v>0</v>
      </c>
      <c r="I154" s="596">
        <v>0</v>
      </c>
      <c r="J154" s="596">
        <v>0</v>
      </c>
      <c r="K154" s="596">
        <v>0</v>
      </c>
      <c r="L154" s="596">
        <v>0</v>
      </c>
      <c r="M154" s="596">
        <v>0</v>
      </c>
      <c r="N154" s="596">
        <v>0</v>
      </c>
      <c r="O154" s="596">
        <v>0</v>
      </c>
      <c r="P154" s="596">
        <v>0</v>
      </c>
      <c r="Q154" s="596">
        <v>0</v>
      </c>
      <c r="R154" s="596">
        <v>0</v>
      </c>
      <c r="S154" s="596">
        <v>0</v>
      </c>
      <c r="T154" s="596">
        <v>0</v>
      </c>
      <c r="U154" s="596">
        <v>0</v>
      </c>
      <c r="V154" s="596">
        <v>0</v>
      </c>
      <c r="W154" s="612">
        <v>0</v>
      </c>
      <c r="X154" s="704">
        <v>0</v>
      </c>
      <c r="Y154" s="705">
        <v>0</v>
      </c>
      <c r="Z154" s="706">
        <v>0</v>
      </c>
      <c r="AA154" s="707">
        <v>0</v>
      </c>
      <c r="AB154" s="706">
        <v>0</v>
      </c>
      <c r="AC154" s="704">
        <v>0</v>
      </c>
      <c r="AD154" s="706">
        <v>0</v>
      </c>
      <c r="AE154" s="708">
        <v>0</v>
      </c>
      <c r="AF154" s="704">
        <v>0</v>
      </c>
      <c r="AG154" s="704">
        <v>0</v>
      </c>
      <c r="AH154" s="708">
        <v>0</v>
      </c>
      <c r="AI154" s="709">
        <v>0</v>
      </c>
      <c r="AJ154" s="706">
        <v>0</v>
      </c>
      <c r="AK154" s="704">
        <v>0</v>
      </c>
      <c r="AL154" s="706">
        <v>0</v>
      </c>
      <c r="AM154" s="710">
        <v>0</v>
      </c>
      <c r="AN154" s="704">
        <v>0</v>
      </c>
      <c r="AO154" s="706">
        <v>0</v>
      </c>
      <c r="AP154" s="711">
        <v>0</v>
      </c>
      <c r="AQ154" s="712">
        <v>0</v>
      </c>
      <c r="AR154" s="711">
        <v>0</v>
      </c>
      <c r="AS154" s="712">
        <v>0</v>
      </c>
      <c r="AT154" s="711">
        <v>0</v>
      </c>
      <c r="AU154" s="712">
        <v>0</v>
      </c>
      <c r="AV154" s="713">
        <v>0</v>
      </c>
      <c r="AW154" s="714">
        <v>0</v>
      </c>
      <c r="AX154" s="711">
        <v>0</v>
      </c>
      <c r="AY154" s="712">
        <v>0</v>
      </c>
      <c r="AZ154" s="713">
        <v>0</v>
      </c>
      <c r="BA154" s="712">
        <v>0</v>
      </c>
      <c r="BB154" s="713">
        <v>0</v>
      </c>
      <c r="BC154" s="712">
        <v>0</v>
      </c>
      <c r="BD154" s="713">
        <v>0</v>
      </c>
      <c r="BE154" s="712">
        <v>0</v>
      </c>
      <c r="BF154" s="713">
        <v>0</v>
      </c>
      <c r="BG154" s="712">
        <v>0</v>
      </c>
      <c r="BH154" s="713">
        <v>0</v>
      </c>
      <c r="BI154" s="712">
        <v>0</v>
      </c>
      <c r="BJ154" s="713">
        <v>0</v>
      </c>
      <c r="BK154" s="712">
        <v>0</v>
      </c>
      <c r="BL154" s="713">
        <v>0</v>
      </c>
      <c r="BM154" s="712">
        <v>0</v>
      </c>
      <c r="BN154" s="713">
        <v>0</v>
      </c>
      <c r="BO154" s="712">
        <v>0</v>
      </c>
      <c r="BP154" s="713">
        <v>0</v>
      </c>
      <c r="BQ154" s="712">
        <v>0</v>
      </c>
      <c r="BR154" s="713">
        <v>0</v>
      </c>
      <c r="BS154" s="712">
        <v>0</v>
      </c>
      <c r="BT154" s="713">
        <v>0</v>
      </c>
      <c r="BU154" s="712">
        <v>0</v>
      </c>
      <c r="BV154" s="711">
        <v>0</v>
      </c>
      <c r="BW154" s="714">
        <v>0</v>
      </c>
      <c r="BX154" s="711">
        <v>0</v>
      </c>
      <c r="BY154" s="714">
        <v>0</v>
      </c>
      <c r="BZ154" s="711">
        <v>0</v>
      </c>
      <c r="CA154" s="714">
        <v>0</v>
      </c>
      <c r="CB154" s="711">
        <v>0</v>
      </c>
      <c r="CC154" s="714">
        <v>0</v>
      </c>
      <c r="CD154" s="711">
        <v>0</v>
      </c>
      <c r="CE154" s="714">
        <v>0</v>
      </c>
      <c r="CF154" s="711">
        <v>0</v>
      </c>
      <c r="CG154" s="714">
        <v>0</v>
      </c>
      <c r="CH154" s="711">
        <v>0</v>
      </c>
      <c r="CI154" s="714">
        <v>0</v>
      </c>
      <c r="CJ154" s="711">
        <v>0</v>
      </c>
      <c r="CK154" s="712">
        <v>0</v>
      </c>
      <c r="CL154" s="711">
        <v>0</v>
      </c>
      <c r="CM154" s="712">
        <v>0</v>
      </c>
      <c r="CN154" s="713">
        <v>0</v>
      </c>
      <c r="CO154" s="712">
        <v>0</v>
      </c>
    </row>
    <row r="155" spans="1:93">
      <c r="A155" s="468">
        <v>153</v>
      </c>
      <c r="B155" s="596">
        <v>0</v>
      </c>
      <c r="C155" s="596">
        <v>0</v>
      </c>
      <c r="D155" s="596">
        <v>0</v>
      </c>
      <c r="E155" s="596">
        <v>0</v>
      </c>
      <c r="F155" s="596">
        <v>0</v>
      </c>
      <c r="G155" s="596">
        <v>0</v>
      </c>
      <c r="H155" s="596">
        <v>0</v>
      </c>
      <c r="I155" s="596">
        <v>0</v>
      </c>
      <c r="J155" s="596">
        <v>0</v>
      </c>
      <c r="K155" s="596">
        <v>0</v>
      </c>
      <c r="L155" s="596">
        <v>0</v>
      </c>
      <c r="M155" s="596">
        <v>0</v>
      </c>
      <c r="N155" s="596">
        <v>0</v>
      </c>
      <c r="O155" s="596">
        <v>0</v>
      </c>
      <c r="P155" s="596">
        <v>0</v>
      </c>
      <c r="Q155" s="596">
        <v>0</v>
      </c>
      <c r="R155" s="596">
        <v>0</v>
      </c>
      <c r="S155" s="596">
        <v>0</v>
      </c>
      <c r="T155" s="596">
        <v>0</v>
      </c>
      <c r="U155" s="596">
        <v>0</v>
      </c>
      <c r="V155" s="596">
        <v>0</v>
      </c>
      <c r="W155" s="612">
        <v>0</v>
      </c>
      <c r="X155" s="704">
        <v>0</v>
      </c>
      <c r="Y155" s="705">
        <v>0</v>
      </c>
      <c r="Z155" s="706">
        <v>0</v>
      </c>
      <c r="AA155" s="707">
        <v>0</v>
      </c>
      <c r="AB155" s="706">
        <v>0</v>
      </c>
      <c r="AC155" s="704">
        <v>0</v>
      </c>
      <c r="AD155" s="706">
        <v>0</v>
      </c>
      <c r="AE155" s="708">
        <v>0</v>
      </c>
      <c r="AF155" s="704">
        <v>0</v>
      </c>
      <c r="AG155" s="704">
        <v>0</v>
      </c>
      <c r="AH155" s="708">
        <v>0</v>
      </c>
      <c r="AI155" s="709">
        <v>0</v>
      </c>
      <c r="AJ155" s="706">
        <v>0</v>
      </c>
      <c r="AK155" s="704">
        <v>0</v>
      </c>
      <c r="AL155" s="706">
        <v>0</v>
      </c>
      <c r="AM155" s="710">
        <v>0</v>
      </c>
      <c r="AN155" s="704">
        <v>0</v>
      </c>
      <c r="AO155" s="706">
        <v>0</v>
      </c>
      <c r="AP155" s="711">
        <v>0</v>
      </c>
      <c r="AQ155" s="712">
        <v>0</v>
      </c>
      <c r="AR155" s="711">
        <v>0</v>
      </c>
      <c r="AS155" s="712">
        <v>0</v>
      </c>
      <c r="AT155" s="711">
        <v>0</v>
      </c>
      <c r="AU155" s="712">
        <v>0</v>
      </c>
      <c r="AV155" s="713">
        <v>0</v>
      </c>
      <c r="AW155" s="714">
        <v>0</v>
      </c>
      <c r="AX155" s="711">
        <v>0</v>
      </c>
      <c r="AY155" s="712">
        <v>0</v>
      </c>
      <c r="AZ155" s="713">
        <v>0</v>
      </c>
      <c r="BA155" s="712">
        <v>0</v>
      </c>
      <c r="BB155" s="713">
        <v>0</v>
      </c>
      <c r="BC155" s="712">
        <v>0</v>
      </c>
      <c r="BD155" s="713">
        <v>0</v>
      </c>
      <c r="BE155" s="712">
        <v>0</v>
      </c>
      <c r="BF155" s="713">
        <v>0</v>
      </c>
      <c r="BG155" s="712">
        <v>0</v>
      </c>
      <c r="BH155" s="713">
        <v>0</v>
      </c>
      <c r="BI155" s="712">
        <v>0</v>
      </c>
      <c r="BJ155" s="713">
        <v>0</v>
      </c>
      <c r="BK155" s="712">
        <v>0</v>
      </c>
      <c r="BL155" s="713">
        <v>0</v>
      </c>
      <c r="BM155" s="712">
        <v>0</v>
      </c>
      <c r="BN155" s="713">
        <v>0</v>
      </c>
      <c r="BO155" s="712">
        <v>0</v>
      </c>
      <c r="BP155" s="713">
        <v>0</v>
      </c>
      <c r="BQ155" s="712">
        <v>0</v>
      </c>
      <c r="BR155" s="713">
        <v>0</v>
      </c>
      <c r="BS155" s="712">
        <v>0</v>
      </c>
      <c r="BT155" s="713">
        <v>0</v>
      </c>
      <c r="BU155" s="712">
        <v>0</v>
      </c>
      <c r="BV155" s="711">
        <v>0</v>
      </c>
      <c r="BW155" s="714">
        <v>0</v>
      </c>
      <c r="BX155" s="711">
        <v>0</v>
      </c>
      <c r="BY155" s="714">
        <v>0</v>
      </c>
      <c r="BZ155" s="711">
        <v>0</v>
      </c>
      <c r="CA155" s="714">
        <v>0</v>
      </c>
      <c r="CB155" s="711">
        <v>0</v>
      </c>
      <c r="CC155" s="714">
        <v>0</v>
      </c>
      <c r="CD155" s="711">
        <v>0</v>
      </c>
      <c r="CE155" s="714">
        <v>0</v>
      </c>
      <c r="CF155" s="711">
        <v>0</v>
      </c>
      <c r="CG155" s="714">
        <v>0</v>
      </c>
      <c r="CH155" s="711">
        <v>0</v>
      </c>
      <c r="CI155" s="714">
        <v>0</v>
      </c>
      <c r="CJ155" s="711">
        <v>0</v>
      </c>
      <c r="CK155" s="712">
        <v>0</v>
      </c>
      <c r="CL155" s="711">
        <v>0</v>
      </c>
      <c r="CM155" s="712">
        <v>0</v>
      </c>
      <c r="CN155" s="713">
        <v>0</v>
      </c>
      <c r="CO155" s="712">
        <v>0</v>
      </c>
    </row>
    <row r="156" spans="1:93">
      <c r="A156" s="468">
        <v>154</v>
      </c>
      <c r="B156" s="596">
        <v>0</v>
      </c>
      <c r="C156" s="596">
        <v>0</v>
      </c>
      <c r="D156" s="596">
        <v>0</v>
      </c>
      <c r="E156" s="596">
        <v>0</v>
      </c>
      <c r="F156" s="596">
        <v>0</v>
      </c>
      <c r="G156" s="596">
        <v>0</v>
      </c>
      <c r="H156" s="596">
        <v>0</v>
      </c>
      <c r="I156" s="596">
        <v>0</v>
      </c>
      <c r="J156" s="596">
        <v>0</v>
      </c>
      <c r="K156" s="596">
        <v>0</v>
      </c>
      <c r="L156" s="596">
        <v>0</v>
      </c>
      <c r="M156" s="596">
        <v>0</v>
      </c>
      <c r="N156" s="596">
        <v>0</v>
      </c>
      <c r="O156" s="596">
        <v>0</v>
      </c>
      <c r="P156" s="596">
        <v>0</v>
      </c>
      <c r="Q156" s="596">
        <v>0</v>
      </c>
      <c r="R156" s="596">
        <v>0</v>
      </c>
      <c r="S156" s="596">
        <v>0</v>
      </c>
      <c r="T156" s="596">
        <v>0</v>
      </c>
      <c r="U156" s="596">
        <v>0</v>
      </c>
      <c r="V156" s="596">
        <v>0</v>
      </c>
      <c r="W156" s="612">
        <v>0</v>
      </c>
      <c r="X156" s="704">
        <v>0</v>
      </c>
      <c r="Y156" s="705">
        <v>0</v>
      </c>
      <c r="Z156" s="706">
        <v>0</v>
      </c>
      <c r="AA156" s="707">
        <v>0</v>
      </c>
      <c r="AB156" s="706">
        <v>0</v>
      </c>
      <c r="AC156" s="704">
        <v>0</v>
      </c>
      <c r="AD156" s="706">
        <v>0</v>
      </c>
      <c r="AE156" s="708">
        <v>0</v>
      </c>
      <c r="AF156" s="704">
        <v>0</v>
      </c>
      <c r="AG156" s="704">
        <v>0</v>
      </c>
      <c r="AH156" s="708">
        <v>0</v>
      </c>
      <c r="AI156" s="709">
        <v>0</v>
      </c>
      <c r="AJ156" s="706">
        <v>0</v>
      </c>
      <c r="AK156" s="704">
        <v>0</v>
      </c>
      <c r="AL156" s="706">
        <v>0</v>
      </c>
      <c r="AM156" s="710">
        <v>0</v>
      </c>
      <c r="AN156" s="704">
        <v>0</v>
      </c>
      <c r="AO156" s="706">
        <v>0</v>
      </c>
      <c r="AP156" s="711">
        <v>0</v>
      </c>
      <c r="AQ156" s="712">
        <v>0</v>
      </c>
      <c r="AR156" s="711">
        <v>0</v>
      </c>
      <c r="AS156" s="712">
        <v>0</v>
      </c>
      <c r="AT156" s="711">
        <v>0</v>
      </c>
      <c r="AU156" s="712">
        <v>0</v>
      </c>
      <c r="AV156" s="713">
        <v>0</v>
      </c>
      <c r="AW156" s="714">
        <v>0</v>
      </c>
      <c r="AX156" s="711">
        <v>0</v>
      </c>
      <c r="AY156" s="712">
        <v>0</v>
      </c>
      <c r="AZ156" s="713">
        <v>0</v>
      </c>
      <c r="BA156" s="712">
        <v>0</v>
      </c>
      <c r="BB156" s="713">
        <v>0</v>
      </c>
      <c r="BC156" s="712">
        <v>0</v>
      </c>
      <c r="BD156" s="713">
        <v>0</v>
      </c>
      <c r="BE156" s="712">
        <v>0</v>
      </c>
      <c r="BF156" s="713">
        <v>0</v>
      </c>
      <c r="BG156" s="712">
        <v>0</v>
      </c>
      <c r="BH156" s="713">
        <v>0</v>
      </c>
      <c r="BI156" s="712">
        <v>0</v>
      </c>
      <c r="BJ156" s="713">
        <v>0</v>
      </c>
      <c r="BK156" s="712">
        <v>0</v>
      </c>
      <c r="BL156" s="713">
        <v>0</v>
      </c>
      <c r="BM156" s="712">
        <v>0</v>
      </c>
      <c r="BN156" s="713">
        <v>0</v>
      </c>
      <c r="BO156" s="712">
        <v>0</v>
      </c>
      <c r="BP156" s="713">
        <v>0</v>
      </c>
      <c r="BQ156" s="712">
        <v>0</v>
      </c>
      <c r="BR156" s="713">
        <v>0</v>
      </c>
      <c r="BS156" s="712">
        <v>0</v>
      </c>
      <c r="BT156" s="713">
        <v>0</v>
      </c>
      <c r="BU156" s="712">
        <v>0</v>
      </c>
      <c r="BV156" s="711">
        <v>0</v>
      </c>
      <c r="BW156" s="714">
        <v>0</v>
      </c>
      <c r="BX156" s="711">
        <v>0</v>
      </c>
      <c r="BY156" s="714">
        <v>0</v>
      </c>
      <c r="BZ156" s="711">
        <v>0</v>
      </c>
      <c r="CA156" s="714">
        <v>0</v>
      </c>
      <c r="CB156" s="711">
        <v>0</v>
      </c>
      <c r="CC156" s="714">
        <v>0</v>
      </c>
      <c r="CD156" s="711">
        <v>0</v>
      </c>
      <c r="CE156" s="714">
        <v>0</v>
      </c>
      <c r="CF156" s="711">
        <v>0</v>
      </c>
      <c r="CG156" s="714">
        <v>0</v>
      </c>
      <c r="CH156" s="711">
        <v>0</v>
      </c>
      <c r="CI156" s="714">
        <v>0</v>
      </c>
      <c r="CJ156" s="711">
        <v>0</v>
      </c>
      <c r="CK156" s="712">
        <v>0</v>
      </c>
      <c r="CL156" s="711">
        <v>0</v>
      </c>
      <c r="CM156" s="712">
        <v>0</v>
      </c>
      <c r="CN156" s="713">
        <v>0</v>
      </c>
      <c r="CO156" s="712">
        <v>0</v>
      </c>
    </row>
    <row r="157" spans="1:93">
      <c r="A157" s="468">
        <v>155</v>
      </c>
      <c r="B157" s="596">
        <v>0</v>
      </c>
      <c r="C157" s="596">
        <v>0</v>
      </c>
      <c r="D157" s="596">
        <v>0</v>
      </c>
      <c r="E157" s="596">
        <v>0</v>
      </c>
      <c r="F157" s="596">
        <v>0</v>
      </c>
      <c r="G157" s="596">
        <v>0</v>
      </c>
      <c r="H157" s="596">
        <v>0</v>
      </c>
      <c r="I157" s="596">
        <v>0</v>
      </c>
      <c r="J157" s="596">
        <v>0</v>
      </c>
      <c r="K157" s="596">
        <v>0</v>
      </c>
      <c r="L157" s="596">
        <v>0</v>
      </c>
      <c r="M157" s="596">
        <v>0</v>
      </c>
      <c r="N157" s="596">
        <v>0</v>
      </c>
      <c r="O157" s="596">
        <v>0</v>
      </c>
      <c r="P157" s="596">
        <v>0</v>
      </c>
      <c r="Q157" s="596">
        <v>0</v>
      </c>
      <c r="R157" s="596">
        <v>0</v>
      </c>
      <c r="S157" s="596">
        <v>0</v>
      </c>
      <c r="T157" s="596">
        <v>0</v>
      </c>
      <c r="U157" s="596">
        <v>0</v>
      </c>
      <c r="V157" s="596">
        <v>0</v>
      </c>
      <c r="W157" s="612">
        <v>0</v>
      </c>
      <c r="X157" s="704">
        <v>0</v>
      </c>
      <c r="Y157" s="705">
        <v>0</v>
      </c>
      <c r="Z157" s="706">
        <v>0</v>
      </c>
      <c r="AA157" s="707">
        <v>0</v>
      </c>
      <c r="AB157" s="706">
        <v>0</v>
      </c>
      <c r="AC157" s="704">
        <v>0</v>
      </c>
      <c r="AD157" s="706">
        <v>0</v>
      </c>
      <c r="AE157" s="708">
        <v>0</v>
      </c>
      <c r="AF157" s="704">
        <v>0</v>
      </c>
      <c r="AG157" s="704">
        <v>0</v>
      </c>
      <c r="AH157" s="708">
        <v>0</v>
      </c>
      <c r="AI157" s="709">
        <v>0</v>
      </c>
      <c r="AJ157" s="706">
        <v>0</v>
      </c>
      <c r="AK157" s="704">
        <v>0</v>
      </c>
      <c r="AL157" s="706">
        <v>0</v>
      </c>
      <c r="AM157" s="710">
        <v>0</v>
      </c>
      <c r="AN157" s="704">
        <v>0</v>
      </c>
      <c r="AO157" s="706">
        <v>0</v>
      </c>
      <c r="AP157" s="711">
        <v>0</v>
      </c>
      <c r="AQ157" s="712">
        <v>0</v>
      </c>
      <c r="AR157" s="711">
        <v>0</v>
      </c>
      <c r="AS157" s="712">
        <v>0</v>
      </c>
      <c r="AT157" s="711">
        <v>0</v>
      </c>
      <c r="AU157" s="712">
        <v>0</v>
      </c>
      <c r="AV157" s="713">
        <v>0</v>
      </c>
      <c r="AW157" s="714">
        <v>0</v>
      </c>
      <c r="AX157" s="711">
        <v>0</v>
      </c>
      <c r="AY157" s="712">
        <v>0</v>
      </c>
      <c r="AZ157" s="713">
        <v>0</v>
      </c>
      <c r="BA157" s="712">
        <v>0</v>
      </c>
      <c r="BB157" s="713">
        <v>0</v>
      </c>
      <c r="BC157" s="712">
        <v>0</v>
      </c>
      <c r="BD157" s="713">
        <v>0</v>
      </c>
      <c r="BE157" s="712">
        <v>0</v>
      </c>
      <c r="BF157" s="713">
        <v>0</v>
      </c>
      <c r="BG157" s="712">
        <v>0</v>
      </c>
      <c r="BH157" s="713">
        <v>0</v>
      </c>
      <c r="BI157" s="712">
        <v>0</v>
      </c>
      <c r="BJ157" s="713">
        <v>0</v>
      </c>
      <c r="BK157" s="712">
        <v>0</v>
      </c>
      <c r="BL157" s="713">
        <v>0</v>
      </c>
      <c r="BM157" s="712">
        <v>0</v>
      </c>
      <c r="BN157" s="713">
        <v>0</v>
      </c>
      <c r="BO157" s="712">
        <v>0</v>
      </c>
      <c r="BP157" s="713">
        <v>0</v>
      </c>
      <c r="BQ157" s="712">
        <v>0</v>
      </c>
      <c r="BR157" s="713">
        <v>0</v>
      </c>
      <c r="BS157" s="712">
        <v>0</v>
      </c>
      <c r="BT157" s="713">
        <v>0</v>
      </c>
      <c r="BU157" s="712">
        <v>0</v>
      </c>
      <c r="BV157" s="711">
        <v>0</v>
      </c>
      <c r="BW157" s="714">
        <v>0</v>
      </c>
      <c r="BX157" s="711">
        <v>0</v>
      </c>
      <c r="BY157" s="714">
        <v>0</v>
      </c>
      <c r="BZ157" s="711">
        <v>0</v>
      </c>
      <c r="CA157" s="714">
        <v>0</v>
      </c>
      <c r="CB157" s="711">
        <v>0</v>
      </c>
      <c r="CC157" s="714">
        <v>0</v>
      </c>
      <c r="CD157" s="711">
        <v>0</v>
      </c>
      <c r="CE157" s="714">
        <v>0</v>
      </c>
      <c r="CF157" s="711">
        <v>0</v>
      </c>
      <c r="CG157" s="714">
        <v>0</v>
      </c>
      <c r="CH157" s="711">
        <v>0</v>
      </c>
      <c r="CI157" s="714">
        <v>0</v>
      </c>
      <c r="CJ157" s="711">
        <v>0</v>
      </c>
      <c r="CK157" s="712">
        <v>0</v>
      </c>
      <c r="CL157" s="711">
        <v>0</v>
      </c>
      <c r="CM157" s="712">
        <v>0</v>
      </c>
      <c r="CN157" s="713">
        <v>0</v>
      </c>
      <c r="CO157" s="712">
        <v>0</v>
      </c>
    </row>
    <row r="158" spans="1:93">
      <c r="A158" s="468">
        <v>156</v>
      </c>
      <c r="B158" s="596">
        <v>0</v>
      </c>
      <c r="C158" s="596">
        <v>0</v>
      </c>
      <c r="D158" s="596">
        <v>0</v>
      </c>
      <c r="E158" s="596">
        <v>0</v>
      </c>
      <c r="F158" s="596">
        <v>0</v>
      </c>
      <c r="G158" s="596">
        <v>0</v>
      </c>
      <c r="H158" s="596">
        <v>0</v>
      </c>
      <c r="I158" s="596">
        <v>0</v>
      </c>
      <c r="J158" s="596">
        <v>0</v>
      </c>
      <c r="K158" s="596">
        <v>0</v>
      </c>
      <c r="L158" s="596">
        <v>0</v>
      </c>
      <c r="M158" s="596">
        <v>0</v>
      </c>
      <c r="N158" s="596">
        <v>0</v>
      </c>
      <c r="O158" s="596">
        <v>0</v>
      </c>
      <c r="P158" s="596">
        <v>0</v>
      </c>
      <c r="Q158" s="596">
        <v>0</v>
      </c>
      <c r="R158" s="596">
        <v>0</v>
      </c>
      <c r="S158" s="596">
        <v>0</v>
      </c>
      <c r="T158" s="596">
        <v>0</v>
      </c>
      <c r="U158" s="596">
        <v>0</v>
      </c>
      <c r="V158" s="596">
        <v>0</v>
      </c>
      <c r="W158" s="612">
        <v>0</v>
      </c>
      <c r="X158" s="704">
        <v>0</v>
      </c>
      <c r="Y158" s="705">
        <v>0</v>
      </c>
      <c r="Z158" s="706">
        <v>0</v>
      </c>
      <c r="AA158" s="707">
        <v>0</v>
      </c>
      <c r="AB158" s="706">
        <v>0</v>
      </c>
      <c r="AC158" s="704">
        <v>0</v>
      </c>
      <c r="AD158" s="706">
        <v>0</v>
      </c>
      <c r="AE158" s="708">
        <v>0</v>
      </c>
      <c r="AF158" s="704">
        <v>0</v>
      </c>
      <c r="AG158" s="704">
        <v>0</v>
      </c>
      <c r="AH158" s="708">
        <v>0</v>
      </c>
      <c r="AI158" s="709">
        <v>0</v>
      </c>
      <c r="AJ158" s="706">
        <v>0</v>
      </c>
      <c r="AK158" s="704">
        <v>0</v>
      </c>
      <c r="AL158" s="706">
        <v>0</v>
      </c>
      <c r="AM158" s="710">
        <v>0</v>
      </c>
      <c r="AN158" s="704">
        <v>0</v>
      </c>
      <c r="AO158" s="706">
        <v>0</v>
      </c>
      <c r="AP158" s="711">
        <v>0</v>
      </c>
      <c r="AQ158" s="712">
        <v>0</v>
      </c>
      <c r="AR158" s="711">
        <v>0</v>
      </c>
      <c r="AS158" s="712">
        <v>0</v>
      </c>
      <c r="AT158" s="711">
        <v>0</v>
      </c>
      <c r="AU158" s="712">
        <v>0</v>
      </c>
      <c r="AV158" s="713">
        <v>0</v>
      </c>
      <c r="AW158" s="714">
        <v>0</v>
      </c>
      <c r="AX158" s="711">
        <v>0</v>
      </c>
      <c r="AY158" s="712">
        <v>0</v>
      </c>
      <c r="AZ158" s="713">
        <v>0</v>
      </c>
      <c r="BA158" s="712">
        <v>0</v>
      </c>
      <c r="BB158" s="713">
        <v>0</v>
      </c>
      <c r="BC158" s="712">
        <v>0</v>
      </c>
      <c r="BD158" s="713">
        <v>0</v>
      </c>
      <c r="BE158" s="712">
        <v>0</v>
      </c>
      <c r="BF158" s="713">
        <v>0</v>
      </c>
      <c r="BG158" s="712">
        <v>0</v>
      </c>
      <c r="BH158" s="713">
        <v>0</v>
      </c>
      <c r="BI158" s="712">
        <v>0</v>
      </c>
      <c r="BJ158" s="713">
        <v>0</v>
      </c>
      <c r="BK158" s="712">
        <v>0</v>
      </c>
      <c r="BL158" s="713">
        <v>0</v>
      </c>
      <c r="BM158" s="712">
        <v>0</v>
      </c>
      <c r="BN158" s="713">
        <v>0</v>
      </c>
      <c r="BO158" s="712">
        <v>0</v>
      </c>
      <c r="BP158" s="713">
        <v>0</v>
      </c>
      <c r="BQ158" s="712">
        <v>0</v>
      </c>
      <c r="BR158" s="713">
        <v>0</v>
      </c>
      <c r="BS158" s="712">
        <v>0</v>
      </c>
      <c r="BT158" s="713">
        <v>0</v>
      </c>
      <c r="BU158" s="712">
        <v>0</v>
      </c>
      <c r="BV158" s="711">
        <v>0</v>
      </c>
      <c r="BW158" s="714">
        <v>0</v>
      </c>
      <c r="BX158" s="711">
        <v>0</v>
      </c>
      <c r="BY158" s="714">
        <v>0</v>
      </c>
      <c r="BZ158" s="711">
        <v>0</v>
      </c>
      <c r="CA158" s="714">
        <v>0</v>
      </c>
      <c r="CB158" s="711">
        <v>0</v>
      </c>
      <c r="CC158" s="714">
        <v>0</v>
      </c>
      <c r="CD158" s="711">
        <v>0</v>
      </c>
      <c r="CE158" s="714">
        <v>0</v>
      </c>
      <c r="CF158" s="711">
        <v>0</v>
      </c>
      <c r="CG158" s="714">
        <v>0</v>
      </c>
      <c r="CH158" s="711">
        <v>0</v>
      </c>
      <c r="CI158" s="714">
        <v>0</v>
      </c>
      <c r="CJ158" s="711">
        <v>0</v>
      </c>
      <c r="CK158" s="712">
        <v>0</v>
      </c>
      <c r="CL158" s="711">
        <v>0</v>
      </c>
      <c r="CM158" s="712">
        <v>0</v>
      </c>
      <c r="CN158" s="713">
        <v>0</v>
      </c>
      <c r="CO158" s="712">
        <v>0</v>
      </c>
    </row>
    <row r="159" spans="1:93">
      <c r="A159" s="468">
        <v>157</v>
      </c>
      <c r="B159" s="596">
        <v>0</v>
      </c>
      <c r="C159" s="596">
        <v>0</v>
      </c>
      <c r="D159" s="596">
        <v>0</v>
      </c>
      <c r="E159" s="596">
        <v>0</v>
      </c>
      <c r="F159" s="596">
        <v>0</v>
      </c>
      <c r="G159" s="596">
        <v>0</v>
      </c>
      <c r="H159" s="596">
        <v>0</v>
      </c>
      <c r="I159" s="596">
        <v>0</v>
      </c>
      <c r="J159" s="596">
        <v>0</v>
      </c>
      <c r="K159" s="596">
        <v>0</v>
      </c>
      <c r="L159" s="596">
        <v>0</v>
      </c>
      <c r="M159" s="596">
        <v>0</v>
      </c>
      <c r="N159" s="596">
        <v>0</v>
      </c>
      <c r="O159" s="596">
        <v>0</v>
      </c>
      <c r="P159" s="596">
        <v>0</v>
      </c>
      <c r="Q159" s="596">
        <v>0</v>
      </c>
      <c r="R159" s="596">
        <v>0</v>
      </c>
      <c r="S159" s="596">
        <v>0</v>
      </c>
      <c r="T159" s="596">
        <v>0</v>
      </c>
      <c r="U159" s="596">
        <v>0</v>
      </c>
      <c r="V159" s="596">
        <v>0</v>
      </c>
      <c r="W159" s="612">
        <v>0</v>
      </c>
      <c r="X159" s="704">
        <v>0</v>
      </c>
      <c r="Y159" s="705">
        <v>0</v>
      </c>
      <c r="Z159" s="706">
        <v>0</v>
      </c>
      <c r="AA159" s="707">
        <v>0</v>
      </c>
      <c r="AB159" s="706">
        <v>0</v>
      </c>
      <c r="AC159" s="704">
        <v>0</v>
      </c>
      <c r="AD159" s="706">
        <v>0</v>
      </c>
      <c r="AE159" s="708">
        <v>0</v>
      </c>
      <c r="AF159" s="704">
        <v>0</v>
      </c>
      <c r="AG159" s="704">
        <v>0</v>
      </c>
      <c r="AH159" s="708">
        <v>0</v>
      </c>
      <c r="AI159" s="709">
        <v>0</v>
      </c>
      <c r="AJ159" s="706">
        <v>0</v>
      </c>
      <c r="AK159" s="704">
        <v>0</v>
      </c>
      <c r="AL159" s="706">
        <v>0</v>
      </c>
      <c r="AM159" s="710">
        <v>0</v>
      </c>
      <c r="AN159" s="704">
        <v>0</v>
      </c>
      <c r="AO159" s="706">
        <v>0</v>
      </c>
      <c r="AP159" s="711">
        <v>0</v>
      </c>
      <c r="AQ159" s="712">
        <v>0</v>
      </c>
      <c r="AR159" s="711">
        <v>0</v>
      </c>
      <c r="AS159" s="712">
        <v>0</v>
      </c>
      <c r="AT159" s="711">
        <v>0</v>
      </c>
      <c r="AU159" s="712">
        <v>0</v>
      </c>
      <c r="AV159" s="713">
        <v>0</v>
      </c>
      <c r="AW159" s="714">
        <v>0</v>
      </c>
      <c r="AX159" s="711">
        <v>0</v>
      </c>
      <c r="AY159" s="712">
        <v>0</v>
      </c>
      <c r="AZ159" s="713">
        <v>0</v>
      </c>
      <c r="BA159" s="712">
        <v>0</v>
      </c>
      <c r="BB159" s="713">
        <v>0</v>
      </c>
      <c r="BC159" s="712">
        <v>0</v>
      </c>
      <c r="BD159" s="713">
        <v>0</v>
      </c>
      <c r="BE159" s="712">
        <v>0</v>
      </c>
      <c r="BF159" s="713">
        <v>0</v>
      </c>
      <c r="BG159" s="712">
        <v>0</v>
      </c>
      <c r="BH159" s="713">
        <v>0</v>
      </c>
      <c r="BI159" s="712">
        <v>0</v>
      </c>
      <c r="BJ159" s="713">
        <v>0</v>
      </c>
      <c r="BK159" s="712">
        <v>0</v>
      </c>
      <c r="BL159" s="713">
        <v>0</v>
      </c>
      <c r="BM159" s="712">
        <v>0</v>
      </c>
      <c r="BN159" s="713">
        <v>0</v>
      </c>
      <c r="BO159" s="712">
        <v>0</v>
      </c>
      <c r="BP159" s="713">
        <v>0</v>
      </c>
      <c r="BQ159" s="712">
        <v>0</v>
      </c>
      <c r="BR159" s="713">
        <v>0</v>
      </c>
      <c r="BS159" s="712">
        <v>0</v>
      </c>
      <c r="BT159" s="713">
        <v>0</v>
      </c>
      <c r="BU159" s="712">
        <v>0</v>
      </c>
      <c r="BV159" s="711">
        <v>0</v>
      </c>
      <c r="BW159" s="714">
        <v>0</v>
      </c>
      <c r="BX159" s="711">
        <v>0</v>
      </c>
      <c r="BY159" s="714">
        <v>0</v>
      </c>
      <c r="BZ159" s="711">
        <v>0</v>
      </c>
      <c r="CA159" s="714">
        <v>0</v>
      </c>
      <c r="CB159" s="711">
        <v>0</v>
      </c>
      <c r="CC159" s="714">
        <v>0</v>
      </c>
      <c r="CD159" s="711">
        <v>0</v>
      </c>
      <c r="CE159" s="714">
        <v>0</v>
      </c>
      <c r="CF159" s="711">
        <v>0</v>
      </c>
      <c r="CG159" s="714">
        <v>0</v>
      </c>
      <c r="CH159" s="711">
        <v>0</v>
      </c>
      <c r="CI159" s="714">
        <v>0</v>
      </c>
      <c r="CJ159" s="711">
        <v>0</v>
      </c>
      <c r="CK159" s="712">
        <v>0</v>
      </c>
      <c r="CL159" s="711">
        <v>0</v>
      </c>
      <c r="CM159" s="712">
        <v>0</v>
      </c>
      <c r="CN159" s="713">
        <v>0</v>
      </c>
      <c r="CO159" s="712">
        <v>0</v>
      </c>
    </row>
    <row r="160" spans="1:93">
      <c r="A160" s="468">
        <v>158</v>
      </c>
      <c r="B160" s="596">
        <v>0</v>
      </c>
      <c r="C160" s="596">
        <v>0</v>
      </c>
      <c r="D160" s="596">
        <v>0</v>
      </c>
      <c r="E160" s="596">
        <v>0</v>
      </c>
      <c r="F160" s="596">
        <v>0</v>
      </c>
      <c r="G160" s="596">
        <v>0</v>
      </c>
      <c r="H160" s="596">
        <v>0</v>
      </c>
      <c r="I160" s="596">
        <v>0</v>
      </c>
      <c r="J160" s="596">
        <v>0</v>
      </c>
      <c r="K160" s="596">
        <v>0</v>
      </c>
      <c r="L160" s="596">
        <v>0</v>
      </c>
      <c r="M160" s="596">
        <v>0</v>
      </c>
      <c r="N160" s="596">
        <v>0</v>
      </c>
      <c r="O160" s="596">
        <v>0</v>
      </c>
      <c r="P160" s="596">
        <v>0</v>
      </c>
      <c r="Q160" s="596">
        <v>0</v>
      </c>
      <c r="R160" s="596">
        <v>0</v>
      </c>
      <c r="S160" s="596">
        <v>0</v>
      </c>
      <c r="T160" s="596">
        <v>0</v>
      </c>
      <c r="U160" s="596">
        <v>0</v>
      </c>
      <c r="V160" s="596">
        <v>0</v>
      </c>
      <c r="W160" s="612">
        <v>0</v>
      </c>
      <c r="X160" s="704">
        <v>0</v>
      </c>
      <c r="Y160" s="705">
        <v>0</v>
      </c>
      <c r="Z160" s="706">
        <v>0</v>
      </c>
      <c r="AA160" s="707">
        <v>0</v>
      </c>
      <c r="AB160" s="706">
        <v>0</v>
      </c>
      <c r="AC160" s="704">
        <v>0</v>
      </c>
      <c r="AD160" s="706">
        <v>0</v>
      </c>
      <c r="AE160" s="708">
        <v>0</v>
      </c>
      <c r="AF160" s="704">
        <v>0</v>
      </c>
      <c r="AG160" s="704">
        <v>0</v>
      </c>
      <c r="AH160" s="708">
        <v>0</v>
      </c>
      <c r="AI160" s="709">
        <v>0</v>
      </c>
      <c r="AJ160" s="706">
        <v>0</v>
      </c>
      <c r="AK160" s="704">
        <v>0</v>
      </c>
      <c r="AL160" s="706">
        <v>0</v>
      </c>
      <c r="AM160" s="710">
        <v>0</v>
      </c>
      <c r="AN160" s="704">
        <v>0</v>
      </c>
      <c r="AO160" s="706">
        <v>0</v>
      </c>
      <c r="AP160" s="711">
        <v>0</v>
      </c>
      <c r="AQ160" s="712">
        <v>0</v>
      </c>
      <c r="AR160" s="711">
        <v>0</v>
      </c>
      <c r="AS160" s="712">
        <v>0</v>
      </c>
      <c r="AT160" s="711">
        <v>0</v>
      </c>
      <c r="AU160" s="712">
        <v>0</v>
      </c>
      <c r="AV160" s="713">
        <v>0</v>
      </c>
      <c r="AW160" s="714">
        <v>0</v>
      </c>
      <c r="AX160" s="711">
        <v>0</v>
      </c>
      <c r="AY160" s="712">
        <v>0</v>
      </c>
      <c r="AZ160" s="713">
        <v>0</v>
      </c>
      <c r="BA160" s="712">
        <v>0</v>
      </c>
      <c r="BB160" s="713">
        <v>0</v>
      </c>
      <c r="BC160" s="712">
        <v>0</v>
      </c>
      <c r="BD160" s="713">
        <v>0</v>
      </c>
      <c r="BE160" s="712">
        <v>0</v>
      </c>
      <c r="BF160" s="713">
        <v>0</v>
      </c>
      <c r="BG160" s="712">
        <v>0</v>
      </c>
      <c r="BH160" s="713">
        <v>0</v>
      </c>
      <c r="BI160" s="712">
        <v>0</v>
      </c>
      <c r="BJ160" s="713">
        <v>0</v>
      </c>
      <c r="BK160" s="712">
        <v>0</v>
      </c>
      <c r="BL160" s="713">
        <v>0</v>
      </c>
      <c r="BM160" s="712">
        <v>0</v>
      </c>
      <c r="BN160" s="713">
        <v>0</v>
      </c>
      <c r="BO160" s="712">
        <v>0</v>
      </c>
      <c r="BP160" s="713">
        <v>0</v>
      </c>
      <c r="BQ160" s="712">
        <v>0</v>
      </c>
      <c r="BR160" s="713">
        <v>0</v>
      </c>
      <c r="BS160" s="712">
        <v>0</v>
      </c>
      <c r="BT160" s="713">
        <v>0</v>
      </c>
      <c r="BU160" s="712">
        <v>0</v>
      </c>
      <c r="BV160" s="711">
        <v>0</v>
      </c>
      <c r="BW160" s="714">
        <v>0</v>
      </c>
      <c r="BX160" s="711">
        <v>0</v>
      </c>
      <c r="BY160" s="714">
        <v>0</v>
      </c>
      <c r="BZ160" s="711">
        <v>0</v>
      </c>
      <c r="CA160" s="714">
        <v>0</v>
      </c>
      <c r="CB160" s="711">
        <v>0</v>
      </c>
      <c r="CC160" s="714">
        <v>0</v>
      </c>
      <c r="CD160" s="711">
        <v>0</v>
      </c>
      <c r="CE160" s="714">
        <v>0</v>
      </c>
      <c r="CF160" s="711">
        <v>0</v>
      </c>
      <c r="CG160" s="714">
        <v>0</v>
      </c>
      <c r="CH160" s="711">
        <v>0</v>
      </c>
      <c r="CI160" s="714">
        <v>0</v>
      </c>
      <c r="CJ160" s="711">
        <v>0</v>
      </c>
      <c r="CK160" s="712">
        <v>0</v>
      </c>
      <c r="CL160" s="711">
        <v>0</v>
      </c>
      <c r="CM160" s="712">
        <v>0</v>
      </c>
      <c r="CN160" s="713">
        <v>0</v>
      </c>
      <c r="CO160" s="712">
        <v>0</v>
      </c>
    </row>
    <row r="161" spans="1:93">
      <c r="A161" s="468">
        <v>159</v>
      </c>
      <c r="B161" s="596">
        <v>0</v>
      </c>
      <c r="C161" s="596">
        <v>0</v>
      </c>
      <c r="D161" s="596">
        <v>0</v>
      </c>
      <c r="E161" s="596">
        <v>0</v>
      </c>
      <c r="F161" s="596">
        <v>0</v>
      </c>
      <c r="G161" s="596">
        <v>0</v>
      </c>
      <c r="H161" s="596">
        <v>0</v>
      </c>
      <c r="I161" s="596">
        <v>0</v>
      </c>
      <c r="J161" s="596">
        <v>0</v>
      </c>
      <c r="K161" s="596">
        <v>0</v>
      </c>
      <c r="L161" s="596">
        <v>0</v>
      </c>
      <c r="M161" s="596">
        <v>0</v>
      </c>
      <c r="N161" s="596">
        <v>0</v>
      </c>
      <c r="O161" s="596">
        <v>0</v>
      </c>
      <c r="P161" s="596">
        <v>0</v>
      </c>
      <c r="Q161" s="596">
        <v>0</v>
      </c>
      <c r="R161" s="596">
        <v>0</v>
      </c>
      <c r="S161" s="596">
        <v>0</v>
      </c>
      <c r="T161" s="596">
        <v>0</v>
      </c>
      <c r="U161" s="596">
        <v>0</v>
      </c>
      <c r="V161" s="596">
        <v>0</v>
      </c>
      <c r="W161" s="612">
        <v>0</v>
      </c>
      <c r="X161" s="704">
        <v>0</v>
      </c>
      <c r="Y161" s="705">
        <v>0</v>
      </c>
      <c r="Z161" s="706">
        <v>0</v>
      </c>
      <c r="AA161" s="707">
        <v>0</v>
      </c>
      <c r="AB161" s="706">
        <v>0</v>
      </c>
      <c r="AC161" s="704">
        <v>0</v>
      </c>
      <c r="AD161" s="706">
        <v>0</v>
      </c>
      <c r="AE161" s="708">
        <v>0</v>
      </c>
      <c r="AF161" s="704">
        <v>0</v>
      </c>
      <c r="AG161" s="704">
        <v>0</v>
      </c>
      <c r="AH161" s="708">
        <v>0</v>
      </c>
      <c r="AI161" s="709">
        <v>0</v>
      </c>
      <c r="AJ161" s="706">
        <v>0</v>
      </c>
      <c r="AK161" s="704">
        <v>0</v>
      </c>
      <c r="AL161" s="706">
        <v>0</v>
      </c>
      <c r="AM161" s="710">
        <v>0</v>
      </c>
      <c r="AN161" s="704">
        <v>0</v>
      </c>
      <c r="AO161" s="706">
        <v>0</v>
      </c>
      <c r="AP161" s="711">
        <v>0</v>
      </c>
      <c r="AQ161" s="712">
        <v>0</v>
      </c>
      <c r="AR161" s="711">
        <v>0</v>
      </c>
      <c r="AS161" s="712">
        <v>0</v>
      </c>
      <c r="AT161" s="711">
        <v>0</v>
      </c>
      <c r="AU161" s="712">
        <v>0</v>
      </c>
      <c r="AV161" s="713">
        <v>0</v>
      </c>
      <c r="AW161" s="714">
        <v>0</v>
      </c>
      <c r="AX161" s="711">
        <v>0</v>
      </c>
      <c r="AY161" s="712">
        <v>0</v>
      </c>
      <c r="AZ161" s="713">
        <v>0</v>
      </c>
      <c r="BA161" s="712">
        <v>0</v>
      </c>
      <c r="BB161" s="713">
        <v>0</v>
      </c>
      <c r="BC161" s="712">
        <v>0</v>
      </c>
      <c r="BD161" s="713">
        <v>0</v>
      </c>
      <c r="BE161" s="712">
        <v>0</v>
      </c>
      <c r="BF161" s="713">
        <v>0</v>
      </c>
      <c r="BG161" s="712">
        <v>0</v>
      </c>
      <c r="BH161" s="713">
        <v>0</v>
      </c>
      <c r="BI161" s="712">
        <v>0</v>
      </c>
      <c r="BJ161" s="713">
        <v>0</v>
      </c>
      <c r="BK161" s="712">
        <v>0</v>
      </c>
      <c r="BL161" s="713">
        <v>0</v>
      </c>
      <c r="BM161" s="712">
        <v>0</v>
      </c>
      <c r="BN161" s="713">
        <v>0</v>
      </c>
      <c r="BO161" s="712">
        <v>0</v>
      </c>
      <c r="BP161" s="713">
        <v>0</v>
      </c>
      <c r="BQ161" s="712">
        <v>0</v>
      </c>
      <c r="BR161" s="713">
        <v>0</v>
      </c>
      <c r="BS161" s="712">
        <v>0</v>
      </c>
      <c r="BT161" s="713">
        <v>0</v>
      </c>
      <c r="BU161" s="712">
        <v>0</v>
      </c>
      <c r="BV161" s="711">
        <v>0</v>
      </c>
      <c r="BW161" s="714">
        <v>0</v>
      </c>
      <c r="BX161" s="711">
        <v>0</v>
      </c>
      <c r="BY161" s="714">
        <v>0</v>
      </c>
      <c r="BZ161" s="711">
        <v>0</v>
      </c>
      <c r="CA161" s="714">
        <v>0</v>
      </c>
      <c r="CB161" s="711">
        <v>0</v>
      </c>
      <c r="CC161" s="714">
        <v>0</v>
      </c>
      <c r="CD161" s="711">
        <v>0</v>
      </c>
      <c r="CE161" s="714">
        <v>0</v>
      </c>
      <c r="CF161" s="711">
        <v>0</v>
      </c>
      <c r="CG161" s="714">
        <v>0</v>
      </c>
      <c r="CH161" s="711">
        <v>0</v>
      </c>
      <c r="CI161" s="714">
        <v>0</v>
      </c>
      <c r="CJ161" s="711">
        <v>0</v>
      </c>
      <c r="CK161" s="712">
        <v>0</v>
      </c>
      <c r="CL161" s="711">
        <v>0</v>
      </c>
      <c r="CM161" s="712">
        <v>0</v>
      </c>
      <c r="CN161" s="713">
        <v>0</v>
      </c>
      <c r="CO161" s="712">
        <v>0</v>
      </c>
    </row>
    <row r="162" spans="1:93">
      <c r="A162" s="468">
        <v>160</v>
      </c>
      <c r="B162" s="596">
        <v>0</v>
      </c>
      <c r="C162" s="596">
        <v>0</v>
      </c>
      <c r="D162" s="596">
        <v>0</v>
      </c>
      <c r="E162" s="596">
        <v>0</v>
      </c>
      <c r="F162" s="596">
        <v>0</v>
      </c>
      <c r="G162" s="596">
        <v>0</v>
      </c>
      <c r="H162" s="596">
        <v>0</v>
      </c>
      <c r="I162" s="596">
        <v>0</v>
      </c>
      <c r="J162" s="596">
        <v>0</v>
      </c>
      <c r="K162" s="596">
        <v>0</v>
      </c>
      <c r="L162" s="596">
        <v>0</v>
      </c>
      <c r="M162" s="596">
        <v>0</v>
      </c>
      <c r="N162" s="596">
        <v>0</v>
      </c>
      <c r="O162" s="596">
        <v>0</v>
      </c>
      <c r="P162" s="596">
        <v>0</v>
      </c>
      <c r="Q162" s="596">
        <v>0</v>
      </c>
      <c r="R162" s="596">
        <v>0</v>
      </c>
      <c r="S162" s="596">
        <v>0</v>
      </c>
      <c r="T162" s="596">
        <v>0</v>
      </c>
      <c r="U162" s="596">
        <v>0</v>
      </c>
      <c r="V162" s="596">
        <v>0</v>
      </c>
      <c r="W162" s="612">
        <v>0</v>
      </c>
      <c r="X162" s="704">
        <v>0</v>
      </c>
      <c r="Y162" s="705">
        <v>0</v>
      </c>
      <c r="Z162" s="706">
        <v>0</v>
      </c>
      <c r="AA162" s="707">
        <v>0</v>
      </c>
      <c r="AB162" s="706">
        <v>0</v>
      </c>
      <c r="AC162" s="704">
        <v>0</v>
      </c>
      <c r="AD162" s="706">
        <v>0</v>
      </c>
      <c r="AE162" s="708">
        <v>0</v>
      </c>
      <c r="AF162" s="704">
        <v>0</v>
      </c>
      <c r="AG162" s="704">
        <v>0</v>
      </c>
      <c r="AH162" s="708">
        <v>0</v>
      </c>
      <c r="AI162" s="709">
        <v>0</v>
      </c>
      <c r="AJ162" s="706">
        <v>0</v>
      </c>
      <c r="AK162" s="704">
        <v>0</v>
      </c>
      <c r="AL162" s="706">
        <v>0</v>
      </c>
      <c r="AM162" s="710">
        <v>0</v>
      </c>
      <c r="AN162" s="704">
        <v>0</v>
      </c>
      <c r="AO162" s="706">
        <v>0</v>
      </c>
      <c r="AP162" s="711">
        <v>0</v>
      </c>
      <c r="AQ162" s="712">
        <v>0</v>
      </c>
      <c r="AR162" s="711">
        <v>0</v>
      </c>
      <c r="AS162" s="712">
        <v>0</v>
      </c>
      <c r="AT162" s="711">
        <v>0</v>
      </c>
      <c r="AU162" s="712">
        <v>0</v>
      </c>
      <c r="AV162" s="713">
        <v>0</v>
      </c>
      <c r="AW162" s="714">
        <v>0</v>
      </c>
      <c r="AX162" s="711">
        <v>0</v>
      </c>
      <c r="AY162" s="712">
        <v>0</v>
      </c>
      <c r="AZ162" s="713">
        <v>0</v>
      </c>
      <c r="BA162" s="712">
        <v>0</v>
      </c>
      <c r="BB162" s="713">
        <v>0</v>
      </c>
      <c r="BC162" s="712">
        <v>0</v>
      </c>
      <c r="BD162" s="713">
        <v>0</v>
      </c>
      <c r="BE162" s="712">
        <v>0</v>
      </c>
      <c r="BF162" s="713">
        <v>0</v>
      </c>
      <c r="BG162" s="712">
        <v>0</v>
      </c>
      <c r="BH162" s="713">
        <v>0</v>
      </c>
      <c r="BI162" s="712">
        <v>0</v>
      </c>
      <c r="BJ162" s="713">
        <v>0</v>
      </c>
      <c r="BK162" s="712">
        <v>0</v>
      </c>
      <c r="BL162" s="713">
        <v>0</v>
      </c>
      <c r="BM162" s="712">
        <v>0</v>
      </c>
      <c r="BN162" s="713">
        <v>0</v>
      </c>
      <c r="BO162" s="712">
        <v>0</v>
      </c>
      <c r="BP162" s="713">
        <v>0</v>
      </c>
      <c r="BQ162" s="712">
        <v>0</v>
      </c>
      <c r="BR162" s="713">
        <v>0</v>
      </c>
      <c r="BS162" s="712">
        <v>0</v>
      </c>
      <c r="BT162" s="713">
        <v>0</v>
      </c>
      <c r="BU162" s="712">
        <v>0</v>
      </c>
      <c r="BV162" s="711">
        <v>0</v>
      </c>
      <c r="BW162" s="714">
        <v>0</v>
      </c>
      <c r="BX162" s="711">
        <v>0</v>
      </c>
      <c r="BY162" s="714">
        <v>0</v>
      </c>
      <c r="BZ162" s="711">
        <v>0</v>
      </c>
      <c r="CA162" s="714">
        <v>0</v>
      </c>
      <c r="CB162" s="711">
        <v>0</v>
      </c>
      <c r="CC162" s="714">
        <v>0</v>
      </c>
      <c r="CD162" s="711">
        <v>0</v>
      </c>
      <c r="CE162" s="714">
        <v>0</v>
      </c>
      <c r="CF162" s="711">
        <v>0</v>
      </c>
      <c r="CG162" s="714">
        <v>0</v>
      </c>
      <c r="CH162" s="711">
        <v>0</v>
      </c>
      <c r="CI162" s="714">
        <v>0</v>
      </c>
      <c r="CJ162" s="711">
        <v>0</v>
      </c>
      <c r="CK162" s="712">
        <v>0</v>
      </c>
      <c r="CL162" s="711">
        <v>0</v>
      </c>
      <c r="CM162" s="712">
        <v>0</v>
      </c>
      <c r="CN162" s="713">
        <v>0</v>
      </c>
      <c r="CO162" s="712">
        <v>0</v>
      </c>
    </row>
    <row r="163" spans="1:93">
      <c r="A163" s="468">
        <v>161</v>
      </c>
      <c r="B163" s="596">
        <v>0</v>
      </c>
      <c r="C163" s="596">
        <v>0</v>
      </c>
      <c r="D163" s="596">
        <v>0</v>
      </c>
      <c r="E163" s="596">
        <v>0</v>
      </c>
      <c r="F163" s="596">
        <v>0</v>
      </c>
      <c r="G163" s="596">
        <v>0</v>
      </c>
      <c r="H163" s="596">
        <v>0</v>
      </c>
      <c r="I163" s="596">
        <v>0</v>
      </c>
      <c r="J163" s="596">
        <v>0</v>
      </c>
      <c r="K163" s="596">
        <v>0</v>
      </c>
      <c r="L163" s="596">
        <v>0</v>
      </c>
      <c r="M163" s="596">
        <v>0</v>
      </c>
      <c r="N163" s="596">
        <v>0</v>
      </c>
      <c r="O163" s="596">
        <v>0</v>
      </c>
      <c r="P163" s="596">
        <v>0</v>
      </c>
      <c r="Q163" s="596">
        <v>0</v>
      </c>
      <c r="R163" s="596">
        <v>0</v>
      </c>
      <c r="S163" s="596">
        <v>0</v>
      </c>
      <c r="T163" s="596">
        <v>0</v>
      </c>
      <c r="U163" s="596">
        <v>0</v>
      </c>
      <c r="V163" s="596">
        <v>0</v>
      </c>
      <c r="W163" s="612">
        <v>0</v>
      </c>
      <c r="X163" s="704">
        <v>0</v>
      </c>
      <c r="Y163" s="705">
        <v>0</v>
      </c>
      <c r="Z163" s="706">
        <v>0</v>
      </c>
      <c r="AA163" s="707">
        <v>0</v>
      </c>
      <c r="AB163" s="706">
        <v>0</v>
      </c>
      <c r="AC163" s="704">
        <v>0</v>
      </c>
      <c r="AD163" s="706">
        <v>0</v>
      </c>
      <c r="AE163" s="708">
        <v>0</v>
      </c>
      <c r="AF163" s="704">
        <v>0</v>
      </c>
      <c r="AG163" s="704">
        <v>0</v>
      </c>
      <c r="AH163" s="708">
        <v>0</v>
      </c>
      <c r="AI163" s="709">
        <v>0</v>
      </c>
      <c r="AJ163" s="706">
        <v>0</v>
      </c>
      <c r="AK163" s="704">
        <v>0</v>
      </c>
      <c r="AL163" s="706">
        <v>0</v>
      </c>
      <c r="AM163" s="710">
        <v>0</v>
      </c>
      <c r="AN163" s="704">
        <v>0</v>
      </c>
      <c r="AO163" s="706">
        <v>0</v>
      </c>
      <c r="AP163" s="711">
        <v>0</v>
      </c>
      <c r="AQ163" s="712">
        <v>0</v>
      </c>
      <c r="AR163" s="711">
        <v>0</v>
      </c>
      <c r="AS163" s="712">
        <v>0</v>
      </c>
      <c r="AT163" s="711">
        <v>0</v>
      </c>
      <c r="AU163" s="712">
        <v>0</v>
      </c>
      <c r="AV163" s="713">
        <v>0</v>
      </c>
      <c r="AW163" s="714">
        <v>0</v>
      </c>
      <c r="AX163" s="711">
        <v>0</v>
      </c>
      <c r="AY163" s="712">
        <v>0</v>
      </c>
      <c r="AZ163" s="713">
        <v>0</v>
      </c>
      <c r="BA163" s="712">
        <v>0</v>
      </c>
      <c r="BB163" s="713">
        <v>0</v>
      </c>
      <c r="BC163" s="712">
        <v>0</v>
      </c>
      <c r="BD163" s="713">
        <v>0</v>
      </c>
      <c r="BE163" s="712">
        <v>0</v>
      </c>
      <c r="BF163" s="713">
        <v>0</v>
      </c>
      <c r="BG163" s="712">
        <v>0</v>
      </c>
      <c r="BH163" s="713">
        <v>0</v>
      </c>
      <c r="BI163" s="712">
        <v>0</v>
      </c>
      <c r="BJ163" s="713">
        <v>0</v>
      </c>
      <c r="BK163" s="712">
        <v>0</v>
      </c>
      <c r="BL163" s="713">
        <v>0</v>
      </c>
      <c r="BM163" s="712">
        <v>0</v>
      </c>
      <c r="BN163" s="713">
        <v>0</v>
      </c>
      <c r="BO163" s="712">
        <v>0</v>
      </c>
      <c r="BP163" s="713">
        <v>0</v>
      </c>
      <c r="BQ163" s="712">
        <v>0</v>
      </c>
      <c r="BR163" s="713">
        <v>0</v>
      </c>
      <c r="BS163" s="712">
        <v>0</v>
      </c>
      <c r="BT163" s="713">
        <v>0</v>
      </c>
      <c r="BU163" s="712">
        <v>0</v>
      </c>
      <c r="BV163" s="711">
        <v>0</v>
      </c>
      <c r="BW163" s="714">
        <v>0</v>
      </c>
      <c r="BX163" s="711">
        <v>0</v>
      </c>
      <c r="BY163" s="714">
        <v>0</v>
      </c>
      <c r="BZ163" s="711">
        <v>0</v>
      </c>
      <c r="CA163" s="714">
        <v>0</v>
      </c>
      <c r="CB163" s="711">
        <v>0</v>
      </c>
      <c r="CC163" s="714">
        <v>0</v>
      </c>
      <c r="CD163" s="711">
        <v>0</v>
      </c>
      <c r="CE163" s="714">
        <v>0</v>
      </c>
      <c r="CF163" s="711">
        <v>0</v>
      </c>
      <c r="CG163" s="714">
        <v>0</v>
      </c>
      <c r="CH163" s="711">
        <v>0</v>
      </c>
      <c r="CI163" s="714">
        <v>0</v>
      </c>
      <c r="CJ163" s="711">
        <v>0</v>
      </c>
      <c r="CK163" s="712">
        <v>0</v>
      </c>
      <c r="CL163" s="711">
        <v>0</v>
      </c>
      <c r="CM163" s="712">
        <v>0</v>
      </c>
      <c r="CN163" s="713">
        <v>0</v>
      </c>
      <c r="CO163" s="712">
        <v>0</v>
      </c>
    </row>
    <row r="164" spans="1:93">
      <c r="A164" s="468">
        <v>162</v>
      </c>
      <c r="B164" s="596">
        <v>0</v>
      </c>
      <c r="C164" s="596">
        <v>0</v>
      </c>
      <c r="D164" s="596">
        <v>0</v>
      </c>
      <c r="E164" s="596">
        <v>0</v>
      </c>
      <c r="F164" s="596">
        <v>0</v>
      </c>
      <c r="G164" s="596">
        <v>0</v>
      </c>
      <c r="H164" s="596">
        <v>0</v>
      </c>
      <c r="I164" s="596">
        <v>0</v>
      </c>
      <c r="J164" s="596">
        <v>0</v>
      </c>
      <c r="K164" s="596">
        <v>0</v>
      </c>
      <c r="L164" s="596">
        <v>0</v>
      </c>
      <c r="M164" s="596">
        <v>0</v>
      </c>
      <c r="N164" s="596">
        <v>0</v>
      </c>
      <c r="O164" s="596">
        <v>0</v>
      </c>
      <c r="P164" s="596">
        <v>0</v>
      </c>
      <c r="Q164" s="596">
        <v>0</v>
      </c>
      <c r="R164" s="596">
        <v>0</v>
      </c>
      <c r="S164" s="596">
        <v>0</v>
      </c>
      <c r="T164" s="596">
        <v>0</v>
      </c>
      <c r="U164" s="596">
        <v>0</v>
      </c>
      <c r="V164" s="596">
        <v>0</v>
      </c>
      <c r="W164" s="612">
        <v>0</v>
      </c>
      <c r="X164" s="704">
        <v>0</v>
      </c>
      <c r="Y164" s="705">
        <v>0</v>
      </c>
      <c r="Z164" s="706">
        <v>0</v>
      </c>
      <c r="AA164" s="707">
        <v>0</v>
      </c>
      <c r="AB164" s="706">
        <v>0</v>
      </c>
      <c r="AC164" s="704">
        <v>0</v>
      </c>
      <c r="AD164" s="706">
        <v>0</v>
      </c>
      <c r="AE164" s="708">
        <v>0</v>
      </c>
      <c r="AF164" s="704">
        <v>0</v>
      </c>
      <c r="AG164" s="704">
        <v>0</v>
      </c>
      <c r="AH164" s="708">
        <v>0</v>
      </c>
      <c r="AI164" s="709">
        <v>0</v>
      </c>
      <c r="AJ164" s="706">
        <v>0</v>
      </c>
      <c r="AK164" s="704">
        <v>0</v>
      </c>
      <c r="AL164" s="706">
        <v>0</v>
      </c>
      <c r="AM164" s="710">
        <v>0</v>
      </c>
      <c r="AN164" s="704">
        <v>0</v>
      </c>
      <c r="AO164" s="706">
        <v>0</v>
      </c>
      <c r="AP164" s="711">
        <v>0</v>
      </c>
      <c r="AQ164" s="712">
        <v>0</v>
      </c>
      <c r="AR164" s="711">
        <v>0</v>
      </c>
      <c r="AS164" s="712">
        <v>0</v>
      </c>
      <c r="AT164" s="711">
        <v>0</v>
      </c>
      <c r="AU164" s="712">
        <v>0</v>
      </c>
      <c r="AV164" s="713">
        <v>0</v>
      </c>
      <c r="AW164" s="714">
        <v>0</v>
      </c>
      <c r="AX164" s="711">
        <v>0</v>
      </c>
      <c r="AY164" s="712">
        <v>0</v>
      </c>
      <c r="AZ164" s="713">
        <v>0</v>
      </c>
      <c r="BA164" s="712">
        <v>0</v>
      </c>
      <c r="BB164" s="713">
        <v>0</v>
      </c>
      <c r="BC164" s="712">
        <v>0</v>
      </c>
      <c r="BD164" s="713">
        <v>0</v>
      </c>
      <c r="BE164" s="712">
        <v>0</v>
      </c>
      <c r="BF164" s="713">
        <v>0</v>
      </c>
      <c r="BG164" s="712">
        <v>0</v>
      </c>
      <c r="BH164" s="713">
        <v>0</v>
      </c>
      <c r="BI164" s="712">
        <v>0</v>
      </c>
      <c r="BJ164" s="713">
        <v>0</v>
      </c>
      <c r="BK164" s="712">
        <v>0</v>
      </c>
      <c r="BL164" s="713">
        <v>0</v>
      </c>
      <c r="BM164" s="712">
        <v>0</v>
      </c>
      <c r="BN164" s="713">
        <v>0</v>
      </c>
      <c r="BO164" s="712">
        <v>0</v>
      </c>
      <c r="BP164" s="713">
        <v>0</v>
      </c>
      <c r="BQ164" s="712">
        <v>0</v>
      </c>
      <c r="BR164" s="713">
        <v>0</v>
      </c>
      <c r="BS164" s="712">
        <v>0</v>
      </c>
      <c r="BT164" s="713">
        <v>0</v>
      </c>
      <c r="BU164" s="712">
        <v>0</v>
      </c>
      <c r="BV164" s="711">
        <v>0</v>
      </c>
      <c r="BW164" s="714">
        <v>0</v>
      </c>
      <c r="BX164" s="711">
        <v>0</v>
      </c>
      <c r="BY164" s="714">
        <v>0</v>
      </c>
      <c r="BZ164" s="711">
        <v>0</v>
      </c>
      <c r="CA164" s="714">
        <v>0</v>
      </c>
      <c r="CB164" s="711">
        <v>0</v>
      </c>
      <c r="CC164" s="714">
        <v>0</v>
      </c>
      <c r="CD164" s="711">
        <v>0</v>
      </c>
      <c r="CE164" s="714">
        <v>0</v>
      </c>
      <c r="CF164" s="711">
        <v>0</v>
      </c>
      <c r="CG164" s="714">
        <v>0</v>
      </c>
      <c r="CH164" s="711">
        <v>0</v>
      </c>
      <c r="CI164" s="714">
        <v>0</v>
      </c>
      <c r="CJ164" s="711">
        <v>0</v>
      </c>
      <c r="CK164" s="712">
        <v>0</v>
      </c>
      <c r="CL164" s="711">
        <v>0</v>
      </c>
      <c r="CM164" s="712">
        <v>0</v>
      </c>
      <c r="CN164" s="713">
        <v>0</v>
      </c>
      <c r="CO164" s="712">
        <v>0</v>
      </c>
    </row>
    <row r="165" spans="1:93">
      <c r="A165" s="468">
        <v>163</v>
      </c>
      <c r="B165" s="596">
        <v>0</v>
      </c>
      <c r="C165" s="596">
        <v>0</v>
      </c>
      <c r="D165" s="596">
        <v>0</v>
      </c>
      <c r="E165" s="596">
        <v>0</v>
      </c>
      <c r="F165" s="596">
        <v>0</v>
      </c>
      <c r="G165" s="596">
        <v>0</v>
      </c>
      <c r="H165" s="596">
        <v>0</v>
      </c>
      <c r="I165" s="596">
        <v>0</v>
      </c>
      <c r="J165" s="596">
        <v>0</v>
      </c>
      <c r="K165" s="596">
        <v>0</v>
      </c>
      <c r="L165" s="596">
        <v>0</v>
      </c>
      <c r="M165" s="596">
        <v>0</v>
      </c>
      <c r="N165" s="596">
        <v>0</v>
      </c>
      <c r="O165" s="596">
        <v>0</v>
      </c>
      <c r="P165" s="596">
        <v>0</v>
      </c>
      <c r="Q165" s="596">
        <v>0</v>
      </c>
      <c r="R165" s="596">
        <v>0</v>
      </c>
      <c r="S165" s="596">
        <v>0</v>
      </c>
      <c r="T165" s="596">
        <v>0</v>
      </c>
      <c r="U165" s="596">
        <v>0</v>
      </c>
      <c r="V165" s="596">
        <v>0</v>
      </c>
      <c r="W165" s="612">
        <v>0</v>
      </c>
      <c r="X165" s="704">
        <v>0</v>
      </c>
      <c r="Y165" s="705">
        <v>0</v>
      </c>
      <c r="Z165" s="706">
        <v>0</v>
      </c>
      <c r="AA165" s="707">
        <v>0</v>
      </c>
      <c r="AB165" s="706">
        <v>0</v>
      </c>
      <c r="AC165" s="704">
        <v>0</v>
      </c>
      <c r="AD165" s="706">
        <v>0</v>
      </c>
      <c r="AE165" s="708">
        <v>0</v>
      </c>
      <c r="AF165" s="704">
        <v>0</v>
      </c>
      <c r="AG165" s="704">
        <v>0</v>
      </c>
      <c r="AH165" s="708">
        <v>0</v>
      </c>
      <c r="AI165" s="709">
        <v>0</v>
      </c>
      <c r="AJ165" s="706">
        <v>0</v>
      </c>
      <c r="AK165" s="704">
        <v>0</v>
      </c>
      <c r="AL165" s="706">
        <v>0</v>
      </c>
      <c r="AM165" s="710">
        <v>0</v>
      </c>
      <c r="AN165" s="704">
        <v>0</v>
      </c>
      <c r="AO165" s="706">
        <v>0</v>
      </c>
      <c r="AP165" s="711">
        <v>0</v>
      </c>
      <c r="AQ165" s="712">
        <v>0</v>
      </c>
      <c r="AR165" s="711">
        <v>0</v>
      </c>
      <c r="AS165" s="712">
        <v>0</v>
      </c>
      <c r="AT165" s="711">
        <v>0</v>
      </c>
      <c r="AU165" s="712">
        <v>0</v>
      </c>
      <c r="AV165" s="713">
        <v>0</v>
      </c>
      <c r="AW165" s="714">
        <v>0</v>
      </c>
      <c r="AX165" s="711">
        <v>0</v>
      </c>
      <c r="AY165" s="712">
        <v>0</v>
      </c>
      <c r="AZ165" s="713">
        <v>0</v>
      </c>
      <c r="BA165" s="712">
        <v>0</v>
      </c>
      <c r="BB165" s="713">
        <v>0</v>
      </c>
      <c r="BC165" s="712">
        <v>0</v>
      </c>
      <c r="BD165" s="713">
        <v>0</v>
      </c>
      <c r="BE165" s="712">
        <v>0</v>
      </c>
      <c r="BF165" s="713">
        <v>0</v>
      </c>
      <c r="BG165" s="712">
        <v>0</v>
      </c>
      <c r="BH165" s="713">
        <v>0</v>
      </c>
      <c r="BI165" s="712">
        <v>0</v>
      </c>
      <c r="BJ165" s="713">
        <v>0</v>
      </c>
      <c r="BK165" s="712">
        <v>0</v>
      </c>
      <c r="BL165" s="713">
        <v>0</v>
      </c>
      <c r="BM165" s="712">
        <v>0</v>
      </c>
      <c r="BN165" s="713">
        <v>0</v>
      </c>
      <c r="BO165" s="712">
        <v>0</v>
      </c>
      <c r="BP165" s="713">
        <v>0</v>
      </c>
      <c r="BQ165" s="712">
        <v>0</v>
      </c>
      <c r="BR165" s="713">
        <v>0</v>
      </c>
      <c r="BS165" s="712">
        <v>0</v>
      </c>
      <c r="BT165" s="713">
        <v>0</v>
      </c>
      <c r="BU165" s="712">
        <v>0</v>
      </c>
      <c r="BV165" s="711">
        <v>0</v>
      </c>
      <c r="BW165" s="714">
        <v>0</v>
      </c>
      <c r="BX165" s="711">
        <v>0</v>
      </c>
      <c r="BY165" s="714">
        <v>0</v>
      </c>
      <c r="BZ165" s="711">
        <v>0</v>
      </c>
      <c r="CA165" s="714">
        <v>0</v>
      </c>
      <c r="CB165" s="711">
        <v>0</v>
      </c>
      <c r="CC165" s="714">
        <v>0</v>
      </c>
      <c r="CD165" s="711">
        <v>0</v>
      </c>
      <c r="CE165" s="714">
        <v>0</v>
      </c>
      <c r="CF165" s="711">
        <v>0</v>
      </c>
      <c r="CG165" s="714">
        <v>0</v>
      </c>
      <c r="CH165" s="711">
        <v>0</v>
      </c>
      <c r="CI165" s="714">
        <v>0</v>
      </c>
      <c r="CJ165" s="711">
        <v>0</v>
      </c>
      <c r="CK165" s="712">
        <v>0</v>
      </c>
      <c r="CL165" s="711">
        <v>0</v>
      </c>
      <c r="CM165" s="712">
        <v>0</v>
      </c>
      <c r="CN165" s="713">
        <v>0</v>
      </c>
      <c r="CO165" s="712">
        <v>0</v>
      </c>
    </row>
    <row r="166" spans="1:93">
      <c r="A166" s="468">
        <v>164</v>
      </c>
      <c r="B166" s="596">
        <v>0</v>
      </c>
      <c r="C166" s="596">
        <v>0</v>
      </c>
      <c r="D166" s="596">
        <v>0</v>
      </c>
      <c r="E166" s="596">
        <v>0</v>
      </c>
      <c r="F166" s="596">
        <v>0</v>
      </c>
      <c r="G166" s="596">
        <v>0</v>
      </c>
      <c r="H166" s="596">
        <v>0</v>
      </c>
      <c r="I166" s="596">
        <v>0</v>
      </c>
      <c r="J166" s="596">
        <v>0</v>
      </c>
      <c r="K166" s="596">
        <v>0</v>
      </c>
      <c r="L166" s="596">
        <v>0</v>
      </c>
      <c r="M166" s="596">
        <v>0</v>
      </c>
      <c r="N166" s="596">
        <v>0</v>
      </c>
      <c r="O166" s="596">
        <v>0</v>
      </c>
      <c r="P166" s="596">
        <v>0</v>
      </c>
      <c r="Q166" s="596">
        <v>0</v>
      </c>
      <c r="R166" s="596">
        <v>0</v>
      </c>
      <c r="S166" s="596">
        <v>0</v>
      </c>
      <c r="T166" s="596">
        <v>0</v>
      </c>
      <c r="U166" s="596">
        <v>0</v>
      </c>
      <c r="V166" s="596">
        <v>0</v>
      </c>
      <c r="W166" s="612">
        <v>0</v>
      </c>
      <c r="X166" s="704">
        <v>0</v>
      </c>
      <c r="Y166" s="705">
        <v>0</v>
      </c>
      <c r="Z166" s="706">
        <v>0</v>
      </c>
      <c r="AA166" s="707">
        <v>0</v>
      </c>
      <c r="AB166" s="706">
        <v>0</v>
      </c>
      <c r="AC166" s="704">
        <v>0</v>
      </c>
      <c r="AD166" s="706">
        <v>0</v>
      </c>
      <c r="AE166" s="708">
        <v>0</v>
      </c>
      <c r="AF166" s="704">
        <v>0</v>
      </c>
      <c r="AG166" s="704">
        <v>0</v>
      </c>
      <c r="AH166" s="708">
        <v>0</v>
      </c>
      <c r="AI166" s="709">
        <v>0</v>
      </c>
      <c r="AJ166" s="706">
        <v>0</v>
      </c>
      <c r="AK166" s="704">
        <v>0</v>
      </c>
      <c r="AL166" s="706">
        <v>0</v>
      </c>
      <c r="AM166" s="710">
        <v>0</v>
      </c>
      <c r="AN166" s="704">
        <v>0</v>
      </c>
      <c r="AO166" s="706">
        <v>0</v>
      </c>
      <c r="AP166" s="711">
        <v>0</v>
      </c>
      <c r="AQ166" s="712">
        <v>0</v>
      </c>
      <c r="AR166" s="711">
        <v>0</v>
      </c>
      <c r="AS166" s="712">
        <v>0</v>
      </c>
      <c r="AT166" s="711">
        <v>0</v>
      </c>
      <c r="AU166" s="712">
        <v>0</v>
      </c>
      <c r="AV166" s="713">
        <v>0</v>
      </c>
      <c r="AW166" s="714">
        <v>0</v>
      </c>
      <c r="AX166" s="711">
        <v>0</v>
      </c>
      <c r="AY166" s="712">
        <v>0</v>
      </c>
      <c r="AZ166" s="713">
        <v>0</v>
      </c>
      <c r="BA166" s="712">
        <v>0</v>
      </c>
      <c r="BB166" s="713">
        <v>0</v>
      </c>
      <c r="BC166" s="712">
        <v>0</v>
      </c>
      <c r="BD166" s="713">
        <v>0</v>
      </c>
      <c r="BE166" s="712">
        <v>0</v>
      </c>
      <c r="BF166" s="713">
        <v>0</v>
      </c>
      <c r="BG166" s="712">
        <v>0</v>
      </c>
      <c r="BH166" s="713">
        <v>0</v>
      </c>
      <c r="BI166" s="712">
        <v>0</v>
      </c>
      <c r="BJ166" s="713">
        <v>0</v>
      </c>
      <c r="BK166" s="712">
        <v>0</v>
      </c>
      <c r="BL166" s="713">
        <v>0</v>
      </c>
      <c r="BM166" s="712">
        <v>0</v>
      </c>
      <c r="BN166" s="713">
        <v>0</v>
      </c>
      <c r="BO166" s="712">
        <v>0</v>
      </c>
      <c r="BP166" s="713">
        <v>0</v>
      </c>
      <c r="BQ166" s="712">
        <v>0</v>
      </c>
      <c r="BR166" s="713">
        <v>0</v>
      </c>
      <c r="BS166" s="712">
        <v>0</v>
      </c>
      <c r="BT166" s="713">
        <v>0</v>
      </c>
      <c r="BU166" s="712">
        <v>0</v>
      </c>
      <c r="BV166" s="711">
        <v>0</v>
      </c>
      <c r="BW166" s="714">
        <v>0</v>
      </c>
      <c r="BX166" s="711">
        <v>0</v>
      </c>
      <c r="BY166" s="714">
        <v>0</v>
      </c>
      <c r="BZ166" s="711">
        <v>0</v>
      </c>
      <c r="CA166" s="714">
        <v>0</v>
      </c>
      <c r="CB166" s="711">
        <v>0</v>
      </c>
      <c r="CC166" s="714">
        <v>0</v>
      </c>
      <c r="CD166" s="711">
        <v>0</v>
      </c>
      <c r="CE166" s="714">
        <v>0</v>
      </c>
      <c r="CF166" s="711">
        <v>0</v>
      </c>
      <c r="CG166" s="714">
        <v>0</v>
      </c>
      <c r="CH166" s="711">
        <v>0</v>
      </c>
      <c r="CI166" s="714">
        <v>0</v>
      </c>
      <c r="CJ166" s="711">
        <v>0</v>
      </c>
      <c r="CK166" s="712">
        <v>0</v>
      </c>
      <c r="CL166" s="711">
        <v>0</v>
      </c>
      <c r="CM166" s="712">
        <v>0</v>
      </c>
      <c r="CN166" s="713">
        <v>0</v>
      </c>
      <c r="CO166" s="712">
        <v>0</v>
      </c>
    </row>
    <row r="167" spans="1:93">
      <c r="A167" s="468">
        <v>165</v>
      </c>
      <c r="B167" s="596">
        <v>0</v>
      </c>
      <c r="C167" s="596">
        <v>0</v>
      </c>
      <c r="D167" s="596">
        <v>0</v>
      </c>
      <c r="E167" s="596">
        <v>0</v>
      </c>
      <c r="F167" s="596">
        <v>0</v>
      </c>
      <c r="G167" s="596">
        <v>0</v>
      </c>
      <c r="H167" s="596">
        <v>0</v>
      </c>
      <c r="I167" s="596">
        <v>0</v>
      </c>
      <c r="J167" s="596">
        <v>0</v>
      </c>
      <c r="K167" s="596">
        <v>0</v>
      </c>
      <c r="L167" s="596">
        <v>0</v>
      </c>
      <c r="M167" s="596">
        <v>0</v>
      </c>
      <c r="N167" s="596">
        <v>0</v>
      </c>
      <c r="O167" s="596">
        <v>0</v>
      </c>
      <c r="P167" s="596">
        <v>0</v>
      </c>
      <c r="Q167" s="596">
        <v>0</v>
      </c>
      <c r="R167" s="596">
        <v>0</v>
      </c>
      <c r="S167" s="596">
        <v>0</v>
      </c>
      <c r="T167" s="596">
        <v>0</v>
      </c>
      <c r="U167" s="596">
        <v>0</v>
      </c>
      <c r="V167" s="596">
        <v>0</v>
      </c>
      <c r="W167" s="612">
        <v>0</v>
      </c>
      <c r="X167" s="704">
        <v>0</v>
      </c>
      <c r="Y167" s="705">
        <v>0</v>
      </c>
      <c r="Z167" s="706">
        <v>0</v>
      </c>
      <c r="AA167" s="707">
        <v>0</v>
      </c>
      <c r="AB167" s="706">
        <v>0</v>
      </c>
      <c r="AC167" s="704">
        <v>0</v>
      </c>
      <c r="AD167" s="706">
        <v>0</v>
      </c>
      <c r="AE167" s="708">
        <v>0</v>
      </c>
      <c r="AF167" s="704">
        <v>0</v>
      </c>
      <c r="AG167" s="704">
        <v>0</v>
      </c>
      <c r="AH167" s="708">
        <v>0</v>
      </c>
      <c r="AI167" s="709">
        <v>0</v>
      </c>
      <c r="AJ167" s="706">
        <v>0</v>
      </c>
      <c r="AK167" s="704">
        <v>0</v>
      </c>
      <c r="AL167" s="706">
        <v>0</v>
      </c>
      <c r="AM167" s="710">
        <v>0</v>
      </c>
      <c r="AN167" s="704">
        <v>0</v>
      </c>
      <c r="AO167" s="706">
        <v>0</v>
      </c>
      <c r="AP167" s="711">
        <v>0</v>
      </c>
      <c r="AQ167" s="712">
        <v>0</v>
      </c>
      <c r="AR167" s="711">
        <v>0</v>
      </c>
      <c r="AS167" s="712">
        <v>0</v>
      </c>
      <c r="AT167" s="711">
        <v>0</v>
      </c>
      <c r="AU167" s="712">
        <v>0</v>
      </c>
      <c r="AV167" s="713">
        <v>0</v>
      </c>
      <c r="AW167" s="714">
        <v>0</v>
      </c>
      <c r="AX167" s="711">
        <v>0</v>
      </c>
      <c r="AY167" s="712">
        <v>0</v>
      </c>
      <c r="AZ167" s="713">
        <v>0</v>
      </c>
      <c r="BA167" s="712">
        <v>0</v>
      </c>
      <c r="BB167" s="713">
        <v>0</v>
      </c>
      <c r="BC167" s="712">
        <v>0</v>
      </c>
      <c r="BD167" s="713">
        <v>0</v>
      </c>
      <c r="BE167" s="712">
        <v>0</v>
      </c>
      <c r="BF167" s="713">
        <v>0</v>
      </c>
      <c r="BG167" s="712">
        <v>0</v>
      </c>
      <c r="BH167" s="713">
        <v>0</v>
      </c>
      <c r="BI167" s="712">
        <v>0</v>
      </c>
      <c r="BJ167" s="713">
        <v>0</v>
      </c>
      <c r="BK167" s="712">
        <v>0</v>
      </c>
      <c r="BL167" s="713">
        <v>0</v>
      </c>
      <c r="BM167" s="712">
        <v>0</v>
      </c>
      <c r="BN167" s="713">
        <v>0</v>
      </c>
      <c r="BO167" s="712">
        <v>0</v>
      </c>
      <c r="BP167" s="713">
        <v>0</v>
      </c>
      <c r="BQ167" s="712">
        <v>0</v>
      </c>
      <c r="BR167" s="713">
        <v>0</v>
      </c>
      <c r="BS167" s="712">
        <v>0</v>
      </c>
      <c r="BT167" s="713">
        <v>0</v>
      </c>
      <c r="BU167" s="712">
        <v>0</v>
      </c>
      <c r="BV167" s="711">
        <v>0</v>
      </c>
      <c r="BW167" s="714">
        <v>0</v>
      </c>
      <c r="BX167" s="711">
        <v>0</v>
      </c>
      <c r="BY167" s="714">
        <v>0</v>
      </c>
      <c r="BZ167" s="711">
        <v>0</v>
      </c>
      <c r="CA167" s="714">
        <v>0</v>
      </c>
      <c r="CB167" s="711">
        <v>0</v>
      </c>
      <c r="CC167" s="714">
        <v>0</v>
      </c>
      <c r="CD167" s="711">
        <v>0</v>
      </c>
      <c r="CE167" s="714">
        <v>0</v>
      </c>
      <c r="CF167" s="711">
        <v>0</v>
      </c>
      <c r="CG167" s="714">
        <v>0</v>
      </c>
      <c r="CH167" s="711">
        <v>0</v>
      </c>
      <c r="CI167" s="714">
        <v>0</v>
      </c>
      <c r="CJ167" s="711">
        <v>0</v>
      </c>
      <c r="CK167" s="712">
        <v>0</v>
      </c>
      <c r="CL167" s="711">
        <v>0</v>
      </c>
      <c r="CM167" s="712">
        <v>0</v>
      </c>
      <c r="CN167" s="713">
        <v>0</v>
      </c>
      <c r="CO167" s="712">
        <v>0</v>
      </c>
    </row>
    <row r="168" spans="1:93">
      <c r="A168" s="468">
        <v>166</v>
      </c>
      <c r="B168" s="596">
        <v>0</v>
      </c>
      <c r="C168" s="596">
        <v>0</v>
      </c>
      <c r="D168" s="596">
        <v>0</v>
      </c>
      <c r="E168" s="596">
        <v>0</v>
      </c>
      <c r="F168" s="596">
        <v>0</v>
      </c>
      <c r="G168" s="596">
        <v>0</v>
      </c>
      <c r="H168" s="596">
        <v>0</v>
      </c>
      <c r="I168" s="596">
        <v>0</v>
      </c>
      <c r="J168" s="596">
        <v>0</v>
      </c>
      <c r="K168" s="596">
        <v>0</v>
      </c>
      <c r="L168" s="596">
        <v>0</v>
      </c>
      <c r="M168" s="596">
        <v>0</v>
      </c>
      <c r="N168" s="596">
        <v>0</v>
      </c>
      <c r="O168" s="596">
        <v>0</v>
      </c>
      <c r="P168" s="596">
        <v>0</v>
      </c>
      <c r="Q168" s="596">
        <v>0</v>
      </c>
      <c r="R168" s="596">
        <v>0</v>
      </c>
      <c r="S168" s="596">
        <v>0</v>
      </c>
      <c r="T168" s="596">
        <v>0</v>
      </c>
      <c r="U168" s="596">
        <v>0</v>
      </c>
      <c r="V168" s="596">
        <v>0</v>
      </c>
      <c r="W168" s="612">
        <v>0</v>
      </c>
      <c r="X168" s="704">
        <v>0</v>
      </c>
      <c r="Y168" s="705">
        <v>0</v>
      </c>
      <c r="Z168" s="706">
        <v>0</v>
      </c>
      <c r="AA168" s="707">
        <v>0</v>
      </c>
      <c r="AB168" s="706">
        <v>0</v>
      </c>
      <c r="AC168" s="704">
        <v>0</v>
      </c>
      <c r="AD168" s="706">
        <v>0</v>
      </c>
      <c r="AE168" s="708">
        <v>0</v>
      </c>
      <c r="AF168" s="704">
        <v>0</v>
      </c>
      <c r="AG168" s="704">
        <v>0</v>
      </c>
      <c r="AH168" s="708">
        <v>0</v>
      </c>
      <c r="AI168" s="709">
        <v>0</v>
      </c>
      <c r="AJ168" s="706">
        <v>0</v>
      </c>
      <c r="AK168" s="704">
        <v>0</v>
      </c>
      <c r="AL168" s="706">
        <v>0</v>
      </c>
      <c r="AM168" s="710">
        <v>0</v>
      </c>
      <c r="AN168" s="704">
        <v>0</v>
      </c>
      <c r="AO168" s="706">
        <v>0</v>
      </c>
      <c r="AP168" s="711">
        <v>0</v>
      </c>
      <c r="AQ168" s="712">
        <v>0</v>
      </c>
      <c r="AR168" s="711">
        <v>0</v>
      </c>
      <c r="AS168" s="712">
        <v>0</v>
      </c>
      <c r="AT168" s="711">
        <v>0</v>
      </c>
      <c r="AU168" s="712">
        <v>0</v>
      </c>
      <c r="AV168" s="713">
        <v>0</v>
      </c>
      <c r="AW168" s="714">
        <v>0</v>
      </c>
      <c r="AX168" s="711">
        <v>0</v>
      </c>
      <c r="AY168" s="712">
        <v>0</v>
      </c>
      <c r="AZ168" s="713">
        <v>0</v>
      </c>
      <c r="BA168" s="712">
        <v>0</v>
      </c>
      <c r="BB168" s="713">
        <v>0</v>
      </c>
      <c r="BC168" s="712">
        <v>0</v>
      </c>
      <c r="BD168" s="713">
        <v>0</v>
      </c>
      <c r="BE168" s="712">
        <v>0</v>
      </c>
      <c r="BF168" s="713">
        <v>0</v>
      </c>
      <c r="BG168" s="712">
        <v>0</v>
      </c>
      <c r="BH168" s="713">
        <v>0</v>
      </c>
      <c r="BI168" s="712">
        <v>0</v>
      </c>
      <c r="BJ168" s="713">
        <v>0</v>
      </c>
      <c r="BK168" s="712">
        <v>0</v>
      </c>
      <c r="BL168" s="713">
        <v>0</v>
      </c>
      <c r="BM168" s="712">
        <v>0</v>
      </c>
      <c r="BN168" s="713">
        <v>0</v>
      </c>
      <c r="BO168" s="712">
        <v>0</v>
      </c>
      <c r="BP168" s="713">
        <v>0</v>
      </c>
      <c r="BQ168" s="712">
        <v>0</v>
      </c>
      <c r="BR168" s="713">
        <v>0</v>
      </c>
      <c r="BS168" s="712">
        <v>0</v>
      </c>
      <c r="BT168" s="713">
        <v>0</v>
      </c>
      <c r="BU168" s="712">
        <v>0</v>
      </c>
      <c r="BV168" s="711">
        <v>0</v>
      </c>
      <c r="BW168" s="714">
        <v>0</v>
      </c>
      <c r="BX168" s="711">
        <v>0</v>
      </c>
      <c r="BY168" s="714">
        <v>0</v>
      </c>
      <c r="BZ168" s="711">
        <v>0</v>
      </c>
      <c r="CA168" s="714">
        <v>0</v>
      </c>
      <c r="CB168" s="711">
        <v>0</v>
      </c>
      <c r="CC168" s="714">
        <v>0</v>
      </c>
      <c r="CD168" s="711">
        <v>0</v>
      </c>
      <c r="CE168" s="714">
        <v>0</v>
      </c>
      <c r="CF168" s="711">
        <v>0</v>
      </c>
      <c r="CG168" s="714">
        <v>0</v>
      </c>
      <c r="CH168" s="711">
        <v>0</v>
      </c>
      <c r="CI168" s="714">
        <v>0</v>
      </c>
      <c r="CJ168" s="711">
        <v>0</v>
      </c>
      <c r="CK168" s="712">
        <v>0</v>
      </c>
      <c r="CL168" s="711">
        <v>0</v>
      </c>
      <c r="CM168" s="712">
        <v>0</v>
      </c>
      <c r="CN168" s="713">
        <v>0</v>
      </c>
      <c r="CO168" s="712">
        <v>0</v>
      </c>
    </row>
    <row r="169" spans="1:93">
      <c r="A169" s="468">
        <v>167</v>
      </c>
      <c r="B169" s="596">
        <v>0</v>
      </c>
      <c r="C169" s="596">
        <v>0</v>
      </c>
      <c r="D169" s="596">
        <v>0</v>
      </c>
      <c r="E169" s="596">
        <v>0</v>
      </c>
      <c r="F169" s="596">
        <v>0</v>
      </c>
      <c r="G169" s="596">
        <v>0</v>
      </c>
      <c r="H169" s="596">
        <v>0</v>
      </c>
      <c r="I169" s="596">
        <v>0</v>
      </c>
      <c r="J169" s="596">
        <v>0</v>
      </c>
      <c r="K169" s="596">
        <v>0</v>
      </c>
      <c r="L169" s="596">
        <v>0</v>
      </c>
      <c r="M169" s="596">
        <v>0</v>
      </c>
      <c r="N169" s="596">
        <v>0</v>
      </c>
      <c r="O169" s="596">
        <v>0</v>
      </c>
      <c r="P169" s="596">
        <v>0</v>
      </c>
      <c r="Q169" s="596">
        <v>0</v>
      </c>
      <c r="R169" s="596">
        <v>0</v>
      </c>
      <c r="S169" s="596">
        <v>0</v>
      </c>
      <c r="T169" s="596">
        <v>0</v>
      </c>
      <c r="U169" s="596">
        <v>0</v>
      </c>
      <c r="V169" s="596">
        <v>0</v>
      </c>
      <c r="W169" s="612">
        <v>0</v>
      </c>
      <c r="X169" s="704">
        <v>0</v>
      </c>
      <c r="Y169" s="705">
        <v>0</v>
      </c>
      <c r="Z169" s="706">
        <v>0</v>
      </c>
      <c r="AA169" s="707">
        <v>0</v>
      </c>
      <c r="AB169" s="706">
        <v>0</v>
      </c>
      <c r="AC169" s="704">
        <v>0</v>
      </c>
      <c r="AD169" s="706">
        <v>0</v>
      </c>
      <c r="AE169" s="708">
        <v>0</v>
      </c>
      <c r="AF169" s="704">
        <v>0</v>
      </c>
      <c r="AG169" s="704">
        <v>0</v>
      </c>
      <c r="AH169" s="708">
        <v>0</v>
      </c>
      <c r="AI169" s="709">
        <v>0</v>
      </c>
      <c r="AJ169" s="706">
        <v>0</v>
      </c>
      <c r="AK169" s="704">
        <v>0</v>
      </c>
      <c r="AL169" s="706">
        <v>0</v>
      </c>
      <c r="AM169" s="710">
        <v>0</v>
      </c>
      <c r="AN169" s="704">
        <v>0</v>
      </c>
      <c r="AO169" s="706">
        <v>0</v>
      </c>
      <c r="AP169" s="711">
        <v>0</v>
      </c>
      <c r="AQ169" s="712">
        <v>0</v>
      </c>
      <c r="AR169" s="711">
        <v>0</v>
      </c>
      <c r="AS169" s="712">
        <v>0</v>
      </c>
      <c r="AT169" s="711">
        <v>0</v>
      </c>
      <c r="AU169" s="712">
        <v>0</v>
      </c>
      <c r="AV169" s="713">
        <v>0</v>
      </c>
      <c r="AW169" s="714">
        <v>0</v>
      </c>
      <c r="AX169" s="711">
        <v>0</v>
      </c>
      <c r="AY169" s="712">
        <v>0</v>
      </c>
      <c r="AZ169" s="713">
        <v>0</v>
      </c>
      <c r="BA169" s="712">
        <v>0</v>
      </c>
      <c r="BB169" s="713">
        <v>0</v>
      </c>
      <c r="BC169" s="712">
        <v>0</v>
      </c>
      <c r="BD169" s="713">
        <v>0</v>
      </c>
      <c r="BE169" s="712">
        <v>0</v>
      </c>
      <c r="BF169" s="713">
        <v>0</v>
      </c>
      <c r="BG169" s="712">
        <v>0</v>
      </c>
      <c r="BH169" s="713">
        <v>0</v>
      </c>
      <c r="BI169" s="712">
        <v>0</v>
      </c>
      <c r="BJ169" s="713">
        <v>0</v>
      </c>
      <c r="BK169" s="712">
        <v>0</v>
      </c>
      <c r="BL169" s="713">
        <v>0</v>
      </c>
      <c r="BM169" s="712">
        <v>0</v>
      </c>
      <c r="BN169" s="713">
        <v>0</v>
      </c>
      <c r="BO169" s="712">
        <v>0</v>
      </c>
      <c r="BP169" s="713">
        <v>0</v>
      </c>
      <c r="BQ169" s="712">
        <v>0</v>
      </c>
      <c r="BR169" s="713">
        <v>0</v>
      </c>
      <c r="BS169" s="712">
        <v>0</v>
      </c>
      <c r="BT169" s="713">
        <v>0</v>
      </c>
      <c r="BU169" s="712">
        <v>0</v>
      </c>
      <c r="BV169" s="711">
        <v>0</v>
      </c>
      <c r="BW169" s="714">
        <v>0</v>
      </c>
      <c r="BX169" s="711">
        <v>0</v>
      </c>
      <c r="BY169" s="714">
        <v>0</v>
      </c>
      <c r="BZ169" s="711">
        <v>0</v>
      </c>
      <c r="CA169" s="714">
        <v>0</v>
      </c>
      <c r="CB169" s="711">
        <v>0</v>
      </c>
      <c r="CC169" s="714">
        <v>0</v>
      </c>
      <c r="CD169" s="711">
        <v>0</v>
      </c>
      <c r="CE169" s="714">
        <v>0</v>
      </c>
      <c r="CF169" s="711">
        <v>0</v>
      </c>
      <c r="CG169" s="714">
        <v>0</v>
      </c>
      <c r="CH169" s="711">
        <v>0</v>
      </c>
      <c r="CI169" s="714">
        <v>0</v>
      </c>
      <c r="CJ169" s="711">
        <v>0</v>
      </c>
      <c r="CK169" s="712">
        <v>0</v>
      </c>
      <c r="CL169" s="711">
        <v>0</v>
      </c>
      <c r="CM169" s="712">
        <v>0</v>
      </c>
      <c r="CN169" s="713">
        <v>0</v>
      </c>
      <c r="CO169" s="712">
        <v>0</v>
      </c>
    </row>
    <row r="170" spans="1:93">
      <c r="A170" s="468">
        <v>168</v>
      </c>
      <c r="B170" s="596">
        <v>0</v>
      </c>
      <c r="C170" s="596">
        <v>0</v>
      </c>
      <c r="D170" s="596">
        <v>0</v>
      </c>
      <c r="E170" s="596">
        <v>0</v>
      </c>
      <c r="F170" s="596">
        <v>0</v>
      </c>
      <c r="G170" s="596">
        <v>0</v>
      </c>
      <c r="H170" s="596">
        <v>0</v>
      </c>
      <c r="I170" s="596">
        <v>0</v>
      </c>
      <c r="J170" s="596">
        <v>0</v>
      </c>
      <c r="K170" s="596">
        <v>0</v>
      </c>
      <c r="L170" s="596">
        <v>0</v>
      </c>
      <c r="M170" s="596">
        <v>0</v>
      </c>
      <c r="N170" s="596">
        <v>0</v>
      </c>
      <c r="O170" s="596">
        <v>0</v>
      </c>
      <c r="P170" s="596">
        <v>0</v>
      </c>
      <c r="Q170" s="596">
        <v>0</v>
      </c>
      <c r="R170" s="596">
        <v>0</v>
      </c>
      <c r="S170" s="596">
        <v>0</v>
      </c>
      <c r="T170" s="596">
        <v>0</v>
      </c>
      <c r="U170" s="596">
        <v>0</v>
      </c>
      <c r="V170" s="596">
        <v>0</v>
      </c>
      <c r="W170" s="612">
        <v>0</v>
      </c>
      <c r="X170" s="704">
        <v>0</v>
      </c>
      <c r="Y170" s="705">
        <v>0</v>
      </c>
      <c r="Z170" s="706">
        <v>0</v>
      </c>
      <c r="AA170" s="707">
        <v>0</v>
      </c>
      <c r="AB170" s="706">
        <v>0</v>
      </c>
      <c r="AC170" s="704">
        <v>0</v>
      </c>
      <c r="AD170" s="706">
        <v>0</v>
      </c>
      <c r="AE170" s="708">
        <v>0</v>
      </c>
      <c r="AF170" s="704">
        <v>0</v>
      </c>
      <c r="AG170" s="704">
        <v>0</v>
      </c>
      <c r="AH170" s="708">
        <v>0</v>
      </c>
      <c r="AI170" s="709">
        <v>0</v>
      </c>
      <c r="AJ170" s="706">
        <v>0</v>
      </c>
      <c r="AK170" s="704">
        <v>0</v>
      </c>
      <c r="AL170" s="706">
        <v>0</v>
      </c>
      <c r="AM170" s="710">
        <v>0</v>
      </c>
      <c r="AN170" s="704">
        <v>0</v>
      </c>
      <c r="AO170" s="706">
        <v>0</v>
      </c>
      <c r="AP170" s="711">
        <v>0</v>
      </c>
      <c r="AQ170" s="712">
        <v>0</v>
      </c>
      <c r="AR170" s="711">
        <v>0</v>
      </c>
      <c r="AS170" s="712">
        <v>0</v>
      </c>
      <c r="AT170" s="711">
        <v>0</v>
      </c>
      <c r="AU170" s="712">
        <v>0</v>
      </c>
      <c r="AV170" s="713">
        <v>0</v>
      </c>
      <c r="AW170" s="714">
        <v>0</v>
      </c>
      <c r="AX170" s="711">
        <v>0</v>
      </c>
      <c r="AY170" s="712">
        <v>0</v>
      </c>
      <c r="AZ170" s="713">
        <v>0</v>
      </c>
      <c r="BA170" s="712">
        <v>0</v>
      </c>
      <c r="BB170" s="713">
        <v>0</v>
      </c>
      <c r="BC170" s="712">
        <v>0</v>
      </c>
      <c r="BD170" s="713">
        <v>0</v>
      </c>
      <c r="BE170" s="712">
        <v>0</v>
      </c>
      <c r="BF170" s="713">
        <v>0</v>
      </c>
      <c r="BG170" s="712">
        <v>0</v>
      </c>
      <c r="BH170" s="713">
        <v>0</v>
      </c>
      <c r="BI170" s="712">
        <v>0</v>
      </c>
      <c r="BJ170" s="713">
        <v>0</v>
      </c>
      <c r="BK170" s="712">
        <v>0</v>
      </c>
      <c r="BL170" s="713">
        <v>0</v>
      </c>
      <c r="BM170" s="712">
        <v>0</v>
      </c>
      <c r="BN170" s="713">
        <v>0</v>
      </c>
      <c r="BO170" s="712">
        <v>0</v>
      </c>
      <c r="BP170" s="713">
        <v>0</v>
      </c>
      <c r="BQ170" s="712">
        <v>0</v>
      </c>
      <c r="BR170" s="713">
        <v>0</v>
      </c>
      <c r="BS170" s="712">
        <v>0</v>
      </c>
      <c r="BT170" s="713">
        <v>0</v>
      </c>
      <c r="BU170" s="712">
        <v>0</v>
      </c>
      <c r="BV170" s="711">
        <v>0</v>
      </c>
      <c r="BW170" s="714">
        <v>0</v>
      </c>
      <c r="BX170" s="711">
        <v>0</v>
      </c>
      <c r="BY170" s="714">
        <v>0</v>
      </c>
      <c r="BZ170" s="711">
        <v>0</v>
      </c>
      <c r="CA170" s="714">
        <v>0</v>
      </c>
      <c r="CB170" s="711">
        <v>0</v>
      </c>
      <c r="CC170" s="714">
        <v>0</v>
      </c>
      <c r="CD170" s="711">
        <v>0</v>
      </c>
      <c r="CE170" s="714">
        <v>0</v>
      </c>
      <c r="CF170" s="711">
        <v>0</v>
      </c>
      <c r="CG170" s="714">
        <v>0</v>
      </c>
      <c r="CH170" s="711">
        <v>0</v>
      </c>
      <c r="CI170" s="714">
        <v>0</v>
      </c>
      <c r="CJ170" s="711">
        <v>0</v>
      </c>
      <c r="CK170" s="712">
        <v>0</v>
      </c>
      <c r="CL170" s="711">
        <v>0</v>
      </c>
      <c r="CM170" s="712">
        <v>0</v>
      </c>
      <c r="CN170" s="713">
        <v>0</v>
      </c>
      <c r="CO170" s="712">
        <v>0</v>
      </c>
    </row>
    <row r="171" spans="1:93">
      <c r="A171" s="468">
        <v>169</v>
      </c>
      <c r="B171" s="596">
        <v>0</v>
      </c>
      <c r="C171" s="596">
        <v>0</v>
      </c>
      <c r="D171" s="596">
        <v>0</v>
      </c>
      <c r="E171" s="596">
        <v>0</v>
      </c>
      <c r="F171" s="596">
        <v>0</v>
      </c>
      <c r="G171" s="596">
        <v>0</v>
      </c>
      <c r="H171" s="596">
        <v>0</v>
      </c>
      <c r="I171" s="596">
        <v>0</v>
      </c>
      <c r="J171" s="596">
        <v>0</v>
      </c>
      <c r="K171" s="596">
        <v>0</v>
      </c>
      <c r="L171" s="596">
        <v>0</v>
      </c>
      <c r="M171" s="596">
        <v>0</v>
      </c>
      <c r="N171" s="596">
        <v>0</v>
      </c>
      <c r="O171" s="596">
        <v>0</v>
      </c>
      <c r="P171" s="596">
        <v>0</v>
      </c>
      <c r="Q171" s="596">
        <v>0</v>
      </c>
      <c r="R171" s="596">
        <v>0</v>
      </c>
      <c r="S171" s="596">
        <v>0</v>
      </c>
      <c r="T171" s="596">
        <v>0</v>
      </c>
      <c r="U171" s="596">
        <v>0</v>
      </c>
      <c r="V171" s="596">
        <v>0</v>
      </c>
      <c r="W171" s="612">
        <v>0</v>
      </c>
      <c r="X171" s="704">
        <v>0</v>
      </c>
      <c r="Y171" s="705">
        <v>0</v>
      </c>
      <c r="Z171" s="706">
        <v>0</v>
      </c>
      <c r="AA171" s="707">
        <v>0</v>
      </c>
      <c r="AB171" s="706">
        <v>0</v>
      </c>
      <c r="AC171" s="704">
        <v>0</v>
      </c>
      <c r="AD171" s="706">
        <v>0</v>
      </c>
      <c r="AE171" s="708">
        <v>0</v>
      </c>
      <c r="AF171" s="704">
        <v>0</v>
      </c>
      <c r="AG171" s="704">
        <v>0</v>
      </c>
      <c r="AH171" s="708">
        <v>0</v>
      </c>
      <c r="AI171" s="709">
        <v>0</v>
      </c>
      <c r="AJ171" s="706">
        <v>0</v>
      </c>
      <c r="AK171" s="704">
        <v>0</v>
      </c>
      <c r="AL171" s="706">
        <v>0</v>
      </c>
      <c r="AM171" s="710">
        <v>0</v>
      </c>
      <c r="AN171" s="704">
        <v>0</v>
      </c>
      <c r="AO171" s="706">
        <v>0</v>
      </c>
      <c r="AP171" s="711">
        <v>0</v>
      </c>
      <c r="AQ171" s="712">
        <v>0</v>
      </c>
      <c r="AR171" s="711">
        <v>0</v>
      </c>
      <c r="AS171" s="712">
        <v>0</v>
      </c>
      <c r="AT171" s="711">
        <v>0</v>
      </c>
      <c r="AU171" s="712">
        <v>0</v>
      </c>
      <c r="AV171" s="713">
        <v>0</v>
      </c>
      <c r="AW171" s="714">
        <v>0</v>
      </c>
      <c r="AX171" s="711">
        <v>0</v>
      </c>
      <c r="AY171" s="712">
        <v>0</v>
      </c>
      <c r="AZ171" s="713">
        <v>0</v>
      </c>
      <c r="BA171" s="712">
        <v>0</v>
      </c>
      <c r="BB171" s="713">
        <v>0</v>
      </c>
      <c r="BC171" s="712">
        <v>0</v>
      </c>
      <c r="BD171" s="713">
        <v>0</v>
      </c>
      <c r="BE171" s="712">
        <v>0</v>
      </c>
      <c r="BF171" s="713">
        <v>0</v>
      </c>
      <c r="BG171" s="712">
        <v>0</v>
      </c>
      <c r="BH171" s="713">
        <v>0</v>
      </c>
      <c r="BI171" s="712">
        <v>0</v>
      </c>
      <c r="BJ171" s="713">
        <v>0</v>
      </c>
      <c r="BK171" s="712">
        <v>0</v>
      </c>
      <c r="BL171" s="713">
        <v>0</v>
      </c>
      <c r="BM171" s="712">
        <v>0</v>
      </c>
      <c r="BN171" s="713">
        <v>0</v>
      </c>
      <c r="BO171" s="712">
        <v>0</v>
      </c>
      <c r="BP171" s="713">
        <v>0</v>
      </c>
      <c r="BQ171" s="712">
        <v>0</v>
      </c>
      <c r="BR171" s="713">
        <v>0</v>
      </c>
      <c r="BS171" s="712">
        <v>0</v>
      </c>
      <c r="BT171" s="713">
        <v>0</v>
      </c>
      <c r="BU171" s="712">
        <v>0</v>
      </c>
      <c r="BV171" s="711">
        <v>0</v>
      </c>
      <c r="BW171" s="714">
        <v>0</v>
      </c>
      <c r="BX171" s="711">
        <v>0</v>
      </c>
      <c r="BY171" s="714">
        <v>0</v>
      </c>
      <c r="BZ171" s="711">
        <v>0</v>
      </c>
      <c r="CA171" s="714">
        <v>0</v>
      </c>
      <c r="CB171" s="711">
        <v>0</v>
      </c>
      <c r="CC171" s="714">
        <v>0</v>
      </c>
      <c r="CD171" s="711">
        <v>0</v>
      </c>
      <c r="CE171" s="714">
        <v>0</v>
      </c>
      <c r="CF171" s="711">
        <v>0</v>
      </c>
      <c r="CG171" s="714">
        <v>0</v>
      </c>
      <c r="CH171" s="711">
        <v>0</v>
      </c>
      <c r="CI171" s="714">
        <v>0</v>
      </c>
      <c r="CJ171" s="711">
        <v>0</v>
      </c>
      <c r="CK171" s="712">
        <v>0</v>
      </c>
      <c r="CL171" s="711">
        <v>0</v>
      </c>
      <c r="CM171" s="712">
        <v>0</v>
      </c>
      <c r="CN171" s="713">
        <v>0</v>
      </c>
      <c r="CO171" s="712">
        <v>0</v>
      </c>
    </row>
    <row r="172" spans="1:93">
      <c r="A172" s="468">
        <v>170</v>
      </c>
      <c r="B172" s="596">
        <v>0</v>
      </c>
      <c r="C172" s="596">
        <v>0</v>
      </c>
      <c r="D172" s="596">
        <v>0</v>
      </c>
      <c r="E172" s="596">
        <v>0</v>
      </c>
      <c r="F172" s="596">
        <v>0</v>
      </c>
      <c r="G172" s="596">
        <v>0</v>
      </c>
      <c r="H172" s="596">
        <v>0</v>
      </c>
      <c r="I172" s="596">
        <v>0</v>
      </c>
      <c r="J172" s="596">
        <v>0</v>
      </c>
      <c r="K172" s="596">
        <v>0</v>
      </c>
      <c r="L172" s="596">
        <v>0</v>
      </c>
      <c r="M172" s="596">
        <v>0</v>
      </c>
      <c r="N172" s="596">
        <v>0</v>
      </c>
      <c r="O172" s="596">
        <v>0</v>
      </c>
      <c r="P172" s="596">
        <v>0</v>
      </c>
      <c r="Q172" s="596">
        <v>0</v>
      </c>
      <c r="R172" s="596">
        <v>0</v>
      </c>
      <c r="S172" s="596">
        <v>0</v>
      </c>
      <c r="T172" s="596">
        <v>0</v>
      </c>
      <c r="U172" s="596">
        <v>0</v>
      </c>
      <c r="V172" s="596">
        <v>0</v>
      </c>
      <c r="W172" s="612">
        <v>0</v>
      </c>
      <c r="X172" s="704">
        <v>0</v>
      </c>
      <c r="Y172" s="705">
        <v>0</v>
      </c>
      <c r="Z172" s="706">
        <v>0</v>
      </c>
      <c r="AA172" s="707">
        <v>0</v>
      </c>
      <c r="AB172" s="706">
        <v>0</v>
      </c>
      <c r="AC172" s="704">
        <v>0</v>
      </c>
      <c r="AD172" s="706">
        <v>0</v>
      </c>
      <c r="AE172" s="708">
        <v>0</v>
      </c>
      <c r="AF172" s="704">
        <v>0</v>
      </c>
      <c r="AG172" s="704">
        <v>0</v>
      </c>
      <c r="AH172" s="708">
        <v>0</v>
      </c>
      <c r="AI172" s="709">
        <v>0</v>
      </c>
      <c r="AJ172" s="706">
        <v>0</v>
      </c>
      <c r="AK172" s="704">
        <v>0</v>
      </c>
      <c r="AL172" s="706">
        <v>0</v>
      </c>
      <c r="AM172" s="710">
        <v>0</v>
      </c>
      <c r="AN172" s="704">
        <v>0</v>
      </c>
      <c r="AO172" s="706">
        <v>0</v>
      </c>
      <c r="AP172" s="711">
        <v>0</v>
      </c>
      <c r="AQ172" s="712">
        <v>0</v>
      </c>
      <c r="AR172" s="711">
        <v>0</v>
      </c>
      <c r="AS172" s="712">
        <v>0</v>
      </c>
      <c r="AT172" s="711">
        <v>0</v>
      </c>
      <c r="AU172" s="712">
        <v>0</v>
      </c>
      <c r="AV172" s="713">
        <v>0</v>
      </c>
      <c r="AW172" s="714">
        <v>0</v>
      </c>
      <c r="AX172" s="711">
        <v>0</v>
      </c>
      <c r="AY172" s="712">
        <v>0</v>
      </c>
      <c r="AZ172" s="713">
        <v>0</v>
      </c>
      <c r="BA172" s="712">
        <v>0</v>
      </c>
      <c r="BB172" s="713">
        <v>0</v>
      </c>
      <c r="BC172" s="712">
        <v>0</v>
      </c>
      <c r="BD172" s="713">
        <v>0</v>
      </c>
      <c r="BE172" s="712">
        <v>0</v>
      </c>
      <c r="BF172" s="713">
        <v>0</v>
      </c>
      <c r="BG172" s="712">
        <v>0</v>
      </c>
      <c r="BH172" s="713">
        <v>0</v>
      </c>
      <c r="BI172" s="712">
        <v>0</v>
      </c>
      <c r="BJ172" s="713">
        <v>0</v>
      </c>
      <c r="BK172" s="712">
        <v>0</v>
      </c>
      <c r="BL172" s="713">
        <v>0</v>
      </c>
      <c r="BM172" s="712">
        <v>0</v>
      </c>
      <c r="BN172" s="713">
        <v>0</v>
      </c>
      <c r="BO172" s="712">
        <v>0</v>
      </c>
      <c r="BP172" s="713">
        <v>0</v>
      </c>
      <c r="BQ172" s="712">
        <v>0</v>
      </c>
      <c r="BR172" s="713">
        <v>0</v>
      </c>
      <c r="BS172" s="712">
        <v>0</v>
      </c>
      <c r="BT172" s="713">
        <v>0</v>
      </c>
      <c r="BU172" s="712">
        <v>0</v>
      </c>
      <c r="BV172" s="711">
        <v>0</v>
      </c>
      <c r="BW172" s="714">
        <v>0</v>
      </c>
      <c r="BX172" s="711">
        <v>0</v>
      </c>
      <c r="BY172" s="714">
        <v>0</v>
      </c>
      <c r="BZ172" s="711">
        <v>0</v>
      </c>
      <c r="CA172" s="714">
        <v>0</v>
      </c>
      <c r="CB172" s="711">
        <v>0</v>
      </c>
      <c r="CC172" s="714">
        <v>0</v>
      </c>
      <c r="CD172" s="711">
        <v>0</v>
      </c>
      <c r="CE172" s="714">
        <v>0</v>
      </c>
      <c r="CF172" s="711">
        <v>0</v>
      </c>
      <c r="CG172" s="714">
        <v>0</v>
      </c>
      <c r="CH172" s="711">
        <v>0</v>
      </c>
      <c r="CI172" s="714">
        <v>0</v>
      </c>
      <c r="CJ172" s="711">
        <v>0</v>
      </c>
      <c r="CK172" s="712">
        <v>0</v>
      </c>
      <c r="CL172" s="711">
        <v>0</v>
      </c>
      <c r="CM172" s="712">
        <v>0</v>
      </c>
      <c r="CN172" s="713">
        <v>0</v>
      </c>
      <c r="CO172" s="712">
        <v>0</v>
      </c>
    </row>
    <row r="173" spans="1:93">
      <c r="A173" s="468">
        <v>171</v>
      </c>
      <c r="B173" s="596">
        <v>0</v>
      </c>
      <c r="C173" s="596">
        <v>0</v>
      </c>
      <c r="D173" s="596">
        <v>0</v>
      </c>
      <c r="E173" s="596">
        <v>0</v>
      </c>
      <c r="F173" s="596">
        <v>0</v>
      </c>
      <c r="G173" s="596">
        <v>0</v>
      </c>
      <c r="H173" s="596">
        <v>0</v>
      </c>
      <c r="I173" s="596">
        <v>0</v>
      </c>
      <c r="J173" s="596">
        <v>0</v>
      </c>
      <c r="K173" s="596">
        <v>0</v>
      </c>
      <c r="L173" s="596">
        <v>0</v>
      </c>
      <c r="M173" s="596">
        <v>0</v>
      </c>
      <c r="N173" s="596">
        <v>0</v>
      </c>
      <c r="O173" s="596">
        <v>0</v>
      </c>
      <c r="P173" s="596">
        <v>0</v>
      </c>
      <c r="Q173" s="596">
        <v>0</v>
      </c>
      <c r="R173" s="596">
        <v>0</v>
      </c>
      <c r="S173" s="596">
        <v>0</v>
      </c>
      <c r="T173" s="596">
        <v>0</v>
      </c>
      <c r="U173" s="596">
        <v>0</v>
      </c>
      <c r="V173" s="596">
        <v>0</v>
      </c>
      <c r="W173" s="612">
        <v>0</v>
      </c>
      <c r="X173" s="704">
        <v>0</v>
      </c>
      <c r="Y173" s="705">
        <v>0</v>
      </c>
      <c r="Z173" s="706">
        <v>0</v>
      </c>
      <c r="AA173" s="707">
        <v>0</v>
      </c>
      <c r="AB173" s="706">
        <v>0</v>
      </c>
      <c r="AC173" s="704">
        <v>0</v>
      </c>
      <c r="AD173" s="706">
        <v>0</v>
      </c>
      <c r="AE173" s="708">
        <v>0</v>
      </c>
      <c r="AF173" s="704">
        <v>0</v>
      </c>
      <c r="AG173" s="704">
        <v>0</v>
      </c>
      <c r="AH173" s="708">
        <v>0</v>
      </c>
      <c r="AI173" s="709">
        <v>0</v>
      </c>
      <c r="AJ173" s="706">
        <v>0</v>
      </c>
      <c r="AK173" s="704">
        <v>0</v>
      </c>
      <c r="AL173" s="706">
        <v>0</v>
      </c>
      <c r="AM173" s="710">
        <v>0</v>
      </c>
      <c r="AN173" s="704">
        <v>0</v>
      </c>
      <c r="AO173" s="706">
        <v>0</v>
      </c>
      <c r="AP173" s="711">
        <v>0</v>
      </c>
      <c r="AQ173" s="712">
        <v>0</v>
      </c>
      <c r="AR173" s="711">
        <v>0</v>
      </c>
      <c r="AS173" s="712">
        <v>0</v>
      </c>
      <c r="AT173" s="711">
        <v>0</v>
      </c>
      <c r="AU173" s="712">
        <v>0</v>
      </c>
      <c r="AV173" s="713">
        <v>0</v>
      </c>
      <c r="AW173" s="714">
        <v>0</v>
      </c>
      <c r="AX173" s="711">
        <v>0</v>
      </c>
      <c r="AY173" s="712">
        <v>0</v>
      </c>
      <c r="AZ173" s="713">
        <v>0</v>
      </c>
      <c r="BA173" s="712">
        <v>0</v>
      </c>
      <c r="BB173" s="713">
        <v>0</v>
      </c>
      <c r="BC173" s="712">
        <v>0</v>
      </c>
      <c r="BD173" s="713">
        <v>0</v>
      </c>
      <c r="BE173" s="712">
        <v>0</v>
      </c>
      <c r="BF173" s="713">
        <v>0</v>
      </c>
      <c r="BG173" s="712">
        <v>0</v>
      </c>
      <c r="BH173" s="713">
        <v>0</v>
      </c>
      <c r="BI173" s="712">
        <v>0</v>
      </c>
      <c r="BJ173" s="713">
        <v>0</v>
      </c>
      <c r="BK173" s="712">
        <v>0</v>
      </c>
      <c r="BL173" s="713">
        <v>0</v>
      </c>
      <c r="BM173" s="712">
        <v>0</v>
      </c>
      <c r="BN173" s="713">
        <v>0</v>
      </c>
      <c r="BO173" s="712">
        <v>0</v>
      </c>
      <c r="BP173" s="713">
        <v>0</v>
      </c>
      <c r="BQ173" s="712">
        <v>0</v>
      </c>
      <c r="BR173" s="713">
        <v>0</v>
      </c>
      <c r="BS173" s="712">
        <v>0</v>
      </c>
      <c r="BT173" s="713">
        <v>0</v>
      </c>
      <c r="BU173" s="712">
        <v>0</v>
      </c>
      <c r="BV173" s="711">
        <v>0</v>
      </c>
      <c r="BW173" s="714">
        <v>0</v>
      </c>
      <c r="BX173" s="711">
        <v>0</v>
      </c>
      <c r="BY173" s="714">
        <v>0</v>
      </c>
      <c r="BZ173" s="711">
        <v>0</v>
      </c>
      <c r="CA173" s="714">
        <v>0</v>
      </c>
      <c r="CB173" s="711">
        <v>0</v>
      </c>
      <c r="CC173" s="714">
        <v>0</v>
      </c>
      <c r="CD173" s="711">
        <v>0</v>
      </c>
      <c r="CE173" s="714">
        <v>0</v>
      </c>
      <c r="CF173" s="711">
        <v>0</v>
      </c>
      <c r="CG173" s="714">
        <v>0</v>
      </c>
      <c r="CH173" s="711">
        <v>0</v>
      </c>
      <c r="CI173" s="714">
        <v>0</v>
      </c>
      <c r="CJ173" s="711">
        <v>0</v>
      </c>
      <c r="CK173" s="712">
        <v>0</v>
      </c>
      <c r="CL173" s="711">
        <v>0</v>
      </c>
      <c r="CM173" s="712">
        <v>0</v>
      </c>
      <c r="CN173" s="713">
        <v>0</v>
      </c>
      <c r="CO173" s="712">
        <v>0</v>
      </c>
    </row>
    <row r="174" spans="1:93">
      <c r="A174" s="468">
        <v>172</v>
      </c>
      <c r="B174" s="596">
        <v>0</v>
      </c>
      <c r="C174" s="596">
        <v>0</v>
      </c>
      <c r="D174" s="596">
        <v>0</v>
      </c>
      <c r="E174" s="596">
        <v>0</v>
      </c>
      <c r="F174" s="596">
        <v>0</v>
      </c>
      <c r="G174" s="596">
        <v>0</v>
      </c>
      <c r="H174" s="596">
        <v>0</v>
      </c>
      <c r="I174" s="596">
        <v>0</v>
      </c>
      <c r="J174" s="596">
        <v>0</v>
      </c>
      <c r="K174" s="596">
        <v>0</v>
      </c>
      <c r="L174" s="596">
        <v>0</v>
      </c>
      <c r="M174" s="596">
        <v>0</v>
      </c>
      <c r="N174" s="596">
        <v>0</v>
      </c>
      <c r="O174" s="596">
        <v>0</v>
      </c>
      <c r="P174" s="596">
        <v>0</v>
      </c>
      <c r="Q174" s="596">
        <v>0</v>
      </c>
      <c r="R174" s="596">
        <v>0</v>
      </c>
      <c r="S174" s="596">
        <v>0</v>
      </c>
      <c r="T174" s="596">
        <v>0</v>
      </c>
      <c r="U174" s="596">
        <v>0</v>
      </c>
      <c r="V174" s="596">
        <v>0</v>
      </c>
      <c r="W174" s="612">
        <v>0</v>
      </c>
      <c r="X174" s="704">
        <v>0</v>
      </c>
      <c r="Y174" s="705">
        <v>0</v>
      </c>
      <c r="Z174" s="706">
        <v>0</v>
      </c>
      <c r="AA174" s="707">
        <v>0</v>
      </c>
      <c r="AB174" s="706">
        <v>0</v>
      </c>
      <c r="AC174" s="704">
        <v>0</v>
      </c>
      <c r="AD174" s="706">
        <v>0</v>
      </c>
      <c r="AE174" s="708">
        <v>0</v>
      </c>
      <c r="AF174" s="704">
        <v>0</v>
      </c>
      <c r="AG174" s="704">
        <v>0</v>
      </c>
      <c r="AH174" s="708">
        <v>0</v>
      </c>
      <c r="AI174" s="709">
        <v>0</v>
      </c>
      <c r="AJ174" s="706">
        <v>0</v>
      </c>
      <c r="AK174" s="704">
        <v>0</v>
      </c>
      <c r="AL174" s="706">
        <v>0</v>
      </c>
      <c r="AM174" s="710">
        <v>0</v>
      </c>
      <c r="AN174" s="704">
        <v>0</v>
      </c>
      <c r="AO174" s="706">
        <v>0</v>
      </c>
      <c r="AP174" s="711">
        <v>0</v>
      </c>
      <c r="AQ174" s="712">
        <v>0</v>
      </c>
      <c r="AR174" s="711">
        <v>0</v>
      </c>
      <c r="AS174" s="712">
        <v>0</v>
      </c>
      <c r="AT174" s="711">
        <v>0</v>
      </c>
      <c r="AU174" s="712">
        <v>0</v>
      </c>
      <c r="AV174" s="713">
        <v>0</v>
      </c>
      <c r="AW174" s="714">
        <v>0</v>
      </c>
      <c r="AX174" s="711">
        <v>0</v>
      </c>
      <c r="AY174" s="712">
        <v>0</v>
      </c>
      <c r="AZ174" s="713">
        <v>0</v>
      </c>
      <c r="BA174" s="712">
        <v>0</v>
      </c>
      <c r="BB174" s="713">
        <v>0</v>
      </c>
      <c r="BC174" s="712">
        <v>0</v>
      </c>
      <c r="BD174" s="713">
        <v>0</v>
      </c>
      <c r="BE174" s="712">
        <v>0</v>
      </c>
      <c r="BF174" s="713">
        <v>0</v>
      </c>
      <c r="BG174" s="712">
        <v>0</v>
      </c>
      <c r="BH174" s="713">
        <v>0</v>
      </c>
      <c r="BI174" s="712">
        <v>0</v>
      </c>
      <c r="BJ174" s="713">
        <v>0</v>
      </c>
      <c r="BK174" s="712">
        <v>0</v>
      </c>
      <c r="BL174" s="713">
        <v>0</v>
      </c>
      <c r="BM174" s="712">
        <v>0</v>
      </c>
      <c r="BN174" s="713">
        <v>0</v>
      </c>
      <c r="BO174" s="712">
        <v>0</v>
      </c>
      <c r="BP174" s="713">
        <v>0</v>
      </c>
      <c r="BQ174" s="712">
        <v>0</v>
      </c>
      <c r="BR174" s="713">
        <v>0</v>
      </c>
      <c r="BS174" s="712">
        <v>0</v>
      </c>
      <c r="BT174" s="713">
        <v>0</v>
      </c>
      <c r="BU174" s="712">
        <v>0</v>
      </c>
      <c r="BV174" s="711">
        <v>0</v>
      </c>
      <c r="BW174" s="714">
        <v>0</v>
      </c>
      <c r="BX174" s="711">
        <v>0</v>
      </c>
      <c r="BY174" s="714">
        <v>0</v>
      </c>
      <c r="BZ174" s="711">
        <v>0</v>
      </c>
      <c r="CA174" s="714">
        <v>0</v>
      </c>
      <c r="CB174" s="711">
        <v>0</v>
      </c>
      <c r="CC174" s="714">
        <v>0</v>
      </c>
      <c r="CD174" s="711">
        <v>0</v>
      </c>
      <c r="CE174" s="714">
        <v>0</v>
      </c>
      <c r="CF174" s="711">
        <v>0</v>
      </c>
      <c r="CG174" s="714">
        <v>0</v>
      </c>
      <c r="CH174" s="711">
        <v>0</v>
      </c>
      <c r="CI174" s="714">
        <v>0</v>
      </c>
      <c r="CJ174" s="711">
        <v>0</v>
      </c>
      <c r="CK174" s="712">
        <v>0</v>
      </c>
      <c r="CL174" s="711">
        <v>0</v>
      </c>
      <c r="CM174" s="712">
        <v>0</v>
      </c>
      <c r="CN174" s="713">
        <v>0</v>
      </c>
      <c r="CO174" s="712">
        <v>0</v>
      </c>
    </row>
    <row r="175" spans="1:93">
      <c r="A175" s="468">
        <v>173</v>
      </c>
      <c r="B175" s="596">
        <v>0</v>
      </c>
      <c r="C175" s="596">
        <v>0</v>
      </c>
      <c r="D175" s="596">
        <v>0</v>
      </c>
      <c r="E175" s="596">
        <v>0</v>
      </c>
      <c r="F175" s="596">
        <v>0</v>
      </c>
      <c r="G175" s="596">
        <v>0</v>
      </c>
      <c r="H175" s="596">
        <v>0</v>
      </c>
      <c r="I175" s="596">
        <v>0</v>
      </c>
      <c r="J175" s="596">
        <v>0</v>
      </c>
      <c r="K175" s="596">
        <v>0</v>
      </c>
      <c r="L175" s="596">
        <v>0</v>
      </c>
      <c r="M175" s="596">
        <v>0</v>
      </c>
      <c r="N175" s="596">
        <v>0</v>
      </c>
      <c r="O175" s="596">
        <v>0</v>
      </c>
      <c r="P175" s="596">
        <v>0</v>
      </c>
      <c r="Q175" s="596">
        <v>0</v>
      </c>
      <c r="R175" s="596">
        <v>0</v>
      </c>
      <c r="S175" s="596">
        <v>0</v>
      </c>
      <c r="T175" s="596">
        <v>0</v>
      </c>
      <c r="U175" s="596">
        <v>0</v>
      </c>
      <c r="V175" s="596">
        <v>0</v>
      </c>
      <c r="W175" s="612">
        <v>0</v>
      </c>
      <c r="X175" s="704">
        <v>0</v>
      </c>
      <c r="Y175" s="705">
        <v>0</v>
      </c>
      <c r="Z175" s="706">
        <v>0</v>
      </c>
      <c r="AA175" s="707">
        <v>0</v>
      </c>
      <c r="AB175" s="706">
        <v>0</v>
      </c>
      <c r="AC175" s="704">
        <v>0</v>
      </c>
      <c r="AD175" s="706">
        <v>0</v>
      </c>
      <c r="AE175" s="708">
        <v>0</v>
      </c>
      <c r="AF175" s="704">
        <v>0</v>
      </c>
      <c r="AG175" s="704">
        <v>0</v>
      </c>
      <c r="AH175" s="708">
        <v>0</v>
      </c>
      <c r="AI175" s="709">
        <v>0</v>
      </c>
      <c r="AJ175" s="706">
        <v>0</v>
      </c>
      <c r="AK175" s="704">
        <v>0</v>
      </c>
      <c r="AL175" s="706">
        <v>0</v>
      </c>
      <c r="AM175" s="710">
        <v>0</v>
      </c>
      <c r="AN175" s="704">
        <v>0</v>
      </c>
      <c r="AO175" s="706">
        <v>0</v>
      </c>
      <c r="AP175" s="711">
        <v>0</v>
      </c>
      <c r="AQ175" s="712">
        <v>0</v>
      </c>
      <c r="AR175" s="711">
        <v>0</v>
      </c>
      <c r="AS175" s="712">
        <v>0</v>
      </c>
      <c r="AT175" s="711">
        <v>0</v>
      </c>
      <c r="AU175" s="712">
        <v>0</v>
      </c>
      <c r="AV175" s="713">
        <v>0</v>
      </c>
      <c r="AW175" s="714">
        <v>0</v>
      </c>
      <c r="AX175" s="711">
        <v>0</v>
      </c>
      <c r="AY175" s="712">
        <v>0</v>
      </c>
      <c r="AZ175" s="713">
        <v>0</v>
      </c>
      <c r="BA175" s="712">
        <v>0</v>
      </c>
      <c r="BB175" s="713">
        <v>0</v>
      </c>
      <c r="BC175" s="712">
        <v>0</v>
      </c>
      <c r="BD175" s="713">
        <v>0</v>
      </c>
      <c r="BE175" s="712">
        <v>0</v>
      </c>
      <c r="BF175" s="713">
        <v>0</v>
      </c>
      <c r="BG175" s="712">
        <v>0</v>
      </c>
      <c r="BH175" s="713">
        <v>0</v>
      </c>
      <c r="BI175" s="712">
        <v>0</v>
      </c>
      <c r="BJ175" s="713">
        <v>0</v>
      </c>
      <c r="BK175" s="712">
        <v>0</v>
      </c>
      <c r="BL175" s="713">
        <v>0</v>
      </c>
      <c r="BM175" s="712">
        <v>0</v>
      </c>
      <c r="BN175" s="713">
        <v>0</v>
      </c>
      <c r="BO175" s="712">
        <v>0</v>
      </c>
      <c r="BP175" s="713">
        <v>0</v>
      </c>
      <c r="BQ175" s="712">
        <v>0</v>
      </c>
      <c r="BR175" s="713">
        <v>0</v>
      </c>
      <c r="BS175" s="712">
        <v>0</v>
      </c>
      <c r="BT175" s="713">
        <v>0</v>
      </c>
      <c r="BU175" s="712">
        <v>0</v>
      </c>
      <c r="BV175" s="711">
        <v>0</v>
      </c>
      <c r="BW175" s="714">
        <v>0</v>
      </c>
      <c r="BX175" s="711">
        <v>0</v>
      </c>
      <c r="BY175" s="714">
        <v>0</v>
      </c>
      <c r="BZ175" s="711">
        <v>0</v>
      </c>
      <c r="CA175" s="714">
        <v>0</v>
      </c>
      <c r="CB175" s="711">
        <v>0</v>
      </c>
      <c r="CC175" s="714">
        <v>0</v>
      </c>
      <c r="CD175" s="711">
        <v>0</v>
      </c>
      <c r="CE175" s="714">
        <v>0</v>
      </c>
      <c r="CF175" s="711">
        <v>0</v>
      </c>
      <c r="CG175" s="714">
        <v>0</v>
      </c>
      <c r="CH175" s="711">
        <v>0</v>
      </c>
      <c r="CI175" s="714">
        <v>0</v>
      </c>
      <c r="CJ175" s="711">
        <v>0</v>
      </c>
      <c r="CK175" s="712">
        <v>0</v>
      </c>
      <c r="CL175" s="711">
        <v>0</v>
      </c>
      <c r="CM175" s="712">
        <v>0</v>
      </c>
      <c r="CN175" s="713">
        <v>0</v>
      </c>
      <c r="CO175" s="712">
        <v>0</v>
      </c>
    </row>
    <row r="176" spans="1:93">
      <c r="A176" s="468">
        <v>174</v>
      </c>
      <c r="B176" s="596">
        <v>0</v>
      </c>
      <c r="C176" s="596">
        <v>0</v>
      </c>
      <c r="D176" s="596">
        <v>0</v>
      </c>
      <c r="E176" s="596">
        <v>0</v>
      </c>
      <c r="F176" s="596">
        <v>0</v>
      </c>
      <c r="G176" s="596">
        <v>0</v>
      </c>
      <c r="H176" s="596">
        <v>0</v>
      </c>
      <c r="I176" s="596">
        <v>0</v>
      </c>
      <c r="J176" s="596">
        <v>0</v>
      </c>
      <c r="K176" s="596">
        <v>0</v>
      </c>
      <c r="L176" s="596">
        <v>0</v>
      </c>
      <c r="M176" s="596">
        <v>0</v>
      </c>
      <c r="N176" s="596">
        <v>0</v>
      </c>
      <c r="O176" s="596">
        <v>0</v>
      </c>
      <c r="P176" s="596">
        <v>0</v>
      </c>
      <c r="Q176" s="596">
        <v>0</v>
      </c>
      <c r="R176" s="596">
        <v>0</v>
      </c>
      <c r="S176" s="596">
        <v>0</v>
      </c>
      <c r="T176" s="596">
        <v>0</v>
      </c>
      <c r="U176" s="596">
        <v>0</v>
      </c>
      <c r="V176" s="596">
        <v>0</v>
      </c>
      <c r="W176" s="612">
        <v>0</v>
      </c>
      <c r="X176" s="704">
        <v>0</v>
      </c>
      <c r="Y176" s="705">
        <v>0</v>
      </c>
      <c r="Z176" s="706">
        <v>0</v>
      </c>
      <c r="AA176" s="707">
        <v>0</v>
      </c>
      <c r="AB176" s="706">
        <v>0</v>
      </c>
      <c r="AC176" s="704">
        <v>0</v>
      </c>
      <c r="AD176" s="706">
        <v>0</v>
      </c>
      <c r="AE176" s="708">
        <v>0</v>
      </c>
      <c r="AF176" s="704">
        <v>0</v>
      </c>
      <c r="AG176" s="704">
        <v>0</v>
      </c>
      <c r="AH176" s="708">
        <v>0</v>
      </c>
      <c r="AI176" s="709">
        <v>0</v>
      </c>
      <c r="AJ176" s="706">
        <v>0</v>
      </c>
      <c r="AK176" s="704">
        <v>0</v>
      </c>
      <c r="AL176" s="706">
        <v>0</v>
      </c>
      <c r="AM176" s="710">
        <v>0</v>
      </c>
      <c r="AN176" s="704">
        <v>0</v>
      </c>
      <c r="AO176" s="706">
        <v>0</v>
      </c>
      <c r="AP176" s="711">
        <v>0</v>
      </c>
      <c r="AQ176" s="712">
        <v>0</v>
      </c>
      <c r="AR176" s="711">
        <v>0</v>
      </c>
      <c r="AS176" s="712">
        <v>0</v>
      </c>
      <c r="AT176" s="711">
        <v>0</v>
      </c>
      <c r="AU176" s="712">
        <v>0</v>
      </c>
      <c r="AV176" s="713">
        <v>0</v>
      </c>
      <c r="AW176" s="714">
        <v>0</v>
      </c>
      <c r="AX176" s="711">
        <v>0</v>
      </c>
      <c r="AY176" s="712">
        <v>0</v>
      </c>
      <c r="AZ176" s="713">
        <v>0</v>
      </c>
      <c r="BA176" s="712">
        <v>0</v>
      </c>
      <c r="BB176" s="713">
        <v>0</v>
      </c>
      <c r="BC176" s="712">
        <v>0</v>
      </c>
      <c r="BD176" s="713">
        <v>0</v>
      </c>
      <c r="BE176" s="712">
        <v>0</v>
      </c>
      <c r="BF176" s="713">
        <v>0</v>
      </c>
      <c r="BG176" s="712">
        <v>0</v>
      </c>
      <c r="BH176" s="713">
        <v>0</v>
      </c>
      <c r="BI176" s="712">
        <v>0</v>
      </c>
      <c r="BJ176" s="713">
        <v>0</v>
      </c>
      <c r="BK176" s="712">
        <v>0</v>
      </c>
      <c r="BL176" s="713">
        <v>0</v>
      </c>
      <c r="BM176" s="712">
        <v>0</v>
      </c>
      <c r="BN176" s="713">
        <v>0</v>
      </c>
      <c r="BO176" s="712">
        <v>0</v>
      </c>
      <c r="BP176" s="713">
        <v>0</v>
      </c>
      <c r="BQ176" s="712">
        <v>0</v>
      </c>
      <c r="BR176" s="713">
        <v>0</v>
      </c>
      <c r="BS176" s="712">
        <v>0</v>
      </c>
      <c r="BT176" s="713">
        <v>0</v>
      </c>
      <c r="BU176" s="712">
        <v>0</v>
      </c>
      <c r="BV176" s="711">
        <v>0</v>
      </c>
      <c r="BW176" s="714">
        <v>0</v>
      </c>
      <c r="BX176" s="711">
        <v>0</v>
      </c>
      <c r="BY176" s="714">
        <v>0</v>
      </c>
      <c r="BZ176" s="711">
        <v>0</v>
      </c>
      <c r="CA176" s="714">
        <v>0</v>
      </c>
      <c r="CB176" s="711">
        <v>0</v>
      </c>
      <c r="CC176" s="714">
        <v>0</v>
      </c>
      <c r="CD176" s="711">
        <v>0</v>
      </c>
      <c r="CE176" s="714">
        <v>0</v>
      </c>
      <c r="CF176" s="711">
        <v>0</v>
      </c>
      <c r="CG176" s="714">
        <v>0</v>
      </c>
      <c r="CH176" s="711">
        <v>0</v>
      </c>
      <c r="CI176" s="714">
        <v>0</v>
      </c>
      <c r="CJ176" s="711">
        <v>0</v>
      </c>
      <c r="CK176" s="712">
        <v>0</v>
      </c>
      <c r="CL176" s="711">
        <v>0</v>
      </c>
      <c r="CM176" s="712">
        <v>0</v>
      </c>
      <c r="CN176" s="713">
        <v>0</v>
      </c>
      <c r="CO176" s="712">
        <v>0</v>
      </c>
    </row>
    <row r="177" spans="1:93">
      <c r="A177" s="468">
        <v>175</v>
      </c>
      <c r="B177" s="596">
        <v>0</v>
      </c>
      <c r="C177" s="596">
        <v>0</v>
      </c>
      <c r="D177" s="596">
        <v>0</v>
      </c>
      <c r="E177" s="596">
        <v>0</v>
      </c>
      <c r="F177" s="596">
        <v>0</v>
      </c>
      <c r="G177" s="596">
        <v>0</v>
      </c>
      <c r="H177" s="596">
        <v>0</v>
      </c>
      <c r="I177" s="596">
        <v>0</v>
      </c>
      <c r="J177" s="596">
        <v>0</v>
      </c>
      <c r="K177" s="596">
        <v>0</v>
      </c>
      <c r="L177" s="596">
        <v>0</v>
      </c>
      <c r="M177" s="596">
        <v>0</v>
      </c>
      <c r="N177" s="596">
        <v>0</v>
      </c>
      <c r="O177" s="596">
        <v>0</v>
      </c>
      <c r="P177" s="596">
        <v>0</v>
      </c>
      <c r="Q177" s="596">
        <v>0</v>
      </c>
      <c r="R177" s="596">
        <v>0</v>
      </c>
      <c r="S177" s="596">
        <v>0</v>
      </c>
      <c r="T177" s="596">
        <v>0</v>
      </c>
      <c r="U177" s="596">
        <v>0</v>
      </c>
      <c r="V177" s="596">
        <v>0</v>
      </c>
      <c r="W177" s="612">
        <v>0</v>
      </c>
      <c r="X177" s="704">
        <v>0</v>
      </c>
      <c r="Y177" s="705">
        <v>0</v>
      </c>
      <c r="Z177" s="706">
        <v>0</v>
      </c>
      <c r="AA177" s="707">
        <v>0</v>
      </c>
      <c r="AB177" s="706">
        <v>0</v>
      </c>
      <c r="AC177" s="704">
        <v>0</v>
      </c>
      <c r="AD177" s="706">
        <v>0</v>
      </c>
      <c r="AE177" s="708">
        <v>0</v>
      </c>
      <c r="AF177" s="704">
        <v>0</v>
      </c>
      <c r="AG177" s="704">
        <v>0</v>
      </c>
      <c r="AH177" s="708">
        <v>0</v>
      </c>
      <c r="AI177" s="709">
        <v>0</v>
      </c>
      <c r="AJ177" s="706">
        <v>0</v>
      </c>
      <c r="AK177" s="704">
        <v>0</v>
      </c>
      <c r="AL177" s="706">
        <v>0</v>
      </c>
      <c r="AM177" s="710">
        <v>0</v>
      </c>
      <c r="AN177" s="704">
        <v>0</v>
      </c>
      <c r="AO177" s="706">
        <v>0</v>
      </c>
      <c r="AP177" s="711">
        <v>0</v>
      </c>
      <c r="AQ177" s="712">
        <v>0</v>
      </c>
      <c r="AR177" s="711">
        <v>0</v>
      </c>
      <c r="AS177" s="712">
        <v>0</v>
      </c>
      <c r="AT177" s="711">
        <v>0</v>
      </c>
      <c r="AU177" s="712">
        <v>0</v>
      </c>
      <c r="AV177" s="713">
        <v>0</v>
      </c>
      <c r="AW177" s="714">
        <v>0</v>
      </c>
      <c r="AX177" s="711">
        <v>0</v>
      </c>
      <c r="AY177" s="712">
        <v>0</v>
      </c>
      <c r="AZ177" s="713">
        <v>0</v>
      </c>
      <c r="BA177" s="712">
        <v>0</v>
      </c>
      <c r="BB177" s="713">
        <v>0</v>
      </c>
      <c r="BC177" s="712">
        <v>0</v>
      </c>
      <c r="BD177" s="713">
        <v>0</v>
      </c>
      <c r="BE177" s="712">
        <v>0</v>
      </c>
      <c r="BF177" s="713">
        <v>0</v>
      </c>
      <c r="BG177" s="712">
        <v>0</v>
      </c>
      <c r="BH177" s="713">
        <v>0</v>
      </c>
      <c r="BI177" s="712">
        <v>0</v>
      </c>
      <c r="BJ177" s="713">
        <v>0</v>
      </c>
      <c r="BK177" s="712">
        <v>0</v>
      </c>
      <c r="BL177" s="713">
        <v>0</v>
      </c>
      <c r="BM177" s="712">
        <v>0</v>
      </c>
      <c r="BN177" s="713">
        <v>0</v>
      </c>
      <c r="BO177" s="712">
        <v>0</v>
      </c>
      <c r="BP177" s="713">
        <v>0</v>
      </c>
      <c r="BQ177" s="712">
        <v>0</v>
      </c>
      <c r="BR177" s="713">
        <v>0</v>
      </c>
      <c r="BS177" s="712">
        <v>0</v>
      </c>
      <c r="BT177" s="713">
        <v>0</v>
      </c>
      <c r="BU177" s="712">
        <v>0</v>
      </c>
      <c r="BV177" s="711">
        <v>0</v>
      </c>
      <c r="BW177" s="714">
        <v>0</v>
      </c>
      <c r="BX177" s="711">
        <v>0</v>
      </c>
      <c r="BY177" s="714">
        <v>0</v>
      </c>
      <c r="BZ177" s="711">
        <v>0</v>
      </c>
      <c r="CA177" s="714">
        <v>0</v>
      </c>
      <c r="CB177" s="711">
        <v>0</v>
      </c>
      <c r="CC177" s="714">
        <v>0</v>
      </c>
      <c r="CD177" s="711">
        <v>0</v>
      </c>
      <c r="CE177" s="714">
        <v>0</v>
      </c>
      <c r="CF177" s="711">
        <v>0</v>
      </c>
      <c r="CG177" s="714">
        <v>0</v>
      </c>
      <c r="CH177" s="711">
        <v>0</v>
      </c>
      <c r="CI177" s="714">
        <v>0</v>
      </c>
      <c r="CJ177" s="711">
        <v>0</v>
      </c>
      <c r="CK177" s="712">
        <v>0</v>
      </c>
      <c r="CL177" s="711">
        <v>0</v>
      </c>
      <c r="CM177" s="712">
        <v>0</v>
      </c>
      <c r="CN177" s="713">
        <v>0</v>
      </c>
      <c r="CO177" s="712">
        <v>0</v>
      </c>
    </row>
    <row r="178" spans="1:93">
      <c r="A178" s="468">
        <v>176</v>
      </c>
      <c r="B178" s="596">
        <v>0</v>
      </c>
      <c r="C178" s="596">
        <v>0</v>
      </c>
      <c r="D178" s="596">
        <v>0</v>
      </c>
      <c r="E178" s="596">
        <v>0</v>
      </c>
      <c r="F178" s="596">
        <v>0</v>
      </c>
      <c r="G178" s="596">
        <v>0</v>
      </c>
      <c r="H178" s="596">
        <v>0</v>
      </c>
      <c r="I178" s="596">
        <v>0</v>
      </c>
      <c r="J178" s="596">
        <v>0</v>
      </c>
      <c r="K178" s="596">
        <v>0</v>
      </c>
      <c r="L178" s="596">
        <v>0</v>
      </c>
      <c r="M178" s="596">
        <v>0</v>
      </c>
      <c r="N178" s="596">
        <v>0</v>
      </c>
      <c r="O178" s="596">
        <v>0</v>
      </c>
      <c r="P178" s="596">
        <v>0</v>
      </c>
      <c r="Q178" s="596">
        <v>0</v>
      </c>
      <c r="R178" s="596">
        <v>0</v>
      </c>
      <c r="S178" s="596">
        <v>0</v>
      </c>
      <c r="T178" s="596">
        <v>0</v>
      </c>
      <c r="U178" s="596">
        <v>0</v>
      </c>
      <c r="V178" s="596">
        <v>0</v>
      </c>
      <c r="W178" s="612">
        <v>0</v>
      </c>
      <c r="X178" s="704">
        <v>0</v>
      </c>
      <c r="Y178" s="705">
        <v>0</v>
      </c>
      <c r="Z178" s="706">
        <v>0</v>
      </c>
      <c r="AA178" s="707">
        <v>0</v>
      </c>
      <c r="AB178" s="706">
        <v>0</v>
      </c>
      <c r="AC178" s="704">
        <v>0</v>
      </c>
      <c r="AD178" s="706">
        <v>0</v>
      </c>
      <c r="AE178" s="708">
        <v>0</v>
      </c>
      <c r="AF178" s="704">
        <v>0</v>
      </c>
      <c r="AG178" s="704">
        <v>0</v>
      </c>
      <c r="AH178" s="708">
        <v>0</v>
      </c>
      <c r="AI178" s="709">
        <v>0</v>
      </c>
      <c r="AJ178" s="706">
        <v>0</v>
      </c>
      <c r="AK178" s="704">
        <v>0</v>
      </c>
      <c r="AL178" s="706">
        <v>0</v>
      </c>
      <c r="AM178" s="710">
        <v>0</v>
      </c>
      <c r="AN178" s="704">
        <v>0</v>
      </c>
      <c r="AO178" s="706">
        <v>0</v>
      </c>
      <c r="AP178" s="711">
        <v>0</v>
      </c>
      <c r="AQ178" s="712">
        <v>0</v>
      </c>
      <c r="AR178" s="711">
        <v>0</v>
      </c>
      <c r="AS178" s="712">
        <v>0</v>
      </c>
      <c r="AT178" s="711">
        <v>0</v>
      </c>
      <c r="AU178" s="712">
        <v>0</v>
      </c>
      <c r="AV178" s="713">
        <v>0</v>
      </c>
      <c r="AW178" s="714">
        <v>0</v>
      </c>
      <c r="AX178" s="711">
        <v>0</v>
      </c>
      <c r="AY178" s="712">
        <v>0</v>
      </c>
      <c r="AZ178" s="713">
        <v>0</v>
      </c>
      <c r="BA178" s="712">
        <v>0</v>
      </c>
      <c r="BB178" s="713">
        <v>0</v>
      </c>
      <c r="BC178" s="712">
        <v>0</v>
      </c>
      <c r="BD178" s="713">
        <v>0</v>
      </c>
      <c r="BE178" s="712">
        <v>0</v>
      </c>
      <c r="BF178" s="713">
        <v>0</v>
      </c>
      <c r="BG178" s="712">
        <v>0</v>
      </c>
      <c r="BH178" s="713">
        <v>0</v>
      </c>
      <c r="BI178" s="712">
        <v>0</v>
      </c>
      <c r="BJ178" s="713">
        <v>0</v>
      </c>
      <c r="BK178" s="712">
        <v>0</v>
      </c>
      <c r="BL178" s="713">
        <v>0</v>
      </c>
      <c r="BM178" s="712">
        <v>0</v>
      </c>
      <c r="BN178" s="713">
        <v>0</v>
      </c>
      <c r="BO178" s="712">
        <v>0</v>
      </c>
      <c r="BP178" s="713">
        <v>0</v>
      </c>
      <c r="BQ178" s="712">
        <v>0</v>
      </c>
      <c r="BR178" s="713">
        <v>0</v>
      </c>
      <c r="BS178" s="712">
        <v>0</v>
      </c>
      <c r="BT178" s="713">
        <v>0</v>
      </c>
      <c r="BU178" s="712">
        <v>0</v>
      </c>
      <c r="BV178" s="711">
        <v>0</v>
      </c>
      <c r="BW178" s="714">
        <v>0</v>
      </c>
      <c r="BX178" s="711">
        <v>0</v>
      </c>
      <c r="BY178" s="714">
        <v>0</v>
      </c>
      <c r="BZ178" s="711">
        <v>0</v>
      </c>
      <c r="CA178" s="714">
        <v>0</v>
      </c>
      <c r="CB178" s="711">
        <v>0</v>
      </c>
      <c r="CC178" s="714">
        <v>0</v>
      </c>
      <c r="CD178" s="711">
        <v>0</v>
      </c>
      <c r="CE178" s="714">
        <v>0</v>
      </c>
      <c r="CF178" s="711">
        <v>0</v>
      </c>
      <c r="CG178" s="714">
        <v>0</v>
      </c>
      <c r="CH178" s="711">
        <v>0</v>
      </c>
      <c r="CI178" s="714">
        <v>0</v>
      </c>
      <c r="CJ178" s="711">
        <v>0</v>
      </c>
      <c r="CK178" s="712">
        <v>0</v>
      </c>
      <c r="CL178" s="711">
        <v>0</v>
      </c>
      <c r="CM178" s="712">
        <v>0</v>
      </c>
      <c r="CN178" s="713">
        <v>0</v>
      </c>
      <c r="CO178" s="712">
        <v>0</v>
      </c>
    </row>
    <row r="179" spans="1:93">
      <c r="A179" s="468">
        <v>177</v>
      </c>
      <c r="B179" s="596">
        <v>0</v>
      </c>
      <c r="C179" s="596">
        <v>0</v>
      </c>
      <c r="D179" s="596">
        <v>0</v>
      </c>
      <c r="E179" s="596">
        <v>0</v>
      </c>
      <c r="F179" s="596">
        <v>0</v>
      </c>
      <c r="G179" s="596">
        <v>0</v>
      </c>
      <c r="H179" s="596">
        <v>0</v>
      </c>
      <c r="I179" s="596">
        <v>0</v>
      </c>
      <c r="J179" s="596">
        <v>0</v>
      </c>
      <c r="K179" s="596">
        <v>0</v>
      </c>
      <c r="L179" s="596">
        <v>0</v>
      </c>
      <c r="M179" s="596">
        <v>0</v>
      </c>
      <c r="N179" s="596">
        <v>0</v>
      </c>
      <c r="O179" s="596">
        <v>0</v>
      </c>
      <c r="P179" s="596">
        <v>0</v>
      </c>
      <c r="Q179" s="596">
        <v>0</v>
      </c>
      <c r="R179" s="596">
        <v>0</v>
      </c>
      <c r="S179" s="596">
        <v>0</v>
      </c>
      <c r="T179" s="596">
        <v>0</v>
      </c>
      <c r="U179" s="596">
        <v>0</v>
      </c>
      <c r="V179" s="596">
        <v>0</v>
      </c>
      <c r="W179" s="612">
        <v>0</v>
      </c>
      <c r="X179" s="704">
        <v>0</v>
      </c>
      <c r="Y179" s="705">
        <v>0</v>
      </c>
      <c r="Z179" s="706">
        <v>0</v>
      </c>
      <c r="AA179" s="707">
        <v>0</v>
      </c>
      <c r="AB179" s="706">
        <v>0</v>
      </c>
      <c r="AC179" s="704">
        <v>0</v>
      </c>
      <c r="AD179" s="706">
        <v>0</v>
      </c>
      <c r="AE179" s="708">
        <v>0</v>
      </c>
      <c r="AF179" s="704">
        <v>0</v>
      </c>
      <c r="AG179" s="704">
        <v>0</v>
      </c>
      <c r="AH179" s="708">
        <v>0</v>
      </c>
      <c r="AI179" s="709">
        <v>0</v>
      </c>
      <c r="AJ179" s="706">
        <v>0</v>
      </c>
      <c r="AK179" s="704">
        <v>0</v>
      </c>
      <c r="AL179" s="706">
        <v>0</v>
      </c>
      <c r="AM179" s="710">
        <v>0</v>
      </c>
      <c r="AN179" s="704">
        <v>0</v>
      </c>
      <c r="AO179" s="706">
        <v>0</v>
      </c>
      <c r="AP179" s="711">
        <v>0</v>
      </c>
      <c r="AQ179" s="712">
        <v>0</v>
      </c>
      <c r="AR179" s="711">
        <v>0</v>
      </c>
      <c r="AS179" s="712">
        <v>0</v>
      </c>
      <c r="AT179" s="711">
        <v>0</v>
      </c>
      <c r="AU179" s="712">
        <v>0</v>
      </c>
      <c r="AV179" s="713">
        <v>0</v>
      </c>
      <c r="AW179" s="714">
        <v>0</v>
      </c>
      <c r="AX179" s="711">
        <v>0</v>
      </c>
      <c r="AY179" s="712">
        <v>0</v>
      </c>
      <c r="AZ179" s="713">
        <v>0</v>
      </c>
      <c r="BA179" s="712">
        <v>0</v>
      </c>
      <c r="BB179" s="713">
        <v>0</v>
      </c>
      <c r="BC179" s="712">
        <v>0</v>
      </c>
      <c r="BD179" s="713">
        <v>0</v>
      </c>
      <c r="BE179" s="712">
        <v>0</v>
      </c>
      <c r="BF179" s="713">
        <v>0</v>
      </c>
      <c r="BG179" s="712">
        <v>0</v>
      </c>
      <c r="BH179" s="713">
        <v>0</v>
      </c>
      <c r="BI179" s="712">
        <v>0</v>
      </c>
      <c r="BJ179" s="713">
        <v>0</v>
      </c>
      <c r="BK179" s="712">
        <v>0</v>
      </c>
      <c r="BL179" s="713">
        <v>0</v>
      </c>
      <c r="BM179" s="712">
        <v>0</v>
      </c>
      <c r="BN179" s="713">
        <v>0</v>
      </c>
      <c r="BO179" s="712">
        <v>0</v>
      </c>
      <c r="BP179" s="713">
        <v>0</v>
      </c>
      <c r="BQ179" s="712">
        <v>0</v>
      </c>
      <c r="BR179" s="713">
        <v>0</v>
      </c>
      <c r="BS179" s="712">
        <v>0</v>
      </c>
      <c r="BT179" s="713">
        <v>0</v>
      </c>
      <c r="BU179" s="712">
        <v>0</v>
      </c>
      <c r="BV179" s="711">
        <v>0</v>
      </c>
      <c r="BW179" s="714">
        <v>0</v>
      </c>
      <c r="BX179" s="711">
        <v>0</v>
      </c>
      <c r="BY179" s="714">
        <v>0</v>
      </c>
      <c r="BZ179" s="711">
        <v>0</v>
      </c>
      <c r="CA179" s="714">
        <v>0</v>
      </c>
      <c r="CB179" s="711">
        <v>0</v>
      </c>
      <c r="CC179" s="714">
        <v>0</v>
      </c>
      <c r="CD179" s="711">
        <v>0</v>
      </c>
      <c r="CE179" s="714">
        <v>0</v>
      </c>
      <c r="CF179" s="711">
        <v>0</v>
      </c>
      <c r="CG179" s="714">
        <v>0</v>
      </c>
      <c r="CH179" s="711">
        <v>0</v>
      </c>
      <c r="CI179" s="714">
        <v>0</v>
      </c>
      <c r="CJ179" s="711">
        <v>0</v>
      </c>
      <c r="CK179" s="712">
        <v>0</v>
      </c>
      <c r="CL179" s="711">
        <v>0</v>
      </c>
      <c r="CM179" s="712">
        <v>0</v>
      </c>
      <c r="CN179" s="713">
        <v>0</v>
      </c>
      <c r="CO179" s="712">
        <v>0</v>
      </c>
    </row>
    <row r="180" spans="1:93">
      <c r="A180" s="468">
        <v>178</v>
      </c>
      <c r="B180" s="596">
        <v>0</v>
      </c>
      <c r="C180" s="596">
        <v>0</v>
      </c>
      <c r="D180" s="596">
        <v>0</v>
      </c>
      <c r="E180" s="596">
        <v>0</v>
      </c>
      <c r="F180" s="596">
        <v>0</v>
      </c>
      <c r="G180" s="596">
        <v>0</v>
      </c>
      <c r="H180" s="596">
        <v>0</v>
      </c>
      <c r="I180" s="596">
        <v>0</v>
      </c>
      <c r="J180" s="596">
        <v>0</v>
      </c>
      <c r="K180" s="596">
        <v>0</v>
      </c>
      <c r="L180" s="596">
        <v>0</v>
      </c>
      <c r="M180" s="596">
        <v>0</v>
      </c>
      <c r="N180" s="596">
        <v>0</v>
      </c>
      <c r="O180" s="596">
        <v>0</v>
      </c>
      <c r="P180" s="596">
        <v>0</v>
      </c>
      <c r="Q180" s="596">
        <v>0</v>
      </c>
      <c r="R180" s="596">
        <v>0</v>
      </c>
      <c r="S180" s="596">
        <v>0</v>
      </c>
      <c r="T180" s="596">
        <v>0</v>
      </c>
      <c r="U180" s="596">
        <v>0</v>
      </c>
      <c r="V180" s="596">
        <v>0</v>
      </c>
      <c r="W180" s="612">
        <v>0</v>
      </c>
      <c r="X180" s="704">
        <v>0</v>
      </c>
      <c r="Y180" s="705">
        <v>0</v>
      </c>
      <c r="Z180" s="706">
        <v>0</v>
      </c>
      <c r="AA180" s="707">
        <v>0</v>
      </c>
      <c r="AB180" s="706">
        <v>0</v>
      </c>
      <c r="AC180" s="704">
        <v>0</v>
      </c>
      <c r="AD180" s="706">
        <v>0</v>
      </c>
      <c r="AE180" s="708">
        <v>0</v>
      </c>
      <c r="AF180" s="704">
        <v>0</v>
      </c>
      <c r="AG180" s="704">
        <v>0</v>
      </c>
      <c r="AH180" s="708">
        <v>0</v>
      </c>
      <c r="AI180" s="709">
        <v>0</v>
      </c>
      <c r="AJ180" s="706">
        <v>0</v>
      </c>
      <c r="AK180" s="704">
        <v>0</v>
      </c>
      <c r="AL180" s="706">
        <v>0</v>
      </c>
      <c r="AM180" s="710">
        <v>0</v>
      </c>
      <c r="AN180" s="704">
        <v>0</v>
      </c>
      <c r="AO180" s="706">
        <v>0</v>
      </c>
      <c r="AP180" s="711">
        <v>0</v>
      </c>
      <c r="AQ180" s="712">
        <v>0</v>
      </c>
      <c r="AR180" s="711">
        <v>0</v>
      </c>
      <c r="AS180" s="712">
        <v>0</v>
      </c>
      <c r="AT180" s="711">
        <v>0</v>
      </c>
      <c r="AU180" s="712">
        <v>0</v>
      </c>
      <c r="AV180" s="713">
        <v>0</v>
      </c>
      <c r="AW180" s="714">
        <v>0</v>
      </c>
      <c r="AX180" s="711">
        <v>0</v>
      </c>
      <c r="AY180" s="712">
        <v>0</v>
      </c>
      <c r="AZ180" s="713">
        <v>0</v>
      </c>
      <c r="BA180" s="712">
        <v>0</v>
      </c>
      <c r="BB180" s="713">
        <v>0</v>
      </c>
      <c r="BC180" s="712">
        <v>0</v>
      </c>
      <c r="BD180" s="713">
        <v>0</v>
      </c>
      <c r="BE180" s="712">
        <v>0</v>
      </c>
      <c r="BF180" s="713">
        <v>0</v>
      </c>
      <c r="BG180" s="712">
        <v>0</v>
      </c>
      <c r="BH180" s="713">
        <v>0</v>
      </c>
      <c r="BI180" s="712">
        <v>0</v>
      </c>
      <c r="BJ180" s="713">
        <v>0</v>
      </c>
      <c r="BK180" s="712">
        <v>0</v>
      </c>
      <c r="BL180" s="713">
        <v>0</v>
      </c>
      <c r="BM180" s="712">
        <v>0</v>
      </c>
      <c r="BN180" s="713">
        <v>0</v>
      </c>
      <c r="BO180" s="712">
        <v>0</v>
      </c>
      <c r="BP180" s="713">
        <v>0</v>
      </c>
      <c r="BQ180" s="712">
        <v>0</v>
      </c>
      <c r="BR180" s="713">
        <v>0</v>
      </c>
      <c r="BS180" s="712">
        <v>0</v>
      </c>
      <c r="BT180" s="713">
        <v>0</v>
      </c>
      <c r="BU180" s="712">
        <v>0</v>
      </c>
      <c r="BV180" s="711">
        <v>0</v>
      </c>
      <c r="BW180" s="714">
        <v>0</v>
      </c>
      <c r="BX180" s="711">
        <v>0</v>
      </c>
      <c r="BY180" s="714">
        <v>0</v>
      </c>
      <c r="BZ180" s="711">
        <v>0</v>
      </c>
      <c r="CA180" s="714">
        <v>0</v>
      </c>
      <c r="CB180" s="711">
        <v>0</v>
      </c>
      <c r="CC180" s="714">
        <v>0</v>
      </c>
      <c r="CD180" s="711">
        <v>0</v>
      </c>
      <c r="CE180" s="714">
        <v>0</v>
      </c>
      <c r="CF180" s="711">
        <v>0</v>
      </c>
      <c r="CG180" s="714">
        <v>0</v>
      </c>
      <c r="CH180" s="711">
        <v>0</v>
      </c>
      <c r="CI180" s="714">
        <v>0</v>
      </c>
      <c r="CJ180" s="711">
        <v>0</v>
      </c>
      <c r="CK180" s="712">
        <v>0</v>
      </c>
      <c r="CL180" s="711">
        <v>0</v>
      </c>
      <c r="CM180" s="712">
        <v>0</v>
      </c>
      <c r="CN180" s="713">
        <v>0</v>
      </c>
      <c r="CO180" s="712">
        <v>0</v>
      </c>
    </row>
    <row r="181" spans="1:93">
      <c r="A181" s="468">
        <v>179</v>
      </c>
      <c r="B181" s="596">
        <v>0</v>
      </c>
      <c r="C181" s="596">
        <v>0</v>
      </c>
      <c r="D181" s="596">
        <v>0</v>
      </c>
      <c r="E181" s="596">
        <v>0</v>
      </c>
      <c r="F181" s="596">
        <v>0</v>
      </c>
      <c r="G181" s="596">
        <v>0</v>
      </c>
      <c r="H181" s="596">
        <v>0</v>
      </c>
      <c r="I181" s="596">
        <v>0</v>
      </c>
      <c r="J181" s="596">
        <v>0</v>
      </c>
      <c r="K181" s="596">
        <v>0</v>
      </c>
      <c r="L181" s="596">
        <v>0</v>
      </c>
      <c r="M181" s="596">
        <v>0</v>
      </c>
      <c r="N181" s="596">
        <v>0</v>
      </c>
      <c r="O181" s="596">
        <v>0</v>
      </c>
      <c r="P181" s="596">
        <v>0</v>
      </c>
      <c r="Q181" s="596">
        <v>0</v>
      </c>
      <c r="R181" s="596">
        <v>0</v>
      </c>
      <c r="S181" s="596">
        <v>0</v>
      </c>
      <c r="T181" s="596">
        <v>0</v>
      </c>
      <c r="U181" s="596">
        <v>0</v>
      </c>
      <c r="V181" s="596">
        <v>0</v>
      </c>
      <c r="W181" s="612">
        <v>0</v>
      </c>
      <c r="X181" s="704">
        <v>0</v>
      </c>
      <c r="Y181" s="705">
        <v>0</v>
      </c>
      <c r="Z181" s="706">
        <v>0</v>
      </c>
      <c r="AA181" s="707">
        <v>0</v>
      </c>
      <c r="AB181" s="706">
        <v>0</v>
      </c>
      <c r="AC181" s="704">
        <v>0</v>
      </c>
      <c r="AD181" s="706">
        <v>0</v>
      </c>
      <c r="AE181" s="708">
        <v>0</v>
      </c>
      <c r="AF181" s="704">
        <v>0</v>
      </c>
      <c r="AG181" s="704">
        <v>0</v>
      </c>
      <c r="AH181" s="708">
        <v>0</v>
      </c>
      <c r="AI181" s="709">
        <v>0</v>
      </c>
      <c r="AJ181" s="706">
        <v>0</v>
      </c>
      <c r="AK181" s="704">
        <v>0</v>
      </c>
      <c r="AL181" s="706">
        <v>0</v>
      </c>
      <c r="AM181" s="710">
        <v>0</v>
      </c>
      <c r="AN181" s="704">
        <v>0</v>
      </c>
      <c r="AO181" s="706">
        <v>0</v>
      </c>
      <c r="AP181" s="711">
        <v>0</v>
      </c>
      <c r="AQ181" s="712">
        <v>0</v>
      </c>
      <c r="AR181" s="711">
        <v>0</v>
      </c>
      <c r="AS181" s="712">
        <v>0</v>
      </c>
      <c r="AT181" s="711">
        <v>0</v>
      </c>
      <c r="AU181" s="712">
        <v>0</v>
      </c>
      <c r="AV181" s="713">
        <v>0</v>
      </c>
      <c r="AW181" s="714">
        <v>0</v>
      </c>
      <c r="AX181" s="711">
        <v>0</v>
      </c>
      <c r="AY181" s="712">
        <v>0</v>
      </c>
      <c r="AZ181" s="713">
        <v>0</v>
      </c>
      <c r="BA181" s="712">
        <v>0</v>
      </c>
      <c r="BB181" s="713">
        <v>0</v>
      </c>
      <c r="BC181" s="712">
        <v>0</v>
      </c>
      <c r="BD181" s="713">
        <v>0</v>
      </c>
      <c r="BE181" s="712">
        <v>0</v>
      </c>
      <c r="BF181" s="713">
        <v>0</v>
      </c>
      <c r="BG181" s="712">
        <v>0</v>
      </c>
      <c r="BH181" s="713">
        <v>0</v>
      </c>
      <c r="BI181" s="712">
        <v>0</v>
      </c>
      <c r="BJ181" s="713">
        <v>0</v>
      </c>
      <c r="BK181" s="712">
        <v>0</v>
      </c>
      <c r="BL181" s="713">
        <v>0</v>
      </c>
      <c r="BM181" s="712">
        <v>0</v>
      </c>
      <c r="BN181" s="713">
        <v>0</v>
      </c>
      <c r="BO181" s="712">
        <v>0</v>
      </c>
      <c r="BP181" s="713">
        <v>0</v>
      </c>
      <c r="BQ181" s="712">
        <v>0</v>
      </c>
      <c r="BR181" s="713">
        <v>0</v>
      </c>
      <c r="BS181" s="712">
        <v>0</v>
      </c>
      <c r="BT181" s="713">
        <v>0</v>
      </c>
      <c r="BU181" s="712">
        <v>0</v>
      </c>
      <c r="BV181" s="711">
        <v>0</v>
      </c>
      <c r="BW181" s="714">
        <v>0</v>
      </c>
      <c r="BX181" s="711">
        <v>0</v>
      </c>
      <c r="BY181" s="714">
        <v>0</v>
      </c>
      <c r="BZ181" s="711">
        <v>0</v>
      </c>
      <c r="CA181" s="714">
        <v>0</v>
      </c>
      <c r="CB181" s="711">
        <v>0</v>
      </c>
      <c r="CC181" s="714">
        <v>0</v>
      </c>
      <c r="CD181" s="711">
        <v>0</v>
      </c>
      <c r="CE181" s="714">
        <v>0</v>
      </c>
      <c r="CF181" s="711">
        <v>0</v>
      </c>
      <c r="CG181" s="714">
        <v>0</v>
      </c>
      <c r="CH181" s="711">
        <v>0</v>
      </c>
      <c r="CI181" s="714">
        <v>0</v>
      </c>
      <c r="CJ181" s="711">
        <v>0</v>
      </c>
      <c r="CK181" s="712">
        <v>0</v>
      </c>
      <c r="CL181" s="711">
        <v>0</v>
      </c>
      <c r="CM181" s="712">
        <v>0</v>
      </c>
      <c r="CN181" s="713">
        <v>0</v>
      </c>
      <c r="CO181" s="712">
        <v>0</v>
      </c>
    </row>
    <row r="182" spans="1:93">
      <c r="A182" s="468">
        <v>180</v>
      </c>
      <c r="B182" s="596">
        <v>0</v>
      </c>
      <c r="C182" s="596">
        <v>0</v>
      </c>
      <c r="D182" s="596">
        <v>0</v>
      </c>
      <c r="E182" s="596">
        <v>0</v>
      </c>
      <c r="F182" s="596">
        <v>0</v>
      </c>
      <c r="G182" s="596">
        <v>0</v>
      </c>
      <c r="H182" s="596">
        <v>0</v>
      </c>
      <c r="I182" s="596">
        <v>0</v>
      </c>
      <c r="J182" s="596">
        <v>0</v>
      </c>
      <c r="K182" s="596">
        <v>0</v>
      </c>
      <c r="L182" s="596">
        <v>0</v>
      </c>
      <c r="M182" s="596">
        <v>0</v>
      </c>
      <c r="N182" s="596">
        <v>0</v>
      </c>
      <c r="O182" s="596">
        <v>0</v>
      </c>
      <c r="P182" s="596">
        <v>0</v>
      </c>
      <c r="Q182" s="596">
        <v>0</v>
      </c>
      <c r="R182" s="596">
        <v>0</v>
      </c>
      <c r="S182" s="596">
        <v>0</v>
      </c>
      <c r="T182" s="596">
        <v>0</v>
      </c>
      <c r="U182" s="596">
        <v>0</v>
      </c>
      <c r="V182" s="596">
        <v>0</v>
      </c>
      <c r="W182" s="612">
        <v>0</v>
      </c>
      <c r="X182" s="704">
        <v>0</v>
      </c>
      <c r="Y182" s="705">
        <v>0</v>
      </c>
      <c r="Z182" s="706">
        <v>0</v>
      </c>
      <c r="AA182" s="707">
        <v>0</v>
      </c>
      <c r="AB182" s="706">
        <v>0</v>
      </c>
      <c r="AC182" s="704">
        <v>0</v>
      </c>
      <c r="AD182" s="706">
        <v>0</v>
      </c>
      <c r="AE182" s="708">
        <v>0</v>
      </c>
      <c r="AF182" s="704">
        <v>0</v>
      </c>
      <c r="AG182" s="704">
        <v>0</v>
      </c>
      <c r="AH182" s="708">
        <v>0</v>
      </c>
      <c r="AI182" s="709">
        <v>0</v>
      </c>
      <c r="AJ182" s="706">
        <v>0</v>
      </c>
      <c r="AK182" s="704">
        <v>0</v>
      </c>
      <c r="AL182" s="706">
        <v>0</v>
      </c>
      <c r="AM182" s="710">
        <v>0</v>
      </c>
      <c r="AN182" s="704">
        <v>0</v>
      </c>
      <c r="AO182" s="706">
        <v>0</v>
      </c>
      <c r="AP182" s="711">
        <v>0</v>
      </c>
      <c r="AQ182" s="712">
        <v>0</v>
      </c>
      <c r="AR182" s="711">
        <v>0</v>
      </c>
      <c r="AS182" s="712">
        <v>0</v>
      </c>
      <c r="AT182" s="711">
        <v>0</v>
      </c>
      <c r="AU182" s="712">
        <v>0</v>
      </c>
      <c r="AV182" s="713">
        <v>0</v>
      </c>
      <c r="AW182" s="714">
        <v>0</v>
      </c>
      <c r="AX182" s="711">
        <v>0</v>
      </c>
      <c r="AY182" s="712">
        <v>0</v>
      </c>
      <c r="AZ182" s="713">
        <v>0</v>
      </c>
      <c r="BA182" s="712">
        <v>0</v>
      </c>
      <c r="BB182" s="713">
        <v>0</v>
      </c>
      <c r="BC182" s="712">
        <v>0</v>
      </c>
      <c r="BD182" s="713">
        <v>0</v>
      </c>
      <c r="BE182" s="712">
        <v>0</v>
      </c>
      <c r="BF182" s="713">
        <v>0</v>
      </c>
      <c r="BG182" s="712">
        <v>0</v>
      </c>
      <c r="BH182" s="713">
        <v>0</v>
      </c>
      <c r="BI182" s="712">
        <v>0</v>
      </c>
      <c r="BJ182" s="713">
        <v>0</v>
      </c>
      <c r="BK182" s="712">
        <v>0</v>
      </c>
      <c r="BL182" s="713">
        <v>0</v>
      </c>
      <c r="BM182" s="712">
        <v>0</v>
      </c>
      <c r="BN182" s="713">
        <v>0</v>
      </c>
      <c r="BO182" s="712">
        <v>0</v>
      </c>
      <c r="BP182" s="713">
        <v>0</v>
      </c>
      <c r="BQ182" s="712">
        <v>0</v>
      </c>
      <c r="BR182" s="713">
        <v>0</v>
      </c>
      <c r="BS182" s="712">
        <v>0</v>
      </c>
      <c r="BT182" s="713">
        <v>0</v>
      </c>
      <c r="BU182" s="712">
        <v>0</v>
      </c>
      <c r="BV182" s="711">
        <v>0</v>
      </c>
      <c r="BW182" s="714">
        <v>0</v>
      </c>
      <c r="BX182" s="711">
        <v>0</v>
      </c>
      <c r="BY182" s="714">
        <v>0</v>
      </c>
      <c r="BZ182" s="711">
        <v>0</v>
      </c>
      <c r="CA182" s="714">
        <v>0</v>
      </c>
      <c r="CB182" s="711">
        <v>0</v>
      </c>
      <c r="CC182" s="714">
        <v>0</v>
      </c>
      <c r="CD182" s="711">
        <v>0</v>
      </c>
      <c r="CE182" s="714">
        <v>0</v>
      </c>
      <c r="CF182" s="711">
        <v>0</v>
      </c>
      <c r="CG182" s="714">
        <v>0</v>
      </c>
      <c r="CH182" s="711">
        <v>0</v>
      </c>
      <c r="CI182" s="714">
        <v>0</v>
      </c>
      <c r="CJ182" s="711">
        <v>0</v>
      </c>
      <c r="CK182" s="712">
        <v>0</v>
      </c>
      <c r="CL182" s="711">
        <v>0</v>
      </c>
      <c r="CM182" s="712">
        <v>0</v>
      </c>
      <c r="CN182" s="713">
        <v>0</v>
      </c>
      <c r="CO182" s="712">
        <v>0</v>
      </c>
    </row>
    <row r="183" spans="1:93">
      <c r="A183" s="468">
        <v>181</v>
      </c>
      <c r="B183" s="596">
        <v>0</v>
      </c>
      <c r="C183" s="596">
        <v>0</v>
      </c>
      <c r="D183" s="596">
        <v>0</v>
      </c>
      <c r="E183" s="596">
        <v>0</v>
      </c>
      <c r="F183" s="596">
        <v>0</v>
      </c>
      <c r="G183" s="596">
        <v>0</v>
      </c>
      <c r="H183" s="596">
        <v>0</v>
      </c>
      <c r="I183" s="596">
        <v>0</v>
      </c>
      <c r="J183" s="596">
        <v>0</v>
      </c>
      <c r="K183" s="596">
        <v>0</v>
      </c>
      <c r="L183" s="596">
        <v>0</v>
      </c>
      <c r="M183" s="596">
        <v>0</v>
      </c>
      <c r="N183" s="596">
        <v>0</v>
      </c>
      <c r="O183" s="596">
        <v>0</v>
      </c>
      <c r="P183" s="596">
        <v>0</v>
      </c>
      <c r="Q183" s="596">
        <v>0</v>
      </c>
      <c r="R183" s="596">
        <v>0</v>
      </c>
      <c r="S183" s="596">
        <v>0</v>
      </c>
      <c r="T183" s="596">
        <v>0</v>
      </c>
      <c r="U183" s="596">
        <v>0</v>
      </c>
      <c r="V183" s="596">
        <v>0</v>
      </c>
      <c r="W183" s="612">
        <v>0</v>
      </c>
      <c r="X183" s="704">
        <v>0</v>
      </c>
      <c r="Y183" s="705">
        <v>0</v>
      </c>
      <c r="Z183" s="706">
        <v>0</v>
      </c>
      <c r="AA183" s="707">
        <v>0</v>
      </c>
      <c r="AB183" s="706">
        <v>0</v>
      </c>
      <c r="AC183" s="704">
        <v>0</v>
      </c>
      <c r="AD183" s="706">
        <v>0</v>
      </c>
      <c r="AE183" s="708">
        <v>0</v>
      </c>
      <c r="AF183" s="704">
        <v>0</v>
      </c>
      <c r="AG183" s="704">
        <v>0</v>
      </c>
      <c r="AH183" s="708">
        <v>0</v>
      </c>
      <c r="AI183" s="709">
        <v>0</v>
      </c>
      <c r="AJ183" s="706">
        <v>0</v>
      </c>
      <c r="AK183" s="704">
        <v>0</v>
      </c>
      <c r="AL183" s="706">
        <v>0</v>
      </c>
      <c r="AM183" s="710">
        <v>0</v>
      </c>
      <c r="AN183" s="704">
        <v>0</v>
      </c>
      <c r="AO183" s="706">
        <v>0</v>
      </c>
      <c r="AP183" s="711">
        <v>0</v>
      </c>
      <c r="AQ183" s="712">
        <v>0</v>
      </c>
      <c r="AR183" s="711">
        <v>0</v>
      </c>
      <c r="AS183" s="712">
        <v>0</v>
      </c>
      <c r="AT183" s="711">
        <v>0</v>
      </c>
      <c r="AU183" s="712">
        <v>0</v>
      </c>
      <c r="AV183" s="713">
        <v>0</v>
      </c>
      <c r="AW183" s="714">
        <v>0</v>
      </c>
      <c r="AX183" s="711">
        <v>0</v>
      </c>
      <c r="AY183" s="712">
        <v>0</v>
      </c>
      <c r="AZ183" s="713">
        <v>0</v>
      </c>
      <c r="BA183" s="712">
        <v>0</v>
      </c>
      <c r="BB183" s="713">
        <v>0</v>
      </c>
      <c r="BC183" s="712">
        <v>0</v>
      </c>
      <c r="BD183" s="713">
        <v>0</v>
      </c>
      <c r="BE183" s="712">
        <v>0</v>
      </c>
      <c r="BF183" s="713">
        <v>0</v>
      </c>
      <c r="BG183" s="712">
        <v>0</v>
      </c>
      <c r="BH183" s="713">
        <v>0</v>
      </c>
      <c r="BI183" s="712">
        <v>0</v>
      </c>
      <c r="BJ183" s="713">
        <v>0</v>
      </c>
      <c r="BK183" s="712">
        <v>0</v>
      </c>
      <c r="BL183" s="713">
        <v>0</v>
      </c>
      <c r="BM183" s="712">
        <v>0</v>
      </c>
      <c r="BN183" s="713">
        <v>0</v>
      </c>
      <c r="BO183" s="712">
        <v>0</v>
      </c>
      <c r="BP183" s="713">
        <v>0</v>
      </c>
      <c r="BQ183" s="712">
        <v>0</v>
      </c>
      <c r="BR183" s="713">
        <v>0</v>
      </c>
      <c r="BS183" s="712">
        <v>0</v>
      </c>
      <c r="BT183" s="713">
        <v>0</v>
      </c>
      <c r="BU183" s="712">
        <v>0</v>
      </c>
      <c r="BV183" s="711">
        <v>0</v>
      </c>
      <c r="BW183" s="714">
        <v>0</v>
      </c>
      <c r="BX183" s="711">
        <v>0</v>
      </c>
      <c r="BY183" s="714">
        <v>0</v>
      </c>
      <c r="BZ183" s="711">
        <v>0</v>
      </c>
      <c r="CA183" s="714">
        <v>0</v>
      </c>
      <c r="CB183" s="711">
        <v>0</v>
      </c>
      <c r="CC183" s="714">
        <v>0</v>
      </c>
      <c r="CD183" s="711">
        <v>0</v>
      </c>
      <c r="CE183" s="714">
        <v>0</v>
      </c>
      <c r="CF183" s="711">
        <v>0</v>
      </c>
      <c r="CG183" s="714">
        <v>0</v>
      </c>
      <c r="CH183" s="711">
        <v>0</v>
      </c>
      <c r="CI183" s="714">
        <v>0</v>
      </c>
      <c r="CJ183" s="711">
        <v>0</v>
      </c>
      <c r="CK183" s="712">
        <v>0</v>
      </c>
      <c r="CL183" s="711">
        <v>0</v>
      </c>
      <c r="CM183" s="712">
        <v>0</v>
      </c>
      <c r="CN183" s="713">
        <v>0</v>
      </c>
      <c r="CO183" s="712">
        <v>0</v>
      </c>
    </row>
    <row r="184" spans="1:93">
      <c r="A184" s="468">
        <v>182</v>
      </c>
      <c r="B184" s="596">
        <v>0</v>
      </c>
      <c r="C184" s="596">
        <v>0</v>
      </c>
      <c r="D184" s="596">
        <v>0</v>
      </c>
      <c r="E184" s="596">
        <v>0</v>
      </c>
      <c r="F184" s="596">
        <v>0</v>
      </c>
      <c r="G184" s="596">
        <v>0</v>
      </c>
      <c r="H184" s="596">
        <v>0</v>
      </c>
      <c r="I184" s="596">
        <v>0</v>
      </c>
      <c r="J184" s="596">
        <v>0</v>
      </c>
      <c r="K184" s="596">
        <v>0</v>
      </c>
      <c r="L184" s="596">
        <v>0</v>
      </c>
      <c r="M184" s="596">
        <v>0</v>
      </c>
      <c r="N184" s="596">
        <v>0</v>
      </c>
      <c r="O184" s="596">
        <v>0</v>
      </c>
      <c r="P184" s="596">
        <v>0</v>
      </c>
      <c r="Q184" s="596">
        <v>0</v>
      </c>
      <c r="R184" s="596">
        <v>0</v>
      </c>
      <c r="S184" s="596">
        <v>0</v>
      </c>
      <c r="T184" s="596">
        <v>0</v>
      </c>
      <c r="U184" s="596">
        <v>0</v>
      </c>
      <c r="V184" s="596">
        <v>0</v>
      </c>
      <c r="W184" s="612">
        <v>0</v>
      </c>
      <c r="X184" s="704">
        <v>0</v>
      </c>
      <c r="Y184" s="705">
        <v>0</v>
      </c>
      <c r="Z184" s="706">
        <v>0</v>
      </c>
      <c r="AA184" s="707">
        <v>0</v>
      </c>
      <c r="AB184" s="706">
        <v>0</v>
      </c>
      <c r="AC184" s="704">
        <v>0</v>
      </c>
      <c r="AD184" s="706">
        <v>0</v>
      </c>
      <c r="AE184" s="708">
        <v>0</v>
      </c>
      <c r="AF184" s="704">
        <v>0</v>
      </c>
      <c r="AG184" s="704">
        <v>0</v>
      </c>
      <c r="AH184" s="708">
        <v>0</v>
      </c>
      <c r="AI184" s="709">
        <v>0</v>
      </c>
      <c r="AJ184" s="706">
        <v>0</v>
      </c>
      <c r="AK184" s="704">
        <v>0</v>
      </c>
      <c r="AL184" s="706">
        <v>0</v>
      </c>
      <c r="AM184" s="710">
        <v>0</v>
      </c>
      <c r="AN184" s="704">
        <v>0</v>
      </c>
      <c r="AO184" s="706">
        <v>0</v>
      </c>
      <c r="AP184" s="711">
        <v>0</v>
      </c>
      <c r="AQ184" s="712">
        <v>0</v>
      </c>
      <c r="AR184" s="711">
        <v>0</v>
      </c>
      <c r="AS184" s="712">
        <v>0</v>
      </c>
      <c r="AT184" s="711">
        <v>0</v>
      </c>
      <c r="AU184" s="712">
        <v>0</v>
      </c>
      <c r="AV184" s="713">
        <v>0</v>
      </c>
      <c r="AW184" s="714">
        <v>0</v>
      </c>
      <c r="AX184" s="711">
        <v>0</v>
      </c>
      <c r="AY184" s="712">
        <v>0</v>
      </c>
      <c r="AZ184" s="713">
        <v>0</v>
      </c>
      <c r="BA184" s="712">
        <v>0</v>
      </c>
      <c r="BB184" s="713">
        <v>0</v>
      </c>
      <c r="BC184" s="712">
        <v>0</v>
      </c>
      <c r="BD184" s="713">
        <v>0</v>
      </c>
      <c r="BE184" s="712">
        <v>0</v>
      </c>
      <c r="BF184" s="713">
        <v>0</v>
      </c>
      <c r="BG184" s="712">
        <v>0</v>
      </c>
      <c r="BH184" s="713">
        <v>0</v>
      </c>
      <c r="BI184" s="712">
        <v>0</v>
      </c>
      <c r="BJ184" s="713">
        <v>0</v>
      </c>
      <c r="BK184" s="712">
        <v>0</v>
      </c>
      <c r="BL184" s="713">
        <v>0</v>
      </c>
      <c r="BM184" s="712">
        <v>0</v>
      </c>
      <c r="BN184" s="713">
        <v>0</v>
      </c>
      <c r="BO184" s="712">
        <v>0</v>
      </c>
      <c r="BP184" s="713">
        <v>0</v>
      </c>
      <c r="BQ184" s="712">
        <v>0</v>
      </c>
      <c r="BR184" s="713">
        <v>0</v>
      </c>
      <c r="BS184" s="712">
        <v>0</v>
      </c>
      <c r="BT184" s="713">
        <v>0</v>
      </c>
      <c r="BU184" s="712">
        <v>0</v>
      </c>
      <c r="BV184" s="711">
        <v>0</v>
      </c>
      <c r="BW184" s="714">
        <v>0</v>
      </c>
      <c r="BX184" s="711">
        <v>0</v>
      </c>
      <c r="BY184" s="714">
        <v>0</v>
      </c>
      <c r="BZ184" s="711">
        <v>0</v>
      </c>
      <c r="CA184" s="714">
        <v>0</v>
      </c>
      <c r="CB184" s="711">
        <v>0</v>
      </c>
      <c r="CC184" s="714">
        <v>0</v>
      </c>
      <c r="CD184" s="711">
        <v>0</v>
      </c>
      <c r="CE184" s="714">
        <v>0</v>
      </c>
      <c r="CF184" s="711">
        <v>0</v>
      </c>
      <c r="CG184" s="714">
        <v>0</v>
      </c>
      <c r="CH184" s="711">
        <v>0</v>
      </c>
      <c r="CI184" s="714">
        <v>0</v>
      </c>
      <c r="CJ184" s="711">
        <v>0</v>
      </c>
      <c r="CK184" s="712">
        <v>0</v>
      </c>
      <c r="CL184" s="711">
        <v>0</v>
      </c>
      <c r="CM184" s="712">
        <v>0</v>
      </c>
      <c r="CN184" s="713">
        <v>0</v>
      </c>
      <c r="CO184" s="712">
        <v>0</v>
      </c>
    </row>
    <row r="185" spans="1:93">
      <c r="A185" s="468">
        <v>183</v>
      </c>
      <c r="B185" s="596">
        <v>0</v>
      </c>
      <c r="C185" s="596">
        <v>0</v>
      </c>
      <c r="D185" s="596">
        <v>0</v>
      </c>
      <c r="E185" s="596">
        <v>0</v>
      </c>
      <c r="F185" s="596">
        <v>0</v>
      </c>
      <c r="G185" s="596">
        <v>0</v>
      </c>
      <c r="H185" s="596">
        <v>0</v>
      </c>
      <c r="I185" s="596">
        <v>0</v>
      </c>
      <c r="J185" s="596">
        <v>0</v>
      </c>
      <c r="K185" s="596">
        <v>0</v>
      </c>
      <c r="L185" s="596">
        <v>0</v>
      </c>
      <c r="M185" s="596">
        <v>0</v>
      </c>
      <c r="N185" s="596">
        <v>0</v>
      </c>
      <c r="O185" s="596">
        <v>0</v>
      </c>
      <c r="P185" s="596">
        <v>0</v>
      </c>
      <c r="Q185" s="596">
        <v>0</v>
      </c>
      <c r="R185" s="596">
        <v>0</v>
      </c>
      <c r="S185" s="596">
        <v>0</v>
      </c>
      <c r="T185" s="596">
        <v>0</v>
      </c>
      <c r="U185" s="596">
        <v>0</v>
      </c>
      <c r="V185" s="596">
        <v>0</v>
      </c>
      <c r="W185" s="612">
        <v>0</v>
      </c>
      <c r="X185" s="704">
        <v>0</v>
      </c>
      <c r="Y185" s="705">
        <v>0</v>
      </c>
      <c r="Z185" s="706">
        <v>0</v>
      </c>
      <c r="AA185" s="707">
        <v>0</v>
      </c>
      <c r="AB185" s="706">
        <v>0</v>
      </c>
      <c r="AC185" s="704">
        <v>0</v>
      </c>
      <c r="AD185" s="706">
        <v>0</v>
      </c>
      <c r="AE185" s="708">
        <v>0</v>
      </c>
      <c r="AF185" s="704">
        <v>0</v>
      </c>
      <c r="AG185" s="704">
        <v>0</v>
      </c>
      <c r="AH185" s="708">
        <v>0</v>
      </c>
      <c r="AI185" s="709">
        <v>0</v>
      </c>
      <c r="AJ185" s="706">
        <v>0</v>
      </c>
      <c r="AK185" s="704">
        <v>0</v>
      </c>
      <c r="AL185" s="706">
        <v>0</v>
      </c>
      <c r="AM185" s="710">
        <v>0</v>
      </c>
      <c r="AN185" s="704">
        <v>0</v>
      </c>
      <c r="AO185" s="706">
        <v>0</v>
      </c>
      <c r="AP185" s="711">
        <v>0</v>
      </c>
      <c r="AQ185" s="712">
        <v>0</v>
      </c>
      <c r="AR185" s="711">
        <v>0</v>
      </c>
      <c r="AS185" s="712">
        <v>0</v>
      </c>
      <c r="AT185" s="711">
        <v>0</v>
      </c>
      <c r="AU185" s="712">
        <v>0</v>
      </c>
      <c r="AV185" s="713">
        <v>0</v>
      </c>
      <c r="AW185" s="714">
        <v>0</v>
      </c>
      <c r="AX185" s="711">
        <v>0</v>
      </c>
      <c r="AY185" s="712">
        <v>0</v>
      </c>
      <c r="AZ185" s="713">
        <v>0</v>
      </c>
      <c r="BA185" s="712">
        <v>0</v>
      </c>
      <c r="BB185" s="713">
        <v>0</v>
      </c>
      <c r="BC185" s="712">
        <v>0</v>
      </c>
      <c r="BD185" s="713">
        <v>0</v>
      </c>
      <c r="BE185" s="712">
        <v>0</v>
      </c>
      <c r="BF185" s="713">
        <v>0</v>
      </c>
      <c r="BG185" s="712">
        <v>0</v>
      </c>
      <c r="BH185" s="713">
        <v>0</v>
      </c>
      <c r="BI185" s="712">
        <v>0</v>
      </c>
      <c r="BJ185" s="713">
        <v>0</v>
      </c>
      <c r="BK185" s="712">
        <v>0</v>
      </c>
      <c r="BL185" s="713">
        <v>0</v>
      </c>
      <c r="BM185" s="712">
        <v>0</v>
      </c>
      <c r="BN185" s="713">
        <v>0</v>
      </c>
      <c r="BO185" s="712">
        <v>0</v>
      </c>
      <c r="BP185" s="713">
        <v>0</v>
      </c>
      <c r="BQ185" s="712">
        <v>0</v>
      </c>
      <c r="BR185" s="713">
        <v>0</v>
      </c>
      <c r="BS185" s="712">
        <v>0</v>
      </c>
      <c r="BT185" s="713">
        <v>0</v>
      </c>
      <c r="BU185" s="712">
        <v>0</v>
      </c>
      <c r="BV185" s="711">
        <v>0</v>
      </c>
      <c r="BW185" s="714">
        <v>0</v>
      </c>
      <c r="BX185" s="711">
        <v>0</v>
      </c>
      <c r="BY185" s="714">
        <v>0</v>
      </c>
      <c r="BZ185" s="711">
        <v>0</v>
      </c>
      <c r="CA185" s="714">
        <v>0</v>
      </c>
      <c r="CB185" s="711">
        <v>0</v>
      </c>
      <c r="CC185" s="714">
        <v>0</v>
      </c>
      <c r="CD185" s="711">
        <v>0</v>
      </c>
      <c r="CE185" s="714">
        <v>0</v>
      </c>
      <c r="CF185" s="711">
        <v>0</v>
      </c>
      <c r="CG185" s="714">
        <v>0</v>
      </c>
      <c r="CH185" s="711">
        <v>0</v>
      </c>
      <c r="CI185" s="714">
        <v>0</v>
      </c>
      <c r="CJ185" s="711">
        <v>0</v>
      </c>
      <c r="CK185" s="712">
        <v>0</v>
      </c>
      <c r="CL185" s="711">
        <v>0</v>
      </c>
      <c r="CM185" s="712">
        <v>0</v>
      </c>
      <c r="CN185" s="713">
        <v>0</v>
      </c>
      <c r="CO185" s="712">
        <v>0</v>
      </c>
    </row>
    <row r="186" spans="1:93">
      <c r="A186" s="468">
        <v>184</v>
      </c>
      <c r="B186" s="596">
        <v>0</v>
      </c>
      <c r="C186" s="596">
        <v>0</v>
      </c>
      <c r="D186" s="596">
        <v>0</v>
      </c>
      <c r="E186" s="596">
        <v>0</v>
      </c>
      <c r="F186" s="596">
        <v>0</v>
      </c>
      <c r="G186" s="596">
        <v>0</v>
      </c>
      <c r="H186" s="596">
        <v>0</v>
      </c>
      <c r="I186" s="596">
        <v>0</v>
      </c>
      <c r="J186" s="596">
        <v>0</v>
      </c>
      <c r="K186" s="596">
        <v>0</v>
      </c>
      <c r="L186" s="596">
        <v>0</v>
      </c>
      <c r="M186" s="596">
        <v>0</v>
      </c>
      <c r="N186" s="596">
        <v>0</v>
      </c>
      <c r="O186" s="596">
        <v>0</v>
      </c>
      <c r="P186" s="596">
        <v>0</v>
      </c>
      <c r="Q186" s="596">
        <v>0</v>
      </c>
      <c r="R186" s="596">
        <v>0</v>
      </c>
      <c r="S186" s="596">
        <v>0</v>
      </c>
      <c r="T186" s="596">
        <v>0</v>
      </c>
      <c r="U186" s="596">
        <v>0</v>
      </c>
      <c r="V186" s="596">
        <v>0</v>
      </c>
      <c r="W186" s="612">
        <v>0</v>
      </c>
      <c r="X186" s="704">
        <v>0</v>
      </c>
      <c r="Y186" s="705">
        <v>0</v>
      </c>
      <c r="Z186" s="706">
        <v>0</v>
      </c>
      <c r="AA186" s="707">
        <v>0</v>
      </c>
      <c r="AB186" s="706">
        <v>0</v>
      </c>
      <c r="AC186" s="704">
        <v>0</v>
      </c>
      <c r="AD186" s="706">
        <v>0</v>
      </c>
      <c r="AE186" s="708">
        <v>0</v>
      </c>
      <c r="AF186" s="704">
        <v>0</v>
      </c>
      <c r="AG186" s="704">
        <v>0</v>
      </c>
      <c r="AH186" s="708">
        <v>0</v>
      </c>
      <c r="AI186" s="709">
        <v>0</v>
      </c>
      <c r="AJ186" s="706">
        <v>0</v>
      </c>
      <c r="AK186" s="704">
        <v>0</v>
      </c>
      <c r="AL186" s="706">
        <v>0</v>
      </c>
      <c r="AM186" s="710">
        <v>0</v>
      </c>
      <c r="AN186" s="704">
        <v>0</v>
      </c>
      <c r="AO186" s="706">
        <v>0</v>
      </c>
      <c r="AP186" s="711">
        <v>0</v>
      </c>
      <c r="AQ186" s="712">
        <v>0</v>
      </c>
      <c r="AR186" s="711">
        <v>0</v>
      </c>
      <c r="AS186" s="712">
        <v>0</v>
      </c>
      <c r="AT186" s="711">
        <v>0</v>
      </c>
      <c r="AU186" s="712">
        <v>0</v>
      </c>
      <c r="AV186" s="713">
        <v>0</v>
      </c>
      <c r="AW186" s="714">
        <v>0</v>
      </c>
      <c r="AX186" s="711">
        <v>0</v>
      </c>
      <c r="AY186" s="712">
        <v>0</v>
      </c>
      <c r="AZ186" s="713">
        <v>0</v>
      </c>
      <c r="BA186" s="712">
        <v>0</v>
      </c>
      <c r="BB186" s="713">
        <v>0</v>
      </c>
      <c r="BC186" s="712">
        <v>0</v>
      </c>
      <c r="BD186" s="713">
        <v>0</v>
      </c>
      <c r="BE186" s="712">
        <v>0</v>
      </c>
      <c r="BF186" s="713">
        <v>0</v>
      </c>
      <c r="BG186" s="712">
        <v>0</v>
      </c>
      <c r="BH186" s="713">
        <v>0</v>
      </c>
      <c r="BI186" s="712">
        <v>0</v>
      </c>
      <c r="BJ186" s="713">
        <v>0</v>
      </c>
      <c r="BK186" s="712">
        <v>0</v>
      </c>
      <c r="BL186" s="713">
        <v>0</v>
      </c>
      <c r="BM186" s="712">
        <v>0</v>
      </c>
      <c r="BN186" s="713">
        <v>0</v>
      </c>
      <c r="BO186" s="712">
        <v>0</v>
      </c>
      <c r="BP186" s="713">
        <v>0</v>
      </c>
      <c r="BQ186" s="712">
        <v>0</v>
      </c>
      <c r="BR186" s="713">
        <v>0</v>
      </c>
      <c r="BS186" s="712">
        <v>0</v>
      </c>
      <c r="BT186" s="713">
        <v>0</v>
      </c>
      <c r="BU186" s="712">
        <v>0</v>
      </c>
      <c r="BV186" s="711">
        <v>0</v>
      </c>
      <c r="BW186" s="714">
        <v>0</v>
      </c>
      <c r="BX186" s="711">
        <v>0</v>
      </c>
      <c r="BY186" s="714">
        <v>0</v>
      </c>
      <c r="BZ186" s="711">
        <v>0</v>
      </c>
      <c r="CA186" s="714">
        <v>0</v>
      </c>
      <c r="CB186" s="711">
        <v>0</v>
      </c>
      <c r="CC186" s="714">
        <v>0</v>
      </c>
      <c r="CD186" s="711">
        <v>0</v>
      </c>
      <c r="CE186" s="714">
        <v>0</v>
      </c>
      <c r="CF186" s="711">
        <v>0</v>
      </c>
      <c r="CG186" s="714">
        <v>0</v>
      </c>
      <c r="CH186" s="711">
        <v>0</v>
      </c>
      <c r="CI186" s="714">
        <v>0</v>
      </c>
      <c r="CJ186" s="711">
        <v>0</v>
      </c>
      <c r="CK186" s="712">
        <v>0</v>
      </c>
      <c r="CL186" s="711">
        <v>0</v>
      </c>
      <c r="CM186" s="712">
        <v>0</v>
      </c>
      <c r="CN186" s="713">
        <v>0</v>
      </c>
      <c r="CO186" s="712">
        <v>0</v>
      </c>
    </row>
    <row r="187" spans="1:93">
      <c r="A187" s="468">
        <v>185</v>
      </c>
      <c r="B187" s="596">
        <v>0</v>
      </c>
      <c r="C187" s="596">
        <v>0</v>
      </c>
      <c r="D187" s="596">
        <v>0</v>
      </c>
      <c r="E187" s="596">
        <v>0</v>
      </c>
      <c r="F187" s="596">
        <v>0</v>
      </c>
      <c r="G187" s="596">
        <v>0</v>
      </c>
      <c r="H187" s="596">
        <v>0</v>
      </c>
      <c r="I187" s="596">
        <v>0</v>
      </c>
      <c r="J187" s="596">
        <v>0</v>
      </c>
      <c r="K187" s="596">
        <v>0</v>
      </c>
      <c r="L187" s="596">
        <v>0</v>
      </c>
      <c r="M187" s="596">
        <v>0</v>
      </c>
      <c r="N187" s="596">
        <v>0</v>
      </c>
      <c r="O187" s="596">
        <v>0</v>
      </c>
      <c r="P187" s="596">
        <v>0</v>
      </c>
      <c r="Q187" s="596">
        <v>0</v>
      </c>
      <c r="R187" s="596">
        <v>0</v>
      </c>
      <c r="S187" s="596">
        <v>0</v>
      </c>
      <c r="T187" s="596">
        <v>0</v>
      </c>
      <c r="U187" s="596">
        <v>0</v>
      </c>
      <c r="V187" s="596">
        <v>0</v>
      </c>
      <c r="W187" s="612">
        <v>0</v>
      </c>
      <c r="X187" s="704">
        <v>0</v>
      </c>
      <c r="Y187" s="705">
        <v>0</v>
      </c>
      <c r="Z187" s="706">
        <v>0</v>
      </c>
      <c r="AA187" s="707">
        <v>0</v>
      </c>
      <c r="AB187" s="706">
        <v>0</v>
      </c>
      <c r="AC187" s="704">
        <v>0</v>
      </c>
      <c r="AD187" s="706">
        <v>0</v>
      </c>
      <c r="AE187" s="708">
        <v>0</v>
      </c>
      <c r="AF187" s="704">
        <v>0</v>
      </c>
      <c r="AG187" s="704">
        <v>0</v>
      </c>
      <c r="AH187" s="708">
        <v>0</v>
      </c>
      <c r="AI187" s="709">
        <v>0</v>
      </c>
      <c r="AJ187" s="706">
        <v>0</v>
      </c>
      <c r="AK187" s="704">
        <v>0</v>
      </c>
      <c r="AL187" s="706">
        <v>0</v>
      </c>
      <c r="AM187" s="710">
        <v>0</v>
      </c>
      <c r="AN187" s="704">
        <v>0</v>
      </c>
      <c r="AO187" s="706">
        <v>0</v>
      </c>
      <c r="AP187" s="711">
        <v>0</v>
      </c>
      <c r="AQ187" s="712">
        <v>0</v>
      </c>
      <c r="AR187" s="711">
        <v>0</v>
      </c>
      <c r="AS187" s="712">
        <v>0</v>
      </c>
      <c r="AT187" s="711">
        <v>0</v>
      </c>
      <c r="AU187" s="712">
        <v>0</v>
      </c>
      <c r="AV187" s="713">
        <v>0</v>
      </c>
      <c r="AW187" s="714">
        <v>0</v>
      </c>
      <c r="AX187" s="711">
        <v>0</v>
      </c>
      <c r="AY187" s="712">
        <v>0</v>
      </c>
      <c r="AZ187" s="713">
        <v>0</v>
      </c>
      <c r="BA187" s="712">
        <v>0</v>
      </c>
      <c r="BB187" s="713">
        <v>0</v>
      </c>
      <c r="BC187" s="712">
        <v>0</v>
      </c>
      <c r="BD187" s="713">
        <v>0</v>
      </c>
      <c r="BE187" s="712">
        <v>0</v>
      </c>
      <c r="BF187" s="713">
        <v>0</v>
      </c>
      <c r="BG187" s="712">
        <v>0</v>
      </c>
      <c r="BH187" s="713">
        <v>0</v>
      </c>
      <c r="BI187" s="712">
        <v>0</v>
      </c>
      <c r="BJ187" s="713">
        <v>0</v>
      </c>
      <c r="BK187" s="712">
        <v>0</v>
      </c>
      <c r="BL187" s="713">
        <v>0</v>
      </c>
      <c r="BM187" s="712">
        <v>0</v>
      </c>
      <c r="BN187" s="713">
        <v>0</v>
      </c>
      <c r="BO187" s="712">
        <v>0</v>
      </c>
      <c r="BP187" s="713">
        <v>0</v>
      </c>
      <c r="BQ187" s="712">
        <v>0</v>
      </c>
      <c r="BR187" s="713">
        <v>0</v>
      </c>
      <c r="BS187" s="712">
        <v>0</v>
      </c>
      <c r="BT187" s="713">
        <v>0</v>
      </c>
      <c r="BU187" s="712">
        <v>0</v>
      </c>
      <c r="BV187" s="711">
        <v>0</v>
      </c>
      <c r="BW187" s="714">
        <v>0</v>
      </c>
      <c r="BX187" s="711">
        <v>0</v>
      </c>
      <c r="BY187" s="714">
        <v>0</v>
      </c>
      <c r="BZ187" s="711">
        <v>0</v>
      </c>
      <c r="CA187" s="714">
        <v>0</v>
      </c>
      <c r="CB187" s="711">
        <v>0</v>
      </c>
      <c r="CC187" s="714">
        <v>0</v>
      </c>
      <c r="CD187" s="711">
        <v>0</v>
      </c>
      <c r="CE187" s="714">
        <v>0</v>
      </c>
      <c r="CF187" s="711">
        <v>0</v>
      </c>
      <c r="CG187" s="714">
        <v>0</v>
      </c>
      <c r="CH187" s="711">
        <v>0</v>
      </c>
      <c r="CI187" s="714">
        <v>0</v>
      </c>
      <c r="CJ187" s="711">
        <v>0</v>
      </c>
      <c r="CK187" s="712">
        <v>0</v>
      </c>
      <c r="CL187" s="711">
        <v>0</v>
      </c>
      <c r="CM187" s="712">
        <v>0</v>
      </c>
      <c r="CN187" s="713">
        <v>0</v>
      </c>
      <c r="CO187" s="712">
        <v>0</v>
      </c>
    </row>
    <row r="188" spans="1:93">
      <c r="A188" s="468">
        <v>186</v>
      </c>
      <c r="B188" s="596">
        <v>0</v>
      </c>
      <c r="C188" s="596">
        <v>0</v>
      </c>
      <c r="D188" s="596">
        <v>0</v>
      </c>
      <c r="E188" s="596">
        <v>0</v>
      </c>
      <c r="F188" s="596">
        <v>0</v>
      </c>
      <c r="G188" s="596">
        <v>0</v>
      </c>
      <c r="H188" s="596">
        <v>0</v>
      </c>
      <c r="I188" s="596">
        <v>0</v>
      </c>
      <c r="J188" s="596">
        <v>0</v>
      </c>
      <c r="K188" s="596">
        <v>0</v>
      </c>
      <c r="L188" s="596">
        <v>0</v>
      </c>
      <c r="M188" s="596">
        <v>0</v>
      </c>
      <c r="N188" s="596">
        <v>0</v>
      </c>
      <c r="O188" s="596">
        <v>0</v>
      </c>
      <c r="P188" s="596">
        <v>0</v>
      </c>
      <c r="Q188" s="596">
        <v>0</v>
      </c>
      <c r="R188" s="596">
        <v>0</v>
      </c>
      <c r="S188" s="596">
        <v>0</v>
      </c>
      <c r="T188" s="596">
        <v>0</v>
      </c>
      <c r="U188" s="596">
        <v>0</v>
      </c>
      <c r="V188" s="596">
        <v>0</v>
      </c>
      <c r="W188" s="612">
        <v>0</v>
      </c>
      <c r="X188" s="704">
        <v>0</v>
      </c>
      <c r="Y188" s="705">
        <v>0</v>
      </c>
      <c r="Z188" s="706">
        <v>0</v>
      </c>
      <c r="AA188" s="707">
        <v>0</v>
      </c>
      <c r="AB188" s="706">
        <v>0</v>
      </c>
      <c r="AC188" s="704">
        <v>0</v>
      </c>
      <c r="AD188" s="706">
        <v>0</v>
      </c>
      <c r="AE188" s="708">
        <v>0</v>
      </c>
      <c r="AF188" s="704">
        <v>0</v>
      </c>
      <c r="AG188" s="704">
        <v>0</v>
      </c>
      <c r="AH188" s="708">
        <v>0</v>
      </c>
      <c r="AI188" s="709">
        <v>0</v>
      </c>
      <c r="AJ188" s="706">
        <v>0</v>
      </c>
      <c r="AK188" s="704">
        <v>0</v>
      </c>
      <c r="AL188" s="706">
        <v>0</v>
      </c>
      <c r="AM188" s="710">
        <v>0</v>
      </c>
      <c r="AN188" s="704">
        <v>0</v>
      </c>
      <c r="AO188" s="706">
        <v>0</v>
      </c>
      <c r="AP188" s="711">
        <v>0</v>
      </c>
      <c r="AQ188" s="712">
        <v>0</v>
      </c>
      <c r="AR188" s="711">
        <v>0</v>
      </c>
      <c r="AS188" s="712">
        <v>0</v>
      </c>
      <c r="AT188" s="711">
        <v>0</v>
      </c>
      <c r="AU188" s="712">
        <v>0</v>
      </c>
      <c r="AV188" s="713">
        <v>0</v>
      </c>
      <c r="AW188" s="714">
        <v>0</v>
      </c>
      <c r="AX188" s="711">
        <v>0</v>
      </c>
      <c r="AY188" s="712">
        <v>0</v>
      </c>
      <c r="AZ188" s="713">
        <v>0</v>
      </c>
      <c r="BA188" s="712">
        <v>0</v>
      </c>
      <c r="BB188" s="713">
        <v>0</v>
      </c>
      <c r="BC188" s="712">
        <v>0</v>
      </c>
      <c r="BD188" s="713">
        <v>0</v>
      </c>
      <c r="BE188" s="712">
        <v>0</v>
      </c>
      <c r="BF188" s="713">
        <v>0</v>
      </c>
      <c r="BG188" s="712">
        <v>0</v>
      </c>
      <c r="BH188" s="713">
        <v>0</v>
      </c>
      <c r="BI188" s="712">
        <v>0</v>
      </c>
      <c r="BJ188" s="713">
        <v>0</v>
      </c>
      <c r="BK188" s="712">
        <v>0</v>
      </c>
      <c r="BL188" s="713">
        <v>0</v>
      </c>
      <c r="BM188" s="712">
        <v>0</v>
      </c>
      <c r="BN188" s="713">
        <v>0</v>
      </c>
      <c r="BO188" s="712">
        <v>0</v>
      </c>
      <c r="BP188" s="713">
        <v>0</v>
      </c>
      <c r="BQ188" s="712">
        <v>0</v>
      </c>
      <c r="BR188" s="713">
        <v>0</v>
      </c>
      <c r="BS188" s="712">
        <v>0</v>
      </c>
      <c r="BT188" s="713">
        <v>0</v>
      </c>
      <c r="BU188" s="712">
        <v>0</v>
      </c>
      <c r="BV188" s="711">
        <v>0</v>
      </c>
      <c r="BW188" s="714">
        <v>0</v>
      </c>
      <c r="BX188" s="711">
        <v>0</v>
      </c>
      <c r="BY188" s="714">
        <v>0</v>
      </c>
      <c r="BZ188" s="711">
        <v>0</v>
      </c>
      <c r="CA188" s="714">
        <v>0</v>
      </c>
      <c r="CB188" s="711">
        <v>0</v>
      </c>
      <c r="CC188" s="714">
        <v>0</v>
      </c>
      <c r="CD188" s="711">
        <v>0</v>
      </c>
      <c r="CE188" s="714">
        <v>0</v>
      </c>
      <c r="CF188" s="711">
        <v>0</v>
      </c>
      <c r="CG188" s="714">
        <v>0</v>
      </c>
      <c r="CH188" s="711">
        <v>0</v>
      </c>
      <c r="CI188" s="714">
        <v>0</v>
      </c>
      <c r="CJ188" s="711">
        <v>0</v>
      </c>
      <c r="CK188" s="712">
        <v>0</v>
      </c>
      <c r="CL188" s="711">
        <v>0</v>
      </c>
      <c r="CM188" s="712">
        <v>0</v>
      </c>
      <c r="CN188" s="713">
        <v>0</v>
      </c>
      <c r="CO188" s="712">
        <v>0</v>
      </c>
    </row>
    <row r="189" spans="1:93">
      <c r="A189" s="468">
        <v>187</v>
      </c>
      <c r="B189" s="596">
        <v>0</v>
      </c>
      <c r="C189" s="596">
        <v>0</v>
      </c>
      <c r="D189" s="596">
        <v>0</v>
      </c>
      <c r="E189" s="596">
        <v>0</v>
      </c>
      <c r="F189" s="596">
        <v>0</v>
      </c>
      <c r="G189" s="596">
        <v>0</v>
      </c>
      <c r="H189" s="596">
        <v>0</v>
      </c>
      <c r="I189" s="596">
        <v>0</v>
      </c>
      <c r="J189" s="596">
        <v>0</v>
      </c>
      <c r="K189" s="596">
        <v>0</v>
      </c>
      <c r="L189" s="596">
        <v>0</v>
      </c>
      <c r="M189" s="596">
        <v>0</v>
      </c>
      <c r="N189" s="596">
        <v>0</v>
      </c>
      <c r="O189" s="596">
        <v>0</v>
      </c>
      <c r="P189" s="596">
        <v>0</v>
      </c>
      <c r="Q189" s="596">
        <v>0</v>
      </c>
      <c r="R189" s="596">
        <v>0</v>
      </c>
      <c r="S189" s="596">
        <v>0</v>
      </c>
      <c r="T189" s="596">
        <v>0</v>
      </c>
      <c r="U189" s="596">
        <v>0</v>
      </c>
      <c r="V189" s="596">
        <v>0</v>
      </c>
      <c r="W189" s="612">
        <v>0</v>
      </c>
      <c r="X189" s="704">
        <v>0</v>
      </c>
      <c r="Y189" s="705">
        <v>0</v>
      </c>
      <c r="Z189" s="706">
        <v>0</v>
      </c>
      <c r="AA189" s="707">
        <v>0</v>
      </c>
      <c r="AB189" s="706">
        <v>0</v>
      </c>
      <c r="AC189" s="704">
        <v>0</v>
      </c>
      <c r="AD189" s="706">
        <v>0</v>
      </c>
      <c r="AE189" s="708">
        <v>0</v>
      </c>
      <c r="AF189" s="704">
        <v>0</v>
      </c>
      <c r="AG189" s="704">
        <v>0</v>
      </c>
      <c r="AH189" s="708">
        <v>0</v>
      </c>
      <c r="AI189" s="709">
        <v>0</v>
      </c>
      <c r="AJ189" s="706">
        <v>0</v>
      </c>
      <c r="AK189" s="704">
        <v>0</v>
      </c>
      <c r="AL189" s="706">
        <v>0</v>
      </c>
      <c r="AM189" s="710">
        <v>0</v>
      </c>
      <c r="AN189" s="704">
        <v>0</v>
      </c>
      <c r="AO189" s="706">
        <v>0</v>
      </c>
      <c r="AP189" s="711">
        <v>0</v>
      </c>
      <c r="AQ189" s="712">
        <v>0</v>
      </c>
      <c r="AR189" s="711">
        <v>0</v>
      </c>
      <c r="AS189" s="712">
        <v>0</v>
      </c>
      <c r="AT189" s="711">
        <v>0</v>
      </c>
      <c r="AU189" s="712">
        <v>0</v>
      </c>
      <c r="AV189" s="713">
        <v>0</v>
      </c>
      <c r="AW189" s="714">
        <v>0</v>
      </c>
      <c r="AX189" s="711">
        <v>0</v>
      </c>
      <c r="AY189" s="712">
        <v>0</v>
      </c>
      <c r="AZ189" s="713">
        <v>0</v>
      </c>
      <c r="BA189" s="712">
        <v>0</v>
      </c>
      <c r="BB189" s="713">
        <v>0</v>
      </c>
      <c r="BC189" s="712">
        <v>0</v>
      </c>
      <c r="BD189" s="713">
        <v>0</v>
      </c>
      <c r="BE189" s="712">
        <v>0</v>
      </c>
      <c r="BF189" s="713">
        <v>0</v>
      </c>
      <c r="BG189" s="712">
        <v>0</v>
      </c>
      <c r="BH189" s="713">
        <v>0</v>
      </c>
      <c r="BI189" s="712">
        <v>0</v>
      </c>
      <c r="BJ189" s="713">
        <v>0</v>
      </c>
      <c r="BK189" s="712">
        <v>0</v>
      </c>
      <c r="BL189" s="713">
        <v>0</v>
      </c>
      <c r="BM189" s="712">
        <v>0</v>
      </c>
      <c r="BN189" s="713">
        <v>0</v>
      </c>
      <c r="BO189" s="712">
        <v>0</v>
      </c>
      <c r="BP189" s="713">
        <v>0</v>
      </c>
      <c r="BQ189" s="712">
        <v>0</v>
      </c>
      <c r="BR189" s="713">
        <v>0</v>
      </c>
      <c r="BS189" s="712">
        <v>0</v>
      </c>
      <c r="BT189" s="713">
        <v>0</v>
      </c>
      <c r="BU189" s="712">
        <v>0</v>
      </c>
      <c r="BV189" s="711">
        <v>0</v>
      </c>
      <c r="BW189" s="714">
        <v>0</v>
      </c>
      <c r="BX189" s="711">
        <v>0</v>
      </c>
      <c r="BY189" s="714">
        <v>0</v>
      </c>
      <c r="BZ189" s="711">
        <v>0</v>
      </c>
      <c r="CA189" s="714">
        <v>0</v>
      </c>
      <c r="CB189" s="711">
        <v>0</v>
      </c>
      <c r="CC189" s="714">
        <v>0</v>
      </c>
      <c r="CD189" s="711">
        <v>0</v>
      </c>
      <c r="CE189" s="714">
        <v>0</v>
      </c>
      <c r="CF189" s="711">
        <v>0</v>
      </c>
      <c r="CG189" s="714">
        <v>0</v>
      </c>
      <c r="CH189" s="711">
        <v>0</v>
      </c>
      <c r="CI189" s="714">
        <v>0</v>
      </c>
      <c r="CJ189" s="711">
        <v>0</v>
      </c>
      <c r="CK189" s="712">
        <v>0</v>
      </c>
      <c r="CL189" s="711">
        <v>0</v>
      </c>
      <c r="CM189" s="712">
        <v>0</v>
      </c>
      <c r="CN189" s="713">
        <v>0</v>
      </c>
      <c r="CO189" s="712">
        <v>0</v>
      </c>
    </row>
    <row r="190" spans="1:93">
      <c r="A190" s="468">
        <v>188</v>
      </c>
      <c r="B190" s="596">
        <v>0</v>
      </c>
      <c r="C190" s="596">
        <v>0</v>
      </c>
      <c r="D190" s="596">
        <v>0</v>
      </c>
      <c r="E190" s="596">
        <v>0</v>
      </c>
      <c r="F190" s="596">
        <v>0</v>
      </c>
      <c r="G190" s="596">
        <v>0</v>
      </c>
      <c r="H190" s="596">
        <v>0</v>
      </c>
      <c r="I190" s="596">
        <v>0</v>
      </c>
      <c r="J190" s="596">
        <v>0</v>
      </c>
      <c r="K190" s="596">
        <v>0</v>
      </c>
      <c r="L190" s="596">
        <v>0</v>
      </c>
      <c r="M190" s="596">
        <v>0</v>
      </c>
      <c r="N190" s="596">
        <v>0</v>
      </c>
      <c r="O190" s="596">
        <v>0</v>
      </c>
      <c r="P190" s="596">
        <v>0</v>
      </c>
      <c r="Q190" s="596">
        <v>0</v>
      </c>
      <c r="R190" s="596">
        <v>0</v>
      </c>
      <c r="S190" s="596">
        <v>0</v>
      </c>
      <c r="T190" s="596">
        <v>0</v>
      </c>
      <c r="U190" s="596">
        <v>0</v>
      </c>
      <c r="V190" s="596">
        <v>0</v>
      </c>
      <c r="W190" s="612">
        <v>0</v>
      </c>
      <c r="X190" s="704">
        <v>0</v>
      </c>
      <c r="Y190" s="705">
        <v>0</v>
      </c>
      <c r="Z190" s="706">
        <v>0</v>
      </c>
      <c r="AA190" s="707">
        <v>0</v>
      </c>
      <c r="AB190" s="706">
        <v>0</v>
      </c>
      <c r="AC190" s="704">
        <v>0</v>
      </c>
      <c r="AD190" s="706">
        <v>0</v>
      </c>
      <c r="AE190" s="708">
        <v>0</v>
      </c>
      <c r="AF190" s="704">
        <v>0</v>
      </c>
      <c r="AG190" s="704">
        <v>0</v>
      </c>
      <c r="AH190" s="708">
        <v>0</v>
      </c>
      <c r="AI190" s="709">
        <v>0</v>
      </c>
      <c r="AJ190" s="706">
        <v>0</v>
      </c>
      <c r="AK190" s="704">
        <v>0</v>
      </c>
      <c r="AL190" s="706">
        <v>0</v>
      </c>
      <c r="AM190" s="710">
        <v>0</v>
      </c>
      <c r="AN190" s="704">
        <v>0</v>
      </c>
      <c r="AO190" s="706">
        <v>0</v>
      </c>
      <c r="AP190" s="711">
        <v>0</v>
      </c>
      <c r="AQ190" s="712">
        <v>0</v>
      </c>
      <c r="AR190" s="711">
        <v>0</v>
      </c>
      <c r="AS190" s="712">
        <v>0</v>
      </c>
      <c r="AT190" s="711">
        <v>0</v>
      </c>
      <c r="AU190" s="712">
        <v>0</v>
      </c>
      <c r="AV190" s="713">
        <v>0</v>
      </c>
      <c r="AW190" s="714">
        <v>0</v>
      </c>
      <c r="AX190" s="711">
        <v>0</v>
      </c>
      <c r="AY190" s="712">
        <v>0</v>
      </c>
      <c r="AZ190" s="713">
        <v>0</v>
      </c>
      <c r="BA190" s="712">
        <v>0</v>
      </c>
      <c r="BB190" s="713">
        <v>0</v>
      </c>
      <c r="BC190" s="712">
        <v>0</v>
      </c>
      <c r="BD190" s="713">
        <v>0</v>
      </c>
      <c r="BE190" s="712">
        <v>0</v>
      </c>
      <c r="BF190" s="713">
        <v>0</v>
      </c>
      <c r="BG190" s="712">
        <v>0</v>
      </c>
      <c r="BH190" s="713">
        <v>0</v>
      </c>
      <c r="BI190" s="712">
        <v>0</v>
      </c>
      <c r="BJ190" s="713">
        <v>0</v>
      </c>
      <c r="BK190" s="712">
        <v>0</v>
      </c>
      <c r="BL190" s="713">
        <v>0</v>
      </c>
      <c r="BM190" s="712">
        <v>0</v>
      </c>
      <c r="BN190" s="713">
        <v>0</v>
      </c>
      <c r="BO190" s="712">
        <v>0</v>
      </c>
      <c r="BP190" s="713">
        <v>0</v>
      </c>
      <c r="BQ190" s="712">
        <v>0</v>
      </c>
      <c r="BR190" s="713">
        <v>0</v>
      </c>
      <c r="BS190" s="712">
        <v>0</v>
      </c>
      <c r="BT190" s="713">
        <v>0</v>
      </c>
      <c r="BU190" s="712">
        <v>0</v>
      </c>
      <c r="BV190" s="711">
        <v>0</v>
      </c>
      <c r="BW190" s="714">
        <v>0</v>
      </c>
      <c r="BX190" s="711">
        <v>0</v>
      </c>
      <c r="BY190" s="714">
        <v>0</v>
      </c>
      <c r="BZ190" s="711">
        <v>0</v>
      </c>
      <c r="CA190" s="714">
        <v>0</v>
      </c>
      <c r="CB190" s="711">
        <v>0</v>
      </c>
      <c r="CC190" s="714">
        <v>0</v>
      </c>
      <c r="CD190" s="711">
        <v>0</v>
      </c>
      <c r="CE190" s="714">
        <v>0</v>
      </c>
      <c r="CF190" s="711">
        <v>0</v>
      </c>
      <c r="CG190" s="714">
        <v>0</v>
      </c>
      <c r="CH190" s="711">
        <v>0</v>
      </c>
      <c r="CI190" s="714">
        <v>0</v>
      </c>
      <c r="CJ190" s="711">
        <v>0</v>
      </c>
      <c r="CK190" s="712">
        <v>0</v>
      </c>
      <c r="CL190" s="711">
        <v>0</v>
      </c>
      <c r="CM190" s="712">
        <v>0</v>
      </c>
      <c r="CN190" s="713">
        <v>0</v>
      </c>
      <c r="CO190" s="712">
        <v>0</v>
      </c>
    </row>
    <row r="191" spans="1:93">
      <c r="A191" s="468">
        <v>189</v>
      </c>
      <c r="B191" s="596">
        <v>0</v>
      </c>
      <c r="C191" s="596">
        <v>0</v>
      </c>
      <c r="D191" s="596">
        <v>0</v>
      </c>
      <c r="E191" s="596">
        <v>0</v>
      </c>
      <c r="F191" s="596">
        <v>0</v>
      </c>
      <c r="G191" s="596">
        <v>0</v>
      </c>
      <c r="H191" s="596">
        <v>0</v>
      </c>
      <c r="I191" s="596">
        <v>0</v>
      </c>
      <c r="J191" s="596">
        <v>0</v>
      </c>
      <c r="K191" s="596">
        <v>0</v>
      </c>
      <c r="L191" s="596">
        <v>0</v>
      </c>
      <c r="M191" s="596">
        <v>0</v>
      </c>
      <c r="N191" s="596">
        <v>0</v>
      </c>
      <c r="O191" s="596">
        <v>0</v>
      </c>
      <c r="P191" s="596">
        <v>0</v>
      </c>
      <c r="Q191" s="596">
        <v>0</v>
      </c>
      <c r="R191" s="596">
        <v>0</v>
      </c>
      <c r="S191" s="596">
        <v>0</v>
      </c>
      <c r="T191" s="596">
        <v>0</v>
      </c>
      <c r="U191" s="596">
        <v>0</v>
      </c>
      <c r="V191" s="596">
        <v>0</v>
      </c>
      <c r="W191" s="612">
        <v>0</v>
      </c>
      <c r="X191" s="704">
        <v>0</v>
      </c>
      <c r="Y191" s="705">
        <v>0</v>
      </c>
      <c r="Z191" s="706">
        <v>0</v>
      </c>
      <c r="AA191" s="707">
        <v>0</v>
      </c>
      <c r="AB191" s="706">
        <v>0</v>
      </c>
      <c r="AC191" s="704">
        <v>0</v>
      </c>
      <c r="AD191" s="706">
        <v>0</v>
      </c>
      <c r="AE191" s="708">
        <v>0</v>
      </c>
      <c r="AF191" s="704">
        <v>0</v>
      </c>
      <c r="AG191" s="704">
        <v>0</v>
      </c>
      <c r="AH191" s="708">
        <v>0</v>
      </c>
      <c r="AI191" s="709">
        <v>0</v>
      </c>
      <c r="AJ191" s="706">
        <v>0</v>
      </c>
      <c r="AK191" s="704">
        <v>0</v>
      </c>
      <c r="AL191" s="706">
        <v>0</v>
      </c>
      <c r="AM191" s="710">
        <v>0</v>
      </c>
      <c r="AN191" s="704">
        <v>0</v>
      </c>
      <c r="AO191" s="706">
        <v>0</v>
      </c>
      <c r="AP191" s="711">
        <v>0</v>
      </c>
      <c r="AQ191" s="712">
        <v>0</v>
      </c>
      <c r="AR191" s="711">
        <v>0</v>
      </c>
      <c r="AS191" s="712">
        <v>0</v>
      </c>
      <c r="AT191" s="711">
        <v>0</v>
      </c>
      <c r="AU191" s="712">
        <v>0</v>
      </c>
      <c r="AV191" s="713">
        <v>0</v>
      </c>
      <c r="AW191" s="714">
        <v>0</v>
      </c>
      <c r="AX191" s="711">
        <v>0</v>
      </c>
      <c r="AY191" s="712">
        <v>0</v>
      </c>
      <c r="AZ191" s="713">
        <v>0</v>
      </c>
      <c r="BA191" s="712">
        <v>0</v>
      </c>
      <c r="BB191" s="713">
        <v>0</v>
      </c>
      <c r="BC191" s="712">
        <v>0</v>
      </c>
      <c r="BD191" s="713">
        <v>0</v>
      </c>
      <c r="BE191" s="712">
        <v>0</v>
      </c>
      <c r="BF191" s="713">
        <v>0</v>
      </c>
      <c r="BG191" s="712">
        <v>0</v>
      </c>
      <c r="BH191" s="713">
        <v>0</v>
      </c>
      <c r="BI191" s="712">
        <v>0</v>
      </c>
      <c r="BJ191" s="713">
        <v>0</v>
      </c>
      <c r="BK191" s="712">
        <v>0</v>
      </c>
      <c r="BL191" s="713">
        <v>0</v>
      </c>
      <c r="BM191" s="712">
        <v>0</v>
      </c>
      <c r="BN191" s="713">
        <v>0</v>
      </c>
      <c r="BO191" s="712">
        <v>0</v>
      </c>
      <c r="BP191" s="713">
        <v>0</v>
      </c>
      <c r="BQ191" s="712">
        <v>0</v>
      </c>
      <c r="BR191" s="713">
        <v>0</v>
      </c>
      <c r="BS191" s="712">
        <v>0</v>
      </c>
      <c r="BT191" s="713">
        <v>0</v>
      </c>
      <c r="BU191" s="712">
        <v>0</v>
      </c>
      <c r="BV191" s="711">
        <v>0</v>
      </c>
      <c r="BW191" s="714">
        <v>0</v>
      </c>
      <c r="BX191" s="711">
        <v>0</v>
      </c>
      <c r="BY191" s="714">
        <v>0</v>
      </c>
      <c r="BZ191" s="711">
        <v>0</v>
      </c>
      <c r="CA191" s="714">
        <v>0</v>
      </c>
      <c r="CB191" s="711">
        <v>0</v>
      </c>
      <c r="CC191" s="714">
        <v>0</v>
      </c>
      <c r="CD191" s="711">
        <v>0</v>
      </c>
      <c r="CE191" s="714">
        <v>0</v>
      </c>
      <c r="CF191" s="711">
        <v>0</v>
      </c>
      <c r="CG191" s="714">
        <v>0</v>
      </c>
      <c r="CH191" s="711">
        <v>0</v>
      </c>
      <c r="CI191" s="714">
        <v>0</v>
      </c>
      <c r="CJ191" s="711">
        <v>0</v>
      </c>
      <c r="CK191" s="712">
        <v>0</v>
      </c>
      <c r="CL191" s="711">
        <v>0</v>
      </c>
      <c r="CM191" s="712">
        <v>0</v>
      </c>
      <c r="CN191" s="713">
        <v>0</v>
      </c>
      <c r="CO191" s="712">
        <v>0</v>
      </c>
    </row>
    <row r="192" spans="1:93">
      <c r="A192" s="468">
        <v>190</v>
      </c>
      <c r="B192" s="596">
        <v>0</v>
      </c>
      <c r="C192" s="596">
        <v>0</v>
      </c>
      <c r="D192" s="596">
        <v>0</v>
      </c>
      <c r="E192" s="596">
        <v>0</v>
      </c>
      <c r="F192" s="596">
        <v>0</v>
      </c>
      <c r="G192" s="596">
        <v>0</v>
      </c>
      <c r="H192" s="596">
        <v>0</v>
      </c>
      <c r="I192" s="596">
        <v>0</v>
      </c>
      <c r="J192" s="596">
        <v>0</v>
      </c>
      <c r="K192" s="596">
        <v>0</v>
      </c>
      <c r="L192" s="596">
        <v>0</v>
      </c>
      <c r="M192" s="596">
        <v>0</v>
      </c>
      <c r="N192" s="596">
        <v>0</v>
      </c>
      <c r="O192" s="596">
        <v>0</v>
      </c>
      <c r="P192" s="596">
        <v>0</v>
      </c>
      <c r="Q192" s="596">
        <v>0</v>
      </c>
      <c r="R192" s="596">
        <v>0</v>
      </c>
      <c r="S192" s="596">
        <v>0</v>
      </c>
      <c r="T192" s="596">
        <v>0</v>
      </c>
      <c r="U192" s="596">
        <v>0</v>
      </c>
      <c r="V192" s="596">
        <v>0</v>
      </c>
      <c r="W192" s="612">
        <v>0</v>
      </c>
      <c r="X192" s="704">
        <v>0</v>
      </c>
      <c r="Y192" s="705">
        <v>0</v>
      </c>
      <c r="Z192" s="706">
        <v>0</v>
      </c>
      <c r="AA192" s="707">
        <v>0</v>
      </c>
      <c r="AB192" s="706">
        <v>0</v>
      </c>
      <c r="AC192" s="704">
        <v>0</v>
      </c>
      <c r="AD192" s="706">
        <v>0</v>
      </c>
      <c r="AE192" s="708">
        <v>0</v>
      </c>
      <c r="AF192" s="704">
        <v>0</v>
      </c>
      <c r="AG192" s="704">
        <v>0</v>
      </c>
      <c r="AH192" s="708">
        <v>0</v>
      </c>
      <c r="AI192" s="709">
        <v>0</v>
      </c>
      <c r="AJ192" s="706">
        <v>0</v>
      </c>
      <c r="AK192" s="704">
        <v>0</v>
      </c>
      <c r="AL192" s="706">
        <v>0</v>
      </c>
      <c r="AM192" s="710">
        <v>0</v>
      </c>
      <c r="AN192" s="704">
        <v>0</v>
      </c>
      <c r="AO192" s="706">
        <v>0</v>
      </c>
      <c r="AP192" s="711">
        <v>0</v>
      </c>
      <c r="AQ192" s="712">
        <v>0</v>
      </c>
      <c r="AR192" s="711">
        <v>0</v>
      </c>
      <c r="AS192" s="712">
        <v>0</v>
      </c>
      <c r="AT192" s="711">
        <v>0</v>
      </c>
      <c r="AU192" s="712">
        <v>0</v>
      </c>
      <c r="AV192" s="713">
        <v>0</v>
      </c>
      <c r="AW192" s="714">
        <v>0</v>
      </c>
      <c r="AX192" s="711">
        <v>0</v>
      </c>
      <c r="AY192" s="712">
        <v>0</v>
      </c>
      <c r="AZ192" s="713">
        <v>0</v>
      </c>
      <c r="BA192" s="712">
        <v>0</v>
      </c>
      <c r="BB192" s="713">
        <v>0</v>
      </c>
      <c r="BC192" s="712">
        <v>0</v>
      </c>
      <c r="BD192" s="713">
        <v>0</v>
      </c>
      <c r="BE192" s="712">
        <v>0</v>
      </c>
      <c r="BF192" s="713">
        <v>0</v>
      </c>
      <c r="BG192" s="712">
        <v>0</v>
      </c>
      <c r="BH192" s="713">
        <v>0</v>
      </c>
      <c r="BI192" s="712">
        <v>0</v>
      </c>
      <c r="BJ192" s="713">
        <v>0</v>
      </c>
      <c r="BK192" s="712">
        <v>0</v>
      </c>
      <c r="BL192" s="713">
        <v>0</v>
      </c>
      <c r="BM192" s="712">
        <v>0</v>
      </c>
      <c r="BN192" s="713">
        <v>0</v>
      </c>
      <c r="BO192" s="712">
        <v>0</v>
      </c>
      <c r="BP192" s="713">
        <v>0</v>
      </c>
      <c r="BQ192" s="712">
        <v>0</v>
      </c>
      <c r="BR192" s="713">
        <v>0</v>
      </c>
      <c r="BS192" s="712">
        <v>0</v>
      </c>
      <c r="BT192" s="713">
        <v>0</v>
      </c>
      <c r="BU192" s="712">
        <v>0</v>
      </c>
      <c r="BV192" s="711">
        <v>0</v>
      </c>
      <c r="BW192" s="714">
        <v>0</v>
      </c>
      <c r="BX192" s="711">
        <v>0</v>
      </c>
      <c r="BY192" s="714">
        <v>0</v>
      </c>
      <c r="BZ192" s="711">
        <v>0</v>
      </c>
      <c r="CA192" s="714">
        <v>0</v>
      </c>
      <c r="CB192" s="711">
        <v>0</v>
      </c>
      <c r="CC192" s="714">
        <v>0</v>
      </c>
      <c r="CD192" s="711">
        <v>0</v>
      </c>
      <c r="CE192" s="714">
        <v>0</v>
      </c>
      <c r="CF192" s="711">
        <v>0</v>
      </c>
      <c r="CG192" s="714">
        <v>0</v>
      </c>
      <c r="CH192" s="711">
        <v>0</v>
      </c>
      <c r="CI192" s="714">
        <v>0</v>
      </c>
      <c r="CJ192" s="711">
        <v>0</v>
      </c>
      <c r="CK192" s="712">
        <v>0</v>
      </c>
      <c r="CL192" s="711">
        <v>0</v>
      </c>
      <c r="CM192" s="712">
        <v>0</v>
      </c>
      <c r="CN192" s="713">
        <v>0</v>
      </c>
      <c r="CO192" s="712">
        <v>0</v>
      </c>
    </row>
    <row r="193" spans="1:93">
      <c r="A193" s="468">
        <v>191</v>
      </c>
      <c r="B193" s="596">
        <v>0</v>
      </c>
      <c r="C193" s="596">
        <v>0</v>
      </c>
      <c r="D193" s="596">
        <v>0</v>
      </c>
      <c r="E193" s="596">
        <v>0</v>
      </c>
      <c r="F193" s="596">
        <v>0</v>
      </c>
      <c r="G193" s="596">
        <v>0</v>
      </c>
      <c r="H193" s="596">
        <v>0</v>
      </c>
      <c r="I193" s="596">
        <v>0</v>
      </c>
      <c r="J193" s="596">
        <v>0</v>
      </c>
      <c r="K193" s="596">
        <v>0</v>
      </c>
      <c r="L193" s="596">
        <v>0</v>
      </c>
      <c r="M193" s="596">
        <v>0</v>
      </c>
      <c r="N193" s="596">
        <v>0</v>
      </c>
      <c r="O193" s="596">
        <v>0</v>
      </c>
      <c r="P193" s="596">
        <v>0</v>
      </c>
      <c r="Q193" s="596">
        <v>0</v>
      </c>
      <c r="R193" s="596">
        <v>0</v>
      </c>
      <c r="S193" s="596">
        <v>0</v>
      </c>
      <c r="T193" s="596">
        <v>0</v>
      </c>
      <c r="U193" s="596">
        <v>0</v>
      </c>
      <c r="V193" s="596">
        <v>0</v>
      </c>
      <c r="W193" s="612">
        <v>0</v>
      </c>
      <c r="X193" s="704">
        <v>0</v>
      </c>
      <c r="Y193" s="705">
        <v>0</v>
      </c>
      <c r="Z193" s="706">
        <v>0</v>
      </c>
      <c r="AA193" s="707">
        <v>0</v>
      </c>
      <c r="AB193" s="706">
        <v>0</v>
      </c>
      <c r="AC193" s="704">
        <v>0</v>
      </c>
      <c r="AD193" s="706">
        <v>0</v>
      </c>
      <c r="AE193" s="708">
        <v>0</v>
      </c>
      <c r="AF193" s="704">
        <v>0</v>
      </c>
      <c r="AG193" s="704">
        <v>0</v>
      </c>
      <c r="AH193" s="708">
        <v>0</v>
      </c>
      <c r="AI193" s="709">
        <v>0</v>
      </c>
      <c r="AJ193" s="706">
        <v>0</v>
      </c>
      <c r="AK193" s="704">
        <v>0</v>
      </c>
      <c r="AL193" s="706">
        <v>0</v>
      </c>
      <c r="AM193" s="710">
        <v>0</v>
      </c>
      <c r="AN193" s="704">
        <v>0</v>
      </c>
      <c r="AO193" s="706">
        <v>0</v>
      </c>
      <c r="AP193" s="711">
        <v>0</v>
      </c>
      <c r="AQ193" s="712">
        <v>0</v>
      </c>
      <c r="AR193" s="711">
        <v>0</v>
      </c>
      <c r="AS193" s="712">
        <v>0</v>
      </c>
      <c r="AT193" s="711">
        <v>0</v>
      </c>
      <c r="AU193" s="712">
        <v>0</v>
      </c>
      <c r="AV193" s="713">
        <v>0</v>
      </c>
      <c r="AW193" s="714">
        <v>0</v>
      </c>
      <c r="AX193" s="711">
        <v>0</v>
      </c>
      <c r="AY193" s="712">
        <v>0</v>
      </c>
      <c r="AZ193" s="713">
        <v>0</v>
      </c>
      <c r="BA193" s="712">
        <v>0</v>
      </c>
      <c r="BB193" s="713">
        <v>0</v>
      </c>
      <c r="BC193" s="712">
        <v>0</v>
      </c>
      <c r="BD193" s="713">
        <v>0</v>
      </c>
      <c r="BE193" s="712">
        <v>0</v>
      </c>
      <c r="BF193" s="713">
        <v>0</v>
      </c>
      <c r="BG193" s="712">
        <v>0</v>
      </c>
      <c r="BH193" s="713">
        <v>0</v>
      </c>
      <c r="BI193" s="712">
        <v>0</v>
      </c>
      <c r="BJ193" s="713">
        <v>0</v>
      </c>
      <c r="BK193" s="712">
        <v>0</v>
      </c>
      <c r="BL193" s="713">
        <v>0</v>
      </c>
      <c r="BM193" s="712">
        <v>0</v>
      </c>
      <c r="BN193" s="713">
        <v>0</v>
      </c>
      <c r="BO193" s="712">
        <v>0</v>
      </c>
      <c r="BP193" s="713">
        <v>0</v>
      </c>
      <c r="BQ193" s="712">
        <v>0</v>
      </c>
      <c r="BR193" s="713">
        <v>0</v>
      </c>
      <c r="BS193" s="712">
        <v>0</v>
      </c>
      <c r="BT193" s="713">
        <v>0</v>
      </c>
      <c r="BU193" s="712">
        <v>0</v>
      </c>
      <c r="BV193" s="711">
        <v>0</v>
      </c>
      <c r="BW193" s="714">
        <v>0</v>
      </c>
      <c r="BX193" s="711">
        <v>0</v>
      </c>
      <c r="BY193" s="714">
        <v>0</v>
      </c>
      <c r="BZ193" s="711">
        <v>0</v>
      </c>
      <c r="CA193" s="714">
        <v>0</v>
      </c>
      <c r="CB193" s="711">
        <v>0</v>
      </c>
      <c r="CC193" s="714">
        <v>0</v>
      </c>
      <c r="CD193" s="711">
        <v>0</v>
      </c>
      <c r="CE193" s="714">
        <v>0</v>
      </c>
      <c r="CF193" s="711">
        <v>0</v>
      </c>
      <c r="CG193" s="714">
        <v>0</v>
      </c>
      <c r="CH193" s="711">
        <v>0</v>
      </c>
      <c r="CI193" s="714">
        <v>0</v>
      </c>
      <c r="CJ193" s="711">
        <v>0</v>
      </c>
      <c r="CK193" s="712">
        <v>0</v>
      </c>
      <c r="CL193" s="711">
        <v>0</v>
      </c>
      <c r="CM193" s="712">
        <v>0</v>
      </c>
      <c r="CN193" s="713">
        <v>0</v>
      </c>
      <c r="CO193" s="712">
        <v>0</v>
      </c>
    </row>
    <row r="194" spans="1:93">
      <c r="A194" s="468">
        <v>192</v>
      </c>
      <c r="B194" s="596">
        <v>0</v>
      </c>
      <c r="C194" s="596">
        <v>0</v>
      </c>
      <c r="D194" s="596">
        <v>0</v>
      </c>
      <c r="E194" s="596">
        <v>0</v>
      </c>
      <c r="F194" s="596">
        <v>0</v>
      </c>
      <c r="G194" s="596">
        <v>0</v>
      </c>
      <c r="H194" s="596">
        <v>0</v>
      </c>
      <c r="I194" s="596">
        <v>0</v>
      </c>
      <c r="J194" s="596">
        <v>0</v>
      </c>
      <c r="K194" s="596">
        <v>0</v>
      </c>
      <c r="L194" s="596">
        <v>0</v>
      </c>
      <c r="M194" s="596">
        <v>0</v>
      </c>
      <c r="N194" s="596">
        <v>0</v>
      </c>
      <c r="O194" s="596">
        <v>0</v>
      </c>
      <c r="P194" s="596">
        <v>0</v>
      </c>
      <c r="Q194" s="596">
        <v>0</v>
      </c>
      <c r="R194" s="596">
        <v>0</v>
      </c>
      <c r="S194" s="596">
        <v>0</v>
      </c>
      <c r="T194" s="596">
        <v>0</v>
      </c>
      <c r="U194" s="596">
        <v>0</v>
      </c>
      <c r="V194" s="596">
        <v>0</v>
      </c>
      <c r="W194" s="612">
        <v>0</v>
      </c>
      <c r="X194" s="704">
        <v>0</v>
      </c>
      <c r="Y194" s="705">
        <v>0</v>
      </c>
      <c r="Z194" s="706">
        <v>0</v>
      </c>
      <c r="AA194" s="707">
        <v>0</v>
      </c>
      <c r="AB194" s="706">
        <v>0</v>
      </c>
      <c r="AC194" s="704">
        <v>0</v>
      </c>
      <c r="AD194" s="706">
        <v>0</v>
      </c>
      <c r="AE194" s="708">
        <v>0</v>
      </c>
      <c r="AF194" s="704">
        <v>0</v>
      </c>
      <c r="AG194" s="704">
        <v>0</v>
      </c>
      <c r="AH194" s="708">
        <v>0</v>
      </c>
      <c r="AI194" s="709">
        <v>0</v>
      </c>
      <c r="AJ194" s="706">
        <v>0</v>
      </c>
      <c r="AK194" s="704">
        <v>0</v>
      </c>
      <c r="AL194" s="706">
        <v>0</v>
      </c>
      <c r="AM194" s="710">
        <v>0</v>
      </c>
      <c r="AN194" s="704">
        <v>0</v>
      </c>
      <c r="AO194" s="706">
        <v>0</v>
      </c>
      <c r="AP194" s="711">
        <v>0</v>
      </c>
      <c r="AQ194" s="712">
        <v>0</v>
      </c>
      <c r="AR194" s="711">
        <v>0</v>
      </c>
      <c r="AS194" s="712">
        <v>0</v>
      </c>
      <c r="AT194" s="711">
        <v>0</v>
      </c>
      <c r="AU194" s="712">
        <v>0</v>
      </c>
      <c r="AV194" s="713">
        <v>0</v>
      </c>
      <c r="AW194" s="714">
        <v>0</v>
      </c>
      <c r="AX194" s="711">
        <v>0</v>
      </c>
      <c r="AY194" s="712">
        <v>0</v>
      </c>
      <c r="AZ194" s="713">
        <v>0</v>
      </c>
      <c r="BA194" s="712">
        <v>0</v>
      </c>
      <c r="BB194" s="713">
        <v>0</v>
      </c>
      <c r="BC194" s="712">
        <v>0</v>
      </c>
      <c r="BD194" s="713">
        <v>0</v>
      </c>
      <c r="BE194" s="712">
        <v>0</v>
      </c>
      <c r="BF194" s="713">
        <v>0</v>
      </c>
      <c r="BG194" s="712">
        <v>0</v>
      </c>
      <c r="BH194" s="713">
        <v>0</v>
      </c>
      <c r="BI194" s="712">
        <v>0</v>
      </c>
      <c r="BJ194" s="713">
        <v>0</v>
      </c>
      <c r="BK194" s="712">
        <v>0</v>
      </c>
      <c r="BL194" s="713">
        <v>0</v>
      </c>
      <c r="BM194" s="712">
        <v>0</v>
      </c>
      <c r="BN194" s="713">
        <v>0</v>
      </c>
      <c r="BO194" s="712">
        <v>0</v>
      </c>
      <c r="BP194" s="713">
        <v>0</v>
      </c>
      <c r="BQ194" s="712">
        <v>0</v>
      </c>
      <c r="BR194" s="713">
        <v>0</v>
      </c>
      <c r="BS194" s="712">
        <v>0</v>
      </c>
      <c r="BT194" s="713">
        <v>0</v>
      </c>
      <c r="BU194" s="712">
        <v>0</v>
      </c>
      <c r="BV194" s="711">
        <v>0</v>
      </c>
      <c r="BW194" s="714">
        <v>0</v>
      </c>
      <c r="BX194" s="711">
        <v>0</v>
      </c>
      <c r="BY194" s="714">
        <v>0</v>
      </c>
      <c r="BZ194" s="711">
        <v>0</v>
      </c>
      <c r="CA194" s="714">
        <v>0</v>
      </c>
      <c r="CB194" s="711">
        <v>0</v>
      </c>
      <c r="CC194" s="714">
        <v>0</v>
      </c>
      <c r="CD194" s="711">
        <v>0</v>
      </c>
      <c r="CE194" s="714">
        <v>0</v>
      </c>
      <c r="CF194" s="711">
        <v>0</v>
      </c>
      <c r="CG194" s="714">
        <v>0</v>
      </c>
      <c r="CH194" s="711">
        <v>0</v>
      </c>
      <c r="CI194" s="714">
        <v>0</v>
      </c>
      <c r="CJ194" s="711">
        <v>0</v>
      </c>
      <c r="CK194" s="712">
        <v>0</v>
      </c>
      <c r="CL194" s="711">
        <v>0</v>
      </c>
      <c r="CM194" s="712">
        <v>0</v>
      </c>
      <c r="CN194" s="713">
        <v>0</v>
      </c>
      <c r="CO194" s="712">
        <v>0</v>
      </c>
    </row>
    <row r="195" spans="1:93">
      <c r="A195" s="468">
        <v>193</v>
      </c>
      <c r="B195" s="596">
        <v>0</v>
      </c>
      <c r="C195" s="596">
        <v>0</v>
      </c>
      <c r="D195" s="596">
        <v>0</v>
      </c>
      <c r="E195" s="596">
        <v>0</v>
      </c>
      <c r="F195" s="596">
        <v>0</v>
      </c>
      <c r="G195" s="596">
        <v>0</v>
      </c>
      <c r="H195" s="596">
        <v>0</v>
      </c>
      <c r="I195" s="596">
        <v>0</v>
      </c>
      <c r="J195" s="596">
        <v>0</v>
      </c>
      <c r="K195" s="596">
        <v>0</v>
      </c>
      <c r="L195" s="596">
        <v>0</v>
      </c>
      <c r="M195" s="596">
        <v>0</v>
      </c>
      <c r="N195" s="596">
        <v>0</v>
      </c>
      <c r="O195" s="596">
        <v>0</v>
      </c>
      <c r="P195" s="596">
        <v>0</v>
      </c>
      <c r="Q195" s="596">
        <v>0</v>
      </c>
      <c r="R195" s="596">
        <v>0</v>
      </c>
      <c r="S195" s="596">
        <v>0</v>
      </c>
      <c r="T195" s="596">
        <v>0</v>
      </c>
      <c r="U195" s="596">
        <v>0</v>
      </c>
      <c r="V195" s="596">
        <v>0</v>
      </c>
      <c r="W195" s="612">
        <v>0</v>
      </c>
      <c r="X195" s="704">
        <v>0</v>
      </c>
      <c r="Y195" s="705">
        <v>0</v>
      </c>
      <c r="Z195" s="706">
        <v>0</v>
      </c>
      <c r="AA195" s="707">
        <v>0</v>
      </c>
      <c r="AB195" s="706">
        <v>0</v>
      </c>
      <c r="AC195" s="704">
        <v>0</v>
      </c>
      <c r="AD195" s="706">
        <v>0</v>
      </c>
      <c r="AE195" s="708">
        <v>0</v>
      </c>
      <c r="AF195" s="704">
        <v>0</v>
      </c>
      <c r="AG195" s="704">
        <v>0</v>
      </c>
      <c r="AH195" s="708">
        <v>0</v>
      </c>
      <c r="AI195" s="709">
        <v>0</v>
      </c>
      <c r="AJ195" s="706">
        <v>0</v>
      </c>
      <c r="AK195" s="704">
        <v>0</v>
      </c>
      <c r="AL195" s="706">
        <v>0</v>
      </c>
      <c r="AM195" s="710">
        <v>0</v>
      </c>
      <c r="AN195" s="704">
        <v>0</v>
      </c>
      <c r="AO195" s="706">
        <v>0</v>
      </c>
      <c r="AP195" s="711">
        <v>0</v>
      </c>
      <c r="AQ195" s="712">
        <v>0</v>
      </c>
      <c r="AR195" s="711">
        <v>0</v>
      </c>
      <c r="AS195" s="712">
        <v>0</v>
      </c>
      <c r="AT195" s="711">
        <v>0</v>
      </c>
      <c r="AU195" s="712">
        <v>0</v>
      </c>
      <c r="AV195" s="713">
        <v>0</v>
      </c>
      <c r="AW195" s="714">
        <v>0</v>
      </c>
      <c r="AX195" s="711">
        <v>0</v>
      </c>
      <c r="AY195" s="712">
        <v>0</v>
      </c>
      <c r="AZ195" s="713">
        <v>0</v>
      </c>
      <c r="BA195" s="712">
        <v>0</v>
      </c>
      <c r="BB195" s="713">
        <v>0</v>
      </c>
      <c r="BC195" s="712">
        <v>0</v>
      </c>
      <c r="BD195" s="713">
        <v>0</v>
      </c>
      <c r="BE195" s="712">
        <v>0</v>
      </c>
      <c r="BF195" s="713">
        <v>0</v>
      </c>
      <c r="BG195" s="712">
        <v>0</v>
      </c>
      <c r="BH195" s="713">
        <v>0</v>
      </c>
      <c r="BI195" s="712">
        <v>0</v>
      </c>
      <c r="BJ195" s="713">
        <v>0</v>
      </c>
      <c r="BK195" s="712">
        <v>0</v>
      </c>
      <c r="BL195" s="713">
        <v>0</v>
      </c>
      <c r="BM195" s="712">
        <v>0</v>
      </c>
      <c r="BN195" s="713">
        <v>0</v>
      </c>
      <c r="BO195" s="712">
        <v>0</v>
      </c>
      <c r="BP195" s="713">
        <v>0</v>
      </c>
      <c r="BQ195" s="712">
        <v>0</v>
      </c>
      <c r="BR195" s="713">
        <v>0</v>
      </c>
      <c r="BS195" s="712">
        <v>0</v>
      </c>
      <c r="BT195" s="713">
        <v>0</v>
      </c>
      <c r="BU195" s="712">
        <v>0</v>
      </c>
      <c r="BV195" s="711">
        <v>0</v>
      </c>
      <c r="BW195" s="714">
        <v>0</v>
      </c>
      <c r="BX195" s="711">
        <v>0</v>
      </c>
      <c r="BY195" s="714">
        <v>0</v>
      </c>
      <c r="BZ195" s="711">
        <v>0</v>
      </c>
      <c r="CA195" s="714">
        <v>0</v>
      </c>
      <c r="CB195" s="711">
        <v>0</v>
      </c>
      <c r="CC195" s="714">
        <v>0</v>
      </c>
      <c r="CD195" s="711">
        <v>0</v>
      </c>
      <c r="CE195" s="714">
        <v>0</v>
      </c>
      <c r="CF195" s="711">
        <v>0</v>
      </c>
      <c r="CG195" s="714">
        <v>0</v>
      </c>
      <c r="CH195" s="711">
        <v>0</v>
      </c>
      <c r="CI195" s="714">
        <v>0</v>
      </c>
      <c r="CJ195" s="711">
        <v>0</v>
      </c>
      <c r="CK195" s="712">
        <v>0</v>
      </c>
      <c r="CL195" s="711">
        <v>0</v>
      </c>
      <c r="CM195" s="712">
        <v>0</v>
      </c>
      <c r="CN195" s="713">
        <v>0</v>
      </c>
      <c r="CO195" s="712">
        <v>0</v>
      </c>
    </row>
    <row r="196" spans="1:93">
      <c r="A196" s="468">
        <v>194</v>
      </c>
      <c r="B196" s="596">
        <v>0</v>
      </c>
      <c r="C196" s="596">
        <v>0</v>
      </c>
      <c r="D196" s="596">
        <v>0</v>
      </c>
      <c r="E196" s="596">
        <v>0</v>
      </c>
      <c r="F196" s="596">
        <v>0</v>
      </c>
      <c r="G196" s="596">
        <v>0</v>
      </c>
      <c r="H196" s="596">
        <v>0</v>
      </c>
      <c r="I196" s="596">
        <v>0</v>
      </c>
      <c r="J196" s="596">
        <v>0</v>
      </c>
      <c r="K196" s="596">
        <v>0</v>
      </c>
      <c r="L196" s="596">
        <v>0</v>
      </c>
      <c r="M196" s="596">
        <v>0</v>
      </c>
      <c r="N196" s="596">
        <v>0</v>
      </c>
      <c r="O196" s="596">
        <v>0</v>
      </c>
      <c r="P196" s="596">
        <v>0</v>
      </c>
      <c r="Q196" s="596">
        <v>0</v>
      </c>
      <c r="R196" s="596">
        <v>0</v>
      </c>
      <c r="S196" s="596">
        <v>0</v>
      </c>
      <c r="T196" s="596">
        <v>0</v>
      </c>
      <c r="U196" s="596">
        <v>0</v>
      </c>
      <c r="V196" s="596">
        <v>0</v>
      </c>
      <c r="W196" s="612">
        <v>0</v>
      </c>
      <c r="X196" s="704">
        <v>0</v>
      </c>
      <c r="Y196" s="705">
        <v>0</v>
      </c>
      <c r="Z196" s="706">
        <v>0</v>
      </c>
      <c r="AA196" s="707">
        <v>0</v>
      </c>
      <c r="AB196" s="706">
        <v>0</v>
      </c>
      <c r="AC196" s="704">
        <v>0</v>
      </c>
      <c r="AD196" s="706">
        <v>0</v>
      </c>
      <c r="AE196" s="708">
        <v>0</v>
      </c>
      <c r="AF196" s="704">
        <v>0</v>
      </c>
      <c r="AG196" s="704">
        <v>0</v>
      </c>
      <c r="AH196" s="708">
        <v>0</v>
      </c>
      <c r="AI196" s="709">
        <v>0</v>
      </c>
      <c r="AJ196" s="706">
        <v>0</v>
      </c>
      <c r="AK196" s="704">
        <v>0</v>
      </c>
      <c r="AL196" s="706">
        <v>0</v>
      </c>
      <c r="AM196" s="710">
        <v>0</v>
      </c>
      <c r="AN196" s="704">
        <v>0</v>
      </c>
      <c r="AO196" s="706">
        <v>0</v>
      </c>
      <c r="AP196" s="711">
        <v>0</v>
      </c>
      <c r="AQ196" s="712">
        <v>0</v>
      </c>
      <c r="AR196" s="711">
        <v>0</v>
      </c>
      <c r="AS196" s="712">
        <v>0</v>
      </c>
      <c r="AT196" s="711">
        <v>0</v>
      </c>
      <c r="AU196" s="712">
        <v>0</v>
      </c>
      <c r="AV196" s="713">
        <v>0</v>
      </c>
      <c r="AW196" s="714">
        <v>0</v>
      </c>
      <c r="AX196" s="711">
        <v>0</v>
      </c>
      <c r="AY196" s="712">
        <v>0</v>
      </c>
      <c r="AZ196" s="713">
        <v>0</v>
      </c>
      <c r="BA196" s="712">
        <v>0</v>
      </c>
      <c r="BB196" s="713">
        <v>0</v>
      </c>
      <c r="BC196" s="712">
        <v>0</v>
      </c>
      <c r="BD196" s="713">
        <v>0</v>
      </c>
      <c r="BE196" s="712">
        <v>0</v>
      </c>
      <c r="BF196" s="713">
        <v>0</v>
      </c>
      <c r="BG196" s="712">
        <v>0</v>
      </c>
      <c r="BH196" s="713">
        <v>0</v>
      </c>
      <c r="BI196" s="712">
        <v>0</v>
      </c>
      <c r="BJ196" s="713">
        <v>0</v>
      </c>
      <c r="BK196" s="712">
        <v>0</v>
      </c>
      <c r="BL196" s="713">
        <v>0</v>
      </c>
      <c r="BM196" s="712">
        <v>0</v>
      </c>
      <c r="BN196" s="713">
        <v>0</v>
      </c>
      <c r="BO196" s="712">
        <v>0</v>
      </c>
      <c r="BP196" s="713">
        <v>0</v>
      </c>
      <c r="BQ196" s="712">
        <v>0</v>
      </c>
      <c r="BR196" s="713">
        <v>0</v>
      </c>
      <c r="BS196" s="712">
        <v>0</v>
      </c>
      <c r="BT196" s="713">
        <v>0</v>
      </c>
      <c r="BU196" s="712">
        <v>0</v>
      </c>
      <c r="BV196" s="711">
        <v>0</v>
      </c>
      <c r="BW196" s="714">
        <v>0</v>
      </c>
      <c r="BX196" s="711">
        <v>0</v>
      </c>
      <c r="BY196" s="714">
        <v>0</v>
      </c>
      <c r="BZ196" s="711">
        <v>0</v>
      </c>
      <c r="CA196" s="714">
        <v>0</v>
      </c>
      <c r="CB196" s="711">
        <v>0</v>
      </c>
      <c r="CC196" s="714">
        <v>0</v>
      </c>
      <c r="CD196" s="711">
        <v>0</v>
      </c>
      <c r="CE196" s="714">
        <v>0</v>
      </c>
      <c r="CF196" s="711">
        <v>0</v>
      </c>
      <c r="CG196" s="714">
        <v>0</v>
      </c>
      <c r="CH196" s="711">
        <v>0</v>
      </c>
      <c r="CI196" s="714">
        <v>0</v>
      </c>
      <c r="CJ196" s="711">
        <v>0</v>
      </c>
      <c r="CK196" s="712">
        <v>0</v>
      </c>
      <c r="CL196" s="711">
        <v>0</v>
      </c>
      <c r="CM196" s="712">
        <v>0</v>
      </c>
      <c r="CN196" s="713">
        <v>0</v>
      </c>
      <c r="CO196" s="712">
        <v>0</v>
      </c>
    </row>
    <row r="197" spans="1:93">
      <c r="A197" s="468">
        <v>195</v>
      </c>
      <c r="B197" s="596">
        <v>0</v>
      </c>
      <c r="C197" s="596">
        <v>0</v>
      </c>
      <c r="D197" s="596">
        <v>0</v>
      </c>
      <c r="E197" s="596">
        <v>0</v>
      </c>
      <c r="F197" s="596">
        <v>0</v>
      </c>
      <c r="G197" s="596">
        <v>0</v>
      </c>
      <c r="H197" s="596">
        <v>0</v>
      </c>
      <c r="I197" s="596">
        <v>0</v>
      </c>
      <c r="J197" s="596">
        <v>0</v>
      </c>
      <c r="K197" s="596">
        <v>0</v>
      </c>
      <c r="L197" s="596">
        <v>0</v>
      </c>
      <c r="M197" s="596">
        <v>0</v>
      </c>
      <c r="N197" s="596">
        <v>0</v>
      </c>
      <c r="O197" s="596">
        <v>0</v>
      </c>
      <c r="P197" s="596">
        <v>0</v>
      </c>
      <c r="Q197" s="596">
        <v>0</v>
      </c>
      <c r="R197" s="596">
        <v>0</v>
      </c>
      <c r="S197" s="596">
        <v>0</v>
      </c>
      <c r="T197" s="596">
        <v>0</v>
      </c>
      <c r="U197" s="596">
        <v>0</v>
      </c>
      <c r="V197" s="596">
        <v>0</v>
      </c>
      <c r="W197" s="612">
        <v>0</v>
      </c>
      <c r="X197" s="704">
        <v>0</v>
      </c>
      <c r="Y197" s="705">
        <v>0</v>
      </c>
      <c r="Z197" s="706">
        <v>0</v>
      </c>
      <c r="AA197" s="707">
        <v>0</v>
      </c>
      <c r="AB197" s="706">
        <v>0</v>
      </c>
      <c r="AC197" s="704">
        <v>0</v>
      </c>
      <c r="AD197" s="706">
        <v>0</v>
      </c>
      <c r="AE197" s="708">
        <v>0</v>
      </c>
      <c r="AF197" s="704">
        <v>0</v>
      </c>
      <c r="AG197" s="704">
        <v>0</v>
      </c>
      <c r="AH197" s="708">
        <v>0</v>
      </c>
      <c r="AI197" s="709">
        <v>0</v>
      </c>
      <c r="AJ197" s="706">
        <v>0</v>
      </c>
      <c r="AK197" s="704">
        <v>0</v>
      </c>
      <c r="AL197" s="706">
        <v>0</v>
      </c>
      <c r="AM197" s="710">
        <v>0</v>
      </c>
      <c r="AN197" s="704">
        <v>0</v>
      </c>
      <c r="AO197" s="706">
        <v>0</v>
      </c>
      <c r="AP197" s="711">
        <v>0</v>
      </c>
      <c r="AQ197" s="712">
        <v>0</v>
      </c>
      <c r="AR197" s="711">
        <v>0</v>
      </c>
      <c r="AS197" s="712">
        <v>0</v>
      </c>
      <c r="AT197" s="711">
        <v>0</v>
      </c>
      <c r="AU197" s="712">
        <v>0</v>
      </c>
      <c r="AV197" s="713">
        <v>0</v>
      </c>
      <c r="AW197" s="714">
        <v>0</v>
      </c>
      <c r="AX197" s="711">
        <v>0</v>
      </c>
      <c r="AY197" s="712">
        <v>0</v>
      </c>
      <c r="AZ197" s="713">
        <v>0</v>
      </c>
      <c r="BA197" s="712">
        <v>0</v>
      </c>
      <c r="BB197" s="713">
        <v>0</v>
      </c>
      <c r="BC197" s="712">
        <v>0</v>
      </c>
      <c r="BD197" s="713">
        <v>0</v>
      </c>
      <c r="BE197" s="712">
        <v>0</v>
      </c>
      <c r="BF197" s="713">
        <v>0</v>
      </c>
      <c r="BG197" s="712">
        <v>0</v>
      </c>
      <c r="BH197" s="713">
        <v>0</v>
      </c>
      <c r="BI197" s="712">
        <v>0</v>
      </c>
      <c r="BJ197" s="713">
        <v>0</v>
      </c>
      <c r="BK197" s="712">
        <v>0</v>
      </c>
      <c r="BL197" s="713">
        <v>0</v>
      </c>
      <c r="BM197" s="712">
        <v>0</v>
      </c>
      <c r="BN197" s="713">
        <v>0</v>
      </c>
      <c r="BO197" s="712">
        <v>0</v>
      </c>
      <c r="BP197" s="713">
        <v>0</v>
      </c>
      <c r="BQ197" s="712">
        <v>0</v>
      </c>
      <c r="BR197" s="713">
        <v>0</v>
      </c>
      <c r="BS197" s="712">
        <v>0</v>
      </c>
      <c r="BT197" s="713">
        <v>0</v>
      </c>
      <c r="BU197" s="712">
        <v>0</v>
      </c>
      <c r="BV197" s="711">
        <v>0</v>
      </c>
      <c r="BW197" s="714">
        <v>0</v>
      </c>
      <c r="BX197" s="711">
        <v>0</v>
      </c>
      <c r="BY197" s="714">
        <v>0</v>
      </c>
      <c r="BZ197" s="711">
        <v>0</v>
      </c>
      <c r="CA197" s="714">
        <v>0</v>
      </c>
      <c r="CB197" s="711">
        <v>0</v>
      </c>
      <c r="CC197" s="714">
        <v>0</v>
      </c>
      <c r="CD197" s="711">
        <v>0</v>
      </c>
      <c r="CE197" s="714">
        <v>0</v>
      </c>
      <c r="CF197" s="711">
        <v>0</v>
      </c>
      <c r="CG197" s="714">
        <v>0</v>
      </c>
      <c r="CH197" s="711">
        <v>0</v>
      </c>
      <c r="CI197" s="714">
        <v>0</v>
      </c>
      <c r="CJ197" s="711">
        <v>0</v>
      </c>
      <c r="CK197" s="712">
        <v>0</v>
      </c>
      <c r="CL197" s="711">
        <v>0</v>
      </c>
      <c r="CM197" s="712">
        <v>0</v>
      </c>
      <c r="CN197" s="713">
        <v>0</v>
      </c>
      <c r="CO197" s="712">
        <v>0</v>
      </c>
    </row>
    <row r="198" spans="1:93">
      <c r="A198" s="468">
        <v>196</v>
      </c>
      <c r="B198" s="596">
        <v>0</v>
      </c>
      <c r="C198" s="596">
        <v>0</v>
      </c>
      <c r="D198" s="596">
        <v>0</v>
      </c>
      <c r="E198" s="596">
        <v>0</v>
      </c>
      <c r="F198" s="596">
        <v>0</v>
      </c>
      <c r="G198" s="596">
        <v>0</v>
      </c>
      <c r="H198" s="596">
        <v>0</v>
      </c>
      <c r="I198" s="596">
        <v>0</v>
      </c>
      <c r="J198" s="596">
        <v>0</v>
      </c>
      <c r="K198" s="596">
        <v>0</v>
      </c>
      <c r="L198" s="596">
        <v>0</v>
      </c>
      <c r="M198" s="596">
        <v>0</v>
      </c>
      <c r="N198" s="596">
        <v>0</v>
      </c>
      <c r="O198" s="596">
        <v>0</v>
      </c>
      <c r="P198" s="596">
        <v>0</v>
      </c>
      <c r="Q198" s="596">
        <v>0</v>
      </c>
      <c r="R198" s="596">
        <v>0</v>
      </c>
      <c r="S198" s="596">
        <v>0</v>
      </c>
      <c r="T198" s="596">
        <v>0</v>
      </c>
      <c r="U198" s="596">
        <v>0</v>
      </c>
      <c r="V198" s="596">
        <v>0</v>
      </c>
      <c r="W198" s="612">
        <v>0</v>
      </c>
      <c r="X198" s="704">
        <v>0</v>
      </c>
      <c r="Y198" s="705">
        <v>0</v>
      </c>
      <c r="Z198" s="706">
        <v>0</v>
      </c>
      <c r="AA198" s="707">
        <v>0</v>
      </c>
      <c r="AB198" s="706">
        <v>0</v>
      </c>
      <c r="AC198" s="704">
        <v>0</v>
      </c>
      <c r="AD198" s="706">
        <v>0</v>
      </c>
      <c r="AE198" s="708">
        <v>0</v>
      </c>
      <c r="AF198" s="704">
        <v>0</v>
      </c>
      <c r="AG198" s="704">
        <v>0</v>
      </c>
      <c r="AH198" s="708">
        <v>0</v>
      </c>
      <c r="AI198" s="709">
        <v>0</v>
      </c>
      <c r="AJ198" s="706">
        <v>0</v>
      </c>
      <c r="AK198" s="704">
        <v>0</v>
      </c>
      <c r="AL198" s="706">
        <v>0</v>
      </c>
      <c r="AM198" s="710">
        <v>0</v>
      </c>
      <c r="AN198" s="704">
        <v>0</v>
      </c>
      <c r="AO198" s="706">
        <v>0</v>
      </c>
      <c r="AP198" s="711">
        <v>0</v>
      </c>
      <c r="AQ198" s="712">
        <v>0</v>
      </c>
      <c r="AR198" s="711">
        <v>0</v>
      </c>
      <c r="AS198" s="712">
        <v>0</v>
      </c>
      <c r="AT198" s="711">
        <v>0</v>
      </c>
      <c r="AU198" s="712">
        <v>0</v>
      </c>
      <c r="AV198" s="713">
        <v>0</v>
      </c>
      <c r="AW198" s="714">
        <v>0</v>
      </c>
      <c r="AX198" s="711">
        <v>0</v>
      </c>
      <c r="AY198" s="712">
        <v>0</v>
      </c>
      <c r="AZ198" s="713">
        <v>0</v>
      </c>
      <c r="BA198" s="712">
        <v>0</v>
      </c>
      <c r="BB198" s="713">
        <v>0</v>
      </c>
      <c r="BC198" s="712">
        <v>0</v>
      </c>
      <c r="BD198" s="713">
        <v>0</v>
      </c>
      <c r="BE198" s="712">
        <v>0</v>
      </c>
      <c r="BF198" s="713">
        <v>0</v>
      </c>
      <c r="BG198" s="712">
        <v>0</v>
      </c>
      <c r="BH198" s="713">
        <v>0</v>
      </c>
      <c r="BI198" s="712">
        <v>0</v>
      </c>
      <c r="BJ198" s="713">
        <v>0</v>
      </c>
      <c r="BK198" s="712">
        <v>0</v>
      </c>
      <c r="BL198" s="713">
        <v>0</v>
      </c>
      <c r="BM198" s="712">
        <v>0</v>
      </c>
      <c r="BN198" s="713">
        <v>0</v>
      </c>
      <c r="BO198" s="712">
        <v>0</v>
      </c>
      <c r="BP198" s="713">
        <v>0</v>
      </c>
      <c r="BQ198" s="712">
        <v>0</v>
      </c>
      <c r="BR198" s="713">
        <v>0</v>
      </c>
      <c r="BS198" s="712">
        <v>0</v>
      </c>
      <c r="BT198" s="713">
        <v>0</v>
      </c>
      <c r="BU198" s="712">
        <v>0</v>
      </c>
      <c r="BV198" s="711">
        <v>0</v>
      </c>
      <c r="BW198" s="714">
        <v>0</v>
      </c>
      <c r="BX198" s="711">
        <v>0</v>
      </c>
      <c r="BY198" s="714">
        <v>0</v>
      </c>
      <c r="BZ198" s="711">
        <v>0</v>
      </c>
      <c r="CA198" s="714">
        <v>0</v>
      </c>
      <c r="CB198" s="711">
        <v>0</v>
      </c>
      <c r="CC198" s="714">
        <v>0</v>
      </c>
      <c r="CD198" s="711">
        <v>0</v>
      </c>
      <c r="CE198" s="714">
        <v>0</v>
      </c>
      <c r="CF198" s="711">
        <v>0</v>
      </c>
      <c r="CG198" s="714">
        <v>0</v>
      </c>
      <c r="CH198" s="711">
        <v>0</v>
      </c>
      <c r="CI198" s="714">
        <v>0</v>
      </c>
      <c r="CJ198" s="711">
        <v>0</v>
      </c>
      <c r="CK198" s="712">
        <v>0</v>
      </c>
      <c r="CL198" s="711">
        <v>0</v>
      </c>
      <c r="CM198" s="712">
        <v>0</v>
      </c>
      <c r="CN198" s="713">
        <v>0</v>
      </c>
      <c r="CO198" s="712">
        <v>0</v>
      </c>
    </row>
    <row r="199" spans="1:93">
      <c r="A199" s="468">
        <v>197</v>
      </c>
      <c r="B199" s="596">
        <v>0</v>
      </c>
      <c r="C199" s="596">
        <v>0</v>
      </c>
      <c r="D199" s="596">
        <v>0</v>
      </c>
      <c r="E199" s="596">
        <v>0</v>
      </c>
      <c r="F199" s="596">
        <v>0</v>
      </c>
      <c r="G199" s="596">
        <v>0</v>
      </c>
      <c r="H199" s="596">
        <v>0</v>
      </c>
      <c r="I199" s="596">
        <v>0</v>
      </c>
      <c r="J199" s="596">
        <v>0</v>
      </c>
      <c r="K199" s="596">
        <v>0</v>
      </c>
      <c r="L199" s="596">
        <v>0</v>
      </c>
      <c r="M199" s="596">
        <v>0</v>
      </c>
      <c r="N199" s="596">
        <v>0</v>
      </c>
      <c r="O199" s="596">
        <v>0</v>
      </c>
      <c r="P199" s="596">
        <v>0</v>
      </c>
      <c r="Q199" s="596">
        <v>0</v>
      </c>
      <c r="R199" s="596">
        <v>0</v>
      </c>
      <c r="S199" s="596">
        <v>0</v>
      </c>
      <c r="T199" s="596">
        <v>0</v>
      </c>
      <c r="U199" s="596">
        <v>0</v>
      </c>
      <c r="V199" s="596">
        <v>0</v>
      </c>
      <c r="W199" s="612">
        <v>0</v>
      </c>
      <c r="X199" s="704">
        <v>0</v>
      </c>
      <c r="Y199" s="705">
        <v>0</v>
      </c>
      <c r="Z199" s="706">
        <v>0</v>
      </c>
      <c r="AA199" s="707">
        <v>0</v>
      </c>
      <c r="AB199" s="706">
        <v>0</v>
      </c>
      <c r="AC199" s="704">
        <v>0</v>
      </c>
      <c r="AD199" s="706">
        <v>0</v>
      </c>
      <c r="AE199" s="708">
        <v>0</v>
      </c>
      <c r="AF199" s="704">
        <v>0</v>
      </c>
      <c r="AG199" s="704">
        <v>0</v>
      </c>
      <c r="AH199" s="708">
        <v>0</v>
      </c>
      <c r="AI199" s="709">
        <v>0</v>
      </c>
      <c r="AJ199" s="706">
        <v>0</v>
      </c>
      <c r="AK199" s="704">
        <v>0</v>
      </c>
      <c r="AL199" s="706">
        <v>0</v>
      </c>
      <c r="AM199" s="710">
        <v>0</v>
      </c>
      <c r="AN199" s="704">
        <v>0</v>
      </c>
      <c r="AO199" s="706">
        <v>0</v>
      </c>
      <c r="AP199" s="711">
        <v>0</v>
      </c>
      <c r="AQ199" s="712">
        <v>0</v>
      </c>
      <c r="AR199" s="711">
        <v>0</v>
      </c>
      <c r="AS199" s="712">
        <v>0</v>
      </c>
      <c r="AT199" s="711">
        <v>0</v>
      </c>
      <c r="AU199" s="712">
        <v>0</v>
      </c>
      <c r="AV199" s="713">
        <v>0</v>
      </c>
      <c r="AW199" s="714">
        <v>0</v>
      </c>
      <c r="AX199" s="711">
        <v>0</v>
      </c>
      <c r="AY199" s="712">
        <v>0</v>
      </c>
      <c r="AZ199" s="713">
        <v>0</v>
      </c>
      <c r="BA199" s="712">
        <v>0</v>
      </c>
      <c r="BB199" s="713">
        <v>0</v>
      </c>
      <c r="BC199" s="712">
        <v>0</v>
      </c>
      <c r="BD199" s="713">
        <v>0</v>
      </c>
      <c r="BE199" s="712">
        <v>0</v>
      </c>
      <c r="BF199" s="713">
        <v>0</v>
      </c>
      <c r="BG199" s="712">
        <v>0</v>
      </c>
      <c r="BH199" s="713">
        <v>0</v>
      </c>
      <c r="BI199" s="712">
        <v>0</v>
      </c>
      <c r="BJ199" s="713">
        <v>0</v>
      </c>
      <c r="BK199" s="712">
        <v>0</v>
      </c>
      <c r="BL199" s="713">
        <v>0</v>
      </c>
      <c r="BM199" s="712">
        <v>0</v>
      </c>
      <c r="BN199" s="713">
        <v>0</v>
      </c>
      <c r="BO199" s="712">
        <v>0</v>
      </c>
      <c r="BP199" s="713">
        <v>0</v>
      </c>
      <c r="BQ199" s="712">
        <v>0</v>
      </c>
      <c r="BR199" s="713">
        <v>0</v>
      </c>
      <c r="BS199" s="712">
        <v>0</v>
      </c>
      <c r="BT199" s="713">
        <v>0</v>
      </c>
      <c r="BU199" s="712">
        <v>0</v>
      </c>
      <c r="BV199" s="711">
        <v>0</v>
      </c>
      <c r="BW199" s="714">
        <v>0</v>
      </c>
      <c r="BX199" s="711">
        <v>0</v>
      </c>
      <c r="BY199" s="714">
        <v>0</v>
      </c>
      <c r="BZ199" s="711">
        <v>0</v>
      </c>
      <c r="CA199" s="714">
        <v>0</v>
      </c>
      <c r="CB199" s="711">
        <v>0</v>
      </c>
      <c r="CC199" s="714">
        <v>0</v>
      </c>
      <c r="CD199" s="711">
        <v>0</v>
      </c>
      <c r="CE199" s="714">
        <v>0</v>
      </c>
      <c r="CF199" s="711">
        <v>0</v>
      </c>
      <c r="CG199" s="714">
        <v>0</v>
      </c>
      <c r="CH199" s="711">
        <v>0</v>
      </c>
      <c r="CI199" s="714">
        <v>0</v>
      </c>
      <c r="CJ199" s="711">
        <v>0</v>
      </c>
      <c r="CK199" s="712">
        <v>0</v>
      </c>
      <c r="CL199" s="711">
        <v>0</v>
      </c>
      <c r="CM199" s="712">
        <v>0</v>
      </c>
      <c r="CN199" s="713">
        <v>0</v>
      </c>
      <c r="CO199" s="712">
        <v>0</v>
      </c>
    </row>
    <row r="200" spans="1:93">
      <c r="A200" s="468">
        <v>198</v>
      </c>
      <c r="B200" s="596">
        <v>0</v>
      </c>
      <c r="C200" s="596">
        <v>0</v>
      </c>
      <c r="D200" s="596">
        <v>0</v>
      </c>
      <c r="E200" s="596">
        <v>0</v>
      </c>
      <c r="F200" s="596">
        <v>0</v>
      </c>
      <c r="G200" s="596">
        <v>0</v>
      </c>
      <c r="H200" s="596">
        <v>0</v>
      </c>
      <c r="I200" s="596">
        <v>0</v>
      </c>
      <c r="J200" s="596">
        <v>0</v>
      </c>
      <c r="K200" s="596">
        <v>0</v>
      </c>
      <c r="L200" s="596">
        <v>0</v>
      </c>
      <c r="M200" s="596">
        <v>0</v>
      </c>
      <c r="N200" s="596">
        <v>0</v>
      </c>
      <c r="O200" s="596">
        <v>0</v>
      </c>
      <c r="P200" s="596">
        <v>0</v>
      </c>
      <c r="Q200" s="596">
        <v>0</v>
      </c>
      <c r="R200" s="596">
        <v>0</v>
      </c>
      <c r="S200" s="596">
        <v>0</v>
      </c>
      <c r="T200" s="596">
        <v>0</v>
      </c>
      <c r="U200" s="596">
        <v>0</v>
      </c>
      <c r="V200" s="596">
        <v>0</v>
      </c>
      <c r="W200" s="612">
        <v>0</v>
      </c>
      <c r="X200" s="704">
        <v>0</v>
      </c>
      <c r="Y200" s="705">
        <v>0</v>
      </c>
      <c r="Z200" s="706">
        <v>0</v>
      </c>
      <c r="AA200" s="707">
        <v>0</v>
      </c>
      <c r="AB200" s="706">
        <v>0</v>
      </c>
      <c r="AC200" s="704">
        <v>0</v>
      </c>
      <c r="AD200" s="706">
        <v>0</v>
      </c>
      <c r="AE200" s="708">
        <v>0</v>
      </c>
      <c r="AF200" s="704">
        <v>0</v>
      </c>
      <c r="AG200" s="704">
        <v>0</v>
      </c>
      <c r="AH200" s="708">
        <v>0</v>
      </c>
      <c r="AI200" s="709">
        <v>0</v>
      </c>
      <c r="AJ200" s="706">
        <v>0</v>
      </c>
      <c r="AK200" s="704">
        <v>0</v>
      </c>
      <c r="AL200" s="706">
        <v>0</v>
      </c>
      <c r="AM200" s="710">
        <v>0</v>
      </c>
      <c r="AN200" s="704">
        <v>0</v>
      </c>
      <c r="AO200" s="706">
        <v>0</v>
      </c>
      <c r="AP200" s="711">
        <v>0</v>
      </c>
      <c r="AQ200" s="712">
        <v>0</v>
      </c>
      <c r="AR200" s="711">
        <v>0</v>
      </c>
      <c r="AS200" s="712">
        <v>0</v>
      </c>
      <c r="AT200" s="711">
        <v>0</v>
      </c>
      <c r="AU200" s="712">
        <v>0</v>
      </c>
      <c r="AV200" s="713">
        <v>0</v>
      </c>
      <c r="AW200" s="714">
        <v>0</v>
      </c>
      <c r="AX200" s="711">
        <v>0</v>
      </c>
      <c r="AY200" s="712">
        <v>0</v>
      </c>
      <c r="AZ200" s="713">
        <v>0</v>
      </c>
      <c r="BA200" s="712">
        <v>0</v>
      </c>
      <c r="BB200" s="713">
        <v>0</v>
      </c>
      <c r="BC200" s="712">
        <v>0</v>
      </c>
      <c r="BD200" s="713">
        <v>0</v>
      </c>
      <c r="BE200" s="712">
        <v>0</v>
      </c>
      <c r="BF200" s="713">
        <v>0</v>
      </c>
      <c r="BG200" s="712">
        <v>0</v>
      </c>
      <c r="BH200" s="713">
        <v>0</v>
      </c>
      <c r="BI200" s="712">
        <v>0</v>
      </c>
      <c r="BJ200" s="713">
        <v>0</v>
      </c>
      <c r="BK200" s="712">
        <v>0</v>
      </c>
      <c r="BL200" s="713">
        <v>0</v>
      </c>
      <c r="BM200" s="712">
        <v>0</v>
      </c>
      <c r="BN200" s="713">
        <v>0</v>
      </c>
      <c r="BO200" s="712">
        <v>0</v>
      </c>
      <c r="BP200" s="713">
        <v>0</v>
      </c>
      <c r="BQ200" s="712">
        <v>0</v>
      </c>
      <c r="BR200" s="713">
        <v>0</v>
      </c>
      <c r="BS200" s="712">
        <v>0</v>
      </c>
      <c r="BT200" s="713">
        <v>0</v>
      </c>
      <c r="BU200" s="712">
        <v>0</v>
      </c>
      <c r="BV200" s="711">
        <v>0</v>
      </c>
      <c r="BW200" s="714">
        <v>0</v>
      </c>
      <c r="BX200" s="711">
        <v>0</v>
      </c>
      <c r="BY200" s="714">
        <v>0</v>
      </c>
      <c r="BZ200" s="711">
        <v>0</v>
      </c>
      <c r="CA200" s="714">
        <v>0</v>
      </c>
      <c r="CB200" s="711">
        <v>0</v>
      </c>
      <c r="CC200" s="714">
        <v>0</v>
      </c>
      <c r="CD200" s="711">
        <v>0</v>
      </c>
      <c r="CE200" s="714">
        <v>0</v>
      </c>
      <c r="CF200" s="711">
        <v>0</v>
      </c>
      <c r="CG200" s="714">
        <v>0</v>
      </c>
      <c r="CH200" s="711">
        <v>0</v>
      </c>
      <c r="CI200" s="714">
        <v>0</v>
      </c>
      <c r="CJ200" s="711">
        <v>0</v>
      </c>
      <c r="CK200" s="712">
        <v>0</v>
      </c>
      <c r="CL200" s="711">
        <v>0</v>
      </c>
      <c r="CM200" s="712">
        <v>0</v>
      </c>
      <c r="CN200" s="713">
        <v>0</v>
      </c>
      <c r="CO200" s="712">
        <v>0</v>
      </c>
    </row>
    <row r="201" spans="1:93" ht="15.75" thickBot="1">
      <c r="A201" s="468">
        <v>199</v>
      </c>
      <c r="B201" s="596">
        <v>0</v>
      </c>
      <c r="C201" s="596">
        <v>0</v>
      </c>
      <c r="D201" s="596">
        <v>0</v>
      </c>
      <c r="E201" s="596">
        <v>0</v>
      </c>
      <c r="F201" s="596">
        <v>0</v>
      </c>
      <c r="G201" s="596">
        <v>0</v>
      </c>
      <c r="H201" s="596">
        <v>0</v>
      </c>
      <c r="I201" s="596">
        <v>0</v>
      </c>
      <c r="J201" s="596">
        <v>0</v>
      </c>
      <c r="K201" s="596">
        <v>0</v>
      </c>
      <c r="L201" s="596">
        <v>0</v>
      </c>
      <c r="M201" s="596">
        <v>0</v>
      </c>
      <c r="N201" s="596">
        <v>0</v>
      </c>
      <c r="O201" s="596">
        <v>0</v>
      </c>
      <c r="P201" s="596">
        <v>0</v>
      </c>
      <c r="Q201" s="596">
        <v>0</v>
      </c>
      <c r="R201" s="596">
        <v>0</v>
      </c>
      <c r="S201" s="596">
        <v>0</v>
      </c>
      <c r="T201" s="596">
        <v>0</v>
      </c>
      <c r="U201" s="596">
        <v>0</v>
      </c>
      <c r="V201" s="596">
        <v>0</v>
      </c>
      <c r="W201" s="612">
        <v>0</v>
      </c>
      <c r="X201" s="715">
        <v>0</v>
      </c>
      <c r="Y201" s="716">
        <v>0</v>
      </c>
      <c r="Z201" s="717">
        <v>0</v>
      </c>
      <c r="AA201" s="718">
        <v>0</v>
      </c>
      <c r="AB201" s="717">
        <v>0</v>
      </c>
      <c r="AC201" s="715">
        <v>0</v>
      </c>
      <c r="AD201" s="717">
        <v>0</v>
      </c>
      <c r="AE201" s="719">
        <v>0</v>
      </c>
      <c r="AF201" s="715">
        <v>0</v>
      </c>
      <c r="AG201" s="715">
        <v>0</v>
      </c>
      <c r="AH201" s="719">
        <v>0</v>
      </c>
      <c r="AI201" s="720">
        <v>0</v>
      </c>
      <c r="AJ201" s="706">
        <v>0</v>
      </c>
      <c r="AK201" s="715">
        <v>0</v>
      </c>
      <c r="AL201" s="717">
        <v>0</v>
      </c>
      <c r="AM201" s="721">
        <v>0</v>
      </c>
      <c r="AN201" s="715">
        <v>0</v>
      </c>
      <c r="AO201" s="717">
        <v>0</v>
      </c>
      <c r="AP201" s="722">
        <v>0</v>
      </c>
      <c r="AQ201" s="723">
        <v>0</v>
      </c>
      <c r="AR201" s="722">
        <v>0</v>
      </c>
      <c r="AS201" s="723">
        <v>0</v>
      </c>
      <c r="AT201" s="722">
        <v>0</v>
      </c>
      <c r="AU201" s="723">
        <v>0</v>
      </c>
      <c r="AV201" s="724">
        <v>0</v>
      </c>
      <c r="AW201" s="725">
        <v>0</v>
      </c>
      <c r="AX201" s="722">
        <v>0</v>
      </c>
      <c r="AY201" s="723">
        <v>0</v>
      </c>
      <c r="AZ201" s="724">
        <v>0</v>
      </c>
      <c r="BA201" s="723">
        <v>0</v>
      </c>
      <c r="BB201" s="724">
        <v>0</v>
      </c>
      <c r="BC201" s="723">
        <v>0</v>
      </c>
      <c r="BD201" s="724">
        <v>0</v>
      </c>
      <c r="BE201" s="723">
        <v>0</v>
      </c>
      <c r="BF201" s="724">
        <v>0</v>
      </c>
      <c r="BG201" s="723">
        <v>0</v>
      </c>
      <c r="BH201" s="724">
        <v>0</v>
      </c>
      <c r="BI201" s="723">
        <v>0</v>
      </c>
      <c r="BJ201" s="724">
        <v>0</v>
      </c>
      <c r="BK201" s="723">
        <v>0</v>
      </c>
      <c r="BL201" s="724">
        <v>0</v>
      </c>
      <c r="BM201" s="723">
        <v>0</v>
      </c>
      <c r="BN201" s="724">
        <v>0</v>
      </c>
      <c r="BO201" s="723">
        <v>0</v>
      </c>
      <c r="BP201" s="724">
        <v>0</v>
      </c>
      <c r="BQ201" s="723">
        <v>0</v>
      </c>
      <c r="BR201" s="724">
        <v>0</v>
      </c>
      <c r="BS201" s="723">
        <v>0</v>
      </c>
      <c r="BT201" s="724">
        <v>0</v>
      </c>
      <c r="BU201" s="723">
        <v>0</v>
      </c>
      <c r="BV201" s="722">
        <v>0</v>
      </c>
      <c r="BW201" s="725">
        <v>0</v>
      </c>
      <c r="BX201" s="722">
        <v>0</v>
      </c>
      <c r="BY201" s="725">
        <v>0</v>
      </c>
      <c r="BZ201" s="722">
        <v>0</v>
      </c>
      <c r="CA201" s="725">
        <v>0</v>
      </c>
      <c r="CB201" s="722">
        <v>0</v>
      </c>
      <c r="CC201" s="725">
        <v>0</v>
      </c>
      <c r="CD201" s="722">
        <v>0</v>
      </c>
      <c r="CE201" s="725">
        <v>0</v>
      </c>
      <c r="CF201" s="722">
        <v>0</v>
      </c>
      <c r="CG201" s="725">
        <v>0</v>
      </c>
      <c r="CH201" s="722">
        <v>0</v>
      </c>
      <c r="CI201" s="725">
        <v>0</v>
      </c>
      <c r="CJ201" s="722">
        <v>0</v>
      </c>
      <c r="CK201" s="723">
        <v>0</v>
      </c>
      <c r="CL201" s="722">
        <v>0</v>
      </c>
      <c r="CM201" s="723">
        <v>0</v>
      </c>
      <c r="CN201" s="724">
        <v>0</v>
      </c>
      <c r="CO201" s="723">
        <v>0</v>
      </c>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E2BB4-67D9-4051-BA87-FD201D2882C8}">
  <sheetPr>
    <tabColor theme="3"/>
  </sheetPr>
  <dimension ref="A1:H208"/>
  <sheetViews>
    <sheetView topLeftCell="A39" zoomScale="70" zoomScaleNormal="70" workbookViewId="0">
      <selection activeCell="A8" sqref="A8"/>
    </sheetView>
  </sheetViews>
  <sheetFormatPr defaultRowHeight="15"/>
  <cols>
    <col min="1" max="2" width="80.7109375" style="16" customWidth="1"/>
    <col min="3" max="3" width="30.7109375" customWidth="1"/>
    <col min="4" max="4" width="39.140625" style="16" customWidth="1"/>
    <col min="5" max="5" width="56.7109375" customWidth="1"/>
    <col min="6" max="6" width="38.85546875" bestFit="1" customWidth="1"/>
    <col min="7" max="7" width="48.7109375" bestFit="1" customWidth="1"/>
    <col min="8" max="8" width="32.5703125" bestFit="1" customWidth="1"/>
  </cols>
  <sheetData>
    <row r="1" spans="1:8" s="8" customFormat="1" ht="30" customHeight="1">
      <c r="A1" s="464" t="s">
        <v>1417</v>
      </c>
      <c r="B1" s="614" t="s">
        <v>1418</v>
      </c>
      <c r="C1" s="615" t="s">
        <v>1419</v>
      </c>
      <c r="D1" s="613" t="s">
        <v>1420</v>
      </c>
      <c r="E1" s="647" t="s">
        <v>1421</v>
      </c>
      <c r="F1" s="647" t="s">
        <v>1422</v>
      </c>
      <c r="G1" s="644" t="s">
        <v>1423</v>
      </c>
      <c r="H1"/>
    </row>
    <row r="2" spans="1:8">
      <c r="A2" s="227" t="s">
        <v>146</v>
      </c>
      <c r="B2" s="616" t="s">
        <v>1242</v>
      </c>
      <c r="C2" s="227" t="b">
        <f>NOT(ISERROR(MATCH(B2, D:D, 0)))</f>
        <v>1</v>
      </c>
      <c r="D2" s="465" t="str">
        <f>Lifetimes!B1</f>
        <v>AgriculturalFilmsIU</v>
      </c>
      <c r="E2" s="648" t="str" cm="1">
        <f t="array" ref="E2:E86">_xlfn._xlws.FILTER(Compartments!A2:A241, Compartments!B2:B241="stock")</f>
        <v>Agricultural packaging bottles</v>
      </c>
      <c r="F2" s="227" t="str" cm="1">
        <f t="array" ref="F2:F86">_xlfn._xlws.FILTER(Compartments!C2:C241, Compartments!B2:B241="stock")</f>
        <v>AgriculturalPackagingBottles</v>
      </c>
      <c r="G2" s="227" t="b">
        <f>NOT(ISERROR(MATCH(E2, A:A, 0)))</f>
        <v>1</v>
      </c>
      <c r="H2" s="643"/>
    </row>
    <row r="3" spans="1:8">
      <c r="A3" s="227" t="s">
        <v>465</v>
      </c>
      <c r="B3" s="616" t="s">
        <v>1398</v>
      </c>
      <c r="C3" s="227" t="b">
        <f t="shared" ref="C3:C33" si="0">NOT(ISERROR(MATCH(B3, D:D, 0)))</f>
        <v>1</v>
      </c>
      <c r="D3" s="465" t="str">
        <f>Lifetimes!C1</f>
        <v>AgriculturalFilmsDis</v>
      </c>
      <c r="E3" s="227" t="str">
        <v>Agricultural packaging films</v>
      </c>
      <c r="F3" s="227" t="str">
        <v>AgriculturalPackagingFilms</v>
      </c>
      <c r="G3" s="227" t="b">
        <f t="shared" ref="G3:G66" si="1">NOT(ISERROR(MATCH(E3, A:A, 0)))</f>
        <v>1</v>
      </c>
      <c r="H3" s="643"/>
    </row>
    <row r="4" spans="1:8">
      <c r="A4" s="227" t="s">
        <v>469</v>
      </c>
      <c r="B4" s="616" t="s">
        <v>1400</v>
      </c>
      <c r="C4" s="227" t="b">
        <f t="shared" si="0"/>
        <v>1</v>
      </c>
      <c r="D4" s="465" t="str">
        <f>Lifetimes!D1</f>
        <v>AgriculturalPackagingBottles</v>
      </c>
      <c r="E4" s="227" t="str">
        <v>Agricultural pipes (in use)</v>
      </c>
      <c r="F4" s="227" t="str">
        <v>AgriculturalPipesIU</v>
      </c>
      <c r="G4" s="227" t="b">
        <f t="shared" si="1"/>
        <v>1</v>
      </c>
      <c r="H4" s="643"/>
    </row>
    <row r="5" spans="1:8">
      <c r="A5" s="227" t="s">
        <v>467</v>
      </c>
      <c r="B5" s="616" t="s">
        <v>1397</v>
      </c>
      <c r="C5" s="227" t="b">
        <f t="shared" si="0"/>
        <v>1</v>
      </c>
      <c r="D5" s="465" t="str">
        <f>Lifetimes!E1</f>
        <v>AgriculturalPackagingFilms</v>
      </c>
      <c r="E5" s="227" t="str">
        <v>Agricultural greenhouse films (in use)</v>
      </c>
      <c r="F5" s="227" t="str">
        <v>AgriculturalFilmsIU</v>
      </c>
      <c r="G5" s="227" t="b">
        <f t="shared" si="1"/>
        <v>1</v>
      </c>
      <c r="H5" s="643"/>
    </row>
    <row r="6" spans="1:8">
      <c r="A6" s="227" t="s">
        <v>471</v>
      </c>
      <c r="B6" s="616" t="s">
        <v>1399</v>
      </c>
      <c r="C6" s="227" t="b">
        <f t="shared" si="0"/>
        <v>1</v>
      </c>
      <c r="D6" s="465" t="str">
        <f>Lifetimes!F1</f>
        <v>AgriculturalPipesIU</v>
      </c>
      <c r="E6" s="227" t="str">
        <v>Agricultural pipes (discarded)</v>
      </c>
      <c r="F6" s="227" t="str">
        <v>AgriculturalPipesDis</v>
      </c>
      <c r="G6" s="227" t="b">
        <f t="shared" si="1"/>
        <v>1</v>
      </c>
      <c r="H6" s="643"/>
    </row>
    <row r="7" spans="1:8">
      <c r="A7" s="227" t="s">
        <v>479</v>
      </c>
      <c r="B7" s="616" t="s">
        <v>1368</v>
      </c>
      <c r="C7" s="227" t="b">
        <f t="shared" si="0"/>
        <v>1</v>
      </c>
      <c r="D7" s="465" t="str">
        <f>Lifetimes!G1</f>
        <v>AgriculturalPipesDis</v>
      </c>
      <c r="E7" s="227" t="str">
        <v>Agricultural greenhouse films (discarded)</v>
      </c>
      <c r="F7" s="227" t="str">
        <v>AgriculturalFilmsDis</v>
      </c>
      <c r="G7" s="227" t="b">
        <f t="shared" si="1"/>
        <v>1</v>
      </c>
      <c r="H7" s="643"/>
    </row>
    <row r="8" spans="1:8">
      <c r="A8" s="227" t="s">
        <v>486</v>
      </c>
      <c r="B8" s="616" t="s">
        <v>1366</v>
      </c>
      <c r="C8" s="227" t="b">
        <f t="shared" si="0"/>
        <v>1</v>
      </c>
      <c r="D8" s="465" t="str">
        <f>Lifetimes!H1</f>
        <v>AgriculturalPPP</v>
      </c>
      <c r="E8" s="227" t="str">
        <v>Agrotextiles (discarded)</v>
      </c>
      <c r="F8" s="227" t="str">
        <v>AgrotextilesDis</v>
      </c>
      <c r="G8" s="227" t="b">
        <f t="shared" si="1"/>
        <v>1</v>
      </c>
      <c r="H8" s="643"/>
    </row>
    <row r="9" spans="1:8">
      <c r="A9" s="227" t="s">
        <v>481</v>
      </c>
      <c r="B9" s="616" t="s">
        <v>1367</v>
      </c>
      <c r="C9" s="227" t="b">
        <f t="shared" si="0"/>
        <v>1</v>
      </c>
      <c r="D9" s="465" t="str">
        <f>Lifetimes!I1</f>
        <v>BuildingPackagingFilms</v>
      </c>
      <c r="E9" s="227" t="str">
        <v>Agrotextiles (in use)</v>
      </c>
      <c r="F9" s="227" t="str">
        <v>AgrotextilesIU</v>
      </c>
      <c r="G9" s="227" t="b">
        <f t="shared" si="1"/>
        <v>1</v>
      </c>
      <c r="H9" s="643"/>
    </row>
    <row r="10" spans="1:8">
      <c r="A10" s="227" t="s">
        <v>488</v>
      </c>
      <c r="B10" s="616" t="s">
        <v>1365</v>
      </c>
      <c r="C10" s="227" t="b">
        <f t="shared" si="0"/>
        <v>1</v>
      </c>
      <c r="D10" s="465" t="str">
        <f>Lifetimes!J1</f>
        <v>ConsumerBags</v>
      </c>
      <c r="E10" s="227" t="str">
        <v>Building textiles (discarded)</v>
      </c>
      <c r="F10" s="227" t="str">
        <v>BuildingTextilesDis</v>
      </c>
      <c r="G10" s="227" t="b">
        <f t="shared" si="1"/>
        <v>1</v>
      </c>
      <c r="H10" s="643"/>
    </row>
    <row r="11" spans="1:8">
      <c r="A11" s="227" t="s">
        <v>498</v>
      </c>
      <c r="B11" s="616" t="s">
        <v>1376</v>
      </c>
      <c r="C11" s="227" t="b">
        <f t="shared" si="0"/>
        <v>1</v>
      </c>
      <c r="D11" s="465" t="str">
        <f>Lifetimes!K1</f>
        <v>ConsumerBottles</v>
      </c>
      <c r="E11" s="227" t="str">
        <v>Building textiles (in use)</v>
      </c>
      <c r="F11" s="227" t="str">
        <v>BuildingTextilesIU</v>
      </c>
      <c r="G11" s="227" t="b">
        <f t="shared" si="1"/>
        <v>1</v>
      </c>
      <c r="H11" s="643"/>
    </row>
    <row r="12" spans="1:8">
      <c r="A12" s="227" t="s">
        <v>501</v>
      </c>
      <c r="B12" s="616" t="s">
        <v>1374</v>
      </c>
      <c r="C12" s="227" t="b">
        <f t="shared" si="0"/>
        <v>1</v>
      </c>
      <c r="D12" s="465" t="str">
        <f>Lifetimes!L1</f>
        <v>ConsumerFilms</v>
      </c>
      <c r="E12" s="227" t="str">
        <v>Geotextiles (discarded)</v>
      </c>
      <c r="F12" s="227" t="str">
        <v>GeotextilesDis</v>
      </c>
      <c r="G12" s="227" t="b">
        <f t="shared" si="1"/>
        <v>1</v>
      </c>
      <c r="H12" s="643"/>
    </row>
    <row r="13" spans="1:8">
      <c r="A13" s="227" t="s">
        <v>499</v>
      </c>
      <c r="B13" s="616" t="s">
        <v>1375</v>
      </c>
      <c r="C13" s="227" t="b">
        <f t="shared" si="0"/>
        <v>1</v>
      </c>
      <c r="D13" s="465" t="str">
        <f>Lifetimes!M1</f>
        <v>ConsumerOther</v>
      </c>
      <c r="E13" s="227" t="str">
        <v>Geotextiles (in use)</v>
      </c>
      <c r="F13" s="227" t="str">
        <v>GeotextilesIU</v>
      </c>
      <c r="G13" s="227" t="b">
        <f t="shared" si="1"/>
        <v>1</v>
      </c>
    </row>
    <row r="14" spans="1:8">
      <c r="A14" s="227" t="s">
        <v>502</v>
      </c>
      <c r="B14" s="616" t="s">
        <v>1373</v>
      </c>
      <c r="C14" s="227" t="b">
        <f t="shared" si="0"/>
        <v>1</v>
      </c>
      <c r="D14" s="465" t="str">
        <f>Lifetimes!N1</f>
        <v>Cosmetics</v>
      </c>
      <c r="E14" s="227" t="str">
        <v>Consumer bags</v>
      </c>
      <c r="F14" s="227" t="str">
        <v>ConsumerBags</v>
      </c>
      <c r="G14" s="227" t="b">
        <f t="shared" si="1"/>
        <v>1</v>
      </c>
    </row>
    <row r="15" spans="1:8">
      <c r="A15" s="227" t="s">
        <v>514</v>
      </c>
      <c r="B15" s="616" t="s">
        <v>1416</v>
      </c>
      <c r="C15" s="227" t="b">
        <f t="shared" si="0"/>
        <v>1</v>
      </c>
      <c r="D15" s="465" t="str">
        <f>Lifetimes!O1</f>
        <v>Household</v>
      </c>
      <c r="E15" s="227" t="str">
        <v>Consumer bottles</v>
      </c>
      <c r="F15" s="227" t="str">
        <v>ConsumerBottles</v>
      </c>
      <c r="G15" s="227" t="b">
        <f t="shared" si="1"/>
        <v>1</v>
      </c>
    </row>
    <row r="16" spans="1:8">
      <c r="A16" s="227" t="s">
        <v>517</v>
      </c>
      <c r="B16" s="616" t="s">
        <v>1414</v>
      </c>
      <c r="C16" s="227" t="b">
        <f t="shared" si="0"/>
        <v>1</v>
      </c>
      <c r="D16" s="465" t="str">
        <f>Lifetimes!P1</f>
        <v>NonConsumerBags</v>
      </c>
      <c r="E16" s="227" t="str">
        <v>Consumer films</v>
      </c>
      <c r="F16" s="227" t="str">
        <v>ConsumerFilms</v>
      </c>
      <c r="G16" s="227" t="b">
        <f t="shared" si="1"/>
        <v>1</v>
      </c>
    </row>
    <row r="17" spans="1:7">
      <c r="A17" s="227" t="s">
        <v>515</v>
      </c>
      <c r="B17" s="616" t="s">
        <v>1415</v>
      </c>
      <c r="C17" s="227" t="b">
        <f t="shared" si="0"/>
        <v>1</v>
      </c>
      <c r="D17" s="465" t="str">
        <f>Lifetimes!Q1</f>
        <v>NonConsumerOther</v>
      </c>
      <c r="E17" s="227" t="str">
        <v>Other consumer packaging</v>
      </c>
      <c r="F17" s="227" t="str">
        <v>ConsumerOther</v>
      </c>
      <c r="G17" s="227" t="b">
        <f t="shared" si="1"/>
        <v>1</v>
      </c>
    </row>
    <row r="18" spans="1:7">
      <c r="A18" s="227" t="s">
        <v>518</v>
      </c>
      <c r="B18" s="616" t="s">
        <v>1413</v>
      </c>
      <c r="C18" s="227" t="b">
        <f t="shared" si="0"/>
        <v>1</v>
      </c>
      <c r="D18" s="465" t="str">
        <f>Lifetimes!R1</f>
        <v>OtherNonConsumerFilms</v>
      </c>
      <c r="E18" s="227" t="str">
        <v>Home textiles (discarded)</v>
      </c>
      <c r="F18" s="227" t="str">
        <v>HomeTextilesDis</v>
      </c>
      <c r="G18" s="227" t="b">
        <f t="shared" si="1"/>
        <v>1</v>
      </c>
    </row>
    <row r="19" spans="1:7">
      <c r="A19" s="227" t="s">
        <v>528</v>
      </c>
      <c r="B19" s="616" t="s">
        <v>1408</v>
      </c>
      <c r="C19" s="227" t="b">
        <f t="shared" si="0"/>
        <v>1</v>
      </c>
      <c r="D19" s="465" t="str">
        <f>Lifetimes!S1</f>
        <v>OtherOther</v>
      </c>
      <c r="E19" s="227" t="str">
        <v>Home textiles (in use)</v>
      </c>
      <c r="F19" s="227" t="str">
        <v>HomeTextilesIU</v>
      </c>
      <c r="G19" s="227" t="b">
        <f t="shared" si="1"/>
        <v>1</v>
      </c>
    </row>
    <row r="20" spans="1:7">
      <c r="A20" s="227" t="s">
        <v>531</v>
      </c>
      <c r="B20" s="616" t="s">
        <v>1406</v>
      </c>
      <c r="C20" s="227" t="b">
        <f t="shared" si="0"/>
        <v>1</v>
      </c>
      <c r="D20" s="465" t="str">
        <f>Lifetimes!T1</f>
        <v>PipesDucts</v>
      </c>
      <c r="E20" s="227" t="str">
        <v>Clothing (discarded)</v>
      </c>
      <c r="F20" s="227" t="str">
        <v>ClothingDis</v>
      </c>
      <c r="G20" s="227" t="b">
        <f t="shared" si="1"/>
        <v>1</v>
      </c>
    </row>
    <row r="21" spans="1:7">
      <c r="A21" s="227" t="s">
        <v>529</v>
      </c>
      <c r="B21" s="616" t="s">
        <v>1407</v>
      </c>
      <c r="C21" s="227" t="b">
        <f t="shared" si="0"/>
        <v>1</v>
      </c>
      <c r="D21" s="465" t="str">
        <f>Lifetimes!U1</f>
        <v>OtherOilGas</v>
      </c>
      <c r="E21" s="227" t="str">
        <v>Non-consumer bags</v>
      </c>
      <c r="F21" s="227" t="str">
        <v>NonConsumerBags</v>
      </c>
      <c r="G21" s="227" t="b">
        <f t="shared" si="1"/>
        <v>1</v>
      </c>
    </row>
    <row r="22" spans="1:7">
      <c r="A22" s="227" t="s">
        <v>532</v>
      </c>
      <c r="B22" s="616" t="s">
        <v>1405</v>
      </c>
      <c r="C22" s="227" t="b">
        <f t="shared" si="0"/>
        <v>1</v>
      </c>
      <c r="D22" s="465" t="str">
        <f>Lifetimes!V1</f>
        <v>InfillSportsFieldDis</v>
      </c>
      <c r="E22" s="227" t="str">
        <v>Other non-consumer films</v>
      </c>
      <c r="F22" s="227" t="str">
        <v>OtherNonConsumerFilms</v>
      </c>
      <c r="G22" s="227" t="b">
        <f t="shared" si="1"/>
        <v>1</v>
      </c>
    </row>
    <row r="23" spans="1:7">
      <c r="A23" s="227" t="s">
        <v>539</v>
      </c>
      <c r="B23" s="616" t="s">
        <v>1396</v>
      </c>
      <c r="C23" s="227" t="b">
        <f t="shared" si="0"/>
        <v>1</v>
      </c>
      <c r="D23" s="465" t="str">
        <f>Lifetimes!W1</f>
        <v>InfillSportsFieldU</v>
      </c>
      <c r="E23" s="227" t="str">
        <v>Other non-consumer packaging</v>
      </c>
      <c r="F23" s="227" t="str">
        <v>NonConsumerOther</v>
      </c>
      <c r="G23" s="227" t="b">
        <f t="shared" si="1"/>
        <v>1</v>
      </c>
    </row>
    <row r="24" spans="1:7">
      <c r="A24" s="227" t="s">
        <v>542</v>
      </c>
      <c r="B24" s="616" t="s">
        <v>1394</v>
      </c>
      <c r="C24" s="227" t="b">
        <f t="shared" si="0"/>
        <v>1</v>
      </c>
      <c r="D24" s="465" t="str">
        <f>Lifetimes!X1</f>
        <v>ClothingDis</v>
      </c>
      <c r="E24" s="227" t="str">
        <v>Other technical textiles</v>
      </c>
      <c r="F24" s="227" t="str">
        <v>OtherTechnicalTextiles</v>
      </c>
      <c r="G24" s="227" t="b">
        <f t="shared" si="1"/>
        <v>1</v>
      </c>
    </row>
    <row r="25" spans="1:7">
      <c r="A25" s="227" t="s">
        <v>540</v>
      </c>
      <c r="B25" s="616" t="s">
        <v>1395</v>
      </c>
      <c r="C25" s="227" t="b">
        <f t="shared" si="0"/>
        <v>1</v>
      </c>
      <c r="D25" s="465" t="str">
        <f>Lifetimes!Y1</f>
        <v>ClothingIUWearTear</v>
      </c>
      <c r="E25" s="227" t="str">
        <v>Technical home textiles (discarded)</v>
      </c>
      <c r="F25" s="227" t="str">
        <v>TechHomeTextilesDis</v>
      </c>
      <c r="G25" s="227" t="b">
        <f t="shared" si="1"/>
        <v>1</v>
      </c>
    </row>
    <row r="26" spans="1:7">
      <c r="A26" s="227" t="s">
        <v>543</v>
      </c>
      <c r="B26" s="616" t="s">
        <v>1393</v>
      </c>
      <c r="C26" s="227" t="b">
        <f t="shared" si="0"/>
        <v>1</v>
      </c>
      <c r="D26" s="465" t="str">
        <f>Lifetimes!Z1</f>
        <v>ClothingIUWashDry</v>
      </c>
      <c r="E26" s="227" t="str">
        <v>Clothing (in use) wear &amp; tear</v>
      </c>
      <c r="F26" s="227" t="str">
        <v>ClothingIUWearTear</v>
      </c>
      <c r="G26" s="227" t="b">
        <f t="shared" si="1"/>
        <v>1</v>
      </c>
    </row>
    <row r="27" spans="1:7">
      <c r="A27" s="227" t="s">
        <v>550</v>
      </c>
      <c r="B27" s="616" t="s">
        <v>1384</v>
      </c>
      <c r="C27" s="227" t="b">
        <f t="shared" si="0"/>
        <v>1</v>
      </c>
      <c r="D27" s="465" t="str">
        <f>Lifetimes!AA1</f>
        <v>HomeTextilesDis</v>
      </c>
      <c r="E27" s="227" t="str">
        <v>Medical textiles</v>
      </c>
      <c r="F27" s="227" t="str">
        <v>MedicalTextiles</v>
      </c>
      <c r="G27" s="227" t="b">
        <f t="shared" si="1"/>
        <v>1</v>
      </c>
    </row>
    <row r="28" spans="1:7">
      <c r="A28" s="227" t="s">
        <v>553</v>
      </c>
      <c r="B28" s="616" t="s">
        <v>1382</v>
      </c>
      <c r="C28" s="227" t="b">
        <f t="shared" si="0"/>
        <v>1</v>
      </c>
      <c r="D28" s="465" t="str">
        <f>Lifetimes!AB1</f>
        <v>HomeTextilesIU</v>
      </c>
      <c r="E28" s="227" t="str">
        <v>Mobility textiles</v>
      </c>
      <c r="F28" s="227" t="str">
        <v>MobilityTextiles</v>
      </c>
      <c r="G28" s="227" t="b">
        <f t="shared" si="1"/>
        <v>1</v>
      </c>
    </row>
    <row r="29" spans="1:7">
      <c r="A29" s="227" t="s">
        <v>551</v>
      </c>
      <c r="B29" s="616" t="s">
        <v>1383</v>
      </c>
      <c r="C29" s="227" t="b">
        <f t="shared" si="0"/>
        <v>1</v>
      </c>
      <c r="D29" s="465" t="str">
        <f>Lifetimes!AC1</f>
        <v>TechHomeTextilesDis</v>
      </c>
      <c r="E29" s="227" t="str">
        <v>Textile coating (discarded)</v>
      </c>
      <c r="F29" s="227" t="str">
        <v>TextileCoatingDis</v>
      </c>
      <c r="G29" s="227" t="b">
        <f t="shared" si="1"/>
        <v>1</v>
      </c>
    </row>
    <row r="30" spans="1:7">
      <c r="A30" s="227" t="s">
        <v>554</v>
      </c>
      <c r="B30" s="616" t="s">
        <v>1381</v>
      </c>
      <c r="C30" s="227" t="b">
        <f t="shared" si="0"/>
        <v>1</v>
      </c>
      <c r="D30" s="465" t="str">
        <f>Lifetimes!AD1</f>
        <v>TechHomeTextilesIU</v>
      </c>
      <c r="E30" s="227" t="str">
        <v>Infill material sports fields (in use)</v>
      </c>
      <c r="F30" s="227" t="str">
        <v>InfillSportsFieldU</v>
      </c>
      <c r="G30" s="227" t="b">
        <f t="shared" si="1"/>
        <v>1</v>
      </c>
    </row>
    <row r="31" spans="1:7">
      <c r="A31" s="227" t="s">
        <v>559</v>
      </c>
      <c r="B31" s="616" t="s">
        <v>1388</v>
      </c>
      <c r="C31" s="227" t="b">
        <f t="shared" si="0"/>
        <v>1</v>
      </c>
      <c r="D31" s="465" t="str">
        <f>Lifetimes!AE1</f>
        <v>MedicalTextiles</v>
      </c>
      <c r="E31" s="227" t="str">
        <v>Infill material sports fields (discarded)</v>
      </c>
      <c r="F31" s="227" t="str">
        <v>InfillSportsFieldDis</v>
      </c>
      <c r="G31" s="227" t="b">
        <f t="shared" si="1"/>
        <v>1</v>
      </c>
    </row>
    <row r="32" spans="1:7">
      <c r="A32" s="227" t="s">
        <v>562</v>
      </c>
      <c r="B32" s="616" t="s">
        <v>1386</v>
      </c>
      <c r="C32" s="227" t="b">
        <f t="shared" si="0"/>
        <v>1</v>
      </c>
      <c r="D32" s="465" t="str">
        <f>Lifetimes!AF1</f>
        <v>AgrotextilesDis</v>
      </c>
      <c r="E32" s="227" t="str">
        <v>Technical home textiles (in use)</v>
      </c>
      <c r="F32" s="227" t="str">
        <v>TechHomeTextilesIU</v>
      </c>
      <c r="G32" s="227" t="b">
        <f t="shared" si="1"/>
        <v>1</v>
      </c>
    </row>
    <row r="33" spans="1:7">
      <c r="A33" s="227" t="s">
        <v>560</v>
      </c>
      <c r="B33" s="616" t="s">
        <v>1387</v>
      </c>
      <c r="C33" s="227" t="b">
        <f t="shared" si="0"/>
        <v>1</v>
      </c>
      <c r="D33" s="465" t="str">
        <f>Lifetimes!AG1</f>
        <v>AgrotextilesIU</v>
      </c>
      <c r="E33" s="227" t="str">
        <v>Textile coating (in use)</v>
      </c>
      <c r="F33" s="227" t="str">
        <v>TextileCoatingIU</v>
      </c>
      <c r="G33" s="227" t="b">
        <f t="shared" si="1"/>
        <v>1</v>
      </c>
    </row>
    <row r="34" spans="1:7">
      <c r="A34" s="227" t="s">
        <v>563</v>
      </c>
      <c r="B34" s="616" t="s">
        <v>1385</v>
      </c>
      <c r="C34" s="227" t="b">
        <f t="shared" ref="C34:C58" si="2">NOT(ISERROR(MATCH(B34, D:D, 0)))</f>
        <v>1</v>
      </c>
      <c r="D34" s="465" t="str">
        <f>Lifetimes!AH1</f>
        <v>MobilityTextiles</v>
      </c>
      <c r="E34" s="227" t="str">
        <v>Clothing (in use) wash &amp; dry</v>
      </c>
      <c r="F34" s="227" t="str">
        <v>ClothingIUWashDry</v>
      </c>
      <c r="G34" s="227" t="b">
        <f t="shared" si="1"/>
        <v>1</v>
      </c>
    </row>
    <row r="35" spans="1:7">
      <c r="A35" s="227" t="s">
        <v>574</v>
      </c>
      <c r="B35" s="616" t="s">
        <v>1372</v>
      </c>
      <c r="C35" s="227" t="b">
        <f t="shared" si="2"/>
        <v>1</v>
      </c>
      <c r="D35" s="465" t="str">
        <f>Lifetimes!AI1</f>
        <v>GeotextilesDis</v>
      </c>
      <c r="E35" s="227" t="str">
        <v>Ship paint (prof) (in use)</v>
      </c>
      <c r="F35" s="227" t="str">
        <v>ShipProfIU</v>
      </c>
      <c r="G35" s="227" t="b">
        <f t="shared" si="1"/>
        <v>1</v>
      </c>
    </row>
    <row r="36" spans="1:7">
      <c r="A36" s="227" t="s">
        <v>577</v>
      </c>
      <c r="B36" s="616" t="s">
        <v>1370</v>
      </c>
      <c r="C36" s="227" t="b">
        <f t="shared" si="2"/>
        <v>1</v>
      </c>
      <c r="D36" s="465" t="str">
        <f>Lifetimes!AJ1</f>
        <v>GeotextilesIU</v>
      </c>
      <c r="E36" s="227" t="str">
        <v>Ship paint (recr) (in use)</v>
      </c>
      <c r="F36" s="227" t="str">
        <v>ShipDiyIU</v>
      </c>
      <c r="G36" s="227" t="b">
        <f t="shared" si="1"/>
        <v>1</v>
      </c>
    </row>
    <row r="37" spans="1:7">
      <c r="A37" s="227" t="s">
        <v>575</v>
      </c>
      <c r="B37" s="616" t="s">
        <v>1371</v>
      </c>
      <c r="C37" s="227" t="b">
        <f t="shared" si="2"/>
        <v>1</v>
      </c>
      <c r="D37" s="465" t="str">
        <f>Lifetimes!AK1</f>
        <v>BuildingTextilesDis</v>
      </c>
      <c r="E37" s="227" t="str">
        <v>Ship paint (prof) (discarded)</v>
      </c>
      <c r="F37" s="227" t="str">
        <v>ShipProfDis</v>
      </c>
      <c r="G37" s="227" t="b">
        <f t="shared" si="1"/>
        <v>1</v>
      </c>
    </row>
    <row r="38" spans="1:7">
      <c r="A38" s="227" t="s">
        <v>578</v>
      </c>
      <c r="B38" s="616" t="s">
        <v>1369</v>
      </c>
      <c r="C38" s="227" t="b">
        <f t="shared" si="2"/>
        <v>1</v>
      </c>
      <c r="D38" s="465" t="str">
        <f>Lifetimes!AL1</f>
        <v>BuildingTextilesIU</v>
      </c>
      <c r="E38" s="227" t="str">
        <v>Ship paint (recr) (discarded)</v>
      </c>
      <c r="F38" s="227" t="str">
        <v>ShipDiyDis</v>
      </c>
      <c r="G38" s="227" t="b">
        <f t="shared" si="1"/>
        <v>1</v>
      </c>
    </row>
    <row r="39" spans="1:7">
      <c r="A39" s="227" t="s">
        <v>589</v>
      </c>
      <c r="B39" s="616" t="s">
        <v>1412</v>
      </c>
      <c r="C39" s="227" t="b">
        <f t="shared" si="2"/>
        <v>1</v>
      </c>
      <c r="D39" s="465" t="str">
        <f>Lifetimes!AM1</f>
        <v>OtherTechnicalTextiles</v>
      </c>
      <c r="E39" s="227" t="str">
        <v>Concrete paint (prof) outdoor (in use)</v>
      </c>
      <c r="F39" s="227" t="str">
        <v>ConcreteProfOutIU</v>
      </c>
      <c r="G39" s="227" t="b">
        <f t="shared" si="1"/>
        <v>1</v>
      </c>
    </row>
    <row r="40" spans="1:7">
      <c r="A40" s="227" t="s">
        <v>593</v>
      </c>
      <c r="B40" s="616" t="s">
        <v>1410</v>
      </c>
      <c r="C40" s="227" t="b">
        <f t="shared" si="2"/>
        <v>1</v>
      </c>
      <c r="D40" s="465" t="str">
        <f>Lifetimes!AN1</f>
        <v>TextileCoatingDis</v>
      </c>
      <c r="E40" s="227" t="str">
        <v>Concrete paint (prof) indoor (in use)</v>
      </c>
      <c r="F40" s="227" t="str">
        <v>ConcreteProfInIU</v>
      </c>
      <c r="G40" s="227" t="b">
        <f t="shared" si="1"/>
        <v>1</v>
      </c>
    </row>
    <row r="41" spans="1:7">
      <c r="A41" s="227" t="s">
        <v>591</v>
      </c>
      <c r="B41" s="616" t="s">
        <v>1411</v>
      </c>
      <c r="C41" s="227" t="b">
        <f t="shared" si="2"/>
        <v>1</v>
      </c>
      <c r="D41" s="465" t="str">
        <f>Lifetimes!AO1</f>
        <v>TextileCoatingIU</v>
      </c>
      <c r="E41" s="227" t="str">
        <v>Concrete paint (prof) outdoor (discarded)</v>
      </c>
      <c r="F41" s="227" t="str">
        <v>ConcreteProfOutDis</v>
      </c>
      <c r="G41" s="227" t="b">
        <f t="shared" si="1"/>
        <v>1</v>
      </c>
    </row>
    <row r="42" spans="1:7">
      <c r="A42" s="227" t="s">
        <v>594</v>
      </c>
      <c r="B42" s="616" t="s">
        <v>1409</v>
      </c>
      <c r="C42" s="227" t="b">
        <f t="shared" si="2"/>
        <v>1</v>
      </c>
      <c r="D42" s="465" t="str">
        <f>Lifetimes!AP1</f>
        <v>ConcreteProfInDis</v>
      </c>
      <c r="E42" s="227" t="str">
        <v>Concrete paint (prof) indoor (discarded)</v>
      </c>
      <c r="F42" s="227" t="str">
        <v>ConcreteProfInDis</v>
      </c>
      <c r="G42" s="227" t="b">
        <f t="shared" si="1"/>
        <v>1</v>
      </c>
    </row>
    <row r="43" spans="1:7">
      <c r="A43" s="227" t="s">
        <v>601</v>
      </c>
      <c r="B43" s="616" t="s">
        <v>1404</v>
      </c>
      <c r="C43" s="227" t="b">
        <f t="shared" si="2"/>
        <v>1</v>
      </c>
      <c r="D43" s="465" t="str">
        <f>Lifetimes!AQ1</f>
        <v>ConcreteProfInIU</v>
      </c>
      <c r="E43" s="227" t="str">
        <v>Lacquer (prof) outdoor (in use)</v>
      </c>
      <c r="F43" s="227" t="str">
        <v>LacquerProfOutIU</v>
      </c>
      <c r="G43" s="227" t="b">
        <f t="shared" si="1"/>
        <v>1</v>
      </c>
    </row>
    <row r="44" spans="1:7">
      <c r="A44" s="227" t="s">
        <v>608</v>
      </c>
      <c r="B44" s="616" t="s">
        <v>1402</v>
      </c>
      <c r="C44" s="227" t="b">
        <f t="shared" si="2"/>
        <v>1</v>
      </c>
      <c r="D44" s="465" t="str">
        <f>Lifetimes!AR1</f>
        <v>ConcreteProfOutDis</v>
      </c>
      <c r="E44" s="227" t="str">
        <v>Lacquer (prof) indoor (in use)</v>
      </c>
      <c r="F44" s="227" t="str">
        <v>LacquerProfInIU</v>
      </c>
      <c r="G44" s="227" t="b">
        <f t="shared" si="1"/>
        <v>1</v>
      </c>
    </row>
    <row r="45" spans="1:7">
      <c r="A45" s="227" t="s">
        <v>602</v>
      </c>
      <c r="B45" s="616" t="s">
        <v>1403</v>
      </c>
      <c r="C45" s="227" t="b">
        <f t="shared" si="2"/>
        <v>1</v>
      </c>
      <c r="D45" s="465" t="str">
        <f>Lifetimes!AS1</f>
        <v>ConcreteProfOutIU</v>
      </c>
      <c r="E45" s="227" t="str">
        <v>Lacquer (prof) outdoor (discarded)</v>
      </c>
      <c r="F45" s="227" t="str">
        <v>LacquerProfOutDis</v>
      </c>
      <c r="G45" s="227" t="b">
        <f t="shared" si="1"/>
        <v>1</v>
      </c>
    </row>
    <row r="46" spans="1:7">
      <c r="A46" s="227" t="s">
        <v>609</v>
      </c>
      <c r="B46" s="616" t="s">
        <v>1401</v>
      </c>
      <c r="C46" s="227" t="b">
        <f t="shared" si="2"/>
        <v>1</v>
      </c>
      <c r="D46" s="465" t="str">
        <f>Lifetimes!AT1</f>
        <v>LacquerDiyInDis</v>
      </c>
      <c r="E46" s="227" t="str">
        <v>Lacquer (prof) indoor (discarded)</v>
      </c>
      <c r="F46" s="227" t="str">
        <v>LacquerProfInDis</v>
      </c>
      <c r="G46" s="227" t="b">
        <f t="shared" si="1"/>
        <v>1</v>
      </c>
    </row>
    <row r="47" spans="1:7">
      <c r="A47" s="227" t="s">
        <v>615</v>
      </c>
      <c r="B47" s="616" t="s">
        <v>1392</v>
      </c>
      <c r="C47" s="227" t="b">
        <f t="shared" si="2"/>
        <v>1</v>
      </c>
      <c r="D47" s="465" t="str">
        <f>Lifetimes!AU1</f>
        <v>LacquerDiyInIU</v>
      </c>
      <c r="E47" s="227" t="str">
        <v>Wood stain (prof) outdoor (in use)</v>
      </c>
      <c r="F47" s="227" t="str">
        <v>WoodStainProfOutIU</v>
      </c>
      <c r="G47" s="227" t="b">
        <f t="shared" si="1"/>
        <v>1</v>
      </c>
    </row>
    <row r="48" spans="1:7">
      <c r="A48" s="227" t="s">
        <v>617</v>
      </c>
      <c r="B48" s="616" t="s">
        <v>1390</v>
      </c>
      <c r="C48" s="227" t="b">
        <f t="shared" si="2"/>
        <v>1</v>
      </c>
      <c r="D48" s="465" t="str">
        <f>Lifetimes!AV1</f>
        <v>LacquerDiyOutDis</v>
      </c>
      <c r="E48" s="227" t="str">
        <v>Wood stain (prof) indoor (in use)</v>
      </c>
      <c r="F48" s="227" t="str">
        <v>WoodStainProfInIU</v>
      </c>
      <c r="G48" s="227" t="b">
        <f t="shared" si="1"/>
        <v>1</v>
      </c>
    </row>
    <row r="49" spans="1:7">
      <c r="A49" s="227" t="s">
        <v>616</v>
      </c>
      <c r="B49" s="616" t="s">
        <v>1391</v>
      </c>
      <c r="C49" s="227" t="b">
        <f t="shared" si="2"/>
        <v>1</v>
      </c>
      <c r="D49" s="465" t="str">
        <f>Lifetimes!AW1</f>
        <v>LacquerDiyOutIU</v>
      </c>
      <c r="E49" s="227" t="str">
        <v>Wood stain (prof) outdoor (discarded)</v>
      </c>
      <c r="F49" s="227" t="str">
        <v>WoodStainProfOutDis</v>
      </c>
      <c r="G49" s="227" t="b">
        <f t="shared" si="1"/>
        <v>1</v>
      </c>
    </row>
    <row r="50" spans="1:7">
      <c r="A50" s="227" t="s">
        <v>618</v>
      </c>
      <c r="B50" s="616" t="s">
        <v>1389</v>
      </c>
      <c r="C50" s="227" t="b">
        <f t="shared" si="2"/>
        <v>1</v>
      </c>
      <c r="D50" s="465" t="str">
        <f>Lifetimes!AX1</f>
        <v>LacquerProfInDis</v>
      </c>
      <c r="E50" s="227" t="str">
        <v>Wood stain (prof) indoor (discarded)</v>
      </c>
      <c r="F50" s="227" t="str">
        <v>WoodStainProfInDis</v>
      </c>
      <c r="G50" s="227" t="b">
        <f t="shared" si="1"/>
        <v>1</v>
      </c>
    </row>
    <row r="51" spans="1:7">
      <c r="A51" s="227" t="s">
        <v>623</v>
      </c>
      <c r="B51" s="616" t="s">
        <v>1380</v>
      </c>
      <c r="C51" s="227" t="b">
        <f t="shared" si="2"/>
        <v>1</v>
      </c>
      <c r="D51" s="465" t="str">
        <f>Lifetimes!AY1</f>
        <v>LacquerProfInIU</v>
      </c>
      <c r="E51" s="227" t="str">
        <v>Wall paint (prof) outdoor (in use)</v>
      </c>
      <c r="F51" s="227" t="str">
        <v>WallPaintProfOutIU</v>
      </c>
      <c r="G51" s="227" t="b">
        <f t="shared" si="1"/>
        <v>1</v>
      </c>
    </row>
    <row r="52" spans="1:7">
      <c r="A52" s="227" t="s">
        <v>626</v>
      </c>
      <c r="B52" s="616" t="s">
        <v>1378</v>
      </c>
      <c r="C52" s="227" t="b">
        <f t="shared" si="2"/>
        <v>1</v>
      </c>
      <c r="D52" s="465" t="str">
        <f>Lifetimes!AZ1</f>
        <v>LacquerProfOutDis</v>
      </c>
      <c r="E52" s="227" t="str">
        <v>Wall paint (prof) indoor (in use)</v>
      </c>
      <c r="F52" s="227" t="str">
        <v>WallPaintProfInIU</v>
      </c>
      <c r="G52" s="227" t="b">
        <f t="shared" si="1"/>
        <v>1</v>
      </c>
    </row>
    <row r="53" spans="1:7">
      <c r="A53" s="227" t="s">
        <v>624</v>
      </c>
      <c r="B53" s="616" t="s">
        <v>1379</v>
      </c>
      <c r="C53" s="227" t="b">
        <f t="shared" si="2"/>
        <v>1</v>
      </c>
      <c r="D53" s="465" t="str">
        <f>Lifetimes!BA1</f>
        <v>LacquerProfOutIU</v>
      </c>
      <c r="E53" s="227" t="str">
        <v>Wall paint (prof) outdoor (discarded)</v>
      </c>
      <c r="F53" s="227" t="str">
        <v>WallPaintProfOutDis</v>
      </c>
      <c r="G53" s="227" t="b">
        <f t="shared" si="1"/>
        <v>1</v>
      </c>
    </row>
    <row r="54" spans="1:7">
      <c r="A54" s="227" t="s">
        <v>627</v>
      </c>
      <c r="B54" s="616" t="s">
        <v>1377</v>
      </c>
      <c r="C54" s="227" t="b">
        <f t="shared" si="2"/>
        <v>1</v>
      </c>
      <c r="D54" s="465" t="str">
        <f>Lifetimes!BB1</f>
        <v>OtherPaintUsesDiyInDis</v>
      </c>
      <c r="E54" s="227" t="str">
        <v>Wall paint (prof) indoor (discarded)</v>
      </c>
      <c r="F54" s="227" t="str">
        <v>WallPaintProfInDis</v>
      </c>
      <c r="G54" s="227" t="b">
        <f t="shared" si="1"/>
        <v>1</v>
      </c>
    </row>
    <row r="55" spans="1:7">
      <c r="A55" s="227" t="s">
        <v>1048</v>
      </c>
      <c r="B55" s="616" t="s">
        <v>1058</v>
      </c>
      <c r="C55" s="227" t="b">
        <f t="shared" si="2"/>
        <v>1</v>
      </c>
      <c r="D55" s="465" t="str">
        <f>Lifetimes!BC1</f>
        <v>OtherPaintUsesDiyInIU</v>
      </c>
      <c r="E55" s="227" t="str">
        <v>Plaster (prof) outdoor (in use)</v>
      </c>
      <c r="F55" s="227" t="str">
        <v>PlasterProfOutIU</v>
      </c>
      <c r="G55" s="227" t="b">
        <f t="shared" si="1"/>
        <v>1</v>
      </c>
    </row>
    <row r="56" spans="1:7">
      <c r="A56" s="227" t="s">
        <v>1047</v>
      </c>
      <c r="B56" s="616" t="s">
        <v>1063</v>
      </c>
      <c r="C56" s="227" t="b">
        <f t="shared" si="2"/>
        <v>1</v>
      </c>
      <c r="D56" s="465" t="str">
        <f>Lifetimes!BD1</f>
        <v>OtherPaintUsesDiyOutDis</v>
      </c>
      <c r="E56" s="227" t="str">
        <v>Plaster (prof) indoor (in use)</v>
      </c>
      <c r="F56" s="227" t="str">
        <v>PlasterProfInIU</v>
      </c>
      <c r="G56" s="227" t="b">
        <f t="shared" si="1"/>
        <v>1</v>
      </c>
    </row>
    <row r="57" spans="1:7">
      <c r="A57" s="227" t="s">
        <v>1043</v>
      </c>
      <c r="B57" s="616" t="s">
        <v>1340</v>
      </c>
      <c r="C57" s="227" t="b">
        <f t="shared" si="2"/>
        <v>1</v>
      </c>
      <c r="D57" s="465" t="str">
        <f>Lifetimes!BE1</f>
        <v>OtherPaintUsesDiyOutIU</v>
      </c>
      <c r="E57" s="227" t="str">
        <v>Plaster (prof) outdoor (discarded)</v>
      </c>
      <c r="F57" s="227" t="str">
        <v>PlasterProfOutDis</v>
      </c>
      <c r="G57" s="227" t="b">
        <f t="shared" si="1"/>
        <v>1</v>
      </c>
    </row>
    <row r="58" spans="1:7">
      <c r="A58" s="227" t="s">
        <v>1049</v>
      </c>
      <c r="B58" s="616" t="s">
        <v>1339</v>
      </c>
      <c r="C58" s="227" t="b">
        <f t="shared" si="2"/>
        <v>1</v>
      </c>
      <c r="D58" s="465" t="str">
        <f>Lifetimes!BF1</f>
        <v>OtherPaintUsesProfInDis</v>
      </c>
      <c r="E58" s="227" t="str">
        <v>Plaster (prof) indoor (discarded)</v>
      </c>
      <c r="F58" s="227" t="str">
        <v>PlasterProfInDis</v>
      </c>
      <c r="G58" s="227" t="b">
        <f t="shared" si="1"/>
        <v>1</v>
      </c>
    </row>
    <row r="59" spans="1:7">
      <c r="A59" s="227" t="s">
        <v>202</v>
      </c>
      <c r="B59" s="616" t="s">
        <v>1347</v>
      </c>
      <c r="C59" s="227" t="b">
        <f t="shared" ref="C59:C96" si="3">NOT(ISERROR(MATCH(B59, D:D, 0)))</f>
        <v>1</v>
      </c>
      <c r="D59" s="465" t="str">
        <f>Lifetimes!BG1</f>
        <v>OtherPaintUsesProfInIU</v>
      </c>
      <c r="E59" s="227" t="str">
        <v>Other paint uses (prof) outdoor (in use)</v>
      </c>
      <c r="F59" s="227" t="str">
        <v>OtherPaintUsesProfOutIU</v>
      </c>
      <c r="G59" s="227" t="b">
        <f t="shared" si="1"/>
        <v>1</v>
      </c>
    </row>
    <row r="60" spans="1:7">
      <c r="A60" s="227" t="s">
        <v>199</v>
      </c>
      <c r="B60" s="616" t="s">
        <v>1351</v>
      </c>
      <c r="C60" s="227" t="b">
        <f t="shared" si="3"/>
        <v>1</v>
      </c>
      <c r="D60" s="465" t="str">
        <f>Lifetimes!BH1</f>
        <v>OtherPaintUsesProfOutDis</v>
      </c>
      <c r="E60" s="227" t="str">
        <v>Other paint uses (prof) indoor (in use)</v>
      </c>
      <c r="F60" s="227" t="str">
        <v>OtherPaintUsesProfInIU</v>
      </c>
      <c r="G60" s="227" t="b">
        <f t="shared" si="1"/>
        <v>1</v>
      </c>
    </row>
    <row r="61" spans="1:7">
      <c r="A61" s="227" t="s">
        <v>198</v>
      </c>
      <c r="B61" s="616" t="s">
        <v>1350</v>
      </c>
      <c r="C61" s="227" t="b">
        <f t="shared" si="3"/>
        <v>1</v>
      </c>
      <c r="D61" s="465" t="str">
        <f>Lifetimes!BI1</f>
        <v>OtherPaintUsesProfOutIU</v>
      </c>
      <c r="E61" s="227" t="str">
        <v>Other paint uses (prof) outdoor (discarded)</v>
      </c>
      <c r="F61" s="227" t="str">
        <v>OtherPaintUsesProfOutDis</v>
      </c>
      <c r="G61" s="227" t="b">
        <f t="shared" si="1"/>
        <v>1</v>
      </c>
    </row>
    <row r="62" spans="1:7">
      <c r="A62" s="227" t="s">
        <v>366</v>
      </c>
      <c r="B62" s="616" t="s">
        <v>1353</v>
      </c>
      <c r="C62" s="227" t="b">
        <f t="shared" si="3"/>
        <v>1</v>
      </c>
      <c r="D62" s="465" t="str">
        <f>Lifetimes!BJ1</f>
        <v>PaintsPreMadeWoodInDis</v>
      </c>
      <c r="E62" s="227" t="str">
        <v>Other paint uses (prof) indoor (discarded)</v>
      </c>
      <c r="F62" s="227" t="str">
        <v>OtherPaintUsesProfInDis</v>
      </c>
      <c r="G62" s="227" t="b">
        <f t="shared" si="1"/>
        <v>1</v>
      </c>
    </row>
    <row r="63" spans="1:7">
      <c r="A63" s="227" t="s">
        <v>255</v>
      </c>
      <c r="B63" s="616" t="s">
        <v>1352</v>
      </c>
      <c r="C63" s="227" t="b">
        <f t="shared" si="3"/>
        <v>1</v>
      </c>
      <c r="D63" s="465" t="str">
        <f>Lifetimes!BK1</f>
        <v>PaintsPreMadeWoodInIU</v>
      </c>
      <c r="E63" s="227" t="str">
        <v>Paints used in pre-made wooden products outdoor (in use)</v>
      </c>
      <c r="F63" s="227" t="str">
        <v>PaintsPreMadeWoodOutIU</v>
      </c>
      <c r="G63" s="227" t="b">
        <f t="shared" si="1"/>
        <v>1</v>
      </c>
    </row>
    <row r="64" spans="1:7">
      <c r="A64" s="227" t="s">
        <v>180</v>
      </c>
      <c r="B64" s="616" t="s">
        <v>1361</v>
      </c>
      <c r="C64" s="227" t="b">
        <f t="shared" si="3"/>
        <v>1</v>
      </c>
      <c r="D64" s="465" t="str">
        <f>Lifetimes!BL1</f>
        <v>PaintsPreMadeWoodOutDis</v>
      </c>
      <c r="E64" s="227" t="str">
        <v>Paints used in pre-made wooden products indoor (in use)</v>
      </c>
      <c r="F64" s="227" t="str">
        <v>PaintsPreMadeWoodInIU</v>
      </c>
      <c r="G64" s="227" t="b">
        <f t="shared" si="1"/>
        <v>1</v>
      </c>
    </row>
    <row r="65" spans="1:7">
      <c r="A65" s="227" t="s">
        <v>179</v>
      </c>
      <c r="B65" s="616" t="s">
        <v>1360</v>
      </c>
      <c r="C65" s="227" t="b">
        <f t="shared" si="3"/>
        <v>1</v>
      </c>
      <c r="D65" s="465" t="str">
        <f>Lifetimes!BM1</f>
        <v>PaintsPreMadeWoodOutIU</v>
      </c>
      <c r="E65" s="227" t="str">
        <v>Paints used in pre-made wooden products outdoor (discarded)</v>
      </c>
      <c r="F65" s="227" t="str">
        <v>PaintsPreMadeWoodOutDis</v>
      </c>
      <c r="G65" s="227" t="b">
        <f t="shared" si="1"/>
        <v>1</v>
      </c>
    </row>
    <row r="66" spans="1:7">
      <c r="A66" s="227" t="s">
        <v>170</v>
      </c>
      <c r="B66" s="616" t="s">
        <v>1356</v>
      </c>
      <c r="C66" s="227" t="b">
        <f t="shared" si="3"/>
        <v>1</v>
      </c>
      <c r="D66" s="465" t="str">
        <f>Lifetimes!BN1</f>
        <v>PlasterDiyInDis</v>
      </c>
      <c r="E66" s="227" t="str">
        <v>Paints used in pre-made wooden products indoor (discarded)</v>
      </c>
      <c r="F66" s="227" t="str">
        <v>PaintsPreMadeWoodInDis</v>
      </c>
      <c r="G66" s="227" t="b">
        <f t="shared" si="1"/>
        <v>1</v>
      </c>
    </row>
    <row r="67" spans="1:7">
      <c r="A67" s="227" t="s">
        <v>161</v>
      </c>
      <c r="B67" s="616" t="s">
        <v>1355</v>
      </c>
      <c r="C67" s="227" t="b">
        <f t="shared" si="3"/>
        <v>1</v>
      </c>
      <c r="D67" s="465" t="str">
        <f>Lifetimes!BO1</f>
        <v>PlasterDiyInIU</v>
      </c>
      <c r="E67" s="227" t="str">
        <v>Lacquer (DIY) outdoor (in use)</v>
      </c>
      <c r="F67" s="227" t="str">
        <v>LacquerDiyOutIU</v>
      </c>
      <c r="G67" s="227" t="b">
        <f t="shared" ref="G67:G99" si="4">NOT(ISERROR(MATCH(E67, A:A, 0)))</f>
        <v>1</v>
      </c>
    </row>
    <row r="68" spans="1:7">
      <c r="A68" s="227" t="s">
        <v>195</v>
      </c>
      <c r="B68" s="616" t="s">
        <v>1359</v>
      </c>
      <c r="C68" s="227" t="b">
        <f t="shared" si="3"/>
        <v>1</v>
      </c>
      <c r="D68" s="465" t="str">
        <f>Lifetimes!BP1</f>
        <v>PlasterDiyOutDis</v>
      </c>
      <c r="E68" s="227" t="str">
        <v>Lacquer (DIY) indoor (in use)</v>
      </c>
      <c r="F68" s="227" t="str">
        <v>LacquerDiyInIU</v>
      </c>
      <c r="G68" s="227" t="b">
        <f t="shared" si="4"/>
        <v>1</v>
      </c>
    </row>
    <row r="69" spans="1:7">
      <c r="A69" s="227" t="s">
        <v>194</v>
      </c>
      <c r="B69" s="616" t="s">
        <v>1358</v>
      </c>
      <c r="C69" s="227" t="b">
        <f t="shared" si="3"/>
        <v>1</v>
      </c>
      <c r="D69" s="465" t="str">
        <f>Lifetimes!BQ1</f>
        <v>PlasterDiyOutIU</v>
      </c>
      <c r="E69" s="227" t="str">
        <v>Lacquer (DIY) outdoor (discarded)</v>
      </c>
      <c r="F69" s="227" t="str">
        <v>LacquerDiyOutDis</v>
      </c>
      <c r="G69" s="227" t="b">
        <f t="shared" si="4"/>
        <v>1</v>
      </c>
    </row>
    <row r="70" spans="1:7">
      <c r="A70" s="227" t="s">
        <v>370</v>
      </c>
      <c r="B70" s="616" t="s">
        <v>1364</v>
      </c>
      <c r="C70" s="227" t="b">
        <f t="shared" si="3"/>
        <v>1</v>
      </c>
      <c r="D70" s="465" t="str">
        <f>Lifetimes!BR1</f>
        <v>PlasterProfInDis</v>
      </c>
      <c r="E70" s="227" t="str">
        <v>Lacquer (DIY) indoor (discarded)</v>
      </c>
      <c r="F70" s="227" t="str">
        <v>LacquerDiyInDis</v>
      </c>
      <c r="G70" s="227" t="b">
        <f t="shared" si="4"/>
        <v>1</v>
      </c>
    </row>
    <row r="71" spans="1:7">
      <c r="A71" s="227" t="s">
        <v>360</v>
      </c>
      <c r="B71" s="616" t="s">
        <v>1363</v>
      </c>
      <c r="C71" s="227" t="b">
        <f t="shared" si="3"/>
        <v>1</v>
      </c>
      <c r="D71" s="465" t="str">
        <f>Lifetimes!BS1</f>
        <v>PlasterProfInIU</v>
      </c>
      <c r="E71" s="227" t="str">
        <v>Wood stain (DIY) outdoor (in use)</v>
      </c>
      <c r="F71" s="227" t="str">
        <v>WoodStainDiyOutIU</v>
      </c>
      <c r="G71" s="227" t="b">
        <f t="shared" si="4"/>
        <v>1</v>
      </c>
    </row>
    <row r="72" spans="1:7">
      <c r="A72" s="230" t="s">
        <v>321</v>
      </c>
      <c r="B72" s="466" t="s">
        <v>1345</v>
      </c>
      <c r="C72" s="227" t="b">
        <f t="shared" si="3"/>
        <v>1</v>
      </c>
      <c r="D72" s="465" t="str">
        <f>Lifetimes!BT1</f>
        <v>PlasterProfOutDis</v>
      </c>
      <c r="E72" s="227" t="str">
        <v>Wood stain (DIY) indoor (in use)</v>
      </c>
      <c r="F72" s="227" t="str">
        <v>WoodStainDiyInIU</v>
      </c>
      <c r="G72" s="227" t="b">
        <f t="shared" si="4"/>
        <v>1</v>
      </c>
    </row>
    <row r="73" spans="1:7">
      <c r="A73" s="230" t="s">
        <v>322</v>
      </c>
      <c r="B73" s="466" t="s">
        <v>1346</v>
      </c>
      <c r="C73" s="227" t="b">
        <f t="shared" si="3"/>
        <v>1</v>
      </c>
      <c r="D73" s="465" t="str">
        <f>Lifetimes!BU1</f>
        <v>PlasterProfOutIU</v>
      </c>
      <c r="E73" s="227" t="str">
        <v>Wood stain (DIY) outdoor (discarded)</v>
      </c>
      <c r="F73" s="227" t="str">
        <v>WoodStainDiyOutDis</v>
      </c>
      <c r="G73" s="227" t="b">
        <f t="shared" si="4"/>
        <v>1</v>
      </c>
    </row>
    <row r="74" spans="1:7">
      <c r="A74" s="291" t="s">
        <v>213</v>
      </c>
      <c r="B74" s="312" t="s">
        <v>1247</v>
      </c>
      <c r="C74" s="227" t="b">
        <f t="shared" si="3"/>
        <v>1</v>
      </c>
      <c r="D74" s="465" t="str">
        <f>Lifetimes!BV1</f>
        <v>ShipProfDis</v>
      </c>
      <c r="E74" s="227" t="str">
        <v>Wood stain (DIY) indoor (discarded)</v>
      </c>
      <c r="F74" s="227" t="str">
        <v>WoodStainDiyInDis</v>
      </c>
      <c r="G74" s="227" t="b">
        <f t="shared" si="4"/>
        <v>1</v>
      </c>
    </row>
    <row r="75" spans="1:7">
      <c r="A75" s="291" t="s">
        <v>214</v>
      </c>
      <c r="B75" s="312" t="s">
        <v>1341</v>
      </c>
      <c r="C75" s="227" t="b">
        <f t="shared" si="3"/>
        <v>1</v>
      </c>
      <c r="D75" s="465" t="str">
        <f>Lifetimes!BW1</f>
        <v>ShipProfIU</v>
      </c>
      <c r="E75" s="227" t="str">
        <v>Wall paint (DIY) outdoor (in use)</v>
      </c>
      <c r="F75" s="227" t="str">
        <v>WallPaintDiyOutIU</v>
      </c>
      <c r="G75" s="227" t="b">
        <f t="shared" si="4"/>
        <v>1</v>
      </c>
    </row>
    <row r="76" spans="1:7">
      <c r="A76" s="291" t="s">
        <v>215</v>
      </c>
      <c r="B76" s="312" t="s">
        <v>1248</v>
      </c>
      <c r="C76" s="227" t="b">
        <f t="shared" si="3"/>
        <v>1</v>
      </c>
      <c r="D76" s="465" t="str">
        <f>Lifetimes!BX1</f>
        <v>ShipDiyDis</v>
      </c>
      <c r="E76" s="227" t="str">
        <v>Wall paint (DIY) indoor applied (in use)</v>
      </c>
      <c r="F76" s="227" t="str">
        <v>WallPaintDiyIndoorAppliedIU</v>
      </c>
      <c r="G76" s="227" t="b">
        <f t="shared" si="4"/>
        <v>1</v>
      </c>
    </row>
    <row r="77" spans="1:7">
      <c r="A77" s="291" t="s">
        <v>248</v>
      </c>
      <c r="B77" s="312" t="s">
        <v>1249</v>
      </c>
      <c r="C77" s="227" t="b">
        <f t="shared" si="3"/>
        <v>1</v>
      </c>
      <c r="D77" s="465" t="str">
        <f>Lifetimes!BY1</f>
        <v>ShipDiyIU</v>
      </c>
      <c r="E77" s="227" t="str">
        <v>Wall paint (DIY) outdoor (discarded)</v>
      </c>
      <c r="F77" s="227" t="str">
        <v>WallPaintDiyOutDis</v>
      </c>
      <c r="G77" s="227" t="b">
        <f t="shared" si="4"/>
        <v>1</v>
      </c>
    </row>
    <row r="78" spans="1:7">
      <c r="A78" s="291" t="s">
        <v>216</v>
      </c>
      <c r="B78" s="312" t="s">
        <v>1155</v>
      </c>
      <c r="C78" s="227" t="b">
        <f t="shared" si="3"/>
        <v>1</v>
      </c>
      <c r="D78" s="465" t="str">
        <f>Lifetimes!BZ1</f>
        <v>WallPaintDiyIndoorAppliedDis</v>
      </c>
      <c r="E78" s="227" t="str">
        <v>Wall paint (DIY) indoor applied (discarded)</v>
      </c>
      <c r="F78" s="227" t="str">
        <v>WallPaintDiyIndoorAppliedDis</v>
      </c>
      <c r="G78" s="227" t="b">
        <f t="shared" si="4"/>
        <v>1</v>
      </c>
    </row>
    <row r="79" spans="1:7">
      <c r="A79" s="291" t="s">
        <v>249</v>
      </c>
      <c r="B79" s="312" t="s">
        <v>1251</v>
      </c>
      <c r="C79" s="227" t="b">
        <f t="shared" si="3"/>
        <v>1</v>
      </c>
      <c r="D79" s="465" t="str">
        <f>Lifetimes!CA1</f>
        <v>WallPaintDiyIndoorAppliedIU</v>
      </c>
      <c r="E79" s="227" t="str">
        <v>Plaster (DIY) outdoor (in use)</v>
      </c>
      <c r="F79" s="227" t="str">
        <v>PlasterDiyOutIU</v>
      </c>
      <c r="G79" s="227" t="b">
        <f t="shared" si="4"/>
        <v>1</v>
      </c>
    </row>
    <row r="80" spans="1:7">
      <c r="A80" s="291" t="s">
        <v>250</v>
      </c>
      <c r="B80" s="312" t="s">
        <v>1250</v>
      </c>
      <c r="C80" s="227" t="b">
        <f t="shared" si="3"/>
        <v>1</v>
      </c>
      <c r="D80" s="465" t="str">
        <f>Lifetimes!CB1</f>
        <v>WallPaintDiyOutDis</v>
      </c>
      <c r="E80" s="227" t="str">
        <v>Plaster (DIY) indoor (in use)</v>
      </c>
      <c r="F80" s="227" t="str">
        <v>PlasterDiyInIU</v>
      </c>
      <c r="G80" s="227" t="b">
        <f t="shared" si="4"/>
        <v>1</v>
      </c>
    </row>
    <row r="81" spans="1:7">
      <c r="A81" s="227" t="s">
        <v>150</v>
      </c>
      <c r="B81" s="645" t="s">
        <v>1245</v>
      </c>
      <c r="C81" s="227" t="b">
        <f t="shared" si="3"/>
        <v>1</v>
      </c>
      <c r="D81" s="465" t="str">
        <f>Lifetimes!CC1</f>
        <v>WallPaintDiyOutIU</v>
      </c>
      <c r="E81" s="227" t="str">
        <v>Plaster (DIY) outdoor (discarded)</v>
      </c>
      <c r="F81" s="227" t="str">
        <v>PlasterDiyOutDis</v>
      </c>
      <c r="G81" s="227" t="b">
        <f t="shared" si="4"/>
        <v>1</v>
      </c>
    </row>
    <row r="82" spans="1:7">
      <c r="A82" s="646" t="s">
        <v>209</v>
      </c>
      <c r="B82" s="645" t="s">
        <v>1348</v>
      </c>
      <c r="C82" s="227" t="b">
        <f t="shared" si="3"/>
        <v>1</v>
      </c>
      <c r="D82" s="465" t="str">
        <f>Lifetimes!CD1</f>
        <v>WallPaintProfInDis</v>
      </c>
      <c r="E82" s="227" t="str">
        <v>Plaster (DIY) indoor (discarded)</v>
      </c>
      <c r="F82" s="227" t="str">
        <v>PlasterDiyInDis</v>
      </c>
      <c r="G82" s="227" t="b">
        <f t="shared" si="4"/>
        <v>1</v>
      </c>
    </row>
    <row r="83" spans="1:7">
      <c r="A83" s="646" t="s">
        <v>198</v>
      </c>
      <c r="B83" s="645" t="s">
        <v>1350</v>
      </c>
      <c r="C83" s="227" t="b">
        <f t="shared" si="3"/>
        <v>1</v>
      </c>
      <c r="D83" s="465" t="str">
        <f>Lifetimes!CE1</f>
        <v>WallPaintProfInIU</v>
      </c>
      <c r="E83" s="227" t="str">
        <v>Other paint uses (DIY) outdoor (in use)</v>
      </c>
      <c r="F83" s="227" t="str">
        <v>OtherPaintUsesDiyOutIU</v>
      </c>
      <c r="G83" s="227" t="b">
        <f t="shared" si="4"/>
        <v>1</v>
      </c>
    </row>
    <row r="84" spans="1:7">
      <c r="A84" s="646" t="s">
        <v>356</v>
      </c>
      <c r="B84" s="645" t="s">
        <v>1354</v>
      </c>
      <c r="C84" s="227" t="b">
        <f t="shared" si="3"/>
        <v>1</v>
      </c>
      <c r="D84" s="465" t="str">
        <f>Lifetimes!CF1</f>
        <v>WallPaintProfOutDis</v>
      </c>
      <c r="E84" s="227" t="str">
        <v>Other paint uses (DIY) indoor (in use)</v>
      </c>
      <c r="F84" s="227" t="str">
        <v>OtherPaintUsesDiyInIU</v>
      </c>
      <c r="G84" s="227" t="b">
        <f t="shared" si="4"/>
        <v>1</v>
      </c>
    </row>
    <row r="85" spans="1:7">
      <c r="A85" s="646" t="s">
        <v>358</v>
      </c>
      <c r="B85" s="645" t="s">
        <v>1357</v>
      </c>
      <c r="C85" s="227" t="b">
        <f t="shared" si="3"/>
        <v>1</v>
      </c>
      <c r="D85" s="465" t="str">
        <f>Lifetimes!CG1</f>
        <v>WallPaintProfOutIU</v>
      </c>
      <c r="E85" s="227" t="str">
        <v>Other paint uses (DIY) outdoor (discarded)</v>
      </c>
      <c r="F85" s="227" t="str">
        <v>OtherPaintUsesDiyOutDis</v>
      </c>
      <c r="G85" s="227" t="b">
        <f t="shared" si="4"/>
        <v>1</v>
      </c>
    </row>
    <row r="86" spans="1:7">
      <c r="A86" s="646" t="s">
        <v>251</v>
      </c>
      <c r="B86" s="645" t="s">
        <v>1362</v>
      </c>
      <c r="C86" s="227" t="b">
        <f t="shared" si="3"/>
        <v>1</v>
      </c>
      <c r="D86" s="465" t="str">
        <f>Lifetimes!CH1</f>
        <v>WoodStainDiyInDis</v>
      </c>
      <c r="E86" s="227" t="str">
        <v>Other paint uses (DIY) indoor (discarded)</v>
      </c>
      <c r="F86" s="227" t="str">
        <v>OtherPaintUsesDiyInDis</v>
      </c>
      <c r="G86" s="227" t="b">
        <f t="shared" si="4"/>
        <v>1</v>
      </c>
    </row>
    <row r="87" spans="1:7">
      <c r="A87" s="646" t="s">
        <v>208</v>
      </c>
      <c r="B87" s="645" t="s">
        <v>1349</v>
      </c>
      <c r="C87" s="227" t="b">
        <f t="shared" si="3"/>
        <v>1</v>
      </c>
      <c r="D87" s="465" t="str">
        <f>Lifetimes!CI1</f>
        <v>WoodStainDiyInIU</v>
      </c>
      <c r="G87" s="227" t="b">
        <f t="shared" si="4"/>
        <v>0</v>
      </c>
    </row>
    <row r="88" spans="1:7">
      <c r="C88" s="227" t="b">
        <f t="shared" si="3"/>
        <v>0</v>
      </c>
      <c r="D88" s="465" t="str">
        <f>Lifetimes!CJ1</f>
        <v>WoodStainDiyOutDis</v>
      </c>
      <c r="G88" s="227" t="b">
        <f t="shared" si="4"/>
        <v>0</v>
      </c>
    </row>
    <row r="89" spans="1:7">
      <c r="C89" s="227" t="b">
        <f t="shared" si="3"/>
        <v>0</v>
      </c>
      <c r="D89" s="465" t="str">
        <f>Lifetimes!CK1</f>
        <v>WoodStainDiyOutIU</v>
      </c>
      <c r="G89" s="227" t="b">
        <f t="shared" si="4"/>
        <v>0</v>
      </c>
    </row>
    <row r="90" spans="1:7">
      <c r="C90" s="227" t="b">
        <f t="shared" si="3"/>
        <v>0</v>
      </c>
      <c r="D90" s="465" t="str">
        <f>Lifetimes!CL1</f>
        <v>WoodStainProfInDis</v>
      </c>
      <c r="G90" s="227" t="b">
        <f t="shared" si="4"/>
        <v>0</v>
      </c>
    </row>
    <row r="91" spans="1:7">
      <c r="A91" s="467"/>
      <c r="B91" s="466"/>
      <c r="C91" s="227" t="b">
        <f t="shared" si="3"/>
        <v>0</v>
      </c>
      <c r="D91" s="465" t="str">
        <f>Lifetimes!CM1</f>
        <v>WoodStainProfInIU</v>
      </c>
      <c r="G91" s="227" t="b">
        <f t="shared" si="4"/>
        <v>0</v>
      </c>
    </row>
    <row r="92" spans="1:7">
      <c r="A92" s="467"/>
      <c r="B92" s="466"/>
      <c r="C92" s="227" t="b">
        <f t="shared" si="3"/>
        <v>0</v>
      </c>
      <c r="D92" s="465" t="str">
        <f>Lifetimes!CN1</f>
        <v>WoodStainProfOutDis</v>
      </c>
      <c r="G92" s="227" t="b">
        <f t="shared" si="4"/>
        <v>0</v>
      </c>
    </row>
    <row r="93" spans="1:7">
      <c r="A93" s="467"/>
      <c r="B93" s="466"/>
      <c r="C93" s="227" t="b">
        <f t="shared" si="3"/>
        <v>0</v>
      </c>
      <c r="D93" s="465" t="str">
        <f>Lifetimes!CO1</f>
        <v>WoodStainProfOutIU</v>
      </c>
      <c r="G93" s="227" t="b">
        <f t="shared" si="4"/>
        <v>0</v>
      </c>
    </row>
    <row r="94" spans="1:7">
      <c r="A94" s="467"/>
      <c r="B94" s="466"/>
      <c r="C94" s="227" t="b">
        <f t="shared" si="3"/>
        <v>0</v>
      </c>
      <c r="D94"/>
      <c r="G94" s="227" t="b">
        <f t="shared" si="4"/>
        <v>0</v>
      </c>
    </row>
    <row r="95" spans="1:7">
      <c r="A95" s="467"/>
      <c r="B95" s="466"/>
      <c r="C95" s="227" t="b">
        <f t="shared" si="3"/>
        <v>0</v>
      </c>
      <c r="D95"/>
      <c r="G95" s="227" t="b">
        <f t="shared" si="4"/>
        <v>0</v>
      </c>
    </row>
    <row r="96" spans="1:7">
      <c r="C96" s="227" t="b">
        <f t="shared" si="3"/>
        <v>0</v>
      </c>
      <c r="D96"/>
      <c r="G96" s="227" t="b">
        <f t="shared" si="4"/>
        <v>0</v>
      </c>
    </row>
    <row r="97" spans="4:7">
      <c r="D97"/>
      <c r="G97" s="227" t="b">
        <f t="shared" si="4"/>
        <v>0</v>
      </c>
    </row>
    <row r="98" spans="4:7">
      <c r="D98"/>
      <c r="G98" s="227" t="b">
        <f t="shared" si="4"/>
        <v>0</v>
      </c>
    </row>
    <row r="99" spans="4:7">
      <c r="D99"/>
      <c r="G99" s="227" t="b">
        <f t="shared" si="4"/>
        <v>0</v>
      </c>
    </row>
    <row r="100" spans="4:7">
      <c r="D100"/>
    </row>
    <row r="101" spans="4:7">
      <c r="D101"/>
    </row>
    <row r="102" spans="4:7">
      <c r="D102"/>
    </row>
    <row r="103" spans="4:7">
      <c r="D103"/>
    </row>
    <row r="104" spans="4:7">
      <c r="D104"/>
    </row>
    <row r="105" spans="4:7">
      <c r="D105"/>
    </row>
    <row r="106" spans="4:7">
      <c r="D106"/>
    </row>
    <row r="107" spans="4:7">
      <c r="D107"/>
    </row>
    <row r="108" spans="4:7">
      <c r="D108"/>
    </row>
    <row r="109" spans="4:7">
      <c r="D109"/>
    </row>
    <row r="110" spans="4:7">
      <c r="D110"/>
    </row>
    <row r="111" spans="4:7">
      <c r="D111"/>
    </row>
    <row r="112" spans="4:7">
      <c r="D112"/>
    </row>
    <row r="113" spans="4:4">
      <c r="D113"/>
    </row>
    <row r="114" spans="4:4">
      <c r="D114"/>
    </row>
    <row r="115" spans="4:4">
      <c r="D115"/>
    </row>
    <row r="116" spans="4:4">
      <c r="D116"/>
    </row>
    <row r="117" spans="4:4">
      <c r="D117"/>
    </row>
    <row r="118" spans="4:4">
      <c r="D118"/>
    </row>
    <row r="119" spans="4:4">
      <c r="D119"/>
    </row>
    <row r="120" spans="4:4">
      <c r="D120"/>
    </row>
    <row r="121" spans="4:4">
      <c r="D121"/>
    </row>
    <row r="122" spans="4:4">
      <c r="D122"/>
    </row>
    <row r="123" spans="4:4">
      <c r="D123"/>
    </row>
    <row r="124" spans="4:4">
      <c r="D124"/>
    </row>
    <row r="125" spans="4:4">
      <c r="D125"/>
    </row>
    <row r="126" spans="4:4">
      <c r="D126"/>
    </row>
    <row r="127" spans="4:4">
      <c r="D127"/>
    </row>
    <row r="128" spans="4:4">
      <c r="D128"/>
    </row>
    <row r="129" spans="4:4">
      <c r="D129"/>
    </row>
    <row r="130" spans="4:4">
      <c r="D130"/>
    </row>
    <row r="131" spans="4:4">
      <c r="D131"/>
    </row>
    <row r="132" spans="4:4">
      <c r="D132"/>
    </row>
    <row r="133" spans="4:4">
      <c r="D133"/>
    </row>
    <row r="134" spans="4:4">
      <c r="D134"/>
    </row>
    <row r="135" spans="4:4">
      <c r="D135"/>
    </row>
    <row r="136" spans="4:4">
      <c r="D136"/>
    </row>
    <row r="137" spans="4:4">
      <c r="D137"/>
    </row>
    <row r="138" spans="4:4">
      <c r="D138"/>
    </row>
    <row r="139" spans="4:4">
      <c r="D139"/>
    </row>
    <row r="140" spans="4:4">
      <c r="D140"/>
    </row>
    <row r="141" spans="4:4">
      <c r="D141"/>
    </row>
    <row r="142" spans="4:4">
      <c r="D142"/>
    </row>
    <row r="143" spans="4:4">
      <c r="D143"/>
    </row>
    <row r="144" spans="4:4">
      <c r="D144"/>
    </row>
    <row r="145" spans="4:4">
      <c r="D145"/>
    </row>
    <row r="146" spans="4:4">
      <c r="D146"/>
    </row>
    <row r="147" spans="4:4">
      <c r="D147"/>
    </row>
    <row r="148" spans="4:4">
      <c r="D148"/>
    </row>
    <row r="149" spans="4:4">
      <c r="D149"/>
    </row>
    <row r="150" spans="4:4">
      <c r="D150"/>
    </row>
    <row r="151" spans="4:4">
      <c r="D151"/>
    </row>
    <row r="152" spans="4:4">
      <c r="D152"/>
    </row>
    <row r="153" spans="4:4">
      <c r="D153"/>
    </row>
    <row r="154" spans="4:4">
      <c r="D154"/>
    </row>
    <row r="155" spans="4:4">
      <c r="D155"/>
    </row>
    <row r="156" spans="4:4">
      <c r="D156"/>
    </row>
    <row r="157" spans="4:4">
      <c r="D157"/>
    </row>
    <row r="158" spans="4:4">
      <c r="D158"/>
    </row>
    <row r="159" spans="4:4">
      <c r="D159"/>
    </row>
    <row r="160" spans="4:4">
      <c r="D160"/>
    </row>
    <row r="161" spans="4:4">
      <c r="D161"/>
    </row>
    <row r="162" spans="4:4">
      <c r="D162"/>
    </row>
    <row r="163" spans="4:4">
      <c r="D163"/>
    </row>
    <row r="164" spans="4:4">
      <c r="D164"/>
    </row>
    <row r="165" spans="4:4">
      <c r="D165"/>
    </row>
    <row r="166" spans="4:4">
      <c r="D166"/>
    </row>
    <row r="167" spans="4:4">
      <c r="D167"/>
    </row>
    <row r="168" spans="4:4">
      <c r="D168"/>
    </row>
    <row r="169" spans="4:4">
      <c r="D169"/>
    </row>
    <row r="170" spans="4:4">
      <c r="D170"/>
    </row>
    <row r="171" spans="4:4">
      <c r="D171"/>
    </row>
    <row r="172" spans="4:4">
      <c r="D172"/>
    </row>
    <row r="173" spans="4:4">
      <c r="D173"/>
    </row>
    <row r="174" spans="4:4">
      <c r="D174"/>
    </row>
    <row r="175" spans="4:4">
      <c r="D175"/>
    </row>
    <row r="176" spans="4:4">
      <c r="D176"/>
    </row>
    <row r="177" spans="4:4">
      <c r="D177"/>
    </row>
    <row r="178" spans="4:4">
      <c r="D178"/>
    </row>
    <row r="179" spans="4:4">
      <c r="D179"/>
    </row>
    <row r="180" spans="4:4">
      <c r="D180"/>
    </row>
    <row r="181" spans="4:4">
      <c r="D181"/>
    </row>
    <row r="182" spans="4:4">
      <c r="D182"/>
    </row>
    <row r="183" spans="4:4">
      <c r="D183"/>
    </row>
    <row r="184" spans="4:4">
      <c r="D184"/>
    </row>
    <row r="185" spans="4:4">
      <c r="D185"/>
    </row>
    <row r="186" spans="4:4">
      <c r="D186"/>
    </row>
    <row r="187" spans="4:4">
      <c r="D187"/>
    </row>
    <row r="188" spans="4:4">
      <c r="D188"/>
    </row>
    <row r="189" spans="4:4">
      <c r="D189"/>
    </row>
    <row r="190" spans="4:4">
      <c r="D190"/>
    </row>
    <row r="191" spans="4:4">
      <c r="D191"/>
    </row>
    <row r="192" spans="4:4">
      <c r="D192"/>
    </row>
    <row r="193" spans="4:4">
      <c r="D193"/>
    </row>
    <row r="194" spans="4:4">
      <c r="D194"/>
    </row>
    <row r="195" spans="4:4">
      <c r="D195"/>
    </row>
    <row r="196" spans="4:4">
      <c r="D196"/>
    </row>
    <row r="197" spans="4:4">
      <c r="D197"/>
    </row>
    <row r="198" spans="4:4">
      <c r="D198"/>
    </row>
    <row r="199" spans="4:4">
      <c r="D199"/>
    </row>
    <row r="200" spans="4:4">
      <c r="D200"/>
    </row>
    <row r="201" spans="4:4">
      <c r="D201"/>
    </row>
    <row r="202" spans="4:4">
      <c r="D202"/>
    </row>
    <row r="203" spans="4:4">
      <c r="D203"/>
    </row>
    <row r="204" spans="4:4">
      <c r="D204"/>
    </row>
    <row r="205" spans="4:4">
      <c r="D205"/>
    </row>
    <row r="206" spans="4:4">
      <c r="D206"/>
    </row>
    <row r="207" spans="4:4">
      <c r="D207"/>
    </row>
    <row r="208" spans="4:4">
      <c r="D208"/>
    </row>
  </sheetData>
  <autoFilter ref="A1:B93" xr:uid="{990E2BB4-67D9-4051-BA87-FD201D2882C8}"/>
  <conditionalFormatting sqref="C2:C96">
    <cfRule type="containsText" dxfId="19" priority="2" operator="containsText" text="true">
      <formula>NOT(ISERROR(SEARCH("true",C2)))</formula>
    </cfRule>
  </conditionalFormatting>
  <conditionalFormatting sqref="G2:G99">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E4A13-8F7E-4B93-B48F-573BE1A75152}">
  <sheetPr>
    <tabColor theme="3"/>
  </sheetPr>
  <dimension ref="A1:D79"/>
  <sheetViews>
    <sheetView workbookViewId="0">
      <selection activeCell="C82" sqref="C82"/>
    </sheetView>
  </sheetViews>
  <sheetFormatPr defaultColWidth="8.85546875" defaultRowHeight="15"/>
  <cols>
    <col min="1" max="1" width="70.7109375" style="599" customWidth="1"/>
    <col min="2" max="2" width="30.7109375" style="599" customWidth="1"/>
    <col min="3" max="3" width="100.7109375" style="599" customWidth="1"/>
    <col min="4" max="4" width="200.7109375" style="601" customWidth="1"/>
    <col min="5" max="16384" width="8.85546875" style="599"/>
  </cols>
  <sheetData>
    <row r="1" spans="1:4" s="600" customFormat="1" ht="15.75" thickBot="1">
      <c r="A1" s="602" t="s">
        <v>1424</v>
      </c>
      <c r="B1" s="602" t="s">
        <v>1425</v>
      </c>
      <c r="C1" s="602" t="s">
        <v>1426</v>
      </c>
      <c r="D1" s="602" t="s">
        <v>1427</v>
      </c>
    </row>
    <row r="2" spans="1:4" s="601" customFormat="1">
      <c r="A2" s="726" t="s">
        <v>202</v>
      </c>
      <c r="B2" s="727" t="s">
        <v>1347</v>
      </c>
      <c r="C2" s="727" t="s">
        <v>1428</v>
      </c>
      <c r="D2" s="728" t="s">
        <v>45</v>
      </c>
    </row>
    <row r="3" spans="1:4" s="601" customFormat="1" ht="90">
      <c r="A3" s="729" t="s">
        <v>1429</v>
      </c>
      <c r="B3" s="730" t="s">
        <v>1348</v>
      </c>
      <c r="C3" s="731" t="s">
        <v>1430</v>
      </c>
      <c r="D3" s="732" t="s">
        <v>1431</v>
      </c>
    </row>
    <row r="4" spans="1:4" s="601" customFormat="1" ht="210" customHeight="1" thickBot="1">
      <c r="A4" s="733" t="s">
        <v>1432</v>
      </c>
      <c r="B4" s="734" t="s">
        <v>1349</v>
      </c>
      <c r="C4" s="735" t="s">
        <v>1433</v>
      </c>
      <c r="D4" s="736" t="s">
        <v>1434</v>
      </c>
    </row>
    <row r="5" spans="1:4" s="601" customFormat="1">
      <c r="A5" s="737" t="s">
        <v>198</v>
      </c>
      <c r="B5" s="738" t="s">
        <v>1350</v>
      </c>
      <c r="C5" s="738" t="s">
        <v>1435</v>
      </c>
      <c r="D5" s="739" t="s">
        <v>45</v>
      </c>
    </row>
    <row r="6" spans="1:4" s="601" customFormat="1" ht="15.75" thickBot="1">
      <c r="A6" s="733" t="s">
        <v>199</v>
      </c>
      <c r="B6" s="734" t="s">
        <v>1351</v>
      </c>
      <c r="C6" s="734" t="s">
        <v>1436</v>
      </c>
      <c r="D6" s="603" t="s">
        <v>1437</v>
      </c>
    </row>
    <row r="7" spans="1:4" s="601" customFormat="1">
      <c r="A7" s="726" t="s">
        <v>255</v>
      </c>
      <c r="B7" s="727" t="s">
        <v>1352</v>
      </c>
      <c r="C7" s="727" t="s">
        <v>1438</v>
      </c>
      <c r="D7" s="728" t="s">
        <v>45</v>
      </c>
    </row>
    <row r="8" spans="1:4" s="601" customFormat="1" ht="15.75" thickBot="1">
      <c r="A8" s="733" t="s">
        <v>366</v>
      </c>
      <c r="B8" s="734" t="s">
        <v>1353</v>
      </c>
      <c r="C8" s="734" t="s">
        <v>1436</v>
      </c>
      <c r="D8" s="603" t="s">
        <v>1437</v>
      </c>
    </row>
    <row r="9" spans="1:4" s="601" customFormat="1" ht="15.75" thickBot="1">
      <c r="A9" s="740" t="s">
        <v>356</v>
      </c>
      <c r="B9" s="741" t="s">
        <v>1354</v>
      </c>
      <c r="C9" s="741" t="s">
        <v>1439</v>
      </c>
      <c r="D9" s="742" t="s">
        <v>45</v>
      </c>
    </row>
    <row r="10" spans="1:4" s="601" customFormat="1">
      <c r="A10" s="726" t="s">
        <v>161</v>
      </c>
      <c r="B10" s="727" t="s">
        <v>1355</v>
      </c>
      <c r="C10" s="727" t="s">
        <v>1440</v>
      </c>
      <c r="D10" s="728" t="s">
        <v>45</v>
      </c>
    </row>
    <row r="11" spans="1:4" s="601" customFormat="1" ht="15.75" thickBot="1">
      <c r="A11" s="733" t="s">
        <v>170</v>
      </c>
      <c r="B11" s="734" t="s">
        <v>1356</v>
      </c>
      <c r="C11" s="743" t="s">
        <v>1436</v>
      </c>
      <c r="D11" s="744" t="s">
        <v>1437</v>
      </c>
    </row>
    <row r="12" spans="1:4" s="601" customFormat="1" ht="15.75" thickBot="1">
      <c r="A12" s="745" t="s">
        <v>358</v>
      </c>
      <c r="B12" s="746" t="s">
        <v>1357</v>
      </c>
      <c r="C12" s="746" t="s">
        <v>1441</v>
      </c>
      <c r="D12" s="747" t="s">
        <v>45</v>
      </c>
    </row>
    <row r="13" spans="1:4" s="601" customFormat="1">
      <c r="A13" s="726" t="s">
        <v>194</v>
      </c>
      <c r="B13" s="727" t="s">
        <v>1358</v>
      </c>
      <c r="C13" s="727" t="s">
        <v>1442</v>
      </c>
      <c r="D13" s="728" t="s">
        <v>45</v>
      </c>
    </row>
    <row r="14" spans="1:4" s="601" customFormat="1" ht="15.75" thickBot="1">
      <c r="A14" s="748" t="s">
        <v>195</v>
      </c>
      <c r="B14" s="749" t="s">
        <v>1359</v>
      </c>
      <c r="C14" s="734" t="s">
        <v>1436</v>
      </c>
      <c r="D14" s="603" t="s">
        <v>1437</v>
      </c>
    </row>
    <row r="15" spans="1:4" s="601" customFormat="1">
      <c r="A15" s="726" t="s">
        <v>179</v>
      </c>
      <c r="B15" s="727" t="s">
        <v>1360</v>
      </c>
      <c r="C15" s="727" t="s">
        <v>1443</v>
      </c>
      <c r="D15" s="728" t="s">
        <v>45</v>
      </c>
    </row>
    <row r="16" spans="1:4" s="601" customFormat="1" ht="15.75" thickBot="1">
      <c r="A16" s="733" t="s">
        <v>180</v>
      </c>
      <c r="B16" s="734" t="s">
        <v>1361</v>
      </c>
      <c r="C16" s="743" t="s">
        <v>1436</v>
      </c>
      <c r="D16" s="744" t="s">
        <v>1437</v>
      </c>
    </row>
    <row r="17" spans="1:4" s="601" customFormat="1" ht="15.75" thickBot="1">
      <c r="A17" s="740" t="s">
        <v>251</v>
      </c>
      <c r="B17" s="741" t="s">
        <v>1444</v>
      </c>
      <c r="C17" s="741" t="s">
        <v>1445</v>
      </c>
      <c r="D17" s="742" t="s">
        <v>45</v>
      </c>
    </row>
    <row r="18" spans="1:4" s="601" customFormat="1">
      <c r="A18" s="726" t="s">
        <v>360</v>
      </c>
      <c r="B18" s="727" t="s">
        <v>1363</v>
      </c>
      <c r="C18" s="727" t="s">
        <v>1446</v>
      </c>
      <c r="D18" s="728" t="s">
        <v>45</v>
      </c>
    </row>
    <row r="19" spans="1:4" s="601" customFormat="1" ht="15.75" thickBot="1">
      <c r="A19" s="733" t="s">
        <v>370</v>
      </c>
      <c r="B19" s="734" t="s">
        <v>1364</v>
      </c>
      <c r="C19" s="734" t="s">
        <v>1436</v>
      </c>
      <c r="D19" s="603" t="s">
        <v>1437</v>
      </c>
    </row>
    <row r="20" spans="1:4" s="601" customFormat="1">
      <c r="A20" s="750" t="s">
        <v>488</v>
      </c>
      <c r="B20" s="751" t="s">
        <v>1365</v>
      </c>
      <c r="C20" s="751" t="s">
        <v>1447</v>
      </c>
      <c r="D20" s="604" t="s">
        <v>1448</v>
      </c>
    </row>
    <row r="21" spans="1:4" s="601" customFormat="1">
      <c r="A21" s="752" t="s">
        <v>486</v>
      </c>
      <c r="B21" s="753" t="s">
        <v>1366</v>
      </c>
      <c r="C21" s="753" t="s">
        <v>1436</v>
      </c>
      <c r="D21" s="605" t="s">
        <v>1437</v>
      </c>
    </row>
    <row r="22" spans="1:4" s="601" customFormat="1">
      <c r="A22" s="729" t="s">
        <v>481</v>
      </c>
      <c r="B22" s="730" t="s">
        <v>1367</v>
      </c>
      <c r="C22" s="730" t="s">
        <v>1449</v>
      </c>
      <c r="D22" s="606" t="s">
        <v>1450</v>
      </c>
    </row>
    <row r="23" spans="1:4" s="601" customFormat="1" ht="15.75" thickBot="1">
      <c r="A23" s="733" t="s">
        <v>479</v>
      </c>
      <c r="B23" s="734" t="s">
        <v>1368</v>
      </c>
      <c r="C23" s="734" t="s">
        <v>1436</v>
      </c>
      <c r="D23" s="603" t="s">
        <v>1437</v>
      </c>
    </row>
    <row r="24" spans="1:4" s="601" customFormat="1">
      <c r="A24" s="750" t="s">
        <v>578</v>
      </c>
      <c r="B24" s="751" t="s">
        <v>1369</v>
      </c>
      <c r="C24" s="751" t="s">
        <v>1451</v>
      </c>
      <c r="D24" s="604" t="s">
        <v>1448</v>
      </c>
    </row>
    <row r="25" spans="1:4" s="601" customFormat="1">
      <c r="A25" s="752" t="s">
        <v>577</v>
      </c>
      <c r="B25" s="753" t="s">
        <v>1370</v>
      </c>
      <c r="C25" s="753" t="s">
        <v>1436</v>
      </c>
      <c r="D25" s="605" t="s">
        <v>1437</v>
      </c>
    </row>
    <row r="26" spans="1:4" s="601" customFormat="1">
      <c r="A26" s="729" t="s">
        <v>575</v>
      </c>
      <c r="B26" s="730" t="s">
        <v>1371</v>
      </c>
      <c r="C26" s="730" t="s">
        <v>1452</v>
      </c>
      <c r="D26" s="606" t="s">
        <v>1453</v>
      </c>
    </row>
    <row r="27" spans="1:4" s="601" customFormat="1" ht="15.75" thickBot="1">
      <c r="A27" s="729" t="s">
        <v>574</v>
      </c>
      <c r="B27" s="730" t="s">
        <v>1372</v>
      </c>
      <c r="C27" s="730" t="s">
        <v>1436</v>
      </c>
      <c r="D27" s="607" t="s">
        <v>1437</v>
      </c>
    </row>
    <row r="28" spans="1:4" s="601" customFormat="1">
      <c r="A28" s="752" t="s">
        <v>502</v>
      </c>
      <c r="B28" s="753" t="s">
        <v>1373</v>
      </c>
      <c r="C28" s="751" t="s">
        <v>1454</v>
      </c>
      <c r="D28" s="604" t="s">
        <v>1448</v>
      </c>
    </row>
    <row r="29" spans="1:4" s="601" customFormat="1">
      <c r="A29" s="752" t="s">
        <v>501</v>
      </c>
      <c r="B29" s="753" t="s">
        <v>1374</v>
      </c>
      <c r="C29" s="753" t="s">
        <v>1436</v>
      </c>
      <c r="D29" s="605" t="s">
        <v>1437</v>
      </c>
    </row>
    <row r="30" spans="1:4" s="601" customFormat="1">
      <c r="A30" s="729" t="s">
        <v>499</v>
      </c>
      <c r="B30" s="730" t="s">
        <v>1375</v>
      </c>
      <c r="C30" s="730" t="s">
        <v>1455</v>
      </c>
      <c r="D30" s="606" t="s">
        <v>1453</v>
      </c>
    </row>
    <row r="31" spans="1:4" s="601" customFormat="1" ht="15.75" thickBot="1">
      <c r="A31" s="733" t="s">
        <v>498</v>
      </c>
      <c r="B31" s="734" t="s">
        <v>1376</v>
      </c>
      <c r="C31" s="734" t="s">
        <v>1436</v>
      </c>
      <c r="D31" s="603" t="s">
        <v>1437</v>
      </c>
    </row>
    <row r="32" spans="1:4" s="601" customFormat="1">
      <c r="A32" s="750" t="s">
        <v>627</v>
      </c>
      <c r="B32" s="751" t="s">
        <v>1377</v>
      </c>
      <c r="C32" s="751" t="s">
        <v>1456</v>
      </c>
      <c r="D32" s="604" t="s">
        <v>1448</v>
      </c>
    </row>
    <row r="33" spans="1:4" s="601" customFormat="1">
      <c r="A33" s="752" t="s">
        <v>626</v>
      </c>
      <c r="B33" s="753" t="s">
        <v>1378</v>
      </c>
      <c r="C33" s="753" t="s">
        <v>1436</v>
      </c>
      <c r="D33" s="605" t="s">
        <v>1437</v>
      </c>
    </row>
    <row r="34" spans="1:4" s="601" customFormat="1">
      <c r="A34" s="729" t="s">
        <v>624</v>
      </c>
      <c r="B34" s="730" t="s">
        <v>1379</v>
      </c>
      <c r="C34" s="730" t="s">
        <v>1457</v>
      </c>
      <c r="D34" s="606" t="s">
        <v>1458</v>
      </c>
    </row>
    <row r="35" spans="1:4" s="601" customFormat="1">
      <c r="A35" s="729" t="s">
        <v>623</v>
      </c>
      <c r="B35" s="730" t="s">
        <v>1380</v>
      </c>
      <c r="C35" s="730" t="s">
        <v>1436</v>
      </c>
      <c r="D35" s="607" t="s">
        <v>1437</v>
      </c>
    </row>
    <row r="36" spans="1:4" s="601" customFormat="1">
      <c r="A36" s="752" t="s">
        <v>554</v>
      </c>
      <c r="B36" s="753" t="s">
        <v>1381</v>
      </c>
      <c r="C36" s="753" t="s">
        <v>1456</v>
      </c>
      <c r="D36" s="608" t="s">
        <v>1448</v>
      </c>
    </row>
    <row r="37" spans="1:4" s="601" customFormat="1">
      <c r="A37" s="752" t="s">
        <v>553</v>
      </c>
      <c r="B37" s="753" t="s">
        <v>1382</v>
      </c>
      <c r="C37" s="753" t="s">
        <v>1436</v>
      </c>
      <c r="D37" s="605" t="s">
        <v>1437</v>
      </c>
    </row>
    <row r="38" spans="1:4" s="601" customFormat="1">
      <c r="A38" s="729" t="s">
        <v>551</v>
      </c>
      <c r="B38" s="730" t="s">
        <v>1383</v>
      </c>
      <c r="C38" s="730" t="s">
        <v>1457</v>
      </c>
      <c r="D38" s="606" t="s">
        <v>1458</v>
      </c>
    </row>
    <row r="39" spans="1:4" s="601" customFormat="1" ht="15.75" thickBot="1">
      <c r="A39" s="748" t="s">
        <v>550</v>
      </c>
      <c r="B39" s="749" t="s">
        <v>1384</v>
      </c>
      <c r="C39" s="749" t="s">
        <v>1436</v>
      </c>
      <c r="D39" s="609" t="s">
        <v>1437</v>
      </c>
    </row>
    <row r="40" spans="1:4" s="601" customFormat="1">
      <c r="A40" s="750" t="s">
        <v>563</v>
      </c>
      <c r="B40" s="751" t="s">
        <v>1385</v>
      </c>
      <c r="C40" s="751" t="s">
        <v>1459</v>
      </c>
      <c r="D40" s="604" t="s">
        <v>1460</v>
      </c>
    </row>
    <row r="41" spans="1:4" s="601" customFormat="1">
      <c r="A41" s="752" t="s">
        <v>562</v>
      </c>
      <c r="B41" s="753" t="s">
        <v>1386</v>
      </c>
      <c r="C41" s="753" t="s">
        <v>1436</v>
      </c>
      <c r="D41" s="605" t="s">
        <v>1437</v>
      </c>
    </row>
    <row r="42" spans="1:4" s="601" customFormat="1">
      <c r="A42" s="729" t="s">
        <v>560</v>
      </c>
      <c r="B42" s="730" t="s">
        <v>1387</v>
      </c>
      <c r="C42" s="730" t="s">
        <v>1461</v>
      </c>
      <c r="D42" s="608" t="s">
        <v>1460</v>
      </c>
    </row>
    <row r="43" spans="1:4" s="601" customFormat="1" ht="15.75" thickBot="1">
      <c r="A43" s="748" t="s">
        <v>559</v>
      </c>
      <c r="B43" s="749" t="s">
        <v>1388</v>
      </c>
      <c r="C43" s="749" t="s">
        <v>1436</v>
      </c>
      <c r="D43" s="609" t="s">
        <v>1437</v>
      </c>
    </row>
    <row r="44" spans="1:4" s="601" customFormat="1">
      <c r="A44" s="750" t="s">
        <v>618</v>
      </c>
      <c r="B44" s="751" t="s">
        <v>1389</v>
      </c>
      <c r="C44" s="751" t="s">
        <v>1462</v>
      </c>
      <c r="D44" s="610" t="s">
        <v>1437</v>
      </c>
    </row>
    <row r="45" spans="1:4" s="601" customFormat="1">
      <c r="A45" s="752" t="s">
        <v>617</v>
      </c>
      <c r="B45" s="753" t="s">
        <v>1390</v>
      </c>
      <c r="C45" s="753" t="s">
        <v>1436</v>
      </c>
      <c r="D45" s="605" t="s">
        <v>1437</v>
      </c>
    </row>
    <row r="46" spans="1:4" s="601" customFormat="1">
      <c r="A46" s="729" t="s">
        <v>616</v>
      </c>
      <c r="B46" s="730" t="s">
        <v>1391</v>
      </c>
      <c r="C46" s="730" t="s">
        <v>1463</v>
      </c>
      <c r="D46" s="607" t="s">
        <v>1437</v>
      </c>
    </row>
    <row r="47" spans="1:4" s="601" customFormat="1">
      <c r="A47" s="729" t="s">
        <v>615</v>
      </c>
      <c r="B47" s="730" t="s">
        <v>1392</v>
      </c>
      <c r="C47" s="730" t="s">
        <v>1436</v>
      </c>
      <c r="D47" s="607" t="s">
        <v>1437</v>
      </c>
    </row>
    <row r="48" spans="1:4" s="601" customFormat="1">
      <c r="A48" s="752" t="s">
        <v>543</v>
      </c>
      <c r="B48" s="753" t="s">
        <v>1393</v>
      </c>
      <c r="C48" s="753" t="s">
        <v>1464</v>
      </c>
      <c r="D48" s="754" t="s">
        <v>1437</v>
      </c>
    </row>
    <row r="49" spans="1:4" s="601" customFormat="1">
      <c r="A49" s="752" t="s">
        <v>542</v>
      </c>
      <c r="B49" s="753" t="s">
        <v>1394</v>
      </c>
      <c r="C49" s="753" t="s">
        <v>1436</v>
      </c>
      <c r="D49" s="605" t="s">
        <v>1437</v>
      </c>
    </row>
    <row r="50" spans="1:4" s="601" customFormat="1">
      <c r="A50" s="729" t="s">
        <v>540</v>
      </c>
      <c r="B50" s="730" t="s">
        <v>1395</v>
      </c>
      <c r="C50" s="730" t="s">
        <v>1462</v>
      </c>
      <c r="D50" s="755" t="s">
        <v>1437</v>
      </c>
    </row>
    <row r="51" spans="1:4" s="601" customFormat="1" ht="15.75" thickBot="1">
      <c r="A51" s="733" t="s">
        <v>539</v>
      </c>
      <c r="B51" s="734" t="s">
        <v>1396</v>
      </c>
      <c r="C51" s="734" t="s">
        <v>1436</v>
      </c>
      <c r="D51" s="603" t="s">
        <v>1437</v>
      </c>
    </row>
    <row r="52" spans="1:4" s="601" customFormat="1">
      <c r="A52" s="726" t="s">
        <v>467</v>
      </c>
      <c r="B52" s="727" t="s">
        <v>1397</v>
      </c>
      <c r="C52" s="727" t="s">
        <v>1465</v>
      </c>
      <c r="D52" s="755" t="s">
        <v>1466</v>
      </c>
    </row>
    <row r="53" spans="1:4" s="601" customFormat="1">
      <c r="A53" s="729" t="s">
        <v>465</v>
      </c>
      <c r="B53" s="730" t="s">
        <v>1398</v>
      </c>
      <c r="C53" s="730" t="s">
        <v>1436</v>
      </c>
      <c r="D53" s="607" t="s">
        <v>1437</v>
      </c>
    </row>
    <row r="54" spans="1:4" s="601" customFormat="1">
      <c r="A54" s="729" t="s">
        <v>471</v>
      </c>
      <c r="B54" s="730" t="s">
        <v>1399</v>
      </c>
      <c r="C54" s="730" t="s">
        <v>1467</v>
      </c>
      <c r="D54" s="755" t="s">
        <v>1466</v>
      </c>
    </row>
    <row r="55" spans="1:4" s="601" customFormat="1" ht="15.75" thickBot="1">
      <c r="A55" s="733" t="s">
        <v>469</v>
      </c>
      <c r="B55" s="734" t="s">
        <v>1400</v>
      </c>
      <c r="C55" s="734" t="s">
        <v>1436</v>
      </c>
      <c r="D55" s="603" t="s">
        <v>1437</v>
      </c>
    </row>
    <row r="56" spans="1:4" s="601" customFormat="1">
      <c r="A56" s="750" t="s">
        <v>609</v>
      </c>
      <c r="B56" s="751" t="s">
        <v>1401</v>
      </c>
      <c r="C56" s="751" t="s">
        <v>1468</v>
      </c>
      <c r="D56" s="604" t="s">
        <v>1469</v>
      </c>
    </row>
    <row r="57" spans="1:4" s="601" customFormat="1">
      <c r="A57" s="752" t="s">
        <v>608</v>
      </c>
      <c r="B57" s="753" t="s">
        <v>1402</v>
      </c>
      <c r="C57" s="753" t="s">
        <v>1436</v>
      </c>
      <c r="D57" s="605" t="s">
        <v>1437</v>
      </c>
    </row>
    <row r="58" spans="1:4" s="601" customFormat="1">
      <c r="A58" s="729" t="s">
        <v>602</v>
      </c>
      <c r="B58" s="730" t="s">
        <v>1403</v>
      </c>
      <c r="C58" s="730" t="s">
        <v>1470</v>
      </c>
      <c r="D58" s="606" t="s">
        <v>1469</v>
      </c>
    </row>
    <row r="59" spans="1:4" s="601" customFormat="1">
      <c r="A59" s="729" t="s">
        <v>601</v>
      </c>
      <c r="B59" s="730" t="s">
        <v>1404</v>
      </c>
      <c r="C59" s="730" t="s">
        <v>1436</v>
      </c>
      <c r="D59" s="607" t="s">
        <v>1437</v>
      </c>
    </row>
    <row r="60" spans="1:4" s="601" customFormat="1">
      <c r="A60" s="752" t="s">
        <v>532</v>
      </c>
      <c r="B60" s="753" t="s">
        <v>1405</v>
      </c>
      <c r="C60" s="753" t="s">
        <v>1471</v>
      </c>
      <c r="D60" s="608" t="s">
        <v>1469</v>
      </c>
    </row>
    <row r="61" spans="1:4" s="601" customFormat="1">
      <c r="A61" s="752" t="s">
        <v>531</v>
      </c>
      <c r="B61" s="753" t="s">
        <v>1406</v>
      </c>
      <c r="C61" s="753" t="s">
        <v>1436</v>
      </c>
      <c r="D61" s="605" t="s">
        <v>1437</v>
      </c>
    </row>
    <row r="62" spans="1:4" s="601" customFormat="1">
      <c r="A62" s="729" t="s">
        <v>529</v>
      </c>
      <c r="B62" s="730" t="s">
        <v>1407</v>
      </c>
      <c r="C62" s="730" t="s">
        <v>1472</v>
      </c>
      <c r="D62" s="606" t="s">
        <v>1469</v>
      </c>
    </row>
    <row r="63" spans="1:4" s="601" customFormat="1" ht="15.75" thickBot="1">
      <c r="A63" s="733" t="s">
        <v>528</v>
      </c>
      <c r="B63" s="734" t="s">
        <v>1408</v>
      </c>
      <c r="C63" s="734" t="s">
        <v>1436</v>
      </c>
      <c r="D63" s="603" t="s">
        <v>1437</v>
      </c>
    </row>
    <row r="64" spans="1:4" s="601" customFormat="1" ht="30">
      <c r="A64" s="750" t="s">
        <v>594</v>
      </c>
      <c r="B64" s="751" t="s">
        <v>1409</v>
      </c>
      <c r="C64" s="756" t="s">
        <v>1473</v>
      </c>
      <c r="D64" s="604" t="s">
        <v>1469</v>
      </c>
    </row>
    <row r="65" spans="1:4" s="601" customFormat="1">
      <c r="A65" s="752" t="s">
        <v>593</v>
      </c>
      <c r="B65" s="753" t="s">
        <v>1410</v>
      </c>
      <c r="C65" s="753" t="s">
        <v>1436</v>
      </c>
      <c r="D65" s="605" t="s">
        <v>1437</v>
      </c>
    </row>
    <row r="66" spans="1:4" s="601" customFormat="1" ht="30">
      <c r="A66" s="729" t="s">
        <v>591</v>
      </c>
      <c r="B66" s="730" t="s">
        <v>1411</v>
      </c>
      <c r="C66" s="731" t="s">
        <v>1474</v>
      </c>
      <c r="D66" s="606" t="s">
        <v>1469</v>
      </c>
    </row>
    <row r="67" spans="1:4" s="601" customFormat="1">
      <c r="A67" s="729" t="s">
        <v>589</v>
      </c>
      <c r="B67" s="730" t="s">
        <v>1412</v>
      </c>
      <c r="C67" s="730" t="s">
        <v>1436</v>
      </c>
      <c r="D67" s="607" t="s">
        <v>1437</v>
      </c>
    </row>
    <row r="68" spans="1:4" s="601" customFormat="1" ht="30">
      <c r="A68" s="752" t="s">
        <v>518</v>
      </c>
      <c r="B68" s="753" t="s">
        <v>1413</v>
      </c>
      <c r="C68" s="757" t="s">
        <v>1475</v>
      </c>
      <c r="D68" s="608" t="s">
        <v>1469</v>
      </c>
    </row>
    <row r="69" spans="1:4" s="601" customFormat="1">
      <c r="A69" s="752" t="s">
        <v>517</v>
      </c>
      <c r="B69" s="753" t="s">
        <v>1414</v>
      </c>
      <c r="C69" s="753" t="s">
        <v>1436</v>
      </c>
      <c r="D69" s="605" t="s">
        <v>1437</v>
      </c>
    </row>
    <row r="70" spans="1:4" s="601" customFormat="1" ht="30">
      <c r="A70" s="729" t="s">
        <v>515</v>
      </c>
      <c r="B70" s="730" t="s">
        <v>1415</v>
      </c>
      <c r="C70" s="731" t="s">
        <v>1476</v>
      </c>
      <c r="D70" s="606" t="s">
        <v>1469</v>
      </c>
    </row>
    <row r="71" spans="1:4" s="601" customFormat="1">
      <c r="A71" s="748" t="s">
        <v>514</v>
      </c>
      <c r="B71" s="749" t="s">
        <v>1416</v>
      </c>
      <c r="C71" s="749" t="s">
        <v>1436</v>
      </c>
      <c r="D71" s="609" t="s">
        <v>1437</v>
      </c>
    </row>
    <row r="72" spans="1:4" s="903" customFormat="1">
      <c r="A72" s="905" t="s">
        <v>321</v>
      </c>
      <c r="B72" s="906" t="s">
        <v>1346</v>
      </c>
      <c r="C72" s="906" t="s">
        <v>1477</v>
      </c>
      <c r="D72" s="907" t="s">
        <v>1478</v>
      </c>
    </row>
    <row r="73" spans="1:4" s="903" customFormat="1" ht="15.75" thickBot="1">
      <c r="A73" s="908" t="s">
        <v>322</v>
      </c>
      <c r="B73" s="909" t="s">
        <v>1345</v>
      </c>
      <c r="C73" s="909" t="s">
        <v>1479</v>
      </c>
      <c r="D73" s="910" t="s">
        <v>1480</v>
      </c>
    </row>
    <row r="74" spans="1:4">
      <c r="A74" s="227" t="s">
        <v>1043</v>
      </c>
      <c r="B74" s="227" t="s">
        <v>1340</v>
      </c>
      <c r="C74" s="912" t="s">
        <v>1481</v>
      </c>
      <c r="D74" s="913" t="s">
        <v>45</v>
      </c>
    </row>
    <row r="75" spans="1:4">
      <c r="A75" s="891" t="s">
        <v>1048</v>
      </c>
      <c r="B75" s="891" t="s">
        <v>1058</v>
      </c>
      <c r="C75" s="911" t="s">
        <v>1482</v>
      </c>
      <c r="D75" s="738" t="s">
        <v>1437</v>
      </c>
    </row>
    <row r="76" spans="1:4" s="903" customFormat="1">
      <c r="A76" s="904" t="s">
        <v>1049</v>
      </c>
      <c r="B76" s="904" t="s">
        <v>1339</v>
      </c>
      <c r="C76" s="906" t="s">
        <v>1483</v>
      </c>
      <c r="D76" s="902" t="s">
        <v>45</v>
      </c>
    </row>
    <row r="77" spans="1:4" s="903" customFormat="1">
      <c r="A77" s="904" t="s">
        <v>1047</v>
      </c>
      <c r="B77" s="904" t="s">
        <v>1063</v>
      </c>
      <c r="C77" s="906" t="s">
        <v>1484</v>
      </c>
      <c r="D77" s="914" t="s">
        <v>1437</v>
      </c>
    </row>
    <row r="79" spans="1:4">
      <c r="A79"/>
      <c r="B79"/>
      <c r="C79"/>
      <c r="D79"/>
    </row>
  </sheetData>
  <hyperlinks>
    <hyperlink ref="D30" r:id="rId1" xr:uid="{B26EF0B2-4B4F-42BC-8E1C-4FC0BA34A0C9}"/>
    <hyperlink ref="D26" r:id="rId2" xr:uid="{2EADB0CF-90BA-4E7C-9410-4838676961CF}"/>
    <hyperlink ref="D56" r:id="rId3" xr:uid="{B386FA9C-CB59-4AE7-8853-2470FFA7F742}"/>
    <hyperlink ref="D58" r:id="rId4" xr:uid="{9DF210C6-4BC4-4AD8-9514-0E23F296AA6C}"/>
    <hyperlink ref="D60" r:id="rId5" xr:uid="{71DCC544-0AF1-4318-9DCA-E1B1A62C5692}"/>
    <hyperlink ref="D62" r:id="rId6" xr:uid="{E95CB3CD-4F24-41B7-A5C0-A2931DADCEDD}"/>
    <hyperlink ref="D64" r:id="rId7" xr:uid="{DBDBBF85-6E7F-44CC-9CED-A375BE7F49AC}"/>
    <hyperlink ref="D66" r:id="rId8" xr:uid="{BD59FC2D-9BD7-41EE-B693-AB1AB7AA24FB}"/>
    <hyperlink ref="D68" r:id="rId9" xr:uid="{329A667B-9875-4D21-808D-4FFB5820EFF1}"/>
    <hyperlink ref="D70" r:id="rId10" xr:uid="{6F4475A9-96FF-4B32-B39F-23C06564BA1A}"/>
    <hyperlink ref="D22" r:id="rId11" xr:uid="{ACC5F4E4-47AF-4900-9B8C-EE301DB1DD0A}"/>
    <hyperlink ref="D34" r:id="rId12" xr:uid="{42B113BA-9C6E-4AAE-948B-E14C08443591}"/>
    <hyperlink ref="D38" r:id="rId13" xr:uid="{6641C875-06B7-4B94-B4F8-8810BCCA8D09}"/>
    <hyperlink ref="D20" r:id="rId14" xr:uid="{01594652-8736-4D3F-BEA9-BAB1B05CA7EC}"/>
    <hyperlink ref="D24" r:id="rId15" xr:uid="{DEFA5388-9F05-469F-8E49-60D39597D50B}"/>
    <hyperlink ref="D28" r:id="rId16" xr:uid="{A4C86924-5D7E-48DC-B8EE-5F71D479FE76}"/>
    <hyperlink ref="D40" r:id="rId17" display="https://woodmodo.com/blogs/style-blog/how-long-does-wood-furniture-last-a-comprehensive-guide" xr:uid="{69B8F3E5-D4E0-43FE-9FF4-A7E8F8AEA7FD}"/>
    <hyperlink ref="D42" r:id="rId18" display="https://woodmodo.com/blogs/style-blog/how-long-does-wood-furniture-last-a-comprehensive-guide" xr:uid="{708F31AF-4AB5-4AD1-A187-0597DD932F4A}"/>
  </hyperlinks>
  <pageMargins left="0.7" right="0.7" top="0.75" bottom="0.75" header="0.3" footer="0.3"/>
  <pageSetup orientation="portrait" r:id="rId19"/>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140FB-1C2B-4C64-903E-4B2EB04F7F3C}">
  <sheetPr>
    <tabColor rgb="FF92D050"/>
  </sheetPr>
  <dimension ref="A1:K626"/>
  <sheetViews>
    <sheetView zoomScale="80" zoomScaleNormal="80" zoomScaleSheetLayoutView="104" workbookViewId="0">
      <selection activeCell="J202" sqref="J202"/>
    </sheetView>
  </sheetViews>
  <sheetFormatPr defaultRowHeight="15"/>
  <cols>
    <col min="1" max="1" width="50.7109375" style="17" customWidth="1"/>
    <col min="2" max="2" width="20.7109375" customWidth="1"/>
    <col min="3" max="3" width="50.7109375" customWidth="1"/>
    <col min="4" max="4" width="80.7109375" customWidth="1"/>
    <col min="5" max="5" width="5.7109375" customWidth="1"/>
    <col min="6" max="9" width="60.7109375" customWidth="1"/>
    <col min="10" max="10" width="65.28515625" bestFit="1" customWidth="1"/>
  </cols>
  <sheetData>
    <row r="1" spans="1:11" ht="30" customHeight="1" thickBot="1">
      <c r="A1" s="144" t="s">
        <v>1485</v>
      </c>
      <c r="B1" s="65" t="s">
        <v>1486</v>
      </c>
      <c r="C1" s="65" t="s">
        <v>1487</v>
      </c>
      <c r="D1" s="145" t="s">
        <v>1488</v>
      </c>
      <c r="F1" s="594" t="s">
        <v>1489</v>
      </c>
      <c r="G1" s="1097" t="s">
        <v>1490</v>
      </c>
      <c r="H1" s="1098"/>
      <c r="I1" s="593" t="s">
        <v>1491</v>
      </c>
      <c r="J1" s="593" t="s">
        <v>1491</v>
      </c>
      <c r="K1" s="593"/>
    </row>
    <row r="2" spans="1:11" ht="15.75" thickBot="1">
      <c r="A2" s="73" t="str" cm="1">
        <f t="array" ref="A2:A241">_xlfn._xlws.FILTER(_xlfn.UNIQUE(I3:I462),ISTEXT(_xlfn.UNIQUE(I3:I462)))</f>
        <v>Agriculture</v>
      </c>
      <c r="B2" s="448" t="str">
        <f>IFERROR(VLOOKUP(A2,'Compartments_Kawecki&amp;Nowack19'!A:C,2,FALSE), IFERROR(VLOOKUP(A2,Compartments_Added!A:C,2,FALSE), "Not found"))</f>
        <v>Flow</v>
      </c>
      <c r="C2" s="448" t="str">
        <f>IFERROR(VLOOKUP(A2,'Compartments_Kawecki&amp;Nowack19'!A:C,3,FALSE), IFERROR(VLOOKUP(A2,Compartments_Added!A:C,3,FALSE), "Not found"))</f>
        <v>Agriculture</v>
      </c>
      <c r="D2" s="95" t="str">
        <f>IFERROR(IF(VLOOKUP(A2,'Compartments_Kawecki&amp;Nowack19'!A:C,1,FALSE)=A2, "Kawecki","what?"),"Added/changed")</f>
        <v>Kawecki</v>
      </c>
      <c r="F2" s="48" t="str" cm="1">
        <f t="array" ref="F2:F13">_xlfn.UNIQUE(_xlfn._xlws.FILTER(Input_NL!A:A, Input_NL!A:A &lt;&gt; ""))</f>
        <v>Compartment</v>
      </c>
      <c r="G2" s="32" t="str" cm="1">
        <f t="array" ref="G2:G223">_xlfn.UNIQUE(_xlfn._xlws.FILTER('Transfer coefficients'!A:A,'Transfer coefficients'!A:A &lt;&gt; ""))</f>
        <v>From</v>
      </c>
      <c r="H2" s="32" t="str" cm="1">
        <f t="array" ref="H2:H232">_xlfn.UNIQUE(_xlfn._xlws.FILTER('Transfer coefficients'!B:B,'Transfer coefficients'!B:B &lt;&gt; ""))</f>
        <v>To</v>
      </c>
      <c r="I2" s="32" t="s">
        <v>1034</v>
      </c>
      <c r="J2" t="s">
        <v>1492</v>
      </c>
      <c r="K2" s="32"/>
    </row>
    <row r="3" spans="1:11" ht="15.75" thickBot="1">
      <c r="A3" s="74" t="str">
        <v>Clothing (product sector)</v>
      </c>
      <c r="B3" s="340" t="str">
        <f>IFERROR(VLOOKUP(A3,'Compartments_Kawecki&amp;Nowack19'!A:C,2,FALSE), IFERROR(VLOOKUP(A3,Compartments_Added!A:C,2,FALSE), "Not found"))</f>
        <v>Flow</v>
      </c>
      <c r="C3" s="340" t="str">
        <f>IFERROR(VLOOKUP(A3,'Compartments_Kawecki&amp;Nowack19'!A:C,3,FALSE), IFERROR(VLOOKUP(A3,Compartments_Added!A:C,3,FALSE), "Not found"))</f>
        <v>ClothingProdSec</v>
      </c>
      <c r="D3" s="95" t="str">
        <f>IFERROR(IF(VLOOKUP(A3,'Compartments_Kawecki&amp;Nowack19'!A:C,1,FALSE)=A3, "Kawecki","what?"),"Added/changed")</f>
        <v>Kawecki</v>
      </c>
      <c r="F3" s="73" t="str">
        <v>Agriculture</v>
      </c>
      <c r="G3" s="444" t="str">
        <v>Agriculture</v>
      </c>
      <c r="H3" s="444" t="str">
        <v>Agricultural greenhouse films (discarded)</v>
      </c>
      <c r="I3" s="440" t="str" cm="1">
        <f t="array" ref="I3:I244">_xlfn.UNIQUE(J3:J650)</f>
        <v>Agriculture</v>
      </c>
      <c r="J3" t="str" cm="1">
        <f t="array" ref="J3:J626">_xlfn.VSTACK(F3:F30,G3:G300,H3:H300)</f>
        <v>Agriculture</v>
      </c>
    </row>
    <row r="4" spans="1:11" ht="15.75" thickBot="1">
      <c r="A4" s="74" t="str">
        <v>Domestic primary plastic production</v>
      </c>
      <c r="B4" s="340" t="str">
        <f>IFERROR(VLOOKUP(A4,'Compartments_Kawecki&amp;Nowack19'!A:C,2,FALSE), IFERROR(VLOOKUP(A4,Compartments_Added!A:C,2,FALSE), "Not found"))</f>
        <v>Flow</v>
      </c>
      <c r="C4" s="340" t="str">
        <f>IFERROR(VLOOKUP(A4,'Compartments_Kawecki&amp;Nowack19'!A:C,3,FALSE), IFERROR(VLOOKUP(A4,Compartments_Added!A:C,3,FALSE), "Not found"))</f>
        <v>DomPrimaryProd</v>
      </c>
      <c r="D4" s="95" t="str">
        <f>IFERROR(IF(VLOOKUP(A4,'Compartments_Kawecki&amp;Nowack19'!A:C,1,FALSE)=A4, "Kawecki","what?"),"Added/changed")</f>
        <v>Added/changed</v>
      </c>
      <c r="F4" s="74" t="str">
        <v>Clothing (product sector)</v>
      </c>
      <c r="G4" s="504" t="str">
        <v>Packaging</v>
      </c>
      <c r="H4" s="504" t="str">
        <v>Agricultural greenhouse films (in use)</v>
      </c>
      <c r="I4" s="440" t="str">
        <v>Clothing (product sector)</v>
      </c>
      <c r="J4" t="str">
        <v>Clothing (product sector)</v>
      </c>
    </row>
    <row r="5" spans="1:11" ht="15.75" thickBot="1">
      <c r="A5" s="74" t="str">
        <v>Household textiles (product sector)</v>
      </c>
      <c r="B5" s="340" t="str">
        <f>IFERROR(VLOOKUP(A5,'Compartments_Kawecki&amp;Nowack19'!A:C,2,FALSE), IFERROR(VLOOKUP(A5,Compartments_Added!A:C,2,FALSE), "Not found"))</f>
        <v>Flow</v>
      </c>
      <c r="C5" s="340" t="str">
        <f>IFERROR(VLOOKUP(A5,'Compartments_Kawecki&amp;Nowack19'!A:C,3,FALSE), IFERROR(VLOOKUP(A5,Compartments_Added!A:C,3,FALSE), "Not found"))</f>
        <v>HouseholdTextilesPC</v>
      </c>
      <c r="D5" s="95" t="str">
        <f>IFERROR(IF(VLOOKUP(A5,'Compartments_Kawecki&amp;Nowack19'!A:C,1,FALSE)=A5, "Kawecki","what?"),"Added/changed")</f>
        <v>Kawecki</v>
      </c>
      <c r="F5" s="74" t="str">
        <v>Domestic primary plastic production</v>
      </c>
      <c r="G5" s="504" t="str">
        <v>Agricultural waste collection</v>
      </c>
      <c r="H5" s="504" t="str">
        <v>Agricultural mulching films</v>
      </c>
      <c r="I5" s="440" t="str">
        <v>Domestic primary plastic production</v>
      </c>
      <c r="J5" t="str">
        <v>Domestic primary plastic production</v>
      </c>
    </row>
    <row r="6" spans="1:11" ht="15.75" thickBot="1">
      <c r="A6" s="74" t="str">
        <v>Import of primary plastics</v>
      </c>
      <c r="B6" s="340" t="str">
        <f>IFERROR(VLOOKUP(A6,'Compartments_Kawecki&amp;Nowack19'!A:C,2,FALSE), IFERROR(VLOOKUP(A6,Compartments_Added!A:C,2,FALSE), "Not found"))</f>
        <v>Flow</v>
      </c>
      <c r="C6" s="340" t="str">
        <f>IFERROR(VLOOKUP(A6,'Compartments_Kawecki&amp;Nowack19'!A:C,3,FALSE), IFERROR(VLOOKUP(A6,Compartments_Added!A:C,3,FALSE), "Not found"))</f>
        <v>ImpPrimaryProd</v>
      </c>
      <c r="D6" s="95" t="str">
        <f>IFERROR(IF(VLOOKUP(A6,'Compartments_Kawecki&amp;Nowack19'!A:C,1,FALSE)=A6, "Kawecki","what?"),"Added/changed")</f>
        <v>Added/changed</v>
      </c>
      <c r="F6" s="74" t="str">
        <v>Household textiles (product sector)</v>
      </c>
      <c r="G6" s="504" t="str">
        <v>Agricultural waste collection (micro)</v>
      </c>
      <c r="H6" s="504" t="str">
        <v>Agricultural other</v>
      </c>
      <c r="I6" s="440" t="str">
        <v>Household textiles (product sector)</v>
      </c>
      <c r="J6" t="str">
        <v>Household textiles (product sector)</v>
      </c>
    </row>
    <row r="7" spans="1:11" ht="15.75" thickBot="1">
      <c r="A7" s="74" t="str">
        <v>Intentionally produced microparticles</v>
      </c>
      <c r="B7" s="340" t="str">
        <f>IFERROR(VLOOKUP(A7,'Compartments_Kawecki&amp;Nowack19'!A:C,2,FALSE), IFERROR(VLOOKUP(A7,Compartments_Added!A:C,2,FALSE), "Not found"))</f>
        <v>Flow</v>
      </c>
      <c r="C7" s="340" t="str">
        <f>IFERROR(VLOOKUP(A7,'Compartments_Kawecki&amp;Nowack19'!A:C,3,FALSE), IFERROR(VLOOKUP(A7,Compartments_Added!A:C,3,FALSE), "Not found"))</f>
        <v>IntProdMP</v>
      </c>
      <c r="D7" s="95" t="str">
        <f>IFERROR(IF(VLOOKUP(A7,'Compartments_Kawecki&amp;Nowack19'!A:C,1,FALSE)=A7, "Kawecki","what?"),"Added/changed")</f>
        <v>Added/changed</v>
      </c>
      <c r="F7" s="74" t="str">
        <v>Import of primary plastics</v>
      </c>
      <c r="G7" s="504" t="str">
        <v>Agricultural packaging bottles</v>
      </c>
      <c r="H7" s="504" t="str">
        <v>Agricultural packaging bottles</v>
      </c>
      <c r="I7" s="440" t="str">
        <v>Import of primary plastics</v>
      </c>
      <c r="J7" t="str">
        <v>Import of primary plastics</v>
      </c>
    </row>
    <row r="8" spans="1:11" ht="15.75" thickBot="1">
      <c r="A8" s="74" t="str">
        <v>Packaging</v>
      </c>
      <c r="B8" s="340" t="str">
        <f>IFERROR(VLOOKUP(A8,'Compartments_Kawecki&amp;Nowack19'!A:C,2,FALSE), IFERROR(VLOOKUP(A8,Compartments_Added!A:C,2,FALSE), "Not found"))</f>
        <v>Flow</v>
      </c>
      <c r="C8" s="340" t="str">
        <f>IFERROR(VLOOKUP(A8,'Compartments_Kawecki&amp;Nowack19'!A:C,3,FALSE), IFERROR(VLOOKUP(A8,Compartments_Added!A:C,3,FALSE), "Not found"))</f>
        <v>Packaging</v>
      </c>
      <c r="D8" s="95" t="str">
        <f>IFERROR(IF(VLOOKUP(A8,'Compartments_Kawecki&amp;Nowack19'!A:C,1,FALSE)=A8, "Kawecki","what?"),"Added/changed")</f>
        <v>Kawecki</v>
      </c>
      <c r="F8" s="74" t="str">
        <v>Intentionally produced microparticles</v>
      </c>
      <c r="G8" s="504" t="str">
        <v>Agricultural packaging films</v>
      </c>
      <c r="H8" s="504" t="str">
        <v>Agricultural packaging films</v>
      </c>
      <c r="I8" s="440" t="str">
        <v>Intentionally produced microparticles</v>
      </c>
      <c r="J8" t="str">
        <v>Intentionally produced microparticles</v>
      </c>
    </row>
    <row r="9" spans="1:11" ht="15.75" thickBot="1">
      <c r="A9" s="74" t="str">
        <v>Paint</v>
      </c>
      <c r="B9" s="340" t="str">
        <f>IFERROR(VLOOKUP(A9,'Compartments_Kawecki&amp;Nowack19'!A:C,2,FALSE), IFERROR(VLOOKUP(A9,Compartments_Added!A:C,2,FALSE), "Not found"))</f>
        <v>Flow</v>
      </c>
      <c r="C9" s="340" t="str">
        <f>IFERROR(VLOOKUP(A9,'Compartments_Kawecki&amp;Nowack19'!A:C,3,FALSE), IFERROR(VLOOKUP(A9,Compartments_Added!A:C,3,FALSE), "Not found"))</f>
        <v>Paint</v>
      </c>
      <c r="D9" s="95" t="str">
        <f>IFERROR(IF(VLOOKUP(A9,'Compartments_Kawecki&amp;Nowack19'!A:C,1,FALSE)=A9, "Kawecki","what?"),"Added/changed")</f>
        <v>Added/changed</v>
      </c>
      <c r="F9" s="74" t="str">
        <v>Packaging</v>
      </c>
      <c r="G9" s="504" t="str">
        <v>Compost (macro)</v>
      </c>
      <c r="H9" s="504" t="str">
        <v>Agricultural pipes (discarded)</v>
      </c>
      <c r="I9" s="440" t="str">
        <v>Packaging</v>
      </c>
      <c r="J9" t="str">
        <v>Packaging</v>
      </c>
    </row>
    <row r="10" spans="1:11" ht="15.75" thickBot="1">
      <c r="A10" s="74" t="str">
        <v>Technical textiles</v>
      </c>
      <c r="B10" s="340" t="str">
        <f>IFERROR(VLOOKUP(A10,'Compartments_Kawecki&amp;Nowack19'!A:C,2,FALSE), IFERROR(VLOOKUP(A10,Compartments_Added!A:C,2,FALSE), "Not found"))</f>
        <v>Flow</v>
      </c>
      <c r="C10" s="340" t="str">
        <f>IFERROR(VLOOKUP(A10,'Compartments_Kawecki&amp;Nowack19'!A:C,3,FALSE), IFERROR(VLOOKUP(A10,Compartments_Added!A:C,3,FALSE), "Not found"))</f>
        <v>TechnicalTextiles</v>
      </c>
      <c r="D10" s="95" t="str">
        <f>IFERROR(IF(VLOOKUP(A10,'Compartments_Kawecki&amp;Nowack19'!A:C,1,FALSE)=A10, "Kawecki","what?"),"Added/changed")</f>
        <v>Kawecki</v>
      </c>
      <c r="F10" s="74" t="str">
        <v>Paint</v>
      </c>
      <c r="G10" s="504" t="str">
        <v>Agrotextiles</v>
      </c>
      <c r="H10" s="504" t="str">
        <v>Agricultural pipes (in use)</v>
      </c>
      <c r="I10" s="440" t="str">
        <v>Paint</v>
      </c>
      <c r="J10" t="str">
        <v>Paint</v>
      </c>
    </row>
    <row r="11" spans="1:11" ht="15.75" thickBot="1">
      <c r="A11" s="74" t="str">
        <v>Tyre wear</v>
      </c>
      <c r="B11" s="340" t="str">
        <f>IFERROR(VLOOKUP(A11,'Compartments_Kawecki&amp;Nowack19'!A:C,2,FALSE), IFERROR(VLOOKUP(A11,Compartments_Added!A:C,2,FALSE), "Not found"))</f>
        <v>Flow</v>
      </c>
      <c r="C11" s="340" t="str">
        <f>IFERROR(VLOOKUP(A11,'Compartments_Kawecki&amp;Nowack19'!A:C,3,FALSE), IFERROR(VLOOKUP(A11,Compartments_Added!A:C,3,FALSE), "Not found"))</f>
        <v>TyreWear</v>
      </c>
      <c r="D11" s="95" t="str">
        <f>IFERROR(IF(VLOOKUP(A11,'Compartments_Kawecki&amp;Nowack19'!A:C,1,FALSE)=A11, "Kawecki","what?"),"Added/changed")</f>
        <v>Added/changed</v>
      </c>
      <c r="F11" s="329" t="str">
        <v>Technical textiles</v>
      </c>
      <c r="G11" s="504" t="str">
        <v>Agricultural mulching films</v>
      </c>
      <c r="H11" s="504" t="str">
        <v>Agricultural plastic recycling</v>
      </c>
      <c r="I11" s="440" t="str">
        <v>Technical textiles</v>
      </c>
      <c r="J11" t="str">
        <v>Technical textiles</v>
      </c>
    </row>
    <row r="12" spans="1:11" ht="15.75" thickBot="1">
      <c r="A12" s="74" t="str">
        <v>Transport of primary plastics</v>
      </c>
      <c r="B12" s="340" t="str">
        <f>IFERROR(VLOOKUP(A12,'Compartments_Kawecki&amp;Nowack19'!A:C,2,FALSE), IFERROR(VLOOKUP(A12,Compartments_Added!A:C,2,FALSE), "Not found"))</f>
        <v>Flow</v>
      </c>
      <c r="C12" s="340" t="str">
        <f>IFERROR(VLOOKUP(A12,'Compartments_Kawecki&amp;Nowack19'!A:C,3,FALSE), IFERROR(VLOOKUP(A12,Compartments_Added!A:C,3,FALSE), "Not found"))</f>
        <v>PelletTransport</v>
      </c>
      <c r="D12" s="95" t="str">
        <f>IFERROR(IF(VLOOKUP(A12,'Compartments_Kawecki&amp;Nowack19'!A:C,1,FALSE)=A12, "Kawecki","what?"),"Added/changed")</f>
        <v>Added/changed</v>
      </c>
      <c r="F12" s="75" t="str">
        <v>Tyre wear</v>
      </c>
      <c r="G12" s="504" t="str">
        <v>Agricultural other</v>
      </c>
      <c r="H12" s="504" t="str">
        <v>Incineration</v>
      </c>
      <c r="I12" s="440" t="str">
        <v>Tyre wear</v>
      </c>
      <c r="J12" t="str">
        <v>Tyre wear</v>
      </c>
    </row>
    <row r="13" spans="1:11" ht="15.75" thickBot="1">
      <c r="A13" s="74" t="str">
        <v>Agricultural waste collection</v>
      </c>
      <c r="B13" s="340" t="str">
        <f>IFERROR(VLOOKUP(A13,'Compartments_Kawecki&amp;Nowack19'!A:C,2,FALSE), IFERROR(VLOOKUP(A13,Compartments_Added!A:C,2,FALSE), "Not found"))</f>
        <v>Flow</v>
      </c>
      <c r="C13" s="340" t="str">
        <f>IFERROR(VLOOKUP(A13,'Compartments_Kawecki&amp;Nowack19'!A:C,3,FALSE), IFERROR(VLOOKUP(A13,Compartments_Added!A:C,3,FALSE), "Not found"))</f>
        <v>AgricultureCollection</v>
      </c>
      <c r="D13" s="95" t="str">
        <f>IFERROR(IF(VLOOKUP(A13,'Compartments_Kawecki&amp;Nowack19'!A:C,1,FALSE)=A13, "Kawecki","what?"),"Added/changed")</f>
        <v>Kawecki</v>
      </c>
      <c r="F13" s="17" t="str">
        <v>Transport of primary plastics</v>
      </c>
      <c r="G13" s="504" t="str">
        <v>Agricultural pipes (in use)</v>
      </c>
      <c r="H13" s="504" t="str">
        <v>Landfill</v>
      </c>
      <c r="I13" s="440" t="str">
        <v>Transport of primary plastics</v>
      </c>
      <c r="J13" t="str">
        <v>Transport of primary plastics</v>
      </c>
    </row>
    <row r="14" spans="1:11" ht="15.75" thickBot="1">
      <c r="A14" s="74" t="str">
        <v>Agricultural waste collection (micro)</v>
      </c>
      <c r="B14" s="340" t="str">
        <f>IFERROR(VLOOKUP(A14,'Compartments_Kawecki&amp;Nowack19'!A:C,2,FALSE), IFERROR(VLOOKUP(A14,Compartments_Added!A:C,2,FALSE), "Not found"))</f>
        <v>Flow</v>
      </c>
      <c r="C14" s="340" t="str">
        <f>IFERROR(VLOOKUP(A14,'Compartments_Kawecki&amp;Nowack19'!A:C,3,FALSE), IFERROR(VLOOKUP(A14,Compartments_Added!A:C,3,FALSE), "Not found"))</f>
        <v>AgriculturalWasteCollectionMicro</v>
      </c>
      <c r="D14" s="95" t="str">
        <f>IFERROR(IF(VLOOKUP(A14,'Compartments_Kawecki&amp;Nowack19'!A:C,1,FALSE)=A14, "Kawecki","what?"),"Added/changed")</f>
        <v>Added/changed</v>
      </c>
      <c r="F14" s="17"/>
      <c r="G14" s="504" t="str">
        <v>Agricultural greenhouse films (in use)</v>
      </c>
      <c r="H14" s="504" t="str">
        <v>Residential soil (macro)</v>
      </c>
      <c r="I14" s="440">
        <v>0</v>
      </c>
      <c r="J14">
        <v>0</v>
      </c>
    </row>
    <row r="15" spans="1:11" ht="15.75" thickBot="1">
      <c r="A15" s="74" t="str">
        <v>Agricultural packaging bottles</v>
      </c>
      <c r="B15" s="340" t="str">
        <f>IFERROR(VLOOKUP(A15,'Compartments_Kawecki&amp;Nowack19'!A:C,2,FALSE), IFERROR(VLOOKUP(A15,Compartments_Added!A:C,2,FALSE), "Not found"))</f>
        <v>Stock</v>
      </c>
      <c r="C15" s="340" t="str">
        <f>IFERROR(VLOOKUP(A15,'Compartments_Kawecki&amp;Nowack19'!A:C,3,FALSE), IFERROR(VLOOKUP(A15,Compartments_Added!A:C,3,FALSE), "Not found"))</f>
        <v>AgriculturalPackagingBottles</v>
      </c>
      <c r="D15" s="95" t="str">
        <f>IFERROR(IF(VLOOKUP(A15,'Compartments_Kawecki&amp;Nowack19'!A:C,1,FALSE)=A15, "Kawecki","what?"),"Added/changed")</f>
        <v>Kawecki</v>
      </c>
      <c r="F15" s="17"/>
      <c r="G15" s="504" t="str">
        <v>Compost (micro)</v>
      </c>
      <c r="H15" s="504" t="str">
        <v>Agricultural soil (macro)</v>
      </c>
      <c r="I15" s="440" t="str">
        <v>Agricultural waste collection</v>
      </c>
      <c r="J15">
        <v>0</v>
      </c>
    </row>
    <row r="16" spans="1:11" ht="15.75" thickBot="1">
      <c r="A16" s="74" t="str">
        <v>Agricultural packaging films</v>
      </c>
      <c r="B16" s="340" t="str">
        <f>IFERROR(VLOOKUP(A16,'Compartments_Kawecki&amp;Nowack19'!A:C,2,FALSE), IFERROR(VLOOKUP(A16,Compartments_Added!A:C,2,FALSE), "Not found"))</f>
        <v>Stock</v>
      </c>
      <c r="C16" s="340" t="str">
        <f>IFERROR(VLOOKUP(A16,'Compartments_Kawecki&amp;Nowack19'!A:C,3,FALSE), IFERROR(VLOOKUP(A16,Compartments_Added!A:C,3,FALSE), "Not found"))</f>
        <v>AgriculturalPackagingFilms</v>
      </c>
      <c r="D16" s="95" t="str">
        <f>IFERROR(IF(VLOOKUP(A16,'Compartments_Kawecki&amp;Nowack19'!A:C,1,FALSE)=A16, "Kawecki","what?"),"Added/changed")</f>
        <v>Kawecki</v>
      </c>
      <c r="F16" s="17"/>
      <c r="G16" s="504" t="str">
        <v>Controlled release fertilizer</v>
      </c>
      <c r="H16" s="504" t="str">
        <v>Agrotextiles (discarded)</v>
      </c>
      <c r="I16" s="440" t="str">
        <v>Agricultural waste collection (micro)</v>
      </c>
      <c r="J16">
        <v>0</v>
      </c>
    </row>
    <row r="17" spans="1:10" ht="15.75" thickBot="1">
      <c r="A17" s="74" t="str">
        <v>Compost (macro)</v>
      </c>
      <c r="B17" s="340" t="str">
        <f>IFERROR(VLOOKUP(A17,'Compartments_Kawecki&amp;Nowack19'!A:C,2,FALSE), IFERROR(VLOOKUP(A17,Compartments_Added!A:C,2,FALSE), "Not found"))</f>
        <v>Flow</v>
      </c>
      <c r="C17" s="340" t="str">
        <f>IFERROR(VLOOKUP(A17,'Compartments_Kawecki&amp;Nowack19'!A:C,3,FALSE), IFERROR(VLOOKUP(A17,Compartments_Added!A:C,3,FALSE), "Not found"))</f>
        <v>CompostMacro</v>
      </c>
      <c r="D17" s="95" t="str">
        <f>IFERROR(IF(VLOOKUP(A17,'Compartments_Kawecki&amp;Nowack19'!A:C,1,FALSE)=A17, "Kawecki","what?"),"Added/changed")</f>
        <v>Kawecki</v>
      </c>
      <c r="F17" s="17"/>
      <c r="G17" s="504" t="str">
        <v>Fertilizer additives</v>
      </c>
      <c r="H17" s="504" t="str">
        <v>Agricultural soil (micro)</v>
      </c>
      <c r="I17" s="440" t="str">
        <v>Agricultural packaging bottles</v>
      </c>
      <c r="J17">
        <v>0</v>
      </c>
    </row>
    <row r="18" spans="1:10" ht="15.75" thickBot="1">
      <c r="A18" s="74" t="str">
        <v>Agrotextiles</v>
      </c>
      <c r="B18" s="340" t="str">
        <f>IFERROR(VLOOKUP(A18,'Compartments_Kawecki&amp;Nowack19'!A:C,2,FALSE), IFERROR(VLOOKUP(A18,Compartments_Added!A:C,2,FALSE), "Not found"))</f>
        <v>Flow</v>
      </c>
      <c r="C18" s="340" t="str">
        <f>IFERROR(VLOOKUP(A18,'Compartments_Kawecki&amp;Nowack19'!A:C,3,FALSE), IFERROR(VLOOKUP(A18,Compartments_Added!A:C,3,FALSE), "Not found"))</f>
        <v>Agrotextiles</v>
      </c>
      <c r="D18" s="95" t="str">
        <f>IFERROR(IF(VLOOKUP(A18,'Compartments_Kawecki&amp;Nowack19'!A:C,1,FALSE)=A18, "Kawecki","what?"),"Added/changed")</f>
        <v>Kawecki</v>
      </c>
      <c r="F18" s="17"/>
      <c r="G18" s="504" t="str">
        <v>Plant protection products</v>
      </c>
      <c r="H18" s="504" t="str">
        <v>Agrotextiles (in use)</v>
      </c>
      <c r="I18" s="440" t="str">
        <v>Agricultural packaging films</v>
      </c>
      <c r="J18">
        <v>0</v>
      </c>
    </row>
    <row r="19" spans="1:10" ht="15.75" thickBot="1">
      <c r="A19" s="74" t="str">
        <v>Agricultural mulching films</v>
      </c>
      <c r="B19" s="340" t="str">
        <f>IFERROR(VLOOKUP(A19,'Compartments_Kawecki&amp;Nowack19'!A:C,2,FALSE), IFERROR(VLOOKUP(A19,Compartments_Added!A:C,2,FALSE), "Not found"))</f>
        <v>Flow</v>
      </c>
      <c r="C19" s="340" t="str">
        <f>IFERROR(VLOOKUP(A19,'Compartments_Kawecki&amp;Nowack19'!A:C,3,FALSE), IFERROR(VLOOKUP(A19,Compartments_Added!A:C,3,FALSE), "Not found"))</f>
        <v>AgriMulching</v>
      </c>
      <c r="D19" s="95" t="str">
        <f>IFERROR(IF(VLOOKUP(A19,'Compartments_Kawecki&amp;Nowack19'!A:C,1,FALSE)=A19, "Kawecki","what?"),"Added/changed")</f>
        <v>Added/changed</v>
      </c>
      <c r="F19" s="17"/>
      <c r="G19" s="504" t="str">
        <v>Seed coating</v>
      </c>
      <c r="H19" s="504" t="str">
        <v>Agricultural waste collection</v>
      </c>
      <c r="I19" s="440" t="str">
        <v>Compost (macro)</v>
      </c>
      <c r="J19">
        <v>0</v>
      </c>
    </row>
    <row r="20" spans="1:10" ht="15.75" thickBot="1">
      <c r="A20" s="74" t="str">
        <v>Agricultural other</v>
      </c>
      <c r="B20" s="340" t="str">
        <f>IFERROR(VLOOKUP(A20,'Compartments_Kawecki&amp;Nowack19'!A:C,2,FALSE), IFERROR(VLOOKUP(A20,Compartments_Added!A:C,2,FALSE), "Not found"))</f>
        <v>Flow</v>
      </c>
      <c r="C20" s="340" t="str">
        <f>IFERROR(VLOOKUP(A20,'Compartments_Kawecki&amp;Nowack19'!A:C,3,FALSE), IFERROR(VLOOKUP(A20,Compartments_Added!A:C,3,FALSE), "Not found"))</f>
        <v>AgriculturalOther</v>
      </c>
      <c r="D20" s="95" t="str">
        <f>IFERROR(IF(VLOOKUP(A20,'Compartments_Kawecki&amp;Nowack19'!A:C,1,FALSE)=A20, "Kawecki","what?"),"Added/changed")</f>
        <v>Kawecki</v>
      </c>
      <c r="F20" s="17"/>
      <c r="G20" s="504" t="str">
        <v>Agricultural pipes (discarded)</v>
      </c>
      <c r="H20" s="504" t="str">
        <v>Agricultural waste collection (micro)</v>
      </c>
      <c r="I20" s="440" t="str">
        <v>Agrotextiles</v>
      </c>
      <c r="J20">
        <v>0</v>
      </c>
    </row>
    <row r="21" spans="1:10" ht="15.75" thickBot="1">
      <c r="A21" s="74" t="str">
        <v>Agricultural pipes (in use)</v>
      </c>
      <c r="B21" s="340" t="str">
        <f>IFERROR(VLOOKUP(A21,'Compartments_Kawecki&amp;Nowack19'!A:C,2,FALSE), IFERROR(VLOOKUP(A21,Compartments_Added!A:C,2,FALSE), "Not found"))</f>
        <v>Stock</v>
      </c>
      <c r="C21" s="340" t="str">
        <f>IFERROR(VLOOKUP(A21,'Compartments_Kawecki&amp;Nowack19'!A:C,3,FALSE), IFERROR(VLOOKUP(A21,Compartments_Added!A:C,3,FALSE), "Not found"))</f>
        <v>AgriculturalPipesIU</v>
      </c>
      <c r="D21" s="95" t="str">
        <f>IFERROR(IF(VLOOKUP(A21,'Compartments_Kawecki&amp;Nowack19'!A:C,1,FALSE)=A21, "Kawecki","what?"),"Added/changed")</f>
        <v>Added/changed</v>
      </c>
      <c r="F21" s="17"/>
      <c r="G21" s="504" t="str">
        <v>Agricultural greenhouse films (discarded)</v>
      </c>
      <c r="H21" s="504" t="str">
        <v>Collected organic waste</v>
      </c>
      <c r="I21" s="440" t="str">
        <v>Agricultural mulching films</v>
      </c>
      <c r="J21">
        <v>0</v>
      </c>
    </row>
    <row r="22" spans="1:10" ht="15.75" thickBot="1">
      <c r="A22" s="74" t="str">
        <v>Agricultural greenhouse films (in use)</v>
      </c>
      <c r="B22" s="340" t="str">
        <f>IFERROR(VLOOKUP(A22,'Compartments_Kawecki&amp;Nowack19'!A:C,2,FALSE), IFERROR(VLOOKUP(A22,Compartments_Added!A:C,2,FALSE), "Not found"))</f>
        <v>Stock</v>
      </c>
      <c r="C22" s="340" t="str">
        <f>IFERROR(VLOOKUP(A22,'Compartments_Kawecki&amp;Nowack19'!A:C,3,FALSE), IFERROR(VLOOKUP(A22,Compartments_Added!A:C,3,FALSE), "Not found"))</f>
        <v>AgriculturalFilmsIU</v>
      </c>
      <c r="D22" s="95" t="str">
        <f>IFERROR(IF(VLOOKUP(A22,'Compartments_Kawecki&amp;Nowack19'!A:C,1,FALSE)=A22, "Kawecki","what?"),"Added/changed")</f>
        <v>Added/changed</v>
      </c>
      <c r="F22" s="17"/>
      <c r="G22" s="504" t="str">
        <v>Agrotextiles (discarded)</v>
      </c>
      <c r="H22" s="504" t="str">
        <v>Dumping</v>
      </c>
      <c r="I22" s="440" t="str">
        <v>Agricultural other</v>
      </c>
      <c r="J22">
        <v>0</v>
      </c>
    </row>
    <row r="23" spans="1:10" ht="15.75" thickBot="1">
      <c r="A23" s="74" t="str">
        <v>Compost (micro)</v>
      </c>
      <c r="B23" s="340" t="str">
        <f>IFERROR(VLOOKUP(A23,'Compartments_Kawecki&amp;Nowack19'!A:C,2,FALSE), IFERROR(VLOOKUP(A23,Compartments_Added!A:C,2,FALSE), "Not found"))</f>
        <v>Flow</v>
      </c>
      <c r="C23" s="340" t="str">
        <f>IFERROR(VLOOKUP(A23,'Compartments_Kawecki&amp;Nowack19'!A:C,3,FALSE), IFERROR(VLOOKUP(A23,Compartments_Added!A:C,3,FALSE), "Not found"))</f>
        <v>CompostMicro</v>
      </c>
      <c r="D23" s="95" t="str">
        <f>IFERROR(IF(VLOOKUP(A23,'Compartments_Kawecki&amp;Nowack19'!A:C,1,FALSE)=A23, "Kawecki","what?"),"Added/changed")</f>
        <v>Kawecki</v>
      </c>
      <c r="F23" s="17"/>
      <c r="G23" s="504" t="str">
        <v>Agrotextiles (in use)</v>
      </c>
      <c r="H23" s="504" t="str">
        <v>Building textiles (discarded)</v>
      </c>
      <c r="I23" s="440" t="str">
        <v>Agricultural pipes (in use)</v>
      </c>
      <c r="J23">
        <v>0</v>
      </c>
    </row>
    <row r="24" spans="1:10" ht="15.75" thickBot="1">
      <c r="A24" s="74" t="str">
        <v>Controlled release fertilizer</v>
      </c>
      <c r="B24" s="340" t="str">
        <f>IFERROR(VLOOKUP(A24,'Compartments_Kawecki&amp;Nowack19'!A:C,2,FALSE), IFERROR(VLOOKUP(A24,Compartments_Added!A:C,2,FALSE), "Not found"))</f>
        <v>Flow</v>
      </c>
      <c r="C24" s="340" t="str">
        <f>IFERROR(VLOOKUP(A24,'Compartments_Kawecki&amp;Nowack19'!A:C,3,FALSE), IFERROR(VLOOKUP(A24,Compartments_Added!A:C,3,FALSE), "Not found"))</f>
        <v>ControlledFertilizer</v>
      </c>
      <c r="D24" s="95" t="str">
        <f>IFERROR(IF(VLOOKUP(A24,'Compartments_Kawecki&amp;Nowack19'!A:C,1,FALSE)=A24, "Kawecki","what?"),"Added/changed")</f>
        <v>Added/changed</v>
      </c>
      <c r="F24" s="17"/>
      <c r="G24" s="504" t="str">
        <v>Building textiles</v>
      </c>
      <c r="H24" s="504" t="str">
        <v>Building textiles (in use)</v>
      </c>
      <c r="I24" s="440" t="str">
        <v>Agricultural greenhouse films (in use)</v>
      </c>
      <c r="J24">
        <v>0</v>
      </c>
    </row>
    <row r="25" spans="1:10" ht="15.75" thickBot="1">
      <c r="A25" s="74" t="str">
        <v>Fertilizer additives</v>
      </c>
      <c r="B25" s="340" t="str">
        <f>IFERROR(VLOOKUP(A25,'Compartments_Kawecki&amp;Nowack19'!A:C,2,FALSE), IFERROR(VLOOKUP(A25,Compartments_Added!A:C,2,FALSE), "Not found"))</f>
        <v>Flow</v>
      </c>
      <c r="C25" s="340" t="str">
        <f>IFERROR(VLOOKUP(A25,'Compartments_Kawecki&amp;Nowack19'!A:C,3,FALSE), IFERROR(VLOOKUP(A25,Compartments_Added!A:C,3,FALSE), "Not found"))</f>
        <v>FertilizerAdditive</v>
      </c>
      <c r="D25" s="95" t="str">
        <f>IFERROR(IF(VLOOKUP(A25,'Compartments_Kawecki&amp;Nowack19'!A:C,1,FALSE)=A25, "Kawecki","what?"),"Added/changed")</f>
        <v>Added/changed</v>
      </c>
      <c r="F25" s="17"/>
      <c r="G25" s="504" t="str">
        <v>Building textiles (discarded)</v>
      </c>
      <c r="H25" s="504" t="str">
        <v>Construction and demolition incinerable waste collection</v>
      </c>
      <c r="I25" s="440" t="str">
        <v>Compost (micro)</v>
      </c>
      <c r="J25">
        <v>0</v>
      </c>
    </row>
    <row r="26" spans="1:10" ht="15.75" thickBot="1">
      <c r="A26" s="368" t="str">
        <v>Plant protection products</v>
      </c>
      <c r="B26" s="340" t="str">
        <f>IFERROR(VLOOKUP(A26,'Compartments_Kawecki&amp;Nowack19'!A:C,2,FALSE), IFERROR(VLOOKUP(A26,Compartments_Added!A:C,2,FALSE), "Not found"))</f>
        <v>Flow</v>
      </c>
      <c r="C26" s="626" t="str">
        <f>IFERROR(VLOOKUP(A26,'Compartments_Kawecki&amp;Nowack19'!A:C,3,FALSE), IFERROR(VLOOKUP(A26,Compartments_Added!A:C,3,FALSE), "Not found"))</f>
        <v>PlantProtection</v>
      </c>
      <c r="D26" s="95" t="str">
        <f>IFERROR(IF(VLOOKUP(A26,'Compartments_Kawecki&amp;Nowack19'!A:C,1,FALSE)=A26, "Kawecki","what?"),"Added/changed")</f>
        <v>Added/changed</v>
      </c>
      <c r="F26" s="17"/>
      <c r="G26" s="504" t="str">
        <v>Building textiles (in use)</v>
      </c>
      <c r="H26" s="504" t="str">
        <v>Building packaging films</v>
      </c>
      <c r="I26" s="440" t="str">
        <v>Controlled release fertilizer</v>
      </c>
      <c r="J26">
        <v>0</v>
      </c>
    </row>
    <row r="27" spans="1:10" ht="15.75" thickBot="1">
      <c r="A27" s="368" t="str">
        <v>Seed coating</v>
      </c>
      <c r="B27" s="340" t="str">
        <f>IFERROR(VLOOKUP(A27,'Compartments_Kawecki&amp;Nowack19'!A:C,2,FALSE), IFERROR(VLOOKUP(A27,Compartments_Added!A:C,2,FALSE), "Not found"))</f>
        <v>Flow</v>
      </c>
      <c r="C27" s="626" t="str">
        <f>IFERROR(VLOOKUP(A27,'Compartments_Kawecki&amp;Nowack19'!A:C,3,FALSE), IFERROR(VLOOKUP(A27,Compartments_Added!A:C,3,FALSE), "Not found"))</f>
        <v>SeedCoating</v>
      </c>
      <c r="D27" s="95" t="str">
        <f>IFERROR(IF(VLOOKUP(A27,'Compartments_Kawecki&amp;Nowack19'!A:C,1,FALSE)=A27, "Kawecki","what?"),"Added/changed")</f>
        <v>Added/changed</v>
      </c>
      <c r="F27" s="17"/>
      <c r="G27" s="504" t="str">
        <v>ELV textiles collection</v>
      </c>
      <c r="H27" s="504" t="str">
        <v>Geotextiles (discarded)</v>
      </c>
      <c r="I27" s="440" t="str">
        <v>Fertilizer additives</v>
      </c>
      <c r="J27">
        <v>0</v>
      </c>
    </row>
    <row r="28" spans="1:10" ht="15.75" thickBot="1">
      <c r="A28" s="368" t="str">
        <v>Agricultural pipes (discarded)</v>
      </c>
      <c r="B28" s="340" t="str">
        <f>IFERROR(VLOOKUP(A28,'Compartments_Kawecki&amp;Nowack19'!A:C,2,FALSE), IFERROR(VLOOKUP(A28,Compartments_Added!A:C,2,FALSE), "Not found"))</f>
        <v>Stock</v>
      </c>
      <c r="C28" s="340" t="str">
        <f>IFERROR(VLOOKUP(A28,'Compartments_Kawecki&amp;Nowack19'!A:C,3,FALSE), IFERROR(VLOOKUP(A28,Compartments_Added!A:C,3,FALSE), "Not found"))</f>
        <v>AgriculturalPipesDis</v>
      </c>
      <c r="D28" s="95" t="str">
        <f>IFERROR(IF(VLOOKUP(A28,'Compartments_Kawecki&amp;Nowack19'!A:C,1,FALSE)=A28, "Kawecki","what?"),"Added/changed")</f>
        <v>Added/changed</v>
      </c>
      <c r="F28" s="17"/>
      <c r="G28" s="504" t="str">
        <v>Geotextiles</v>
      </c>
      <c r="H28" s="504" t="str">
        <v>Geotextiles (in use)</v>
      </c>
      <c r="I28" s="440" t="str">
        <v>Plant protection products</v>
      </c>
      <c r="J28">
        <v>0</v>
      </c>
    </row>
    <row r="29" spans="1:10" ht="15.75" thickBot="1">
      <c r="A29" s="74" t="str">
        <v>Agricultural greenhouse films (discarded)</v>
      </c>
      <c r="B29" s="340" t="str">
        <f>IFERROR(VLOOKUP(A29,'Compartments_Kawecki&amp;Nowack19'!A:C,2,FALSE), IFERROR(VLOOKUP(A29,Compartments_Added!A:C,2,FALSE), "Not found"))</f>
        <v>Stock</v>
      </c>
      <c r="C29" s="340" t="str">
        <f>IFERROR(VLOOKUP(A29,'Compartments_Kawecki&amp;Nowack19'!A:C,3,FALSE), IFERROR(VLOOKUP(A29,Compartments_Added!A:C,3,FALSE), "Not found"))</f>
        <v>AgriculturalFilmsDis</v>
      </c>
      <c r="D29" s="95" t="str">
        <f>IFERROR(IF(VLOOKUP(A29,'Compartments_Kawecki&amp;Nowack19'!A:C,1,FALSE)=A29, "Kawecki","what?"),"Added/changed")</f>
        <v>Added/changed</v>
      </c>
      <c r="F29" s="17"/>
      <c r="G29" s="504" t="str">
        <v>Geotextiles (discarded)</v>
      </c>
      <c r="H29" s="504" t="str">
        <v>Sub-surface soil (micro)</v>
      </c>
      <c r="I29" s="440" t="str">
        <v>Seed coating</v>
      </c>
      <c r="J29">
        <v>0</v>
      </c>
    </row>
    <row r="30" spans="1:10" ht="15.75" thickBot="1">
      <c r="A30" s="74" t="str">
        <v>Agrotextiles (discarded)</v>
      </c>
      <c r="B30" s="340" t="str">
        <f>IFERROR(VLOOKUP(A30,'Compartments_Kawecki&amp;Nowack19'!A:C,2,FALSE), IFERROR(VLOOKUP(A30,Compartments_Added!A:C,2,FALSE), "Not found"))</f>
        <v>Stock</v>
      </c>
      <c r="C30" s="340" t="str">
        <f>IFERROR(VLOOKUP(A30,'Compartments_Kawecki&amp;Nowack19'!A:C,3,FALSE), IFERROR(VLOOKUP(A30,Compartments_Added!A:C,3,FALSE), "Not found"))</f>
        <v>AgrotextilesDis</v>
      </c>
      <c r="D30" s="95" t="str">
        <f>IFERROR(IF(VLOOKUP(A30,'Compartments_Kawecki&amp;Nowack19'!A:C,1,FALSE)=A30, "Kawecki","what?"),"Added/changed")</f>
        <v>Added/changed</v>
      </c>
      <c r="F30" s="17"/>
      <c r="G30" s="504" t="str">
        <v>Geotextiles (in use)</v>
      </c>
      <c r="H30" s="504" t="str">
        <v>Home textiles (discarded)</v>
      </c>
      <c r="I30" s="440" t="str">
        <v>Agricultural pipes (discarded)</v>
      </c>
      <c r="J30">
        <v>0</v>
      </c>
    </row>
    <row r="31" spans="1:10" ht="15.75" thickBot="1">
      <c r="A31" s="74" t="str">
        <v>Agrotextiles (in use)</v>
      </c>
      <c r="B31" s="340" t="str">
        <f>IFERROR(VLOOKUP(A31,'Compartments_Kawecki&amp;Nowack19'!A:C,2,FALSE), IFERROR(VLOOKUP(A31,Compartments_Added!A:C,2,FALSE), "Not found"))</f>
        <v>Stock</v>
      </c>
      <c r="C31" s="340" t="str">
        <f>IFERROR(VLOOKUP(A31,'Compartments_Kawecki&amp;Nowack19'!A:C,3,FALSE), IFERROR(VLOOKUP(A31,Compartments_Added!A:C,3,FALSE), "Not found"))</f>
        <v>AgrotextilesIU</v>
      </c>
      <c r="D31" s="95" t="str">
        <f>IFERROR(IF(VLOOKUP(A31,'Compartments_Kawecki&amp;Nowack19'!A:C,1,FALSE)=A31, "Kawecki","what?"),"Added/changed")</f>
        <v>Added/changed</v>
      </c>
      <c r="F31" s="17"/>
      <c r="G31" s="504" t="str">
        <v>Home textiles</v>
      </c>
      <c r="H31" s="504" t="str">
        <v>Home textiles (in use)</v>
      </c>
      <c r="I31" s="440" t="str">
        <v>Agricultural greenhouse films (discarded)</v>
      </c>
      <c r="J31" t="str">
        <v>Agriculture</v>
      </c>
    </row>
    <row r="32" spans="1:10" ht="15.75" thickBot="1">
      <c r="A32" s="74" t="str">
        <v>Building textiles</v>
      </c>
      <c r="B32" s="340" t="str">
        <f>IFERROR(VLOOKUP(A32,'Compartments_Kawecki&amp;Nowack19'!A:C,2,FALSE), IFERROR(VLOOKUP(A32,Compartments_Added!A:C,2,FALSE), "Not found"))</f>
        <v>Flow</v>
      </c>
      <c r="C32" s="340" t="str">
        <f>IFERROR(VLOOKUP(A32,'Compartments_Kawecki&amp;Nowack19'!A:C,3,FALSE), IFERROR(VLOOKUP(A32,Compartments_Added!A:C,3,FALSE), "Not found"))</f>
        <v>BuildingTextiles</v>
      </c>
      <c r="D32" s="95" t="str">
        <f>IFERROR(IF(VLOOKUP(A32,'Compartments_Kawecki&amp;Nowack19'!A:C,1,FALSE)=A32, "Kawecki","what?"),"Added/changed")</f>
        <v>Kawecki</v>
      </c>
      <c r="F32" s="17"/>
      <c r="G32" s="504" t="str">
        <v>Clothing (product sector)</v>
      </c>
      <c r="H32" s="504" t="str">
        <v>Clothing (discarded)</v>
      </c>
      <c r="I32" s="440" t="str">
        <v>Agrotextiles (discarded)</v>
      </c>
      <c r="J32" t="str">
        <v>Packaging</v>
      </c>
    </row>
    <row r="33" spans="1:10" ht="15.75" thickBot="1">
      <c r="A33" s="74" t="str">
        <v>Building textiles (discarded)</v>
      </c>
      <c r="B33" s="340" t="str">
        <f>IFERROR(VLOOKUP(A33,'Compartments_Kawecki&amp;Nowack19'!A:C,2,FALSE), IFERROR(VLOOKUP(A33,Compartments_Added!A:C,2,FALSE), "Not found"))</f>
        <v>Stock</v>
      </c>
      <c r="C33" s="340" t="str">
        <f>IFERROR(VLOOKUP(A33,'Compartments_Kawecki&amp;Nowack19'!A:C,3,FALSE), IFERROR(VLOOKUP(A33,Compartments_Added!A:C,3,FALSE), "Not found"))</f>
        <v>BuildingTextilesDis</v>
      </c>
      <c r="D33" s="95" t="str">
        <f>IFERROR(IF(VLOOKUP(A33,'Compartments_Kawecki&amp;Nowack19'!A:C,1,FALSE)=A33, "Kawecki","what?"),"Added/changed")</f>
        <v>Added/changed</v>
      </c>
      <c r="F33" s="17"/>
      <c r="G33" s="504" t="str">
        <v>Clothing (in use)</v>
      </c>
      <c r="H33" s="504" t="str">
        <v>Clothing (in use)</v>
      </c>
      <c r="I33" s="440" t="str">
        <v>Agrotextiles (in use)</v>
      </c>
      <c r="J33" t="str">
        <v>Agricultural waste collection</v>
      </c>
    </row>
    <row r="34" spans="1:10" ht="15.75" thickBot="1">
      <c r="A34" s="74" t="str">
        <v>Building textiles (in use)</v>
      </c>
      <c r="B34" s="340" t="str">
        <f>IFERROR(VLOOKUP(A34,'Compartments_Kawecki&amp;Nowack19'!A:C,2,FALSE), IFERROR(VLOOKUP(A34,Compartments_Added!A:C,2,FALSE), "Not found"))</f>
        <v>Stock</v>
      </c>
      <c r="C34" s="340" t="str">
        <f>IFERROR(VLOOKUP(A34,'Compartments_Kawecki&amp;Nowack19'!A:C,3,FALSE), IFERROR(VLOOKUP(A34,Compartments_Added!A:C,3,FALSE), "Not found"))</f>
        <v>BuildingTextilesIU</v>
      </c>
      <c r="D34" s="95" t="str">
        <f>IFERROR(IF(VLOOKUP(A34,'Compartments_Kawecki&amp;Nowack19'!A:C,1,FALSE)=A34, "Kawecki","what?"),"Added/changed")</f>
        <v>Added/changed</v>
      </c>
      <c r="F34" s="17"/>
      <c r="G34" s="504" t="str">
        <v>Consumer bags</v>
      </c>
      <c r="H34" s="504" t="str">
        <v>Clothing (in use) wash &amp; dry</v>
      </c>
      <c r="I34" s="440" t="str">
        <v>Building textiles</v>
      </c>
      <c r="J34" t="str">
        <v>Agricultural waste collection (micro)</v>
      </c>
    </row>
    <row r="35" spans="1:10" ht="15.75" thickBot="1">
      <c r="A35" s="74" t="str">
        <v>ELV textiles collection</v>
      </c>
      <c r="B35" s="340" t="str">
        <f>IFERROR(VLOOKUP(A35,'Compartments_Kawecki&amp;Nowack19'!A:C,2,FALSE), IFERROR(VLOOKUP(A35,Compartments_Added!A:C,2,FALSE), "Not found"))</f>
        <v>Flow</v>
      </c>
      <c r="C35" s="340" t="str">
        <f>IFERROR(VLOOKUP(A35,'Compartments_Kawecki&amp;Nowack19'!A:C,3,FALSE), IFERROR(VLOOKUP(A35,Compartments_Added!A:C,3,FALSE), "Not found"))</f>
        <v>ELVTextilesCollection</v>
      </c>
      <c r="D35" s="95" t="str">
        <f>IFERROR(IF(VLOOKUP(A35,'Compartments_Kawecki&amp;Nowack19'!A:C,1,FALSE)=A35, "Kawecki","what?"),"Added/changed")</f>
        <v>Kawecki</v>
      </c>
      <c r="F35" s="17"/>
      <c r="G35" s="504" t="str">
        <v>Consumer bottles</v>
      </c>
      <c r="H35" s="504" t="str">
        <v>Clothing (in use) wear &amp; tear</v>
      </c>
      <c r="I35" s="440" t="str">
        <v>Building textiles (discarded)</v>
      </c>
      <c r="J35" t="str">
        <v>Agricultural packaging bottles</v>
      </c>
    </row>
    <row r="36" spans="1:10" ht="15.75" thickBot="1">
      <c r="A36" s="74" t="str">
        <v>Geotextiles</v>
      </c>
      <c r="B36" s="340" t="str">
        <f>IFERROR(VLOOKUP(A36,'Compartments_Kawecki&amp;Nowack19'!A:C,2,FALSE), IFERROR(VLOOKUP(A36,Compartments_Added!A:C,2,FALSE), "Not found"))</f>
        <v>Flow</v>
      </c>
      <c r="C36" s="340" t="str">
        <f>IFERROR(VLOOKUP(A36,'Compartments_Kawecki&amp;Nowack19'!A:C,3,FALSE), IFERROR(VLOOKUP(A36,Compartments_Added!A:C,3,FALSE), "Not found"))</f>
        <v>Geotextiles</v>
      </c>
      <c r="D36" s="95" t="str">
        <f>IFERROR(IF(VLOOKUP(A36,'Compartments_Kawecki&amp;Nowack19'!A:C,1,FALSE)=A36, "Kawecki","what?"),"Added/changed")</f>
        <v>Kawecki</v>
      </c>
      <c r="F36" s="17"/>
      <c r="G36" s="504" t="str">
        <v>Consumer films</v>
      </c>
      <c r="H36" s="504" t="str">
        <v>Collected organic waste (larger than 1 mm)</v>
      </c>
      <c r="I36" s="440" t="str">
        <v>Building textiles (in use)</v>
      </c>
      <c r="J36" t="str">
        <v>Agricultural packaging films</v>
      </c>
    </row>
    <row r="37" spans="1:10" ht="15.75" thickBot="1">
      <c r="A37" s="74" t="str">
        <v>Geotextiles (discarded)</v>
      </c>
      <c r="B37" s="340" t="str">
        <f>IFERROR(VLOOKUP(A37,'Compartments_Kawecki&amp;Nowack19'!A:C,2,FALSE), IFERROR(VLOOKUP(A37,Compartments_Added!A:C,2,FALSE), "Not found"))</f>
        <v>Stock</v>
      </c>
      <c r="C37" s="340" t="str">
        <f>IFERROR(VLOOKUP(A37,'Compartments_Kawecki&amp;Nowack19'!A:C,3,FALSE), IFERROR(VLOOKUP(A37,Compartments_Added!A:C,3,FALSE), "Not found"))</f>
        <v>GeotextilesDis</v>
      </c>
      <c r="D37" s="95" t="str">
        <f>IFERROR(IF(VLOOKUP(A37,'Compartments_Kawecki&amp;Nowack19'!A:C,1,FALSE)=A37, "Kawecki","what?"),"Added/changed")</f>
        <v>Added/changed</v>
      </c>
      <c r="F37" s="17"/>
      <c r="G37" s="504" t="str">
        <v>Other consumer packaging</v>
      </c>
      <c r="H37" s="504" t="str">
        <v>Collected organic waste (smaller than 1 mm)</v>
      </c>
      <c r="I37" s="440" t="str">
        <v>ELV textiles collection</v>
      </c>
      <c r="J37" t="str">
        <v>Compost (macro)</v>
      </c>
    </row>
    <row r="38" spans="1:10" ht="15.75" thickBot="1">
      <c r="A38" s="74" t="str">
        <v>Geotextiles (in use)</v>
      </c>
      <c r="B38" s="340" t="str">
        <f>IFERROR(VLOOKUP(A38,'Compartments_Kawecki&amp;Nowack19'!A:C,2,FALSE), IFERROR(VLOOKUP(A38,Compartments_Added!A:C,2,FALSE), "Not found"))</f>
        <v>Stock</v>
      </c>
      <c r="C38" s="340" t="str">
        <f>IFERROR(VLOOKUP(A38,'Compartments_Kawecki&amp;Nowack19'!A:C,3,FALSE), IFERROR(VLOOKUP(A38,Compartments_Added!A:C,3,FALSE), "Not found"))</f>
        <v>GeotextilesIU</v>
      </c>
      <c r="D38" s="95" t="str">
        <f>IFERROR(IF(VLOOKUP(A38,'Compartments_Kawecki&amp;Nowack19'!A:C,1,FALSE)=A38, "Kawecki","what?"),"Added/changed")</f>
        <v>Added/changed</v>
      </c>
      <c r="F38" s="17"/>
      <c r="G38" s="504" t="str">
        <v>Collected organic waste</v>
      </c>
      <c r="H38" s="504" t="str">
        <v>Combined sewer overflow (macro)</v>
      </c>
      <c r="I38" s="440" t="str">
        <v>Geotextiles</v>
      </c>
      <c r="J38" t="str">
        <v>Agrotextiles</v>
      </c>
    </row>
    <row r="39" spans="1:10" ht="15.75" thickBot="1">
      <c r="A39" s="74" t="str">
        <v>Home textiles</v>
      </c>
      <c r="B39" s="340" t="str">
        <f>IFERROR(VLOOKUP(A39,'Compartments_Kawecki&amp;Nowack19'!A:C,2,FALSE), IFERROR(VLOOKUP(A39,Compartments_Added!A:C,2,FALSE), "Not found"))</f>
        <v>Flow</v>
      </c>
      <c r="C39" s="340" t="str">
        <f>IFERROR(VLOOKUP(A39,'Compartments_Kawecki&amp;Nowack19'!A:C,3,FALSE), IFERROR(VLOOKUP(A39,Compartments_Added!A:C,3,FALSE), "Not found"))</f>
        <v>HomeTextiles</v>
      </c>
      <c r="D39" s="95" t="str">
        <f>IFERROR(IF(VLOOKUP(A39,'Compartments_Kawecki&amp;Nowack19'!A:C,1,FALSE)=A39, "Kawecki","what?"),"Added/changed")</f>
        <v>Added/changed</v>
      </c>
      <c r="F39" s="17"/>
      <c r="G39" s="504" t="str">
        <v>Wastewater treatment plant (macro)</v>
      </c>
      <c r="H39" s="504" t="str">
        <v>Combined sewer overflow (micro)</v>
      </c>
      <c r="I39" s="440" t="str">
        <v>Geotextiles (discarded)</v>
      </c>
      <c r="J39" t="str">
        <v>Agricultural mulching films</v>
      </c>
    </row>
    <row r="40" spans="1:10" ht="15.75" thickBot="1">
      <c r="A40" s="74" t="str">
        <v>Clothing (in use)</v>
      </c>
      <c r="B40" s="340" t="str">
        <f>IFERROR(VLOOKUP(A40,'Compartments_Kawecki&amp;Nowack19'!A:C,2,FALSE), IFERROR(VLOOKUP(A40,Compartments_Added!A:C,2,FALSE), "Not found"))</f>
        <v>Flow</v>
      </c>
      <c r="C40" s="340" t="str">
        <f>IFERROR(VLOOKUP(A40,'Compartments_Kawecki&amp;Nowack19'!A:C,3,FALSE), IFERROR(VLOOKUP(A40,Compartments_Added!A:C,3,FALSE), "Not found"))</f>
        <v>ClothingIU</v>
      </c>
      <c r="D40" s="95" t="str">
        <f>IFERROR(IF(VLOOKUP(A40,'Compartments_Kawecki&amp;Nowack19'!A:C,1,FALSE)=A40, "Kawecki","what?"),"Added/changed")</f>
        <v>Added/changed</v>
      </c>
      <c r="F40" s="17"/>
      <c r="G40" s="504" t="str">
        <v>Wastewater treatment plant (micro)</v>
      </c>
      <c r="H40" s="504" t="str">
        <v>Compost (macro)</v>
      </c>
      <c r="I40" s="440" t="str">
        <v>Geotextiles (in use)</v>
      </c>
      <c r="J40" t="str">
        <v>Agricultural other</v>
      </c>
    </row>
    <row r="41" spans="1:10" ht="15.75" thickBot="1">
      <c r="A41" s="74" t="str">
        <v>Consumer bags</v>
      </c>
      <c r="B41" s="340" t="str">
        <f>IFERROR(VLOOKUP(A41,'Compartments_Kawecki&amp;Nowack19'!A:C,2,FALSE), IFERROR(VLOOKUP(A41,Compartments_Added!A:C,2,FALSE), "Not found"))</f>
        <v>Stock</v>
      </c>
      <c r="C41" s="340" t="str">
        <f>IFERROR(VLOOKUP(A41,'Compartments_Kawecki&amp;Nowack19'!A:C,3,FALSE), IFERROR(VLOOKUP(A41,Compartments_Added!A:C,3,FALSE), "Not found"))</f>
        <v>ConsumerBags</v>
      </c>
      <c r="D41" s="95" t="str">
        <f>IFERROR(IF(VLOOKUP(A41,'Compartments_Kawecki&amp;Nowack19'!A:C,1,FALSE)=A41, "Kawecki","what?"),"Added/changed")</f>
        <v>Kawecki</v>
      </c>
      <c r="F41" s="17"/>
      <c r="G41" s="504" t="str">
        <v>Compost size separation (fictional process)</v>
      </c>
      <c r="H41" s="504" t="str">
        <v>Compost (micro)</v>
      </c>
      <c r="I41" s="440" t="str">
        <v>Home textiles</v>
      </c>
      <c r="J41" t="str">
        <v>Agricultural pipes (in use)</v>
      </c>
    </row>
    <row r="42" spans="1:10" ht="15.75" thickBot="1">
      <c r="A42" s="74" t="str">
        <v>Consumer bottles</v>
      </c>
      <c r="B42" s="340" t="str">
        <f>IFERROR(VLOOKUP(A42,'Compartments_Kawecki&amp;Nowack19'!A:C,2,FALSE), IFERROR(VLOOKUP(A42,Compartments_Added!A:C,2,FALSE), "Not found"))</f>
        <v>Stock</v>
      </c>
      <c r="C42" s="340" t="str">
        <f>IFERROR(VLOOKUP(A42,'Compartments_Kawecki&amp;Nowack19'!A:C,3,FALSE), IFERROR(VLOOKUP(A42,Compartments_Added!A:C,3,FALSE), "Not found"))</f>
        <v>ConsumerBottles</v>
      </c>
      <c r="D42" s="95" t="str">
        <f>IFERROR(IF(VLOOKUP(A42,'Compartments_Kawecki&amp;Nowack19'!A:C,1,FALSE)=A42, "Kawecki","what?"),"Added/changed")</f>
        <v>Kawecki</v>
      </c>
      <c r="F42" s="17"/>
      <c r="G42" s="504" t="str">
        <v>Collected organic waste (smaller than 1 mm)</v>
      </c>
      <c r="H42" s="504" t="str">
        <v>Compost size separation (fictional process)</v>
      </c>
      <c r="I42" s="440" t="str">
        <v>Clothing (in use)</v>
      </c>
      <c r="J42" t="str">
        <v>Agricultural greenhouse films (in use)</v>
      </c>
    </row>
    <row r="43" spans="1:10" ht="15.75" thickBot="1">
      <c r="A43" s="74" t="str">
        <v>Consumer films</v>
      </c>
      <c r="B43" s="340" t="str">
        <f>IFERROR(VLOOKUP(A43,'Compartments_Kawecki&amp;Nowack19'!A:C,2,FALSE), IFERROR(VLOOKUP(A43,Compartments_Added!A:C,2,FALSE), "Not found"))</f>
        <v>Stock</v>
      </c>
      <c r="C43" s="340" t="str">
        <f>IFERROR(VLOOKUP(A43,'Compartments_Kawecki&amp;Nowack19'!A:C,3,FALSE), IFERROR(VLOOKUP(A43,Compartments_Added!A:C,3,FALSE), "Not found"))</f>
        <v>ConsumerFilms</v>
      </c>
      <c r="D43" s="95" t="str">
        <f>IFERROR(IF(VLOOKUP(A43,'Compartments_Kawecki&amp;Nowack19'!A:C,1,FALSE)=A43, "Kawecki","what?"),"Added/changed")</f>
        <v>Kawecki</v>
      </c>
      <c r="F43" s="17"/>
      <c r="G43" s="504" t="str">
        <v>Collected organic waste (larger than 1 mm)</v>
      </c>
      <c r="H43" s="504" t="str">
        <v>Mixed waste collection</v>
      </c>
      <c r="I43" s="440" t="str">
        <v>Consumer bags</v>
      </c>
      <c r="J43" t="str">
        <v>Compost (micro)</v>
      </c>
    </row>
    <row r="44" spans="1:10" ht="15.75" thickBot="1">
      <c r="A44" s="74" t="str">
        <v>Other consumer packaging</v>
      </c>
      <c r="B44" s="340" t="str">
        <f>IFERROR(VLOOKUP(A44,'Compartments_Kawecki&amp;Nowack19'!A:C,2,FALSE), IFERROR(VLOOKUP(A44,Compartments_Added!A:C,2,FALSE), "Not found"))</f>
        <v>Stock</v>
      </c>
      <c r="C44" s="340" t="str">
        <f>IFERROR(VLOOKUP(A44,'Compartments_Kawecki&amp;Nowack19'!A:C,3,FALSE), IFERROR(VLOOKUP(A44,Compartments_Added!A:C,3,FALSE), "Not found"))</f>
        <v>ConsumerOther</v>
      </c>
      <c r="D44" s="95" t="str">
        <f>IFERROR(IF(VLOOKUP(A44,'Compartments_Kawecki&amp;Nowack19'!A:C,1,FALSE)=A44, "Kawecki","what?"),"Added/changed")</f>
        <v>Kawecki</v>
      </c>
      <c r="F44" s="17"/>
      <c r="G44" s="504" t="str">
        <v>Home textiles (discarded)</v>
      </c>
      <c r="H44" s="504" t="str">
        <v>Textile waste collection</v>
      </c>
      <c r="I44" s="440" t="str">
        <v>Consumer bottles</v>
      </c>
      <c r="J44" t="str">
        <v>Controlled release fertilizer</v>
      </c>
    </row>
    <row r="45" spans="1:10" ht="15.75" thickBot="1">
      <c r="A45" s="74" t="str">
        <v>Collected organic waste</v>
      </c>
      <c r="B45" s="340" t="str">
        <f>IFERROR(VLOOKUP(A45,'Compartments_Kawecki&amp;Nowack19'!A:C,2,FALSE), IFERROR(VLOOKUP(A45,Compartments_Added!A:C,2,FALSE), "Not found"))</f>
        <v>Flow</v>
      </c>
      <c r="C45" s="340" t="str">
        <f>IFERROR(VLOOKUP(A45,'Compartments_Kawecki&amp;Nowack19'!A:C,3,FALSE), IFERROR(VLOOKUP(A45,Compartments_Added!A:C,3,FALSE), "Not found"))</f>
        <v>CollectedOrganicW</v>
      </c>
      <c r="D45" s="95" t="str">
        <f>IFERROR(IF(VLOOKUP(A45,'Compartments_Kawecki&amp;Nowack19'!A:C,1,FALSE)=A45, "Kawecki","what?"),"Added/changed")</f>
        <v>Added/changed</v>
      </c>
      <c r="F45" s="17"/>
      <c r="G45" s="504" t="str">
        <v>Building packaging films</v>
      </c>
      <c r="H45" s="504" t="str">
        <v>Consumer bags</v>
      </c>
      <c r="I45" s="440" t="str">
        <v>Consumer films</v>
      </c>
      <c r="J45" t="str">
        <v>Fertilizer additives</v>
      </c>
    </row>
    <row r="46" spans="1:10" ht="15.75" thickBot="1">
      <c r="A46" s="74" t="str">
        <v>Wastewater treatment plant (macro)</v>
      </c>
      <c r="B46" s="340" t="str">
        <f>IFERROR(VLOOKUP(A46,'Compartments_Kawecki&amp;Nowack19'!A:C,2,FALSE), IFERROR(VLOOKUP(A46,Compartments_Added!A:C,2,FALSE), "Not found"))</f>
        <v>Flow</v>
      </c>
      <c r="C46" s="340" t="str">
        <f>IFERROR(VLOOKUP(A46,'Compartments_Kawecki&amp;Nowack19'!A:C,3,FALSE), IFERROR(VLOOKUP(A46,Compartments_Added!A:C,3,FALSE), "Not found"))</f>
        <v>WWTPMacro</v>
      </c>
      <c r="D46" s="95" t="str">
        <f>IFERROR(IF(VLOOKUP(A46,'Compartments_Kawecki&amp;Nowack19'!A:C,1,FALSE)=A46, "Kawecki","what?"),"Added/changed")</f>
        <v>Kawecki</v>
      </c>
      <c r="F46" s="17"/>
      <c r="G46" s="504" t="str">
        <v>Intentionally produced microparticles</v>
      </c>
      <c r="H46" s="504" t="str">
        <v>Consumer bottles</v>
      </c>
      <c r="I46" s="440" t="str">
        <v>Other consumer packaging</v>
      </c>
      <c r="J46" t="str">
        <v>Plant protection products</v>
      </c>
    </row>
    <row r="47" spans="1:10" ht="15.75" thickBot="1">
      <c r="A47" s="74" t="str">
        <v>Wastewater treatment plant (micro)</v>
      </c>
      <c r="B47" s="340" t="str">
        <f>IFERROR(VLOOKUP(A47,'Compartments_Kawecki&amp;Nowack19'!A:C,2,FALSE), IFERROR(VLOOKUP(A47,Compartments_Added!A:C,2,FALSE), "Not found"))</f>
        <v>Flow</v>
      </c>
      <c r="C47" s="340" t="str">
        <f>IFERROR(VLOOKUP(A47,'Compartments_Kawecki&amp;Nowack19'!A:C,3,FALSE), IFERROR(VLOOKUP(A47,Compartments_Added!A:C,3,FALSE), "Not found"))</f>
        <v>WWTPMicro</v>
      </c>
      <c r="D47" s="95" t="str">
        <f>IFERROR(IF(VLOOKUP(A47,'Compartments_Kawecki&amp;Nowack19'!A:C,1,FALSE)=A47, "Kawecki","what?"),"Added/changed")</f>
        <v>Kawecki</v>
      </c>
      <c r="F47" s="17"/>
      <c r="G47" s="504" t="str">
        <v>Home textiles (in use)</v>
      </c>
      <c r="H47" s="504" t="str">
        <v>Consumer films</v>
      </c>
      <c r="I47" s="440" t="str">
        <v>Collected organic waste</v>
      </c>
      <c r="J47" t="str">
        <v>Seed coating</v>
      </c>
    </row>
    <row r="48" spans="1:10" ht="15.75" thickBot="1">
      <c r="A48" s="74" t="str">
        <v>Compost size separation (fictional process)</v>
      </c>
      <c r="B48" s="340" t="str">
        <f>IFERROR(VLOOKUP(A48,'Compartments_Kawecki&amp;Nowack19'!A:C,2,FALSE), IFERROR(VLOOKUP(A48,Compartments_Added!A:C,2,FALSE), "Not found"))</f>
        <v>Flow</v>
      </c>
      <c r="C48" s="340" t="str">
        <f>IFERROR(VLOOKUP(A48,'Compartments_Kawecki&amp;Nowack19'!A:C,3,FALSE), IFERROR(VLOOKUP(A48,Compartments_Added!A:C,3,FALSE), "Not found"))</f>
        <v>CompostingSizeSep</v>
      </c>
      <c r="D48" s="95" t="str">
        <f>IFERROR(IF(VLOOKUP(A48,'Compartments_Kawecki&amp;Nowack19'!A:C,1,FALSE)=A48, "Kawecki","what?"),"Added/changed")</f>
        <v>Kawecki</v>
      </c>
      <c r="F48" s="17"/>
      <c r="G48" s="504" t="str">
        <v>Household textiles (product sector)</v>
      </c>
      <c r="H48" s="504" t="str">
        <v>Controlled release fertilizer</v>
      </c>
      <c r="I48" s="440" t="str">
        <v>Wastewater treatment plant (macro)</v>
      </c>
      <c r="J48" t="str">
        <v>Agricultural pipes (discarded)</v>
      </c>
    </row>
    <row r="49" spans="1:10" ht="15.75" thickBot="1">
      <c r="A49" s="74" t="str">
        <v>Collected organic waste (smaller than 1 mm)</v>
      </c>
      <c r="B49" s="340" t="str">
        <f>IFERROR(VLOOKUP(A49,'Compartments_Kawecki&amp;Nowack19'!A:C,2,FALSE), IFERROR(VLOOKUP(A49,Compartments_Added!A:C,2,FALSE), "Not found"))</f>
        <v>Flow</v>
      </c>
      <c r="C49" s="340" t="str">
        <f>IFERROR(VLOOKUP(A49,'Compartments_Kawecki&amp;Nowack19'!A:C,3,FALSE), IFERROR(VLOOKUP(A49,Compartments_Added!A:C,3,FALSE), "Not found"))</f>
        <v>CollectedOrganicWsmaller1mm</v>
      </c>
      <c r="D49" s="95" t="str">
        <f>IFERROR(IF(VLOOKUP(A49,'Compartments_Kawecki&amp;Nowack19'!A:C,1,FALSE)=A49, "Kawecki","what?"),"Added/changed")</f>
        <v>Added/changed</v>
      </c>
      <c r="F49" s="17"/>
      <c r="G49" s="504" t="str">
        <v>Clothing (discarded)</v>
      </c>
      <c r="H49" s="504" t="str">
        <v>Detergents and maintenance products</v>
      </c>
      <c r="I49" s="440" t="str">
        <v>Wastewater treatment plant (micro)</v>
      </c>
      <c r="J49" t="str">
        <v>Agricultural greenhouse films (discarded)</v>
      </c>
    </row>
    <row r="50" spans="1:10" ht="15.75" thickBot="1">
      <c r="A50" s="74" t="str">
        <v>Collected organic waste (larger than 1 mm)</v>
      </c>
      <c r="B50" s="340" t="str">
        <f>IFERROR(VLOOKUP(A50,'Compartments_Kawecki&amp;Nowack19'!A:C,2,FALSE), IFERROR(VLOOKUP(A50,Compartments_Added!A:C,2,FALSE), "Not found"))</f>
        <v>Flow</v>
      </c>
      <c r="C50" s="340" t="str">
        <f>IFERROR(VLOOKUP(A50,'Compartments_Kawecki&amp;Nowack19'!A:C,3,FALSE), IFERROR(VLOOKUP(A50,Compartments_Added!A:C,3,FALSE), "Not found"))</f>
        <v>CollectedOrganicWlarger1mm</v>
      </c>
      <c r="D50" s="95" t="str">
        <f>IFERROR(IF(VLOOKUP(A50,'Compartments_Kawecki&amp;Nowack19'!A:C,1,FALSE)=A50, "Kawecki","what?"),"Added/changed")</f>
        <v>Added/changed</v>
      </c>
      <c r="F50" s="17"/>
      <c r="G50" s="504" t="str">
        <v>Disposable cleaning cloths</v>
      </c>
      <c r="H50" s="504" t="str">
        <v>Indoor air (micro)</v>
      </c>
      <c r="I50" s="440" t="str">
        <v>Compost size separation (fictional process)</v>
      </c>
      <c r="J50" t="str">
        <v>Agrotextiles (discarded)</v>
      </c>
    </row>
    <row r="51" spans="1:10" ht="15.75" thickBot="1">
      <c r="A51" s="368" t="str">
        <v>Home textiles (discarded)</v>
      </c>
      <c r="B51" s="340" t="str">
        <f>IFERROR(VLOOKUP(A51,'Compartments_Kawecki&amp;Nowack19'!A:C,2,FALSE), IFERROR(VLOOKUP(A51,Compartments_Added!A:C,2,FALSE), "Not found"))</f>
        <v>Stock</v>
      </c>
      <c r="C51" s="340" t="str">
        <f>IFERROR(VLOOKUP(A51,'Compartments_Kawecki&amp;Nowack19'!A:C,3,FALSE), IFERROR(VLOOKUP(A51,Compartments_Added!A:C,3,FALSE), "Not found"))</f>
        <v>HomeTextilesDis</v>
      </c>
      <c r="D51" s="95" t="str">
        <f>IFERROR(IF(VLOOKUP(A51,'Compartments_Kawecki&amp;Nowack19'!A:C,1,FALSE)=A51, "Kawecki","what?"),"Added/changed")</f>
        <v>Added/changed</v>
      </c>
      <c r="F51" s="17"/>
      <c r="G51" s="504" t="str">
        <v>Non-consumer bags</v>
      </c>
      <c r="H51" s="504" t="str">
        <v>Outdoor air (micro)</v>
      </c>
      <c r="I51" s="440" t="str">
        <v>Collected organic waste (smaller than 1 mm)</v>
      </c>
      <c r="J51" t="str">
        <v>Agrotextiles (in use)</v>
      </c>
    </row>
    <row r="52" spans="1:10" ht="15.75" thickBot="1">
      <c r="A52" s="74" t="str">
        <v>Building packaging films</v>
      </c>
      <c r="B52" s="340" t="str">
        <f>IFERROR(VLOOKUP(A52,'Compartments_Kawecki&amp;Nowack19'!A:C,2,FALSE), IFERROR(VLOOKUP(A52,Compartments_Added!A:C,2,FALSE), "Not found"))</f>
        <v>Flow</v>
      </c>
      <c r="C52" s="340" t="str">
        <f>IFERROR(VLOOKUP(A52,'Compartments_Kawecki&amp;Nowack19'!A:C,3,FALSE), IFERROR(VLOOKUP(A52,Compartments_Added!A:C,3,FALSE), "Not found"))</f>
        <v>BuildingPackagingFilms</v>
      </c>
      <c r="D52" s="95" t="str">
        <f>IFERROR(IF(VLOOKUP(A52,'Compartments_Kawecki&amp;Nowack19'!A:C,1,FALSE)=A52, "Kawecki","what?"),"Added/changed")</f>
        <v>Kawecki</v>
      </c>
      <c r="F52" s="17"/>
      <c r="G52" s="504" t="str">
        <v>Other non-consumer films</v>
      </c>
      <c r="H52" s="504" t="str">
        <v>Wastewater (micro)</v>
      </c>
      <c r="I52" s="440" t="str">
        <v>Collected organic waste (larger than 1 mm)</v>
      </c>
      <c r="J52" t="str">
        <v>Building textiles</v>
      </c>
    </row>
    <row r="53" spans="1:10" ht="15.75" thickBot="1">
      <c r="A53" s="74" t="str">
        <v>Home textiles (in use)</v>
      </c>
      <c r="B53" s="340" t="str">
        <f>IFERROR(VLOOKUP(A53,'Compartments_Kawecki&amp;Nowack19'!A:C,2,FALSE), IFERROR(VLOOKUP(A53,Compartments_Added!A:C,2,FALSE), "Not found"))</f>
        <v>Stock</v>
      </c>
      <c r="C53" s="340" t="str">
        <f>IFERROR(VLOOKUP(A53,'Compartments_Kawecki&amp;Nowack19'!A:C,3,FALSE), IFERROR(VLOOKUP(A53,Compartments_Added!A:C,3,FALSE), "Not found"))</f>
        <v>HomeTextilesIU</v>
      </c>
      <c r="D53" s="95" t="str">
        <f>IFERROR(IF(VLOOKUP(A53,'Compartments_Kawecki&amp;Nowack19'!A:C,1,FALSE)=A53, "Kawecki","what?"),"Added/changed")</f>
        <v>Added/changed</v>
      </c>
      <c r="F53" s="17"/>
      <c r="G53" s="504" t="str">
        <v>Other non-consumer packaging</v>
      </c>
      <c r="H53" s="504" t="str">
        <v>Disposable cleaning cloths</v>
      </c>
      <c r="I53" s="440" t="str">
        <v>Home textiles (discarded)</v>
      </c>
      <c r="J53" t="str">
        <v>Building textiles (discarded)</v>
      </c>
    </row>
    <row r="54" spans="1:10" ht="15.75" thickBot="1">
      <c r="A54" s="74" t="str">
        <v>Clothing (discarded)</v>
      </c>
      <c r="B54" s="340" t="str">
        <f>IFERROR(VLOOKUP(A54,'Compartments_Kawecki&amp;Nowack19'!A:C,2,FALSE), IFERROR(VLOOKUP(A54,Compartments_Added!A:C,2,FALSE), "Not found"))</f>
        <v>Stock</v>
      </c>
      <c r="C54" s="340" t="str">
        <f>IFERROR(VLOOKUP(A54,'Compartments_Kawecki&amp;Nowack19'!A:C,3,FALSE), IFERROR(VLOOKUP(A54,Compartments_Added!A:C,3,FALSE), "Not found"))</f>
        <v>ClothingDis</v>
      </c>
      <c r="D54" s="95" t="str">
        <f>IFERROR(IF(VLOOKUP(A54,'Compartments_Kawecki&amp;Nowack19'!A:C,1,FALSE)=A54, "Kawecki","what?"),"Added/changed")</f>
        <v>Added/changed</v>
      </c>
      <c r="F54" s="17"/>
      <c r="G54" s="504" t="str">
        <v>Other technical textiles</v>
      </c>
      <c r="H54" s="504" t="str">
        <v>Home textiles</v>
      </c>
      <c r="I54" s="440" t="str">
        <v>Building packaging films</v>
      </c>
      <c r="J54" t="str">
        <v>Building textiles (in use)</v>
      </c>
    </row>
    <row r="55" spans="1:10" ht="15.75" thickBot="1">
      <c r="A55" s="74" t="str">
        <v>Disposable cleaning cloths</v>
      </c>
      <c r="B55" s="340" t="str">
        <f>IFERROR(VLOOKUP(A55,'Compartments_Kawecki&amp;Nowack19'!A:C,2,FALSE), IFERROR(VLOOKUP(A55,Compartments_Added!A:C,2,FALSE), "Not found"))</f>
        <v>Flow</v>
      </c>
      <c r="C55" s="340" t="str">
        <f>IFERROR(VLOOKUP(A55,'Compartments_Kawecki&amp;Nowack19'!A:C,3,FALSE), IFERROR(VLOOKUP(A55,Compartments_Added!A:C,3,FALSE), "Not found"))</f>
        <v>DisposCleanCloths</v>
      </c>
      <c r="D55" s="95" t="str">
        <f>IFERROR(IF(VLOOKUP(A55,'Compartments_Kawecki&amp;Nowack19'!A:C,1,FALSE)=A55, "Kawecki","what?"),"Added/changed")</f>
        <v>Kawecki</v>
      </c>
      <c r="F55" s="17"/>
      <c r="G55" s="504" t="str">
        <v>Panty liners</v>
      </c>
      <c r="H55" s="504" t="str">
        <v>Elimination</v>
      </c>
      <c r="I55" s="440" t="str">
        <v>Home textiles (in use)</v>
      </c>
      <c r="J55" t="str">
        <v>ELV textiles collection</v>
      </c>
    </row>
    <row r="56" spans="1:10" ht="15.75" thickBot="1">
      <c r="A56" s="74" t="str">
        <v>Non-consumer bags</v>
      </c>
      <c r="B56" s="340" t="str">
        <f>IFERROR(VLOOKUP(A56,'Compartments_Kawecki&amp;Nowack19'!A:C,2,FALSE), IFERROR(VLOOKUP(A56,Compartments_Added!A:C,2,FALSE), "Not found"))</f>
        <v>Stock</v>
      </c>
      <c r="C56" s="340" t="str">
        <f>IFERROR(VLOOKUP(A56,'Compartments_Kawecki&amp;Nowack19'!A:C,3,FALSE), IFERROR(VLOOKUP(A56,Compartments_Added!A:C,3,FALSE), "Not found"))</f>
        <v>NonConsumerBags</v>
      </c>
      <c r="D56" s="95" t="str">
        <f>IFERROR(IF(VLOOKUP(A56,'Compartments_Kawecki&amp;Nowack19'!A:C,1,FALSE)=A56, "Kawecki","what?"),"Added/changed")</f>
        <v>Kawecki</v>
      </c>
      <c r="F56" s="17"/>
      <c r="G56" s="504" t="str">
        <v>Sanitary pads</v>
      </c>
      <c r="H56" s="504" t="str">
        <v>Export</v>
      </c>
      <c r="I56" s="440" t="str">
        <v>Clothing (discarded)</v>
      </c>
      <c r="J56" t="str">
        <v>Geotextiles</v>
      </c>
    </row>
    <row r="57" spans="1:10" ht="15.75" thickBot="1">
      <c r="A57" s="74" t="str">
        <v>Other non-consumer films</v>
      </c>
      <c r="B57" s="340" t="str">
        <f>IFERROR(VLOOKUP(A57,'Compartments_Kawecki&amp;Nowack19'!A:C,2,FALSE), IFERROR(VLOOKUP(A57,Compartments_Added!A:C,2,FALSE), "Not found"))</f>
        <v>Stock</v>
      </c>
      <c r="C57" s="340" t="str">
        <f>IFERROR(VLOOKUP(A57,'Compartments_Kawecki&amp;Nowack19'!A:C,3,FALSE), IFERROR(VLOOKUP(A57,Compartments_Added!A:C,3,FALSE), "Not found"))</f>
        <v>OtherNonConsumerFilms</v>
      </c>
      <c r="D57" s="95" t="str">
        <f>IFERROR(IF(VLOOKUP(A57,'Compartments_Kawecki&amp;Nowack19'!A:C,1,FALSE)=A57, "Kawecki","what?"),"Added/changed")</f>
        <v>Kawecki</v>
      </c>
      <c r="F57" s="17"/>
      <c r="G57" s="504" t="str">
        <v>Tampons</v>
      </c>
      <c r="H57" s="504" t="str">
        <v>Secondary material reuse</v>
      </c>
      <c r="I57" s="440" t="str">
        <v>Disposable cleaning cloths</v>
      </c>
      <c r="J57" t="str">
        <v>Geotextiles (discarded)</v>
      </c>
    </row>
    <row r="58" spans="1:10" ht="15.75" thickBot="1">
      <c r="A58" s="74" t="str">
        <v>Other non-consumer packaging</v>
      </c>
      <c r="B58" s="340" t="str">
        <f>IFERROR(VLOOKUP(A58,'Compartments_Kawecki&amp;Nowack19'!A:C,2,FALSE), IFERROR(VLOOKUP(A58,Compartments_Added!A:C,2,FALSE), "Not found"))</f>
        <v>Stock</v>
      </c>
      <c r="C58" s="340" t="str">
        <f>IFERROR(VLOOKUP(A58,'Compartments_Kawecki&amp;Nowack19'!A:C,3,FALSE), IFERROR(VLOOKUP(A58,Compartments_Added!A:C,3,FALSE), "Not found"))</f>
        <v>NonConsumerOther</v>
      </c>
      <c r="D58" s="95" t="str">
        <f>IFERROR(IF(VLOOKUP(A58,'Compartments_Kawecki&amp;Nowack19'!A:C,1,FALSE)=A58, "Kawecki","what?"),"Added/changed")</f>
        <v>Kawecki</v>
      </c>
      <c r="F58" s="17"/>
      <c r="G58" s="504" t="str">
        <v>Technical home textiles (discarded)</v>
      </c>
      <c r="H58" s="504" t="str">
        <v>Residential soil (micro)</v>
      </c>
      <c r="I58" s="440" t="str">
        <v>Non-consumer bags</v>
      </c>
      <c r="J58" t="str">
        <v>Geotextiles (in use)</v>
      </c>
    </row>
    <row r="59" spans="1:10" ht="15.75" thickBot="1">
      <c r="A59" s="74" t="str">
        <v>Other technical textiles</v>
      </c>
      <c r="B59" s="340" t="str">
        <f>IFERROR(VLOOKUP(A59,'Compartments_Kawecki&amp;Nowack19'!A:C,2,FALSE), IFERROR(VLOOKUP(A59,Compartments_Added!A:C,2,FALSE), "Not found"))</f>
        <v>Stock</v>
      </c>
      <c r="C59" s="340" t="str">
        <f>IFERROR(VLOOKUP(A59,'Compartments_Kawecki&amp;Nowack19'!A:C,3,FALSE), IFERROR(VLOOKUP(A59,Compartments_Added!A:C,3,FALSE), "Not found"))</f>
        <v>OtherTechnicalTextiles</v>
      </c>
      <c r="D59" s="95" t="str">
        <f>IFERROR(IF(VLOOKUP(A59,'Compartments_Kawecki&amp;Nowack19'!A:C,1,FALSE)=A59, "Kawecki","what?"),"Added/changed")</f>
        <v>Kawecki</v>
      </c>
      <c r="F59" s="17"/>
      <c r="G59" s="504" t="str">
        <v>Incineration</v>
      </c>
      <c r="H59" s="504" t="str">
        <v>Industrial stormwater (micro)</v>
      </c>
      <c r="I59" s="440" t="str">
        <v>Other non-consumer films</v>
      </c>
      <c r="J59" t="str">
        <v>Home textiles</v>
      </c>
    </row>
    <row r="60" spans="1:10" ht="15.75" thickBot="1">
      <c r="A60" s="74" t="str">
        <v>Panty liners</v>
      </c>
      <c r="B60" s="340" t="str">
        <f>IFERROR(VLOOKUP(A60,'Compartments_Kawecki&amp;Nowack19'!A:C,2,FALSE), IFERROR(VLOOKUP(A60,Compartments_Added!A:C,2,FALSE), "Not found"))</f>
        <v>Flow</v>
      </c>
      <c r="C60" s="340" t="str">
        <f>IFERROR(VLOOKUP(A60,'Compartments_Kawecki&amp;Nowack19'!A:C,3,FALSE), IFERROR(VLOOKUP(A60,Compartments_Added!A:C,3,FALSE), "Not found"))</f>
        <v>PantyLiners</v>
      </c>
      <c r="D60" s="95" t="str">
        <f>IFERROR(IF(VLOOKUP(A60,'Compartments_Kawecki&amp;Nowack19'!A:C,1,FALSE)=A60, "Kawecki","what?"),"Added/changed")</f>
        <v>Kawecki</v>
      </c>
      <c r="F60" s="17"/>
      <c r="G60" s="504" t="str">
        <v>Packaging collection</v>
      </c>
      <c r="H60" s="504" t="str">
        <v>Transport of primary plastics</v>
      </c>
      <c r="I60" s="440" t="str">
        <v>Other non-consumer packaging</v>
      </c>
      <c r="J60" t="str">
        <v>Clothing (product sector)</v>
      </c>
    </row>
    <row r="61" spans="1:10" ht="15.75" thickBot="1">
      <c r="A61" s="74" t="str">
        <v>Sanitary pads</v>
      </c>
      <c r="B61" s="340" t="str">
        <f>IFERROR(VLOOKUP(A61,'Compartments_Kawecki&amp;Nowack19'!A:C,2,FALSE), IFERROR(VLOOKUP(A61,Compartments_Added!A:C,2,FALSE), "Not found"))</f>
        <v>Flow</v>
      </c>
      <c r="C61" s="340" t="str">
        <f>IFERROR(VLOOKUP(A61,'Compartments_Kawecki&amp;Nowack19'!A:C,3,FALSE), IFERROR(VLOOKUP(A61,Compartments_Added!A:C,3,FALSE), "Not found"))</f>
        <v>SanitaryPads</v>
      </c>
      <c r="D61" s="95" t="str">
        <f>IFERROR(IF(VLOOKUP(A61,'Compartments_Kawecki&amp;Nowack19'!A:C,1,FALSE)=A61, "Kawecki","what?"),"Added/changed")</f>
        <v>Added/changed</v>
      </c>
      <c r="F61" s="17"/>
      <c r="G61" s="504" t="str">
        <v>Agricultural plastic recycling</v>
      </c>
      <c r="H61" s="504" t="str">
        <v>Surface water (micro)</v>
      </c>
      <c r="I61" s="440" t="str">
        <v>Other technical textiles</v>
      </c>
      <c r="J61" t="str">
        <v>Clothing (in use)</v>
      </c>
    </row>
    <row r="62" spans="1:10" ht="15.75" thickBot="1">
      <c r="A62" s="74" t="str">
        <v>Tampons</v>
      </c>
      <c r="B62" s="340" t="str">
        <f>IFERROR(VLOOKUP(A62,'Compartments_Kawecki&amp;Nowack19'!A:C,2,FALSE), IFERROR(VLOOKUP(A62,Compartments_Added!A:C,2,FALSE), "Not found"))</f>
        <v>Flow</v>
      </c>
      <c r="C62" s="340" t="str">
        <f>IFERROR(VLOOKUP(A62,'Compartments_Kawecki&amp;Nowack19'!A:C,3,FALSE), IFERROR(VLOOKUP(A62,Compartments_Added!A:C,3,FALSE), "Not found"))</f>
        <v>Tampons</v>
      </c>
      <c r="D62" s="95" t="str">
        <f>IFERROR(IF(VLOOKUP(A62,'Compartments_Kawecki&amp;Nowack19'!A:C,1,FALSE)=A62, "Kawecki","what?"),"Added/changed")</f>
        <v>Kawecki</v>
      </c>
      <c r="F62" s="17"/>
      <c r="G62" s="504" t="str">
        <v>Domestic primary plastic production</v>
      </c>
      <c r="H62" s="504" t="str">
        <v>Wastewater treatment plant (micro)</v>
      </c>
      <c r="I62" s="440" t="str">
        <v>Panty liners</v>
      </c>
      <c r="J62" t="str">
        <v>Consumer bags</v>
      </c>
    </row>
    <row r="63" spans="1:10" ht="15.75" thickBot="1">
      <c r="A63" s="74" t="str">
        <v>Technical home textiles (discarded)</v>
      </c>
      <c r="B63" s="340" t="str">
        <f>IFERROR(VLOOKUP(A63,'Compartments_Kawecki&amp;Nowack19'!A:C,2,FALSE), IFERROR(VLOOKUP(A63,Compartments_Added!A:C,2,FALSE), "Not found"))</f>
        <v>Stock</v>
      </c>
      <c r="C63" s="340" t="str">
        <f>IFERROR(VLOOKUP(A63,'Compartments_Kawecki&amp;Nowack19'!A:C,3,FALSE), IFERROR(VLOOKUP(A63,Compartments_Added!A:C,3,FALSE), "Not found"))</f>
        <v>TechHomeTextilesDis</v>
      </c>
      <c r="D63" s="95" t="str">
        <f>IFERROR(IF(VLOOKUP(A63,'Compartments_Kawecki&amp;Nowack19'!A:C,1,FALSE)=A63, "Kawecki","what?"),"Added/changed")</f>
        <v>Added/changed</v>
      </c>
      <c r="F63" s="17"/>
      <c r="G63" s="504" t="str">
        <v>Import of primary plastics</v>
      </c>
      <c r="H63" s="504" t="str">
        <v>Plastic products</v>
      </c>
      <c r="I63" s="440" t="str">
        <v>Sanitary pads</v>
      </c>
      <c r="J63" t="str">
        <v>Consumer bottles</v>
      </c>
    </row>
    <row r="64" spans="1:10" ht="15.75" thickBot="1">
      <c r="A64" s="74" t="str">
        <v>Incineration</v>
      </c>
      <c r="B64" s="340" t="str">
        <f>IFERROR(VLOOKUP(A64,'Compartments_Kawecki&amp;Nowack19'!A:C,2,FALSE), IFERROR(VLOOKUP(A64,Compartments_Added!A:C,2,FALSE), "Not found"))</f>
        <v>Flow</v>
      </c>
      <c r="C64" s="340" t="str">
        <f>IFERROR(VLOOKUP(A64,'Compartments_Kawecki&amp;Nowack19'!A:C,3,FALSE), IFERROR(VLOOKUP(A64,Compartments_Added!A:C,3,FALSE), "Not found"))</f>
        <v>Incineration</v>
      </c>
      <c r="D64" s="95" t="str">
        <f>IFERROR(IF(VLOOKUP(A64,'Compartments_Kawecki&amp;Nowack19'!A:C,1,FALSE)=A64, "Kawecki","what?"),"Added/changed")</f>
        <v>Kawecki</v>
      </c>
      <c r="F64" s="17"/>
      <c r="G64" s="504" t="str">
        <v>Industrial stormwater (micro)</v>
      </c>
      <c r="H64" s="504" t="str">
        <v>Surface water (macro)</v>
      </c>
      <c r="I64" s="440" t="str">
        <v>Tampons</v>
      </c>
      <c r="J64" t="str">
        <v>Consumer films</v>
      </c>
    </row>
    <row r="65" spans="1:10" ht="15.75" thickBot="1">
      <c r="A65" s="74" t="str">
        <v>Packaging collection</v>
      </c>
      <c r="B65" s="340" t="str">
        <f>IFERROR(VLOOKUP(A65,'Compartments_Kawecki&amp;Nowack19'!A:C,2,FALSE), IFERROR(VLOOKUP(A65,Compartments_Added!A:C,2,FALSE), "Not found"))</f>
        <v>Flow</v>
      </c>
      <c r="C65" s="340" t="str">
        <f>IFERROR(VLOOKUP(A65,'Compartments_Kawecki&amp;Nowack19'!A:C,3,FALSE), IFERROR(VLOOKUP(A65,Compartments_Added!A:C,3,FALSE), "Not found"))</f>
        <v>PackagingCollection</v>
      </c>
      <c r="D65" s="95" t="str">
        <f>IFERROR(IF(VLOOKUP(A65,'Compartments_Kawecki&amp;Nowack19'!A:C,1,FALSE)=A65, "Kawecki","what?"),"Added/changed")</f>
        <v>Kawecki</v>
      </c>
      <c r="F65" s="17"/>
      <c r="G65" s="504" t="str">
        <v>Pellet conversion</v>
      </c>
      <c r="H65" s="504" t="str">
        <v>Wastewater treatment plant (macro)</v>
      </c>
      <c r="I65" s="440" t="str">
        <v>Technical home textiles (discarded)</v>
      </c>
      <c r="J65" t="str">
        <v>Other consumer packaging</v>
      </c>
    </row>
    <row r="66" spans="1:10" ht="15.75" thickBot="1">
      <c r="A66" s="74" t="str">
        <v>Agricultural plastic recycling</v>
      </c>
      <c r="B66" s="340" t="str">
        <f>IFERROR(VLOOKUP(A66,'Compartments_Kawecki&amp;Nowack19'!A:C,2,FALSE), IFERROR(VLOOKUP(A66,Compartments_Added!A:C,2,FALSE), "Not found"))</f>
        <v>Flow</v>
      </c>
      <c r="C66" s="340" t="str">
        <f>IFERROR(VLOOKUP(A66,'Compartments_Kawecki&amp;Nowack19'!A:C,3,FALSE), IFERROR(VLOOKUP(A66,Compartments_Added!A:C,3,FALSE), "Not found"))</f>
        <v>AgricultureRecycling</v>
      </c>
      <c r="D66" s="95" t="str">
        <f>IFERROR(IF(VLOOKUP(A66,'Compartments_Kawecki&amp;Nowack19'!A:C,1,FALSE)=A66, "Kawecki","what?"),"Added/changed")</f>
        <v>Kawecki</v>
      </c>
      <c r="F66" s="17"/>
      <c r="G66" s="504" t="str">
        <v>Stormwater (macro)</v>
      </c>
      <c r="H66" s="504" t="str">
        <v>Fertilizer additives</v>
      </c>
      <c r="I66" s="440" t="str">
        <v>Incineration</v>
      </c>
      <c r="J66" t="str">
        <v>Collected organic waste</v>
      </c>
    </row>
    <row r="67" spans="1:10" ht="15.75" thickBot="1">
      <c r="A67" s="74" t="str">
        <v>Industrial stormwater (micro)</v>
      </c>
      <c r="B67" s="340" t="str">
        <f>IFERROR(VLOOKUP(A67,'Compartments_Kawecki&amp;Nowack19'!A:C,2,FALSE), IFERROR(VLOOKUP(A67,Compartments_Added!A:C,2,FALSE), "Not found"))</f>
        <v>Sink</v>
      </c>
      <c r="C67" s="340" t="str">
        <f>IFERROR(VLOOKUP(A67,'Compartments_Kawecki&amp;Nowack19'!A:C,3,FALSE), IFERROR(VLOOKUP(A67,Compartments_Added!A:C,3,FALSE), "Not found"))</f>
        <v>IndustrialStormwaterMicro</v>
      </c>
      <c r="D67" s="95" t="str">
        <f>IFERROR(IF(VLOOKUP(A67,'Compartments_Kawecki&amp;Nowack19'!A:C,1,FALSE)=A67, "Kawecki","what?"),"Added/changed")</f>
        <v>Added/changed</v>
      </c>
      <c r="F67" s="17"/>
      <c r="G67" s="504" t="str">
        <v>Stormwater (micro)</v>
      </c>
      <c r="H67" s="504" t="str">
        <v>Food additives</v>
      </c>
      <c r="I67" s="440" t="str">
        <v>Packaging collection</v>
      </c>
      <c r="J67" t="str">
        <v>Wastewater treatment plant (macro)</v>
      </c>
    </row>
    <row r="68" spans="1:10" ht="15.75" thickBot="1">
      <c r="A68" s="74" t="str">
        <v>Pellet conversion</v>
      </c>
      <c r="B68" s="340" t="str">
        <f>IFERROR(VLOOKUP(A68,'Compartments_Kawecki&amp;Nowack19'!A:C,2,FALSE), IFERROR(VLOOKUP(A68,Compartments_Added!A:C,2,FALSE), "Not found"))</f>
        <v>Flow</v>
      </c>
      <c r="C68" s="340" t="str">
        <f>IFERROR(VLOOKUP(A68,'Compartments_Kawecki&amp;Nowack19'!A:C,3,FALSE), IFERROR(VLOOKUP(A68,Compartments_Added!A:C,3,FALSE), "Not found"))</f>
        <v>PelletConversio</v>
      </c>
      <c r="D68" s="95" t="str">
        <f>IFERROR(IF(VLOOKUP(A68,'Compartments_Kawecki&amp;Nowack19'!A:C,1,FALSE)=A68, "Kawecki","what?"),"Added/changed")</f>
        <v>Added/changed</v>
      </c>
      <c r="F68" s="17"/>
      <c r="G68" s="504" t="str">
        <v>Transport of primary plastics</v>
      </c>
      <c r="H68" s="504" t="str">
        <v>Panty liners</v>
      </c>
      <c r="I68" s="440" t="str">
        <v>Agricultural plastic recycling</v>
      </c>
      <c r="J68" t="str">
        <v>Wastewater treatment plant (micro)</v>
      </c>
    </row>
    <row r="69" spans="1:10" ht="15.75" thickBot="1">
      <c r="A69" s="74" t="str">
        <v>Stormwater (macro)</v>
      </c>
      <c r="B69" s="340" t="str">
        <f>IFERROR(VLOOKUP(A69,'Compartments_Kawecki&amp;Nowack19'!A:C,2,FALSE), IFERROR(VLOOKUP(A69,Compartments_Added!A:C,2,FALSE), "Not found"))</f>
        <v>Flow</v>
      </c>
      <c r="C69" s="340" t="str">
        <f>IFERROR(VLOOKUP(A69,'Compartments_Kawecki&amp;Nowack19'!A:C,3,FALSE), IFERROR(VLOOKUP(A69,Compartments_Added!A:C,3,FALSE), "Not found"))</f>
        <v>StormWaterMacro</v>
      </c>
      <c r="D69" s="95" t="str">
        <f>IFERROR(IF(VLOOKUP(A69,'Compartments_Kawecki&amp;Nowack19'!A:C,1,FALSE)=A69, "Kawecki","what?"),"Added/changed")</f>
        <v>Kawecki</v>
      </c>
      <c r="F69" s="17"/>
      <c r="G69" s="504" t="str">
        <v>Highway</v>
      </c>
      <c r="H69" s="504" t="str">
        <v>Highway DAB</v>
      </c>
      <c r="I69" s="440" t="str">
        <v>Industrial stormwater (micro)</v>
      </c>
      <c r="J69" t="str">
        <v>Compost size separation (fictional process)</v>
      </c>
    </row>
    <row r="70" spans="1:10" ht="15.75" thickBot="1">
      <c r="A70" s="74" t="str">
        <v>Stormwater (micro)</v>
      </c>
      <c r="B70" s="340" t="str">
        <f>IFERROR(VLOOKUP(A70,'Compartments_Kawecki&amp;Nowack19'!A:C,2,FALSE), IFERROR(VLOOKUP(A70,Compartments_Added!A:C,2,FALSE), "Not found"))</f>
        <v>Flow</v>
      </c>
      <c r="C70" s="340" t="str">
        <f>IFERROR(VLOOKUP(A70,'Compartments_Kawecki&amp;Nowack19'!A:C,3,FALSE), IFERROR(VLOOKUP(A70,Compartments_Added!A:C,3,FALSE), "Not found"))</f>
        <v>StormWaterMicro</v>
      </c>
      <c r="D70" s="95" t="str">
        <f>IFERROR(IF(VLOOKUP(A70,'Compartments_Kawecki&amp;Nowack19'!A:C,1,FALSE)=A70, "Kawecki","what?"),"Added/changed")</f>
        <v>Kawecki</v>
      </c>
      <c r="F70" s="17"/>
      <c r="G70" s="504" t="str">
        <v>Highway DAB</v>
      </c>
      <c r="H70" s="504" t="str">
        <v>Highway ZOAB</v>
      </c>
      <c r="I70" s="440" t="str">
        <v>Pellet conversion</v>
      </c>
      <c r="J70" t="str">
        <v>Collected organic waste (smaller than 1 mm)</v>
      </c>
    </row>
    <row r="71" spans="1:10" ht="15.75" thickBot="1">
      <c r="A71" s="74" t="str">
        <v>Highway</v>
      </c>
      <c r="B71" s="340" t="str">
        <f>IFERROR(VLOOKUP(A71,'Compartments_Kawecki&amp;Nowack19'!A:C,2,FALSE), IFERROR(VLOOKUP(A71,Compartments_Added!A:C,2,FALSE), "Not found"))</f>
        <v>Flow</v>
      </c>
      <c r="C71" s="340" t="str">
        <f>IFERROR(VLOOKUP(A71,'Compartments_Kawecki&amp;Nowack19'!A:C,3,FALSE), IFERROR(VLOOKUP(A71,Compartments_Added!A:C,3,FALSE), "Not found"))</f>
        <v>Highway</v>
      </c>
      <c r="D71" s="95" t="str">
        <f>IFERROR(IF(VLOOKUP(A71,'Compartments_Kawecki&amp;Nowack19'!A:C,1,FALSE)=A71, "Kawecki","what?"),"Added/changed")</f>
        <v>Added/changed</v>
      </c>
      <c r="F71" s="17"/>
      <c r="G71" s="504" t="str">
        <v>Combined sewer overflow (macro)</v>
      </c>
      <c r="H71" s="504" t="str">
        <v>Highway DAB non cleaned</v>
      </c>
      <c r="I71" s="440" t="str">
        <v>Stormwater (macro)</v>
      </c>
      <c r="J71" t="str">
        <v>Collected organic waste (larger than 1 mm)</v>
      </c>
    </row>
    <row r="72" spans="1:10" ht="15.75" thickBot="1">
      <c r="A72" s="74" t="str">
        <v>Highway DAB</v>
      </c>
      <c r="B72" s="340" t="str">
        <f>IFERROR(VLOOKUP(A72,'Compartments_Kawecki&amp;Nowack19'!A:C,2,FALSE), IFERROR(VLOOKUP(A72,Compartments_Added!A:C,2,FALSE), "Not found"))</f>
        <v>Flow</v>
      </c>
      <c r="C72" s="340" t="str">
        <f>IFERROR(VLOOKUP(A72,'Compartments_Kawecki&amp;Nowack19'!A:C,3,FALSE), IFERROR(VLOOKUP(A72,Compartments_Added!A:C,3,FALSE), "Not found"))</f>
        <v>HighwayDAB</v>
      </c>
      <c r="D72" s="95" t="str">
        <f>IFERROR(IF(VLOOKUP(A72,'Compartments_Kawecki&amp;Nowack19'!A:C,1,FALSE)=A72, "Kawecki","what?"),"Added/changed")</f>
        <v>Added/changed</v>
      </c>
      <c r="F72" s="17"/>
      <c r="G72" s="504" t="str">
        <v>Packaging recycling</v>
      </c>
      <c r="H72" s="504" t="str">
        <v>Sanitary pads</v>
      </c>
      <c r="I72" s="440" t="str">
        <v>Stormwater (micro)</v>
      </c>
      <c r="J72" t="str">
        <v>Home textiles (discarded)</v>
      </c>
    </row>
    <row r="73" spans="1:10" ht="15.75" thickBot="1">
      <c r="A73" s="74" t="str">
        <v>Combined sewer overflow (macro)</v>
      </c>
      <c r="B73" s="340" t="str">
        <f>IFERROR(VLOOKUP(A73,'Compartments_Kawecki&amp;Nowack19'!A:C,2,FALSE), IFERROR(VLOOKUP(A73,Compartments_Added!A:C,2,FALSE), "Not found"))</f>
        <v>Flow</v>
      </c>
      <c r="C73" s="340" t="str">
        <f>IFERROR(VLOOKUP(A73,'Compartments_Kawecki&amp;Nowack19'!A:C,3,FALSE), IFERROR(VLOOKUP(A73,Compartments_Added!A:C,3,FALSE), "Not found"))</f>
        <v>CSOMacro</v>
      </c>
      <c r="D73" s="95" t="str">
        <f>IFERROR(IF(VLOOKUP(A73,'Compartments_Kawecki&amp;Nowack19'!A:C,1,FALSE)=A73, "Kawecki","what?"),"Added/changed")</f>
        <v>Kawecki</v>
      </c>
      <c r="F73" s="17"/>
      <c r="G73" s="504" t="str">
        <v>Sludge (macro)</v>
      </c>
      <c r="H73" s="504" t="str">
        <v>Tampons</v>
      </c>
      <c r="I73" s="440" t="str">
        <v>Highway</v>
      </c>
      <c r="J73" t="str">
        <v>Building packaging films</v>
      </c>
    </row>
    <row r="74" spans="1:10" ht="15.75" thickBot="1">
      <c r="A74" s="74" t="str">
        <v>Packaging recycling</v>
      </c>
      <c r="B74" s="340" t="str">
        <f>IFERROR(VLOOKUP(A74,'Compartments_Kawecki&amp;Nowack19'!A:C,2,FALSE), IFERROR(VLOOKUP(A74,Compartments_Added!A:C,2,FALSE), "Not found"))</f>
        <v>Flow</v>
      </c>
      <c r="C74" s="340" t="str">
        <f>IFERROR(VLOOKUP(A74,'Compartments_Kawecki&amp;Nowack19'!A:C,3,FALSE), IFERROR(VLOOKUP(A74,Compartments_Added!A:C,3,FALSE), "Not found"))</f>
        <v>PackagingRecycling</v>
      </c>
      <c r="D74" s="95" t="str">
        <f>IFERROR(IF(VLOOKUP(A74,'Compartments_Kawecki&amp;Nowack19'!A:C,1,FALSE)=A74, "Kawecki","what?"),"Added/changed")</f>
        <v>Kawecki</v>
      </c>
      <c r="F74" s="17"/>
      <c r="G74" s="504" t="str">
        <v>Sludge (micro)</v>
      </c>
      <c r="H74" s="504" t="str">
        <v>Road cleaning</v>
      </c>
      <c r="I74" s="440" t="str">
        <v>Highway DAB</v>
      </c>
      <c r="J74" t="str">
        <v>Intentionally produced microparticles</v>
      </c>
    </row>
    <row r="75" spans="1:10" ht="15.75" thickBot="1">
      <c r="A75" s="74" t="str">
        <v>Sludge (macro)</v>
      </c>
      <c r="B75" s="340" t="str">
        <f>IFERROR(VLOOKUP(A75,'Compartments_Kawecki&amp;Nowack19'!A:C,2,FALSE), IFERROR(VLOOKUP(A75,Compartments_Added!A:C,2,FALSE), "Not found"))</f>
        <v>Flow</v>
      </c>
      <c r="C75" s="340" t="str">
        <f>IFERROR(VLOOKUP(A75,'Compartments_Kawecki&amp;Nowack19'!A:C,3,FALSE), IFERROR(VLOOKUP(A75,Compartments_Added!A:C,3,FALSE), "Not found"))</f>
        <v>SludgeMacro</v>
      </c>
      <c r="D75" s="95" t="str">
        <f>IFERROR(IF(VLOOKUP(A75,'Compartments_Kawecki&amp;Nowack19'!A:C,1,FALSE)=A75, "Kawecki","what?"),"Added/changed")</f>
        <v>Kawecki</v>
      </c>
      <c r="F75" s="17"/>
      <c r="G75" s="504" t="str">
        <v>Tertiary water treatment (macro)</v>
      </c>
      <c r="H75" s="504" t="str">
        <v>Indoor floors (micro)</v>
      </c>
      <c r="I75" s="440" t="str">
        <v>Combined sewer overflow (macro)</v>
      </c>
      <c r="J75" t="str">
        <v>Home textiles (in use)</v>
      </c>
    </row>
    <row r="76" spans="1:10" ht="15.75" thickBot="1">
      <c r="A76" s="74" t="str">
        <v>Sludge (micro)</v>
      </c>
      <c r="B76" s="340" t="str">
        <f>IFERROR(VLOOKUP(A76,'Compartments_Kawecki&amp;Nowack19'!A:C,2,FALSE), IFERROR(VLOOKUP(A76,Compartments_Added!A:C,2,FALSE), "Not found"))</f>
        <v>Flow</v>
      </c>
      <c r="C76" s="340" t="str">
        <f>IFERROR(VLOOKUP(A76,'Compartments_Kawecki&amp;Nowack19'!A:C,3,FALSE), IFERROR(VLOOKUP(A76,Compartments_Added!A:C,3,FALSE), "Not found"))</f>
        <v>SludgeMicro</v>
      </c>
      <c r="D76" s="95" t="str">
        <f>IFERROR(IF(VLOOKUP(A76,'Compartments_Kawecki&amp;Nowack19'!A:C,1,FALSE)=A76, "Kawecki","what?"),"Added/changed")</f>
        <v>Kawecki</v>
      </c>
      <c r="F76" s="17"/>
      <c r="G76" s="504" t="str">
        <v>Tertiary water treatment (micro)</v>
      </c>
      <c r="H76" s="504" t="str">
        <v>Infill material sports fields</v>
      </c>
      <c r="I76" s="440" t="str">
        <v>Packaging recycling</v>
      </c>
      <c r="J76" t="str">
        <v>Household textiles (product sector)</v>
      </c>
    </row>
    <row r="77" spans="1:10" ht="15.75" thickBot="1">
      <c r="A77" s="74" t="str">
        <v>Tertiary water treatment (macro)</v>
      </c>
      <c r="B77" s="340" t="str">
        <f>IFERROR(VLOOKUP(A77,'Compartments_Kawecki&amp;Nowack19'!A:C,2,FALSE), IFERROR(VLOOKUP(A77,Compartments_Added!A:C,2,FALSE), "Not found"))</f>
        <v>Flow</v>
      </c>
      <c r="C77" s="340" t="str">
        <f>IFERROR(VLOOKUP(A77,'Compartments_Kawecki&amp;Nowack19'!A:C,3,FALSE), IFERROR(VLOOKUP(A77,Compartments_Added!A:C,3,FALSE), "Not found"))</f>
        <v>WWTTertiaryMacro</v>
      </c>
      <c r="D77" s="95" t="str">
        <f>IFERROR(IF(VLOOKUP(A77,'Compartments_Kawecki&amp;Nowack19'!A:C,1,FALSE)=A77, "Kawecki","what?"),"Added/changed")</f>
        <v>Kawecki</v>
      </c>
      <c r="F77" s="17"/>
      <c r="G77" s="504" t="str">
        <v>Construction and demolition incinerable waste collection</v>
      </c>
      <c r="H77" s="504" t="str">
        <v>Infill material sports fields (discarded)</v>
      </c>
      <c r="I77" s="440" t="str">
        <v>Sludge (macro)</v>
      </c>
      <c r="J77" t="str">
        <v>Clothing (discarded)</v>
      </c>
    </row>
    <row r="78" spans="1:10" ht="15.75" thickBot="1">
      <c r="A78" s="74" t="str">
        <v>Tertiary water treatment (micro)</v>
      </c>
      <c r="B78" s="340" t="str">
        <f>IFERROR(VLOOKUP(A78,'Compartments_Kawecki&amp;Nowack19'!A:C,2,FALSE), IFERROR(VLOOKUP(A78,Compartments_Added!A:C,2,FALSE), "Not found"))</f>
        <v>Flow</v>
      </c>
      <c r="C78" s="340" t="str">
        <f>IFERROR(VLOOKUP(A78,'Compartments_Kawecki&amp;Nowack19'!A:C,3,FALSE), IFERROR(VLOOKUP(A78,Compartments_Added!A:C,3,FALSE), "Not found"))</f>
        <v>WWTTertiaryMicro</v>
      </c>
      <c r="D78" s="95" t="str">
        <f>IFERROR(IF(VLOOKUP(A78,'Compartments_Kawecki&amp;Nowack19'!A:C,1,FALSE)=A78, "Kawecki","what?"),"Added/changed")</f>
        <v>Kawecki</v>
      </c>
      <c r="F78" s="17"/>
      <c r="G78" s="504" t="str">
        <v>Clothing (in use) wear &amp; tear</v>
      </c>
      <c r="H78" s="504" t="str">
        <v>Infill material sports fields (in use)</v>
      </c>
      <c r="I78" s="440" t="str">
        <v>Sludge (micro)</v>
      </c>
      <c r="J78" t="str">
        <v>Disposable cleaning cloths</v>
      </c>
    </row>
    <row r="79" spans="1:10" ht="15.75" thickBot="1">
      <c r="A79" s="74" t="str">
        <v>Construction and demolition incinerable waste collection</v>
      </c>
      <c r="B79" s="340" t="str">
        <f>IFERROR(VLOOKUP(A79,'Compartments_Kawecki&amp;Nowack19'!A:C,2,FALSE), IFERROR(VLOOKUP(A79,Compartments_Added!A:C,2,FALSE), "Not found"))</f>
        <v>Flow</v>
      </c>
      <c r="C79" s="340" t="str">
        <f>IFERROR(VLOOKUP(A79,'Compartments_Kawecki&amp;Nowack19'!A:C,3,FALSE), IFERROR(VLOOKUP(A79,Compartments_Added!A:C,3,FALSE), "Not found"))</f>
        <v>CDIncinerableCollection</v>
      </c>
      <c r="D79" s="95" t="str">
        <f>IFERROR(IF(VLOOKUP(A79,'Compartments_Kawecki&amp;Nowack19'!A:C,1,FALSE)=A79, "Kawecki","what?"),"Added/changed")</f>
        <v>Kawecki</v>
      </c>
      <c r="F79" s="17"/>
      <c r="G79" s="504" t="str">
        <v>Indoor air (micro)</v>
      </c>
      <c r="H79" s="504" t="str">
        <v>Invitro diagnostic devices</v>
      </c>
      <c r="I79" s="440" t="str">
        <v>Tertiary water treatment (macro)</v>
      </c>
      <c r="J79" t="str">
        <v>Non-consumer bags</v>
      </c>
    </row>
    <row r="80" spans="1:10" ht="15.75" thickBot="1">
      <c r="A80" s="74" t="str">
        <v>Clothing (in use) wear &amp; tear</v>
      </c>
      <c r="B80" s="340" t="str">
        <f>IFERROR(VLOOKUP(A80,'Compartments_Kawecki&amp;Nowack19'!A:C,2,FALSE), IFERROR(VLOOKUP(A80,Compartments_Added!A:C,2,FALSE), "Not found"))</f>
        <v>Stock</v>
      </c>
      <c r="C80" s="340" t="str">
        <f>IFERROR(VLOOKUP(A80,'Compartments_Kawecki&amp;Nowack19'!A:C,3,FALSE), IFERROR(VLOOKUP(A80,Compartments_Added!A:C,3,FALSE), "Not found"))</f>
        <v>ClothingIUWearTear</v>
      </c>
      <c r="D80" s="95" t="str">
        <f>IFERROR(IF(VLOOKUP(A80,'Compartments_Kawecki&amp;Nowack19'!A:C,1,FALSE)=A80, "Kawecki","what?"),"Added/changed")</f>
        <v>Added/changed</v>
      </c>
      <c r="F80" s="17"/>
      <c r="G80" s="504" t="str">
        <v>Infill material sports fields</v>
      </c>
      <c r="H80" s="504" t="str">
        <v>Litter on road sides</v>
      </c>
      <c r="I80" s="440" t="str">
        <v>Tertiary water treatment (micro)</v>
      </c>
      <c r="J80" t="str">
        <v>Other non-consumer films</v>
      </c>
    </row>
    <row r="81" spans="1:10" ht="15.75" thickBot="1">
      <c r="A81" s="74" t="str">
        <v>Indoor air (micro)</v>
      </c>
      <c r="B81" s="340" t="str">
        <f>IFERROR(VLOOKUP(A81,'Compartments_Kawecki&amp;Nowack19'!A:C,2,FALSE), IFERROR(VLOOKUP(A81,Compartments_Added!A:C,2,FALSE), "Not found"))</f>
        <v>Flow</v>
      </c>
      <c r="C81" s="340" t="str">
        <f>IFERROR(VLOOKUP(A81,'Compartments_Kawecki&amp;Nowack19'!A:C,3,FALSE), IFERROR(VLOOKUP(A81,Compartments_Added!A:C,3,FALSE), "Not found"))</f>
        <v>IndoorAirMicro</v>
      </c>
      <c r="D81" s="95" t="str">
        <f>IFERROR(IF(VLOOKUP(A81,'Compartments_Kawecki&amp;Nowack19'!A:C,1,FALSE)=A81, "Kawecki","what?"),"Added/changed")</f>
        <v>Kawecki</v>
      </c>
      <c r="F81" s="17"/>
      <c r="G81" s="504" t="str">
        <v>Mixed waste collection</v>
      </c>
      <c r="H81" s="504" t="str">
        <v>Litter in natural environments</v>
      </c>
      <c r="I81" s="440" t="str">
        <v>Construction and demolition incinerable waste collection</v>
      </c>
      <c r="J81" t="str">
        <v>Other non-consumer packaging</v>
      </c>
    </row>
    <row r="82" spans="1:10" ht="15.75" thickBot="1">
      <c r="A82" s="74" t="str">
        <v>Infill material sports fields</v>
      </c>
      <c r="B82" s="340" t="str">
        <f>IFERROR(VLOOKUP(A82,'Compartments_Kawecki&amp;Nowack19'!A:C,2,FALSE), IFERROR(VLOOKUP(A82,Compartments_Added!A:C,2,FALSE), "Not found"))</f>
        <v>Flow</v>
      </c>
      <c r="C82" s="340" t="str">
        <f>IFERROR(VLOOKUP(A82,'Compartments_Kawecki&amp;Nowack19'!A:C,3,FALSE), IFERROR(VLOOKUP(A82,Compartments_Added!A:C,3,FALSE), "Not found"))</f>
        <v>InfillSportsField</v>
      </c>
      <c r="D82" s="95" t="str">
        <f>IFERROR(IF(VLOOKUP(A82,'Compartments_Kawecki&amp;Nowack19'!A:C,1,FALSE)=A82, "Kawecki","what?"),"Added/changed")</f>
        <v>Added/changed</v>
      </c>
      <c r="F82" s="17"/>
      <c r="G82" s="504" t="str">
        <v>Dumping</v>
      </c>
      <c r="H82" s="504" t="str">
        <v>Litter in residential environments</v>
      </c>
      <c r="I82" s="440" t="str">
        <v>Clothing (in use) wear &amp; tear</v>
      </c>
      <c r="J82" t="str">
        <v>Other technical textiles</v>
      </c>
    </row>
    <row r="83" spans="1:10" ht="15.75" thickBot="1">
      <c r="A83" s="74" t="str">
        <v>Mixed waste collection</v>
      </c>
      <c r="B83" s="340" t="str">
        <f>IFERROR(VLOOKUP(A83,'Compartments_Kawecki&amp;Nowack19'!A:C,2,FALSE), IFERROR(VLOOKUP(A83,Compartments_Added!A:C,2,FALSE), "Not found"))</f>
        <v>Flow</v>
      </c>
      <c r="C83" s="340" t="str">
        <f>IFERROR(VLOOKUP(A83,'Compartments_Kawecki&amp;Nowack19'!A:C,3,FALSE), IFERROR(VLOOKUP(A83,Compartments_Added!A:C,3,FALSE), "Not found"))</f>
        <v>MixedCollection</v>
      </c>
      <c r="D83" s="95" t="str">
        <f>IFERROR(IF(VLOOKUP(A83,'Compartments_Kawecki&amp;Nowack19'!A:C,1,FALSE)=A83, "Kawecki","what?"),"Added/changed")</f>
        <v>Kawecki</v>
      </c>
      <c r="F83" s="17"/>
      <c r="G83" s="504" t="str">
        <v>On-the-go consumption (nature)</v>
      </c>
      <c r="H83" s="504" t="str">
        <v>Wet wipes</v>
      </c>
      <c r="I83" s="440" t="str">
        <v>Indoor air (micro)</v>
      </c>
      <c r="J83" t="str">
        <v>Panty liners</v>
      </c>
    </row>
    <row r="84" spans="1:10" ht="15.75" thickBot="1">
      <c r="A84" s="74" t="str">
        <v>Dumping</v>
      </c>
      <c r="B84" s="340" t="str">
        <f>IFERROR(VLOOKUP(A84,'Compartments_Kawecki&amp;Nowack19'!A:C,2,FALSE), IFERROR(VLOOKUP(A84,Compartments_Added!A:C,2,FALSE), "Not found"))</f>
        <v>Flow</v>
      </c>
      <c r="C84" s="340" t="str">
        <f>IFERROR(VLOOKUP(A84,'Compartments_Kawecki&amp;Nowack19'!A:C,3,FALSE), IFERROR(VLOOKUP(A84,Compartments_Added!A:C,3,FALSE), "Not found"))</f>
        <v>Dumping</v>
      </c>
      <c r="D84" s="95" t="str">
        <f>IFERROR(IF(VLOOKUP(A84,'Compartments_Kawecki&amp;Nowack19'!A:C,1,FALSE)=A84, "Kawecki","what?"),"Added/changed")</f>
        <v>Kawecki</v>
      </c>
      <c r="F84" s="17"/>
      <c r="G84" s="504" t="str">
        <v>On-the-go consumption (residential)</v>
      </c>
      <c r="H84" s="504" t="str">
        <v>Medicine diffusion limitation (slow release)</v>
      </c>
      <c r="I84" s="440" t="str">
        <v>Infill material sports fields</v>
      </c>
      <c r="J84" t="str">
        <v>Sanitary pads</v>
      </c>
    </row>
    <row r="85" spans="1:10" ht="15.75" thickBot="1">
      <c r="A85" s="74" t="str">
        <v>On-the-go consumption (nature)</v>
      </c>
      <c r="B85" s="340" t="str">
        <f>IFERROR(VLOOKUP(A85,'Compartments_Kawecki&amp;Nowack19'!A:C,2,FALSE), IFERROR(VLOOKUP(A85,Compartments_Added!A:C,2,FALSE), "Not found"))</f>
        <v>Flow</v>
      </c>
      <c r="C85" s="340" t="str">
        <f>IFERROR(VLOOKUP(A85,'Compartments_Kawecki&amp;Nowack19'!A:C,3,FALSE), IFERROR(VLOOKUP(A85,Compartments_Added!A:C,3,FALSE), "Not found"))</f>
        <v>OnTheGoRural</v>
      </c>
      <c r="D85" s="95" t="str">
        <f>IFERROR(IF(VLOOKUP(A85,'Compartments_Kawecki&amp;Nowack19'!A:C,1,FALSE)=A85, "Kawecki","what?"),"Added/changed")</f>
        <v>Kawecki</v>
      </c>
      <c r="F85" s="17"/>
      <c r="G85" s="504" t="str">
        <v>Mixed waste collection (micro)</v>
      </c>
      <c r="H85" s="504" t="str">
        <v>Natural soil (macro)</v>
      </c>
      <c r="I85" s="440" t="str">
        <v>Mixed waste collection</v>
      </c>
      <c r="J85" t="str">
        <v>Tampons</v>
      </c>
    </row>
    <row r="86" spans="1:10" ht="15.75" thickBot="1">
      <c r="A86" s="74" t="str">
        <v>On-the-go consumption (residential)</v>
      </c>
      <c r="B86" s="340" t="str">
        <f>IFERROR(VLOOKUP(A86,'Compartments_Kawecki&amp;Nowack19'!A:C,2,FALSE), IFERROR(VLOOKUP(A86,Compartments_Added!A:C,2,FALSE), "Not found"))</f>
        <v>Flow</v>
      </c>
      <c r="C86" s="340" t="str">
        <f>IFERROR(VLOOKUP(A86,'Compartments_Kawecki&amp;Nowack19'!A:C,3,FALSE), IFERROR(VLOOKUP(A86,Compartments_Added!A:C,3,FALSE), "Not found"))</f>
        <v>OnTheGoUrban</v>
      </c>
      <c r="D86" s="95" t="str">
        <f>IFERROR(IF(VLOOKUP(A86,'Compartments_Kawecki&amp;Nowack19'!A:C,1,FALSE)=A86, "Kawecki","what?"),"Added/changed")</f>
        <v>Kawecki</v>
      </c>
      <c r="F86" s="17"/>
      <c r="G86" s="504" t="str">
        <v>On-the-go consumption (transport)</v>
      </c>
      <c r="H86" s="504" t="str">
        <v>ELV textiles collection</v>
      </c>
      <c r="I86" s="440" t="str">
        <v>Dumping</v>
      </c>
      <c r="J86" t="str">
        <v>Technical home textiles (discarded)</v>
      </c>
    </row>
    <row r="87" spans="1:10" ht="15.75" thickBot="1">
      <c r="A87" s="74" t="str">
        <v>Mixed waste collection (micro)</v>
      </c>
      <c r="B87" s="340" t="str">
        <f>IFERROR(VLOOKUP(A87,'Compartments_Kawecki&amp;Nowack19'!A:C,2,FALSE), IFERROR(VLOOKUP(A87,Compartments_Added!A:C,2,FALSE), "Not found"))</f>
        <v>Flow</v>
      </c>
      <c r="C87" s="340" t="str">
        <f>IFERROR(VLOOKUP(A87,'Compartments_Kawecki&amp;Nowack19'!A:C,3,FALSE), IFERROR(VLOOKUP(A87,Compartments_Added!A:C,3,FALSE), "Not found"))</f>
        <v>MixedCollectionMicro</v>
      </c>
      <c r="D87" s="95" t="str">
        <f>IFERROR(IF(VLOOKUP(A87,'Compartments_Kawecki&amp;Nowack19'!A:C,1,FALSE)=A87, "Kawecki","what?"),"Added/changed")</f>
        <v>Added/changed</v>
      </c>
      <c r="F87" s="17"/>
      <c r="G87" s="504" t="str">
        <v>Litter in natural environments</v>
      </c>
      <c r="H87" s="504" t="str">
        <v>Mixed waste collection (micro)</v>
      </c>
      <c r="I87" s="440" t="str">
        <v>On-the-go consumption (nature)</v>
      </c>
      <c r="J87" t="str">
        <v>Incineration</v>
      </c>
    </row>
    <row r="88" spans="1:10" ht="15.75" thickBot="1">
      <c r="A88" s="74" t="str">
        <v>On-the-go consumption (transport)</v>
      </c>
      <c r="B88" s="340" t="str">
        <f>IFERROR(VLOOKUP(A88,'Compartments_Kawecki&amp;Nowack19'!A:C,2,FALSE), IFERROR(VLOOKUP(A88,Compartments_Added!A:C,2,FALSE), "Not found"))</f>
        <v>Flow</v>
      </c>
      <c r="C88" s="340" t="str">
        <f>IFERROR(VLOOKUP(A88,'Compartments_Kawecki&amp;Nowack19'!A:C,3,FALSE), IFERROR(VLOOKUP(A88,Compartments_Added!A:C,3,FALSE), "Not found"))</f>
        <v>OnTheGoTransport</v>
      </c>
      <c r="D88" s="95" t="str">
        <f>IFERROR(IF(VLOOKUP(A88,'Compartments_Kawecki&amp;Nowack19'!A:C,1,FALSE)=A88, "Kawecki","what?"),"Added/changed")</f>
        <v>Kawecki</v>
      </c>
      <c r="F88" s="17"/>
      <c r="G88" s="504" t="str">
        <v>Indoor floors (micro)</v>
      </c>
      <c r="H88" s="504" t="str">
        <v>Technical home textiles (discarded)</v>
      </c>
      <c r="I88" s="440" t="str">
        <v>On-the-go consumption (residential)</v>
      </c>
      <c r="J88" t="str">
        <v>Packaging collection</v>
      </c>
    </row>
    <row r="89" spans="1:10" ht="15.75" thickBot="1">
      <c r="A89" s="74" t="str">
        <v>Litter in natural environments</v>
      </c>
      <c r="B89" s="340" t="str">
        <f>IFERROR(VLOOKUP(A89,'Compartments_Kawecki&amp;Nowack19'!A:C,2,FALSE), IFERROR(VLOOKUP(A89,Compartments_Added!A:C,2,FALSE), "Not found"))</f>
        <v>Flow</v>
      </c>
      <c r="C89" s="340" t="str">
        <f>IFERROR(VLOOKUP(A89,'Compartments_Kawecki&amp;Nowack19'!A:C,3,FALSE), IFERROR(VLOOKUP(A89,Compartments_Added!A:C,3,FALSE), "Not found"))</f>
        <v>RuralLitter</v>
      </c>
      <c r="D89" s="95" t="str">
        <f>IFERROR(IF(VLOOKUP(A89,'Compartments_Kawecki&amp;Nowack19'!A:C,1,FALSE)=A89, "Kawecki","what?"),"Added/changed")</f>
        <v>Kawecki</v>
      </c>
      <c r="F89" s="17"/>
      <c r="G89" s="504" t="str">
        <v>Litter in residential environments</v>
      </c>
      <c r="H89" s="504" t="str">
        <v>Technical home textiles (in use)</v>
      </c>
      <c r="I89" s="440" t="str">
        <v>Mixed waste collection (micro)</v>
      </c>
      <c r="J89" t="str">
        <v>Agricultural plastic recycling</v>
      </c>
    </row>
    <row r="90" spans="1:10" ht="15.75" thickBot="1">
      <c r="A90" s="74" t="str">
        <v>Indoor floors (micro)</v>
      </c>
      <c r="B90" s="340" t="str">
        <f>IFERROR(VLOOKUP(A90,'Compartments_Kawecki&amp;Nowack19'!A:C,2,FALSE), IFERROR(VLOOKUP(A90,Compartments_Added!A:C,2,FALSE), "Not found"))</f>
        <v>Flow</v>
      </c>
      <c r="C90" s="340" t="str">
        <f>IFERROR(VLOOKUP(A90,'Compartments_Kawecki&amp;Nowack19'!A:C,3,FALSE), IFERROR(VLOOKUP(A90,Compartments_Added!A:C,3,FALSE), "Not found"))</f>
        <v>FloorCleaning</v>
      </c>
      <c r="D90" s="95" t="str">
        <f>IFERROR(IF(VLOOKUP(A90,'Compartments_Kawecki&amp;Nowack19'!A:C,1,FALSE)=A90, "Kawecki","what?"),"Added/changed")</f>
        <v>Kawecki</v>
      </c>
      <c r="F90" s="17"/>
      <c r="G90" s="504" t="str">
        <v>Medical textiles</v>
      </c>
      <c r="H90" s="504" t="str">
        <v>Agrotextiles</v>
      </c>
      <c r="I90" s="440" t="str">
        <v>On-the-go consumption (transport)</v>
      </c>
      <c r="J90" t="str">
        <v>Domestic primary plastic production</v>
      </c>
    </row>
    <row r="91" spans="1:10" ht="15.75" thickBot="1">
      <c r="A91" s="74" t="str">
        <v>Litter in residential environments</v>
      </c>
      <c r="B91" s="340" t="str">
        <f>IFERROR(VLOOKUP(A91,'Compartments_Kawecki&amp;Nowack19'!A:C,2,FALSE), IFERROR(VLOOKUP(A91,Compartments_Added!A:C,2,FALSE), "Not found"))</f>
        <v>Flow</v>
      </c>
      <c r="C91" s="340" t="str">
        <f>IFERROR(VLOOKUP(A91,'Compartments_Kawecki&amp;Nowack19'!A:C,3,FALSE), IFERROR(VLOOKUP(A91,Compartments_Added!A:C,3,FALSE), "Not found"))</f>
        <v>UrbanLitter</v>
      </c>
      <c r="D91" s="95" t="str">
        <f>IFERROR(IF(VLOOKUP(A91,'Compartments_Kawecki&amp;Nowack19'!A:C,1,FALSE)=A91, "Kawecki","what?"),"Added/changed")</f>
        <v>Kawecki</v>
      </c>
      <c r="F91" s="17"/>
      <c r="G91" s="504" t="str">
        <v>Mobility textiles</v>
      </c>
      <c r="H91" s="504" t="str">
        <v>Natural soil (micro)</v>
      </c>
      <c r="I91" s="440" t="str">
        <v>Litter in natural environments</v>
      </c>
      <c r="J91" t="str">
        <v>Import of primary plastics</v>
      </c>
    </row>
    <row r="92" spans="1:10" ht="15.75" thickBot="1">
      <c r="A92" s="74" t="str">
        <v>Medical textiles</v>
      </c>
      <c r="B92" s="340" t="str">
        <f>IFERROR(VLOOKUP(A92,'Compartments_Kawecki&amp;Nowack19'!A:C,2,FALSE), IFERROR(VLOOKUP(A92,Compartments_Added!A:C,2,FALSE), "Not found"))</f>
        <v>Stock</v>
      </c>
      <c r="C92" s="340" t="str">
        <f>IFERROR(VLOOKUP(A92,'Compartments_Kawecki&amp;Nowack19'!A:C,3,FALSE), IFERROR(VLOOKUP(A92,Compartments_Added!A:C,3,FALSE), "Not found"))</f>
        <v>MedicalTextiles</v>
      </c>
      <c r="D92" s="95" t="str">
        <f>IFERROR(IF(VLOOKUP(A92,'Compartments_Kawecki&amp;Nowack19'!A:C,1,FALSE)=A92, "Kawecki","what?"),"Added/changed")</f>
        <v>Added/changed</v>
      </c>
      <c r="F92" s="17"/>
      <c r="G92" s="504" t="str">
        <v>Textile coating (discarded)</v>
      </c>
      <c r="H92" s="504" t="str">
        <v>Non-consumer bags</v>
      </c>
      <c r="I92" s="440" t="str">
        <v>Indoor floors (micro)</v>
      </c>
      <c r="J92" t="str">
        <v>Industrial stormwater (micro)</v>
      </c>
    </row>
    <row r="93" spans="1:10" ht="15.75" thickBot="1">
      <c r="A93" s="74" t="str">
        <v>Mobility textiles</v>
      </c>
      <c r="B93" s="340" t="str">
        <f>IFERROR(VLOOKUP(A93,'Compartments_Kawecki&amp;Nowack19'!A:C,2,FALSE), IFERROR(VLOOKUP(A93,Compartments_Added!A:C,2,FALSE), "Not found"))</f>
        <v>Stock</v>
      </c>
      <c r="C93" s="340" t="str">
        <f>IFERROR(VLOOKUP(A93,'Compartments_Kawecki&amp;Nowack19'!A:C,3,FALSE), IFERROR(VLOOKUP(A93,Compartments_Added!A:C,3,FALSE), "Not found"))</f>
        <v>MobilityTextiles</v>
      </c>
      <c r="D93" s="95" t="str">
        <f>IFERROR(IF(VLOOKUP(A93,'Compartments_Kawecki&amp;Nowack19'!A:C,1,FALSE)=A93, "Kawecki","what?"),"Added/changed")</f>
        <v>Kawecki</v>
      </c>
      <c r="F93" s="17"/>
      <c r="G93" s="504" t="str">
        <v>Wet wipes</v>
      </c>
      <c r="H93" s="504" t="str">
        <v>Offshore oil &amp; gas applications</v>
      </c>
      <c r="I93" s="440" t="str">
        <v>Litter in residential environments</v>
      </c>
      <c r="J93" t="str">
        <v>Pellet conversion</v>
      </c>
    </row>
    <row r="94" spans="1:10" ht="15.75" thickBot="1">
      <c r="A94" s="74" t="str">
        <v>Textile coating (discarded)</v>
      </c>
      <c r="B94" s="340" t="str">
        <f>IFERROR(VLOOKUP(A94,'Compartments_Kawecki&amp;Nowack19'!A:C,2,FALSE), IFERROR(VLOOKUP(A94,Compartments_Added!A:C,2,FALSE), "Not found"))</f>
        <v>Stock</v>
      </c>
      <c r="C94" s="340" t="str">
        <f>IFERROR(VLOOKUP(A94,'Compartments_Kawecki&amp;Nowack19'!A:C,3,FALSE), IFERROR(VLOOKUP(A94,Compartments_Added!A:C,3,FALSE), "Not found"))</f>
        <v>TextileCoatingDis</v>
      </c>
      <c r="D94" s="95" t="str">
        <f>IFERROR(IF(VLOOKUP(A94,'Compartments_Kawecki&amp;Nowack19'!A:C,1,FALSE)=A94, "Kawecki","what?"),"Added/changed")</f>
        <v>Added/changed</v>
      </c>
      <c r="F94" s="17"/>
      <c r="G94" s="504" t="str">
        <v>Detergents and maintenance products</v>
      </c>
      <c r="H94" s="504" t="str">
        <v>On-site sewage facility (macro)</v>
      </c>
      <c r="I94" s="440" t="str">
        <v>Medical textiles</v>
      </c>
      <c r="J94" t="str">
        <v>Stormwater (macro)</v>
      </c>
    </row>
    <row r="95" spans="1:10" ht="15.75" thickBot="1">
      <c r="A95" s="74" t="str">
        <v>Wet wipes</v>
      </c>
      <c r="B95" s="340" t="str">
        <f>IFERROR(VLOOKUP(A95,'Compartments_Kawecki&amp;Nowack19'!A:C,2,FALSE), IFERROR(VLOOKUP(A95,Compartments_Added!A:C,2,FALSE), "Not found"))</f>
        <v>Flow</v>
      </c>
      <c r="C95" s="340" t="str">
        <f>IFERROR(VLOOKUP(A95,'Compartments_Kawecki&amp;Nowack19'!A:C,3,FALSE), IFERROR(VLOOKUP(A95,Compartments_Added!A:C,3,FALSE), "Not found"))</f>
        <v>WetWipes</v>
      </c>
      <c r="D95" s="95" t="str">
        <f>IFERROR(IF(VLOOKUP(A95,'Compartments_Kawecki&amp;Nowack19'!A:C,1,FALSE)=A95, "Kawecki","what?"),"Added/changed")</f>
        <v>Kawecki</v>
      </c>
      <c r="F95" s="17"/>
      <c r="G95" s="504" t="str">
        <v>Infill material sports fields (in use)</v>
      </c>
      <c r="H95" s="504" t="str">
        <v>On-site sewage facility (micro)</v>
      </c>
      <c r="I95" s="440" t="str">
        <v>Mobility textiles</v>
      </c>
      <c r="J95" t="str">
        <v>Stormwater (micro)</v>
      </c>
    </row>
    <row r="96" spans="1:10" ht="15.75" thickBot="1">
      <c r="A96" s="74" t="str">
        <v>Detergents and maintenance products</v>
      </c>
      <c r="B96" s="340" t="str">
        <f>IFERROR(VLOOKUP(A96,'Compartments_Kawecki&amp;Nowack19'!A:C,2,FALSE), IFERROR(VLOOKUP(A96,Compartments_Added!A:C,2,FALSE), "Not found"))</f>
        <v>Flow</v>
      </c>
      <c r="C96" s="340" t="str">
        <f>IFERROR(VLOOKUP(A96,'Compartments_Kawecki&amp;Nowack19'!A:C,3,FALSE), IFERROR(VLOOKUP(A96,Compartments_Added!A:C,3,FALSE), "Not found"))</f>
        <v>Detergents</v>
      </c>
      <c r="D96" s="95" t="str">
        <f>IFERROR(IF(VLOOKUP(A96,'Compartments_Kawecki&amp;Nowack19'!A:C,1,FALSE)=A96, "Kawecki","what?"),"Added/changed")</f>
        <v>Added/changed</v>
      </c>
      <c r="F96" s="17"/>
      <c r="G96" s="504" t="str">
        <v>Infill material sports fields (discarded)</v>
      </c>
      <c r="H96" s="504" t="str">
        <v>On-the-go consumption</v>
      </c>
      <c r="I96" s="440" t="str">
        <v>Textile coating (discarded)</v>
      </c>
      <c r="J96" t="str">
        <v>Transport of primary plastics</v>
      </c>
    </row>
    <row r="97" spans="1:10" ht="15.75" thickBot="1">
      <c r="A97" s="74" t="str">
        <v>Infill material sports fields (in use)</v>
      </c>
      <c r="B97" s="340" t="str">
        <f>IFERROR(VLOOKUP(A97,'Compartments_Kawecki&amp;Nowack19'!A:C,2,FALSE), IFERROR(VLOOKUP(A97,Compartments_Added!A:C,2,FALSE), "Not found"))</f>
        <v>Stock</v>
      </c>
      <c r="C97" s="340" t="str">
        <f>IFERROR(VLOOKUP(A97,'Compartments_Kawecki&amp;Nowack19'!A:C,3,FALSE), IFERROR(VLOOKUP(A97,Compartments_Added!A:C,3,FALSE), "Not found"))</f>
        <v>InfillSportsFieldU</v>
      </c>
      <c r="D97" s="95" t="str">
        <f>IFERROR(IF(VLOOKUP(A97,'Compartments_Kawecki&amp;Nowack19'!A:C,1,FALSE)=A97, "Kawecki","what?"),"Added/changed")</f>
        <v>Added/changed</v>
      </c>
      <c r="F97" s="17"/>
      <c r="G97" s="504" t="str">
        <v>Food additives</v>
      </c>
      <c r="H97" s="504" t="str">
        <v>On-the-go consumption (nature)</v>
      </c>
      <c r="I97" s="440" t="str">
        <v>Wet wipes</v>
      </c>
      <c r="J97" t="str">
        <v>Highway</v>
      </c>
    </row>
    <row r="98" spans="1:10" ht="15.75" thickBot="1">
      <c r="A98" s="74" t="str">
        <v>Infill material sports fields (discarded)</v>
      </c>
      <c r="B98" s="340" t="str">
        <f>IFERROR(VLOOKUP(A98,'Compartments_Kawecki&amp;Nowack19'!A:C,2,FALSE), IFERROR(VLOOKUP(A98,Compartments_Added!A:C,2,FALSE), "Not found"))</f>
        <v>Stock</v>
      </c>
      <c r="C98" s="340" t="str">
        <f>IFERROR(VLOOKUP(A98,'Compartments_Kawecki&amp;Nowack19'!A:C,3,FALSE), IFERROR(VLOOKUP(A98,Compartments_Added!A:C,3,FALSE), "Not found"))</f>
        <v>InfillSportsFieldDis</v>
      </c>
      <c r="D98" s="95" t="str">
        <f>IFERROR(IF(VLOOKUP(A98,'Compartments_Kawecki&amp;Nowack19'!A:C,1,FALSE)=A98, "Kawecki","what?"),"Added/changed")</f>
        <v>Added/changed</v>
      </c>
      <c r="F98" s="17"/>
      <c r="G98" s="504" t="str">
        <v>Invitro diagnostic devices</v>
      </c>
      <c r="H98" s="504" t="str">
        <v>On-the-go consumption (residential)</v>
      </c>
      <c r="I98" s="440" t="str">
        <v>Detergents and maintenance products</v>
      </c>
      <c r="J98" t="str">
        <v>Highway DAB</v>
      </c>
    </row>
    <row r="99" spans="1:10" ht="15.75" thickBot="1">
      <c r="A99" s="74" t="str">
        <v>Food additives</v>
      </c>
      <c r="B99" s="340" t="str">
        <f>IFERROR(VLOOKUP(A99,'Compartments_Kawecki&amp;Nowack19'!A:C,2,FALSE), IFERROR(VLOOKUP(A99,Compartments_Added!A:C,2,FALSE), "Not found"))</f>
        <v>Flow</v>
      </c>
      <c r="C99" s="340" t="str">
        <f>IFERROR(VLOOKUP(A99,'Compartments_Kawecki&amp;Nowack19'!A:C,3,FALSE), IFERROR(VLOOKUP(A99,Compartments_Added!A:C,3,FALSE), "Not found"))</f>
        <v>FoodAdditive</v>
      </c>
      <c r="D99" s="95" t="str">
        <f>IFERROR(IF(VLOOKUP(A99,'Compartments_Kawecki&amp;Nowack19'!A:C,1,FALSE)=A99, "Kawecki","what?"),"Added/changed")</f>
        <v>Added/changed</v>
      </c>
      <c r="F99" s="17"/>
      <c r="G99" s="504" t="str">
        <v>Medicine diffusion limitation (slow release)</v>
      </c>
      <c r="H99" s="504" t="str">
        <v>On-the-go consumption (transport)</v>
      </c>
      <c r="I99" s="440" t="str">
        <v>Infill material sports fields (in use)</v>
      </c>
      <c r="J99" t="str">
        <v>Combined sewer overflow (macro)</v>
      </c>
    </row>
    <row r="100" spans="1:10" ht="15.75" thickBot="1">
      <c r="A100" s="74" t="str">
        <v>Invitro diagnostic devices</v>
      </c>
      <c r="B100" s="340" t="str">
        <f>IFERROR(VLOOKUP(A100,'Compartments_Kawecki&amp;Nowack19'!A:C,2,FALSE), IFERROR(VLOOKUP(A100,Compartments_Added!A:C,2,FALSE), "Not found"))</f>
        <v>Flow</v>
      </c>
      <c r="C100" s="340" t="str">
        <f>IFERROR(VLOOKUP(A100,'Compartments_Kawecki&amp;Nowack19'!A:C,3,FALSE), IFERROR(VLOOKUP(A100,Compartments_Added!A:C,3,FALSE), "Not found"))</f>
        <v>IVD</v>
      </c>
      <c r="D100" s="95" t="str">
        <f>IFERROR(IF(VLOOKUP(A100,'Compartments_Kawecki&amp;Nowack19'!A:C,1,FALSE)=A100, "Kawecki","what?"),"Added/changed")</f>
        <v>Added/changed</v>
      </c>
      <c r="F100" s="17"/>
      <c r="G100" s="504" t="str">
        <v>PCCP</v>
      </c>
      <c r="H100" s="504" t="str">
        <v>Other consumer packaging</v>
      </c>
      <c r="I100" s="440" t="str">
        <v>Infill material sports fields (discarded)</v>
      </c>
      <c r="J100" t="str">
        <v>Packaging recycling</v>
      </c>
    </row>
    <row r="101" spans="1:10" ht="15.75" thickBot="1">
      <c r="A101" s="74" t="str">
        <v>Medicine diffusion limitation (slow release)</v>
      </c>
      <c r="B101" s="340" t="str">
        <f>IFERROR(VLOOKUP(A101,'Compartments_Kawecki&amp;Nowack19'!A:C,2,FALSE), IFERROR(VLOOKUP(A101,Compartments_Added!A:C,2,FALSE), "Not found"))</f>
        <v>Flow</v>
      </c>
      <c r="C101" s="340" t="str">
        <f>IFERROR(VLOOKUP(A101,'Compartments_Kawecki&amp;Nowack19'!A:C,3,FALSE), IFERROR(VLOOKUP(A101,Compartments_Added!A:C,3,FALSE), "Not found"))</f>
        <v>MedicineDiff</v>
      </c>
      <c r="D101" s="95" t="str">
        <f>IFERROR(IF(VLOOKUP(A101,'Compartments_Kawecki&amp;Nowack19'!A:C,1,FALSE)=A101, "Kawecki","what?"),"Added/changed")</f>
        <v>Added/changed</v>
      </c>
      <c r="F101" s="17"/>
      <c r="G101" s="504" t="str">
        <v>Technical home textiles</v>
      </c>
      <c r="H101" s="504" t="str">
        <v>Other non-consumer films</v>
      </c>
      <c r="I101" s="440" t="str">
        <v>Food additives</v>
      </c>
      <c r="J101" t="str">
        <v>Sludge (macro)</v>
      </c>
    </row>
    <row r="102" spans="1:10" ht="15.75" thickBot="1">
      <c r="A102" s="74" t="str">
        <v>PCCP</v>
      </c>
      <c r="B102" s="340" t="str">
        <f>IFERROR(VLOOKUP(A102,'Compartments_Kawecki&amp;Nowack19'!A:C,2,FALSE), IFERROR(VLOOKUP(A102,Compartments_Added!A:C,2,FALSE), "Not found"))</f>
        <v>Flow</v>
      </c>
      <c r="C102" s="340" t="str">
        <f>IFERROR(VLOOKUP(A102,'Compartments_Kawecki&amp;Nowack19'!A:C,3,FALSE), IFERROR(VLOOKUP(A102,Compartments_Added!A:C,3,FALSE), "Not found"))</f>
        <v>PCCP</v>
      </c>
      <c r="D102" s="95" t="str">
        <f>IFERROR(IF(VLOOKUP(A102,'Compartments_Kawecki&amp;Nowack19'!A:C,1,FALSE)=A102, "Kawecki","what?"),"Added/changed")</f>
        <v>Kawecki</v>
      </c>
      <c r="F102" s="17"/>
      <c r="G102" s="504" t="str">
        <v>Technical home textiles (in use)</v>
      </c>
      <c r="H102" s="504" t="str">
        <v>Other non-consumer packaging</v>
      </c>
      <c r="I102" s="440" t="str">
        <v>Invitro diagnostic devices</v>
      </c>
      <c r="J102" t="str">
        <v>Sludge (micro)</v>
      </c>
    </row>
    <row r="103" spans="1:10" ht="15.75" thickBot="1">
      <c r="A103" s="74" t="str">
        <v>Technical home textiles</v>
      </c>
      <c r="B103" s="340" t="str">
        <f>IFERROR(VLOOKUP(A103,'Compartments_Kawecki&amp;Nowack19'!A:C,2,FALSE), IFERROR(VLOOKUP(A103,Compartments_Added!A:C,2,FALSE), "Not found"))</f>
        <v>Flow</v>
      </c>
      <c r="C103" s="340" t="str">
        <f>IFERROR(VLOOKUP(A103,'Compartments_Kawecki&amp;Nowack19'!A:C,3,FALSE), IFERROR(VLOOKUP(A103,Compartments_Added!A:C,3,FALSE), "Not found"))</f>
        <v>TechHomeTextiles</v>
      </c>
      <c r="D103" s="95" t="str">
        <f>IFERROR(IF(VLOOKUP(A103,'Compartments_Kawecki&amp;Nowack19'!A:C,1,FALSE)=A103, "Kawecki","what?"),"Added/changed")</f>
        <v>Added/changed</v>
      </c>
      <c r="F103" s="17"/>
      <c r="G103" s="504" t="str">
        <v>Technical textiles</v>
      </c>
      <c r="H103" s="504" t="str">
        <v>Building textiles</v>
      </c>
      <c r="I103" s="440" t="str">
        <v>Medicine diffusion limitation (slow release)</v>
      </c>
      <c r="J103" t="str">
        <v>Tertiary water treatment (macro)</v>
      </c>
    </row>
    <row r="104" spans="1:10" ht="15.75" thickBot="1">
      <c r="A104" s="74" t="str">
        <v>Technical home textiles (in use)</v>
      </c>
      <c r="B104" s="340" t="str">
        <f>IFERROR(VLOOKUP(A104,'Compartments_Kawecki&amp;Nowack19'!A:C,2,FALSE), IFERROR(VLOOKUP(A104,Compartments_Added!A:C,2,FALSE), "Not found"))</f>
        <v>Stock</v>
      </c>
      <c r="C104" s="340" t="str">
        <f>IFERROR(VLOOKUP(A104,'Compartments_Kawecki&amp;Nowack19'!A:C,3,FALSE), IFERROR(VLOOKUP(A104,Compartments_Added!A:C,3,FALSE), "Not found"))</f>
        <v>TechHomeTextilesIU</v>
      </c>
      <c r="D104" s="95" t="str">
        <f>IFERROR(IF(VLOOKUP(A104,'Compartments_Kawecki&amp;Nowack19'!A:C,1,FALSE)=A104, "Kawecki","what?"),"Added/changed")</f>
        <v>Added/changed</v>
      </c>
      <c r="F104" s="17"/>
      <c r="G104" s="504" t="str">
        <v>Textile coating (in use)</v>
      </c>
      <c r="H104" s="504" t="str">
        <v>Road side soil (micro)</v>
      </c>
      <c r="I104" s="440" t="str">
        <v>PCCP</v>
      </c>
      <c r="J104" t="str">
        <v>Tertiary water treatment (micro)</v>
      </c>
    </row>
    <row r="105" spans="1:10" ht="15.75" thickBot="1">
      <c r="A105" s="74" t="str">
        <v>Textile coating (in use)</v>
      </c>
      <c r="B105" s="340" t="str">
        <f>IFERROR(VLOOKUP(A105,'Compartments_Kawecki&amp;Nowack19'!A:C,2,FALSE), IFERROR(VLOOKUP(A105,Compartments_Added!A:C,2,FALSE), "Not found"))</f>
        <v>Stock</v>
      </c>
      <c r="C105" s="340" t="str">
        <f>IFERROR(VLOOKUP(A105,'Compartments_Kawecki&amp;Nowack19'!A:C,3,FALSE), IFERROR(VLOOKUP(A105,Compartments_Added!A:C,3,FALSE), "Not found"))</f>
        <v>TextileCoatingIU</v>
      </c>
      <c r="D105" s="95" t="str">
        <f>IFERROR(IF(VLOOKUP(A105,'Compartments_Kawecki&amp;Nowack19'!A:C,1,FALSE)=A105, "Kawecki","what?"),"Added/changed")</f>
        <v>Added/changed</v>
      </c>
      <c r="F105" s="17"/>
      <c r="G105" s="504" t="str">
        <v>Wastewater (macro)</v>
      </c>
      <c r="H105" s="504" t="str">
        <v>Highway ZOAB non cleaned</v>
      </c>
      <c r="I105" s="440" t="str">
        <v>Technical home textiles</v>
      </c>
      <c r="J105" t="str">
        <v>Construction and demolition incinerable waste collection</v>
      </c>
    </row>
    <row r="106" spans="1:10" ht="15.75" thickBot="1">
      <c r="A106" s="74" t="str">
        <v>Wastewater (macro)</v>
      </c>
      <c r="B106" s="340" t="str">
        <f>IFERROR(VLOOKUP(A106,'Compartments_Kawecki&amp;Nowack19'!A:C,2,FALSE), IFERROR(VLOOKUP(A106,Compartments_Added!A:C,2,FALSE), "Not found"))</f>
        <v>Flow</v>
      </c>
      <c r="C106" s="340" t="str">
        <f>IFERROR(VLOOKUP(A106,'Compartments_Kawecki&amp;Nowack19'!A:C,3,FALSE), IFERROR(VLOOKUP(A106,Compartments_Added!A:C,3,FALSE), "Not found"))</f>
        <v>WasteWaterMacro</v>
      </c>
      <c r="D106" s="95" t="str">
        <f>IFERROR(IF(VLOOKUP(A106,'Compartments_Kawecki&amp;Nowack19'!A:C,1,FALSE)=A106, "Kawecki","what?"),"Added/changed")</f>
        <v>Kawecki</v>
      </c>
      <c r="F106" s="17"/>
      <c r="G106" s="504" t="str">
        <v>Wastewater (micro)</v>
      </c>
      <c r="H106" s="504" t="str">
        <v>Packaging collection</v>
      </c>
      <c r="I106" s="440" t="str">
        <v>Technical home textiles (in use)</v>
      </c>
      <c r="J106" t="str">
        <v>Clothing (in use) wear &amp; tear</v>
      </c>
    </row>
    <row r="107" spans="1:10" ht="15.75" thickBot="1">
      <c r="A107" s="74" t="str">
        <v>Wastewater (micro)</v>
      </c>
      <c r="B107" s="340" t="str">
        <f>IFERROR(VLOOKUP(A107,'Compartments_Kawecki&amp;Nowack19'!A:C,2,FALSE), IFERROR(VLOOKUP(A107,Compartments_Added!A:C,2,FALSE), "Not found"))</f>
        <v>Flow</v>
      </c>
      <c r="C107" s="340" t="str">
        <f>IFERROR(VLOOKUP(A107,'Compartments_Kawecki&amp;Nowack19'!A:C,3,FALSE), IFERROR(VLOOKUP(A107,Compartments_Added!A:C,3,FALSE), "Not found"))</f>
        <v>WasteWaterMicro</v>
      </c>
      <c r="D107" s="95" t="str">
        <f>IFERROR(IF(VLOOKUP(A107,'Compartments_Kawecki&amp;Nowack19'!A:C,1,FALSE)=A107, "Kawecki","what?"),"Added/changed")</f>
        <v>Kawecki</v>
      </c>
      <c r="F107" s="17"/>
      <c r="G107" s="504" t="str">
        <v>On-the-go consumption</v>
      </c>
      <c r="H107" s="504" t="str">
        <v>Packaging recycling</v>
      </c>
      <c r="I107" s="440" t="str">
        <v>Textile coating (in use)</v>
      </c>
      <c r="J107" t="str">
        <v>Indoor air (micro)</v>
      </c>
    </row>
    <row r="108" spans="1:10" ht="15.75" thickBot="1">
      <c r="A108" s="74" t="str">
        <v>On-the-go consumption</v>
      </c>
      <c r="B108" s="340" t="str">
        <f>IFERROR(VLOOKUP(A108,'Compartments_Kawecki&amp;Nowack19'!A:C,2,FALSE), IFERROR(VLOOKUP(A108,Compartments_Added!A:C,2,FALSE), "Not found"))</f>
        <v>Flow</v>
      </c>
      <c r="C108" s="340" t="str">
        <f>IFERROR(VLOOKUP(A108,'Compartments_Kawecki&amp;Nowack19'!A:C,3,FALSE), IFERROR(VLOOKUP(A108,Compartments_Added!A:C,3,FALSE), "Not found"))</f>
        <v>OnTheGo</v>
      </c>
      <c r="D108" s="95" t="str">
        <f>IFERROR(IF(VLOOKUP(A108,'Compartments_Kawecki&amp;Nowack19'!A:C,1,FALSE)=A108, "Kawecki","what?"),"Added/changed")</f>
        <v>Kawecki</v>
      </c>
      <c r="F108" s="17"/>
      <c r="G108" s="504" t="str">
        <v>Highway DAB non cleaned</v>
      </c>
      <c r="H108" s="504" t="str">
        <v>Geotextiles</v>
      </c>
      <c r="I108" s="440" t="str">
        <v>Wastewater (macro)</v>
      </c>
      <c r="J108" t="str">
        <v>Infill material sports fields</v>
      </c>
    </row>
    <row r="109" spans="1:10" ht="15.75" thickBot="1">
      <c r="A109" s="74" t="str">
        <v>Highway DAB non cleaned</v>
      </c>
      <c r="B109" s="340" t="str">
        <f>IFERROR(VLOOKUP(A109,'Compartments_Kawecki&amp;Nowack19'!A:C,2,FALSE), IFERROR(VLOOKUP(A109,Compartments_Added!A:C,2,FALSE), "Not found"))</f>
        <v>Flow</v>
      </c>
      <c r="C109" s="340" t="str">
        <f>IFERROR(VLOOKUP(A109,'Compartments_Kawecki&amp;Nowack19'!A:C,3,FALSE), IFERROR(VLOOKUP(A109,Compartments_Added!A:C,3,FALSE), "Not found"))</f>
        <v>HighwayDABnc</v>
      </c>
      <c r="D109" s="95" t="str">
        <f>IFERROR(IF(VLOOKUP(A109,'Compartments_Kawecki&amp;Nowack19'!A:C,1,FALSE)=A109, "Kawecki","what?"),"Added/changed")</f>
        <v>Added/changed</v>
      </c>
      <c r="F109" s="17"/>
      <c r="G109" s="504" t="str">
        <v>Highway ZOAB</v>
      </c>
      <c r="H109" s="504" t="str">
        <v>PCCP</v>
      </c>
      <c r="I109" s="440" t="str">
        <v>Wastewater (micro)</v>
      </c>
      <c r="J109" t="str">
        <v>Mixed waste collection</v>
      </c>
    </row>
    <row r="110" spans="1:10" ht="15.75" thickBot="1">
      <c r="A110" s="74" t="str">
        <v>Highway ZOAB</v>
      </c>
      <c r="B110" s="340" t="str">
        <f>IFERROR(VLOOKUP(A110,'Compartments_Kawecki&amp;Nowack19'!A:C,2,FALSE), IFERROR(VLOOKUP(A110,Compartments_Added!A:C,2,FALSE), "Not found"))</f>
        <v>Flow</v>
      </c>
      <c r="C110" s="340" t="str">
        <f>IFERROR(VLOOKUP(A110,'Compartments_Kawecki&amp;Nowack19'!A:C,3,FALSE), IFERROR(VLOOKUP(A110,Compartments_Added!A:C,3,FALSE), "Not found"))</f>
        <v>HighwayZOAB</v>
      </c>
      <c r="D110" s="95" t="str">
        <f>IFERROR(IF(VLOOKUP(A110,'Compartments_Kawecki&amp;Nowack19'!A:C,1,FALSE)=A110, "Kawecki","what?"),"Added/changed")</f>
        <v>Added/changed</v>
      </c>
      <c r="F110" s="17"/>
      <c r="G110" s="504" t="str">
        <v>Textile waste collection</v>
      </c>
      <c r="H110" s="504" t="str">
        <v>Plant protection products</v>
      </c>
      <c r="I110" s="440" t="str">
        <v>On-the-go consumption</v>
      </c>
      <c r="J110" t="str">
        <v>Dumping</v>
      </c>
    </row>
    <row r="111" spans="1:10" ht="15.75" thickBot="1">
      <c r="A111" s="74" t="str">
        <v>Textile waste collection</v>
      </c>
      <c r="B111" s="340" t="str">
        <f>IFERROR(VLOOKUP(A111,'Compartments_Kawecki&amp;Nowack19'!A:C,2,FALSE), IFERROR(VLOOKUP(A111,Compartments_Added!A:C,2,FALSE), "Not found"))</f>
        <v>Flow</v>
      </c>
      <c r="C111" s="340" t="str">
        <f>IFERROR(VLOOKUP(A111,'Compartments_Kawecki&amp;Nowack19'!A:C,3,FALSE), IFERROR(VLOOKUP(A111,Compartments_Added!A:C,3,FALSE), "Not found"))</f>
        <v>TextileCollection</v>
      </c>
      <c r="D111" s="95" t="str">
        <f>IFERROR(IF(VLOOKUP(A111,'Compartments_Kawecki&amp;Nowack19'!A:C,1,FALSE)=A111, "Kawecki","what?"),"Added/changed")</f>
        <v>Kawecki</v>
      </c>
      <c r="F111" s="17"/>
      <c r="G111" s="504" t="str">
        <v>Highway ZOAB non cleaned</v>
      </c>
      <c r="H111" s="504" t="str">
        <v>Primary water treatment (macro)</v>
      </c>
      <c r="I111" s="440" t="str">
        <v>Highway DAB non cleaned</v>
      </c>
      <c r="J111" t="str">
        <v>On-the-go consumption (nature)</v>
      </c>
    </row>
    <row r="112" spans="1:10" ht="15.75" thickBot="1">
      <c r="A112" s="74" t="str">
        <v>Highway ZOAB non cleaned</v>
      </c>
      <c r="B112" s="340" t="str">
        <f>IFERROR(VLOOKUP(A112,'Compartments_Kawecki&amp;Nowack19'!A:C,2,FALSE), IFERROR(VLOOKUP(A112,Compartments_Added!A:C,2,FALSE), "Not found"))</f>
        <v>Flow</v>
      </c>
      <c r="C112" s="340" t="str">
        <f>IFERROR(VLOOKUP(A112,'Compartments_Kawecki&amp;Nowack19'!A:C,3,FALSE), IFERROR(VLOOKUP(A112,Compartments_Added!A:C,3,FALSE), "Not found"))</f>
        <v>HighwayZOABnc</v>
      </c>
      <c r="D112" s="95" t="str">
        <f>IFERROR(IF(VLOOKUP(A112,'Compartments_Kawecki&amp;Nowack19'!A:C,1,FALSE)=A112, "Kawecki","what?"),"Added/changed")</f>
        <v>Added/changed</v>
      </c>
      <c r="F112" s="17"/>
      <c r="G112" s="504" t="str">
        <v>Road cleaning</v>
      </c>
      <c r="H112" s="504" t="str">
        <v>Primary water treatment (micro)</v>
      </c>
      <c r="I112" s="440" t="str">
        <v>Highway ZOAB</v>
      </c>
      <c r="J112" t="str">
        <v>On-the-go consumption (residential)</v>
      </c>
    </row>
    <row r="113" spans="1:10" ht="15.75" thickBot="1">
      <c r="A113" s="74" t="str">
        <v>Road cleaning</v>
      </c>
      <c r="B113" s="340" t="str">
        <f>IFERROR(VLOOKUP(A113,'Compartments_Kawecki&amp;Nowack19'!A:C,2,FALSE), IFERROR(VLOOKUP(A113,Compartments_Added!A:C,2,FALSE), "Not found"))</f>
        <v>Flow</v>
      </c>
      <c r="C113" s="340" t="str">
        <f>IFERROR(VLOOKUP(A113,'Compartments_Kawecki&amp;Nowack19'!A:C,3,FALSE), IFERROR(VLOOKUP(A113,Compartments_Added!A:C,3,FALSE), "Not found"))</f>
        <v>RoadCleaning</v>
      </c>
      <c r="D113" s="95" t="str">
        <f>IFERROR(IF(VLOOKUP(A113,'Compartments_Kawecki&amp;Nowack19'!A:C,1,FALSE)=A113, "Kawecki","what?"),"Added/changed")</f>
        <v>Added/changed</v>
      </c>
      <c r="F113" s="17"/>
      <c r="G113" s="504" t="str">
        <v>Road runoff</v>
      </c>
      <c r="H113" s="504" t="str">
        <v>Stormwater (macro)</v>
      </c>
      <c r="I113" s="440" t="str">
        <v>Textile waste collection</v>
      </c>
      <c r="J113" t="str">
        <v>Mixed waste collection (micro)</v>
      </c>
    </row>
    <row r="114" spans="1:10" ht="15.75" thickBot="1">
      <c r="A114" s="74" t="str">
        <v>Road runoff</v>
      </c>
      <c r="B114" s="340" t="str">
        <f>IFERROR(VLOOKUP(A114,'Compartments_Kawecki&amp;Nowack19'!A:C,2,FALSE), IFERROR(VLOOKUP(A114,Compartments_Added!A:C,2,FALSE), "Not found"))</f>
        <v>Flow</v>
      </c>
      <c r="C114" s="340" t="str">
        <f>IFERROR(VLOOKUP(A114,'Compartments_Kawecki&amp;Nowack19'!A:C,3,FALSE), IFERROR(VLOOKUP(A114,Compartments_Added!A:C,3,FALSE), "Not found"))</f>
        <v>RoadRunoff</v>
      </c>
      <c r="D114" s="95" t="str">
        <f>IFERROR(IF(VLOOKUP(A114,'Compartments_Kawecki&amp;Nowack19'!A:C,1,FALSE)=A114, "Kawecki","what?"),"Added/changed")</f>
        <v>Added/changed</v>
      </c>
      <c r="F114" s="17"/>
      <c r="G114" s="504" t="str">
        <v>Rural roads</v>
      </c>
      <c r="H114" s="504" t="str">
        <v>Stormwater (micro)</v>
      </c>
      <c r="I114" s="440" t="str">
        <v>Highway ZOAB non cleaned</v>
      </c>
      <c r="J114" t="str">
        <v>On-the-go consumption (transport)</v>
      </c>
    </row>
    <row r="115" spans="1:10" ht="15.75" thickBot="1">
      <c r="A115" s="74" t="str">
        <v>Rural roads</v>
      </c>
      <c r="B115" s="340" t="str">
        <f>IFERROR(VLOOKUP(A115,'Compartments_Kawecki&amp;Nowack19'!A:C,2,FALSE), IFERROR(VLOOKUP(A115,Compartments_Added!A:C,2,FALSE), "Not found"))</f>
        <v>Flow</v>
      </c>
      <c r="C115" s="340" t="str">
        <f>IFERROR(VLOOKUP(A115,'Compartments_Kawecki&amp;Nowack19'!A:C,3,FALSE), IFERROR(VLOOKUP(A115,Compartments_Added!A:C,3,FALSE), "Not found"))</f>
        <v>RuralRoads</v>
      </c>
      <c r="D115" s="95" t="str">
        <f>IFERROR(IF(VLOOKUP(A115,'Compartments_Kawecki&amp;Nowack19'!A:C,1,FALSE)=A115, "Kawecki","what?"),"Added/changed")</f>
        <v>Added/changed</v>
      </c>
      <c r="F115" s="17"/>
      <c r="G115" s="504" t="str">
        <v>Tyre wear</v>
      </c>
      <c r="H115" s="504" t="str">
        <v>Highway</v>
      </c>
      <c r="I115" s="440" t="str">
        <v>Road cleaning</v>
      </c>
      <c r="J115" t="str">
        <v>Litter in natural environments</v>
      </c>
    </row>
    <row r="116" spans="1:10" ht="15.75" thickBot="1">
      <c r="A116" s="74" t="str">
        <v>Primary water treatment (macro)</v>
      </c>
      <c r="B116" s="340" t="str">
        <f>IFERROR(VLOOKUP(A116,'Compartments_Kawecki&amp;Nowack19'!A:C,2,FALSE), IFERROR(VLOOKUP(A116,Compartments_Added!A:C,2,FALSE), "Not found"))</f>
        <v>Flow</v>
      </c>
      <c r="C116" s="340" t="str">
        <f>IFERROR(VLOOKUP(A116,'Compartments_Kawecki&amp;Nowack19'!A:C,3,FALSE), IFERROR(VLOOKUP(A116,Compartments_Added!A:C,3,FALSE), "Not found"))</f>
        <v>WWTPrimaryMacro</v>
      </c>
      <c r="D116" s="95" t="str">
        <f>IFERROR(IF(VLOOKUP(A116,'Compartments_Kawecki&amp;Nowack19'!A:C,1,FALSE)=A116, "Kawecki","what?"),"Added/changed")</f>
        <v>Kawecki</v>
      </c>
      <c r="F116" s="17"/>
      <c r="G116" s="504" t="str">
        <v>Primary water treatment (macro)</v>
      </c>
      <c r="H116" s="504" t="str">
        <v>Rural roads</v>
      </c>
      <c r="I116" s="440" t="str">
        <v>Road runoff</v>
      </c>
      <c r="J116" t="str">
        <v>Indoor floors (micro)</v>
      </c>
    </row>
    <row r="117" spans="1:10" ht="15.75" thickBot="1">
      <c r="A117" s="74" t="str">
        <v>Primary water treatment (micro)</v>
      </c>
      <c r="B117" s="340" t="str">
        <f>IFERROR(VLOOKUP(A117,'Compartments_Kawecki&amp;Nowack19'!A:C,2,FALSE), IFERROR(VLOOKUP(A117,Compartments_Added!A:C,2,FALSE), "Not found"))</f>
        <v>Flow</v>
      </c>
      <c r="C117" s="340" t="str">
        <f>IFERROR(VLOOKUP(A117,'Compartments_Kawecki&amp;Nowack19'!A:C,3,FALSE), IFERROR(VLOOKUP(A117,Compartments_Added!A:C,3,FALSE), "Not found"))</f>
        <v>WWTPrimaryMicro</v>
      </c>
      <c r="D117" s="95" t="str">
        <f>IFERROR(IF(VLOOKUP(A117,'Compartments_Kawecki&amp;Nowack19'!A:C,1,FALSE)=A117, "Kawecki","what?"),"Added/changed")</f>
        <v>Kawecki</v>
      </c>
      <c r="F117" s="17"/>
      <c r="G117" s="504" t="str">
        <v>Primary water treatment (micro)</v>
      </c>
      <c r="H117" s="504" t="str">
        <v>Urban roads</v>
      </c>
      <c r="I117" s="440" t="str">
        <v>Rural roads</v>
      </c>
      <c r="J117" t="str">
        <v>Litter in residential environments</v>
      </c>
    </row>
    <row r="118" spans="1:10" ht="15.75" thickBot="1">
      <c r="A118" s="74" t="str">
        <v>On-site sewage facility (macro)</v>
      </c>
      <c r="B118" s="340" t="str">
        <f>IFERROR(VLOOKUP(A118,'Compartments_Kawecki&amp;Nowack19'!A:C,2,FALSE), IFERROR(VLOOKUP(A118,Compartments_Added!A:C,2,FALSE), "Not found"))</f>
        <v>Flow</v>
      </c>
      <c r="C118" s="340" t="str">
        <f>IFERROR(VLOOKUP(A118,'Compartments_Kawecki&amp;Nowack19'!A:C,3,FALSE), IFERROR(VLOOKUP(A118,Compartments_Added!A:C,3,FALSE), "Not found"))</f>
        <v>OSSFMacro</v>
      </c>
      <c r="D118" s="95" t="str">
        <f>IFERROR(IF(VLOOKUP(A118,'Compartments_Kawecki&amp;Nowack19'!A:C,1,FALSE)=A118, "Kawecki","what?"),"Added/changed")</f>
        <v>Kawecki</v>
      </c>
      <c r="F118" s="17"/>
      <c r="G118" s="504" t="str">
        <v>On-site sewage facility (macro)</v>
      </c>
      <c r="H118" s="504" t="str">
        <v>Medical textiles</v>
      </c>
      <c r="I118" s="440" t="str">
        <v>Primary water treatment (macro)</v>
      </c>
      <c r="J118" t="str">
        <v>Medical textiles</v>
      </c>
    </row>
    <row r="119" spans="1:10" ht="15.75" thickBot="1">
      <c r="A119" s="74" t="str">
        <v>Secondary water treatment (macro)</v>
      </c>
      <c r="B119" s="340" t="str">
        <f>IFERROR(VLOOKUP(A119,'Compartments_Kawecki&amp;Nowack19'!A:C,2,FALSE), IFERROR(VLOOKUP(A119,Compartments_Added!A:C,2,FALSE), "Not found"))</f>
        <v>Flow</v>
      </c>
      <c r="C119" s="340" t="str">
        <f>IFERROR(VLOOKUP(A119,'Compartments_Kawecki&amp;Nowack19'!A:C,3,FALSE), IFERROR(VLOOKUP(A119,Compartments_Added!A:C,3,FALSE), "Not found"))</f>
        <v>WWTSecondaryMacro</v>
      </c>
      <c r="D119" s="95" t="str">
        <f>IFERROR(IF(VLOOKUP(A119,'Compartments_Kawecki&amp;Nowack19'!A:C,1,FALSE)=A119, "Kawecki","what?"),"Added/changed")</f>
        <v>Kawecki</v>
      </c>
      <c r="F119" s="17"/>
      <c r="G119" s="504" t="str">
        <v>Secondary water treatment (macro)</v>
      </c>
      <c r="H119" s="504" t="str">
        <v>Secondary water treatment (macro)</v>
      </c>
      <c r="I119" s="440" t="str">
        <v>Primary water treatment (micro)</v>
      </c>
      <c r="J119" t="str">
        <v>Mobility textiles</v>
      </c>
    </row>
    <row r="120" spans="1:10" ht="15.75" thickBot="1">
      <c r="A120" s="74" t="str">
        <v>On-site sewage facility (micro)</v>
      </c>
      <c r="B120" s="340" t="str">
        <f>IFERROR(VLOOKUP(A120,'Compartments_Kawecki&amp;Nowack19'!A:C,2,FALSE), IFERROR(VLOOKUP(A120,Compartments_Added!A:C,2,FALSE), "Not found"))</f>
        <v>Flow</v>
      </c>
      <c r="C120" s="340" t="str">
        <f>IFERROR(VLOOKUP(A120,'Compartments_Kawecki&amp;Nowack19'!A:C,3,FALSE), IFERROR(VLOOKUP(A120,Compartments_Added!A:C,3,FALSE), "Not found"))</f>
        <v>OSSFMicro</v>
      </c>
      <c r="D120" s="95" t="str">
        <f>IFERROR(IF(VLOOKUP(A120,'Compartments_Kawecki&amp;Nowack19'!A:C,1,FALSE)=A120, "Kawecki","what?"),"Added/changed")</f>
        <v>Kawecki</v>
      </c>
      <c r="F120" s="17"/>
      <c r="G120" s="504" t="str">
        <v>On-site sewage facility (micro)</v>
      </c>
      <c r="H120" s="504" t="str">
        <v>Secondary water treatment (micro)</v>
      </c>
      <c r="I120" s="440" t="str">
        <v>On-site sewage facility (macro)</v>
      </c>
      <c r="J120" t="str">
        <v>Textile coating (discarded)</v>
      </c>
    </row>
    <row r="121" spans="1:10" ht="15.75" thickBot="1">
      <c r="A121" s="74" t="str">
        <v>Secondary water treatment (micro)</v>
      </c>
      <c r="B121" s="340" t="str">
        <f>IFERROR(VLOOKUP(A121,'Compartments_Kawecki&amp;Nowack19'!A:C,2,FALSE), IFERROR(VLOOKUP(A121,Compartments_Added!A:C,2,FALSE), "Not found"))</f>
        <v>Flow</v>
      </c>
      <c r="C121" s="340" t="str">
        <f>IFERROR(VLOOKUP(A121,'Compartments_Kawecki&amp;Nowack19'!A:C,3,FALSE), IFERROR(VLOOKUP(A121,Compartments_Added!A:C,3,FALSE), "Not found"))</f>
        <v>WWTSecondaryMicro</v>
      </c>
      <c r="D121" s="95" t="str">
        <f>IFERROR(IF(VLOOKUP(A121,'Compartments_Kawecki&amp;Nowack19'!A:C,1,FALSE)=A121, "Kawecki","what?"),"Added/changed")</f>
        <v>Kawecki</v>
      </c>
      <c r="F121" s="17"/>
      <c r="G121" s="504" t="str">
        <v>Secondary water treatment (micro)</v>
      </c>
      <c r="H121" s="504" t="str">
        <v>Seed coating</v>
      </c>
      <c r="I121" s="440" t="str">
        <v>Secondary water treatment (macro)</v>
      </c>
      <c r="J121" t="str">
        <v>Wet wipes</v>
      </c>
    </row>
    <row r="122" spans="1:10" ht="15.75" thickBot="1">
      <c r="A122" s="74" t="str">
        <v>Litter on road sides</v>
      </c>
      <c r="B122" s="340" t="str">
        <f>IFERROR(VLOOKUP(A122,'Compartments_Kawecki&amp;Nowack19'!A:C,2,FALSE), IFERROR(VLOOKUP(A122,Compartments_Added!A:C,2,FALSE), "Not found"))</f>
        <v>Flow</v>
      </c>
      <c r="C122" s="340" t="str">
        <f>IFERROR(VLOOKUP(A122,'Compartments_Kawecki&amp;Nowack19'!A:C,3,FALSE), IFERROR(VLOOKUP(A122,Compartments_Added!A:C,3,FALSE), "Not found"))</f>
        <v>RoadSideLitter</v>
      </c>
      <c r="D122" s="95" t="str">
        <f>IFERROR(IF(VLOOKUP(A122,'Compartments_Kawecki&amp;Nowack19'!A:C,1,FALSE)=A122, "Kawecki","what?"),"Added/changed")</f>
        <v>Kawecki</v>
      </c>
      <c r="F122" s="17"/>
      <c r="G122" s="504" t="str">
        <v>Litter on road sides</v>
      </c>
      <c r="H122" s="504" t="str">
        <v>Sludge (macro)</v>
      </c>
      <c r="I122" s="440" t="str">
        <v>On-site sewage facility (micro)</v>
      </c>
      <c r="J122" t="str">
        <v>Detergents and maintenance products</v>
      </c>
    </row>
    <row r="123" spans="1:10" ht="15.75" thickBot="1">
      <c r="A123" s="74" t="str">
        <v>Combined sewer overflow (micro)</v>
      </c>
      <c r="B123" s="340" t="str">
        <f>IFERROR(VLOOKUP(A123,'Compartments_Kawecki&amp;Nowack19'!A:C,2,FALSE), IFERROR(VLOOKUP(A123,Compartments_Added!A:C,2,FALSE), "Not found"))</f>
        <v>Flow</v>
      </c>
      <c r="C123" s="340" t="str">
        <f>IFERROR(VLOOKUP(A123,'Compartments_Kawecki&amp;Nowack19'!A:C,3,FALSE), IFERROR(VLOOKUP(A123,Compartments_Added!A:C,3,FALSE), "Not found"))</f>
        <v>CSOMicro</v>
      </c>
      <c r="D123" s="95" t="str">
        <f>IFERROR(IF(VLOOKUP(A123,'Compartments_Kawecki&amp;Nowack19'!A:C,1,FALSE)=A123, "Kawecki","what?"),"Added/changed")</f>
        <v>Kawecki</v>
      </c>
      <c r="F123" s="17"/>
      <c r="G123" s="504" t="str">
        <v>Combined sewer overflow (micro)</v>
      </c>
      <c r="H123" s="504" t="str">
        <v>Sludge (micro)</v>
      </c>
      <c r="I123" s="440" t="str">
        <v>Secondary water treatment (micro)</v>
      </c>
      <c r="J123" t="str">
        <v>Infill material sports fields (in use)</v>
      </c>
    </row>
    <row r="124" spans="1:10" ht="15.75" thickBot="1">
      <c r="A124" s="74" t="str">
        <v>Urban roads</v>
      </c>
      <c r="B124" s="340" t="str">
        <f>IFERROR(VLOOKUP(A124,'Compartments_Kawecki&amp;Nowack19'!A:C,2,FALSE), IFERROR(VLOOKUP(A124,Compartments_Added!A:C,2,FALSE), "Not found"))</f>
        <v>Flow</v>
      </c>
      <c r="C124" s="340" t="str">
        <f>IFERROR(VLOOKUP(A124,'Compartments_Kawecki&amp;Nowack19'!A:C,3,FALSE), IFERROR(VLOOKUP(A124,Compartments_Added!A:C,3,FALSE), "Not found"))</f>
        <v>UrbanRoads</v>
      </c>
      <c r="D124" s="95" t="str">
        <f>IFERROR(IF(VLOOKUP(A124,'Compartments_Kawecki&amp;Nowack19'!A:C,1,FALSE)=A124, "Kawecki","what?"),"Added/changed")</f>
        <v>Added/changed</v>
      </c>
      <c r="F124" s="17"/>
      <c r="G124" s="504" t="str">
        <v>Urban roads</v>
      </c>
      <c r="H124" s="504" t="str">
        <v>Textile recycling</v>
      </c>
      <c r="I124" s="440" t="str">
        <v>Litter on road sides</v>
      </c>
      <c r="J124" t="str">
        <v>Infill material sports fields (discarded)</v>
      </c>
    </row>
    <row r="125" spans="1:10" ht="15.75" thickBot="1">
      <c r="A125" s="74" t="str">
        <v>Offshore oil &amp; gas applications</v>
      </c>
      <c r="B125" s="340" t="str">
        <f>IFERROR(VLOOKUP(A125,'Compartments_Kawecki&amp;Nowack19'!A:C,2,FALSE), IFERROR(VLOOKUP(A125,Compartments_Added!A:C,2,FALSE), "Not found"))</f>
        <v>Flow</v>
      </c>
      <c r="C125" s="340" t="str">
        <f>IFERROR(VLOOKUP(A125,'Compartments_Kawecki&amp;Nowack19'!A:C,3,FALSE), IFERROR(VLOOKUP(A125,Compartments_Added!A:C,3,FALSE), "Not found"))</f>
        <v>OilGasApplications</v>
      </c>
      <c r="D125" s="95" t="str">
        <f>IFERROR(IF(VLOOKUP(A125,'Compartments_Kawecki&amp;Nowack19'!A:C,1,FALSE)=A125, "Kawecki","what?"),"Added/changed")</f>
        <v>Added/changed</v>
      </c>
      <c r="F125" s="17"/>
      <c r="G125" s="504" t="str">
        <v>Offshore oil &amp; gas applications</v>
      </c>
      <c r="H125" s="504" t="str">
        <v>Road side soil (macro)</v>
      </c>
      <c r="I125" s="440" t="str">
        <v>Combined sewer overflow (micro)</v>
      </c>
      <c r="J125" t="str">
        <v>Food additives</v>
      </c>
    </row>
    <row r="126" spans="1:10" ht="15.75" thickBot="1">
      <c r="A126" s="74" t="str">
        <v>Textile coating</v>
      </c>
      <c r="B126" s="340" t="str">
        <f>IFERROR(VLOOKUP(A126,'Compartments_Kawecki&amp;Nowack19'!A:C,2,FALSE), IFERROR(VLOOKUP(A126,Compartments_Added!A:C,2,FALSE), "Not found"))</f>
        <v>Flow</v>
      </c>
      <c r="C126" s="340" t="str">
        <f>IFERROR(VLOOKUP(A126,'Compartments_Kawecki&amp;Nowack19'!A:C,3,FALSE), IFERROR(VLOOKUP(A126,Compartments_Added!A:C,3,FALSE), "Not found"))</f>
        <v>TextileCoating</v>
      </c>
      <c r="D126" s="95" t="str">
        <f>IFERROR(IF(VLOOKUP(A126,'Compartments_Kawecki&amp;Nowack19'!A:C,1,FALSE)=A126, "Kawecki","what?"),"Added/changed")</f>
        <v>Added/changed</v>
      </c>
      <c r="F126" s="17"/>
      <c r="G126" s="504" t="str">
        <v>Textile coating</v>
      </c>
      <c r="H126" s="504" t="str">
        <v>Road runoff</v>
      </c>
      <c r="I126" s="440" t="str">
        <v>Urban roads</v>
      </c>
      <c r="J126" t="str">
        <v>Invitro diagnostic devices</v>
      </c>
    </row>
    <row r="127" spans="1:10" ht="15.75" thickBot="1">
      <c r="A127" s="74" t="str">
        <v>Clothing (in use) wash &amp; dry</v>
      </c>
      <c r="B127" s="340" t="str">
        <f>IFERROR(VLOOKUP(A127,'Compartments_Kawecki&amp;Nowack19'!A:C,2,FALSE), IFERROR(VLOOKUP(A127,Compartments_Added!A:C,2,FALSE), "Not found"))</f>
        <v>Stock</v>
      </c>
      <c r="C127" s="340" t="str">
        <f>IFERROR(VLOOKUP(A127,'Compartments_Kawecki&amp;Nowack19'!A:C,3,FALSE), IFERROR(VLOOKUP(A127,Compartments_Added!A:C,3,FALSE), "Not found"))</f>
        <v>ClothingIUWashDry</v>
      </c>
      <c r="D127" s="95" t="str">
        <f>IFERROR(IF(VLOOKUP(A127,'Compartments_Kawecki&amp;Nowack19'!A:C,1,FALSE)=A127, "Kawecki","what?"),"Added/changed")</f>
        <v>Added/changed</v>
      </c>
      <c r="F127" s="17"/>
      <c r="G127" s="504" t="str">
        <v>Clothing (in use) wash &amp; dry</v>
      </c>
      <c r="H127" s="504" t="str">
        <v>Mobility textiles</v>
      </c>
      <c r="I127" s="440" t="str">
        <v>Offshore oil &amp; gas applications</v>
      </c>
      <c r="J127" t="str">
        <v>Medicine diffusion limitation (slow release)</v>
      </c>
    </row>
    <row r="128" spans="1:10" ht="15.75" thickBot="1">
      <c r="A128" s="74" t="str">
        <v>Textile recycling</v>
      </c>
      <c r="B128" s="340" t="str">
        <f>IFERROR(VLOOKUP(A128,'Compartments_Kawecki&amp;Nowack19'!A:C,2,FALSE), IFERROR(VLOOKUP(A128,Compartments_Added!A:C,2,FALSE), "Not found"))</f>
        <v>Flow</v>
      </c>
      <c r="C128" s="340" t="str">
        <f>IFERROR(VLOOKUP(A128,'Compartments_Kawecki&amp;Nowack19'!A:C,3,FALSE), IFERROR(VLOOKUP(A128,Compartments_Added!A:C,3,FALSE), "Not found"))</f>
        <v>TextileRecycling</v>
      </c>
      <c r="D128" s="95" t="str">
        <f>IFERROR(IF(VLOOKUP(A128,'Compartments_Kawecki&amp;Nowack19'!A:C,1,FALSE)=A128, "Kawecki","what?"),"Added/changed")</f>
        <v>Added/changed</v>
      </c>
      <c r="F128" s="17"/>
      <c r="G128" s="504" t="str">
        <v>Textile recycling</v>
      </c>
      <c r="H128" s="504" t="str">
        <v>Other technical textiles</v>
      </c>
      <c r="I128" s="440" t="str">
        <v>Textile coating</v>
      </c>
      <c r="J128" t="str">
        <v>PCCP</v>
      </c>
    </row>
    <row r="129" spans="1:10" ht="15.75" thickBot="1">
      <c r="A129" s="74" t="str">
        <v>Pellet losses transport land</v>
      </c>
      <c r="B129" s="340" t="str">
        <f>IFERROR(VLOOKUP(A129,'Compartments_Kawecki&amp;Nowack19'!A:C,2,FALSE), IFERROR(VLOOKUP(A129,Compartments_Added!A:C,2,FALSE), "Not found"))</f>
        <v>Flow</v>
      </c>
      <c r="C129" s="340" t="str">
        <f>IFERROR(VLOOKUP(A129,'Compartments_Kawecki&amp;Nowack19'!A:C,3,FALSE), IFERROR(VLOOKUP(A129,Compartments_Added!A:C,3,FALSE), "Not found"))</f>
        <v>PelletTransportLossesL</v>
      </c>
      <c r="D129" s="95" t="str">
        <f>IFERROR(IF(VLOOKUP(A129,'Compartments_Kawecki&amp;Nowack19'!A:C,1,FALSE)=A129, "Kawecki","what?"),"Added/changed")</f>
        <v>Added/changed</v>
      </c>
      <c r="F129" s="17"/>
      <c r="G129" s="504" t="str">
        <v>Pellet losses transport land</v>
      </c>
      <c r="H129" s="504" t="str">
        <v>Tertiary water treatment (macro)</v>
      </c>
      <c r="I129" s="440" t="str">
        <v>Clothing (in use) wash &amp; dry</v>
      </c>
      <c r="J129" t="str">
        <v>Technical home textiles</v>
      </c>
    </row>
    <row r="130" spans="1:10" ht="15.75" thickBot="1">
      <c r="A130" s="74" t="str">
        <v>Pellet losses industrial plants</v>
      </c>
      <c r="B130" s="340" t="str">
        <f>IFERROR(VLOOKUP(A130,'Compartments_Kawecki&amp;Nowack19'!A:C,2,FALSE), IFERROR(VLOOKUP(A130,Compartments_Added!A:C,2,FALSE), "Not found"))</f>
        <v>Flow</v>
      </c>
      <c r="C130" s="340" t="str">
        <f>IFERROR(VLOOKUP(A130,'Compartments_Kawecki&amp;Nowack19'!A:C,3,FALSE), IFERROR(VLOOKUP(A130,Compartments_Added!A:C,3,FALSE), "Not found"))</f>
        <v>PelletLossIndustrial</v>
      </c>
      <c r="D130" s="95" t="str">
        <f>IFERROR(IF(VLOOKUP(A130,'Compartments_Kawecki&amp;Nowack19'!A:C,1,FALSE)=A130, "Kawecki","what?"),"Added/changed")</f>
        <v>Added/changed</v>
      </c>
      <c r="F130" s="17"/>
      <c r="G130" s="504" t="str">
        <v>Pellet losses industrial plants</v>
      </c>
      <c r="H130" s="504" t="str">
        <v>Tertiary water treatment (micro)</v>
      </c>
      <c r="I130" s="440" t="str">
        <v>Textile recycling</v>
      </c>
      <c r="J130" t="str">
        <v>Technical home textiles (in use)</v>
      </c>
    </row>
    <row r="131" spans="1:10" ht="15.75" thickBot="1">
      <c r="A131" s="74" t="str">
        <v>Ship paint (prof)</v>
      </c>
      <c r="B131" s="340" t="str">
        <f>IFERROR(VLOOKUP(A131,'Compartments_Kawecki&amp;Nowack19'!A:C,2,FALSE), IFERROR(VLOOKUP(A131,Compartments_Added!A:C,2,FALSE), "Not found"))</f>
        <v>Flow</v>
      </c>
      <c r="C131" s="340" t="str">
        <f>IFERROR(VLOOKUP(A131,'Compartments_Kawecki&amp;Nowack19'!A:C,3,FALSE), IFERROR(VLOOKUP(A131,Compartments_Added!A:C,3,FALSE), "Not found"))</f>
        <v>ShipProf</v>
      </c>
      <c r="D131" s="95" t="str">
        <f>IFERROR(IF(VLOOKUP(A131,'Compartments_Kawecki&amp;Nowack19'!A:C,1,FALSE)=A131, "Kawecki","what?"),"Added/changed")</f>
        <v>Added/changed</v>
      </c>
      <c r="F131" s="17"/>
      <c r="G131" s="504" t="str">
        <v>Paint</v>
      </c>
      <c r="H131" s="504" t="str">
        <v>Technical home textiles</v>
      </c>
      <c r="I131" s="440" t="str">
        <v>Pellet losses transport land</v>
      </c>
      <c r="J131" t="str">
        <v>Technical textiles</v>
      </c>
    </row>
    <row r="132" spans="1:10" ht="15.75" thickBot="1">
      <c r="A132" s="74" t="str">
        <v>Ship paint (prof) (in use)</v>
      </c>
      <c r="B132" s="340" t="str">
        <f>IFERROR(VLOOKUP(A132,'Compartments_Kawecki&amp;Nowack19'!A:C,2,FALSE), IFERROR(VLOOKUP(A132,Compartments_Added!A:C,2,FALSE), "Not found"))</f>
        <v>Stock</v>
      </c>
      <c r="C132" s="340" t="str">
        <f>IFERROR(VLOOKUP(A132,'Compartments_Kawecki&amp;Nowack19'!A:C,3,FALSE), IFERROR(VLOOKUP(A132,Compartments_Added!A:C,3,FALSE), "Not found"))</f>
        <v>ShipProfIU</v>
      </c>
      <c r="D132" s="95" t="str">
        <f>IFERROR(IF(VLOOKUP(A132,'Compartments_Kawecki&amp;Nowack19'!A:C,1,FALSE)=A132, "Kawecki","what?"),"Added/changed")</f>
        <v>Added/changed</v>
      </c>
      <c r="F132" s="17"/>
      <c r="G132" s="504" t="str">
        <v>Ship paint (prof)</v>
      </c>
      <c r="H132" s="504" t="str">
        <v>Textile coating (discarded)</v>
      </c>
      <c r="I132" s="440" t="str">
        <v>Pellet losses industrial plants</v>
      </c>
      <c r="J132" t="str">
        <v>Textile coating (in use)</v>
      </c>
    </row>
    <row r="133" spans="1:10" ht="15.75" thickBot="1">
      <c r="A133" s="74" t="str">
        <v>Ship paint (recr)</v>
      </c>
      <c r="B133" s="340" t="str">
        <f>IFERROR(VLOOKUP(A133,'Compartments_Kawecki&amp;Nowack19'!A:C,2,FALSE), IFERROR(VLOOKUP(A133,Compartments_Added!A:C,2,FALSE), "Not found"))</f>
        <v>Flow</v>
      </c>
      <c r="C133" s="340" t="str">
        <f>IFERROR(VLOOKUP(A133,'Compartments_Kawecki&amp;Nowack19'!A:C,3,FALSE), IFERROR(VLOOKUP(A133,Compartments_Added!A:C,3,FALSE), "Not found"))</f>
        <v>ShipDiy</v>
      </c>
      <c r="D133" s="95" t="str">
        <f>IFERROR(IF(VLOOKUP(A133,'Compartments_Kawecki&amp;Nowack19'!A:C,1,FALSE)=A133, "Kawecki","what?"),"Added/changed")</f>
        <v>Added/changed</v>
      </c>
      <c r="F133" s="17"/>
      <c r="G133" s="504" t="str">
        <v>Ship paint (prof) (in use)</v>
      </c>
      <c r="H133" s="504" t="str">
        <v>Textile coating (in use)</v>
      </c>
      <c r="I133" s="440" t="str">
        <v>Ship paint (prof)</v>
      </c>
      <c r="J133" t="str">
        <v>Wastewater (macro)</v>
      </c>
    </row>
    <row r="134" spans="1:10" ht="15.75" thickBot="1">
      <c r="A134" s="74" t="str">
        <v>Ship paint (recr) (in use)</v>
      </c>
      <c r="B134" s="340" t="str">
        <f>IFERROR(VLOOKUP(A134,'Compartments_Kawecki&amp;Nowack19'!A:C,2,FALSE), IFERROR(VLOOKUP(A134,Compartments_Added!A:C,2,FALSE), "Not found"))</f>
        <v>Stock</v>
      </c>
      <c r="C134" s="340" t="str">
        <f>IFERROR(VLOOKUP(A134,'Compartments_Kawecki&amp;Nowack19'!A:C,3,FALSE), IFERROR(VLOOKUP(A134,Compartments_Added!A:C,3,FALSE), "Not found"))</f>
        <v>ShipDiyIU</v>
      </c>
      <c r="D134" s="95" t="str">
        <f>IFERROR(IF(VLOOKUP(A134,'Compartments_Kawecki&amp;Nowack19'!A:C,1,FALSE)=A134, "Kawecki","what?"),"Added/changed")</f>
        <v>Added/changed</v>
      </c>
      <c r="F134" s="17"/>
      <c r="G134" s="504" t="str">
        <v>Ship paint (recr)</v>
      </c>
      <c r="H134" s="504" t="str">
        <v>Textile reuse</v>
      </c>
      <c r="I134" s="440" t="str">
        <v>Ship paint (prof) (in use)</v>
      </c>
      <c r="J134" t="str">
        <v>Wastewater (micro)</v>
      </c>
    </row>
    <row r="135" spans="1:10" ht="15.75" thickBot="1">
      <c r="A135" s="74" t="str">
        <v>Ship paint (prof) (discarded)</v>
      </c>
      <c r="B135" s="340" t="str">
        <f>IFERROR(VLOOKUP(A135,'Compartments_Kawecki&amp;Nowack19'!A:C,2,FALSE), IFERROR(VLOOKUP(A135,Compartments_Added!A:C,2,FALSE), "Not found"))</f>
        <v>Stock</v>
      </c>
      <c r="C135" s="340" t="str">
        <f>IFERROR(VLOOKUP(A135,'Compartments_Kawecki&amp;Nowack19'!A:C,3,FALSE), IFERROR(VLOOKUP(A135,Compartments_Added!A:C,3,FALSE), "Not found"))</f>
        <v>ShipProfDis</v>
      </c>
      <c r="D135" s="95" t="str">
        <f>IFERROR(IF(VLOOKUP(A135,'Compartments_Kawecki&amp;Nowack19'!A:C,1,FALSE)=A135, "Kawecki","what?"),"Added/changed")</f>
        <v>Added/changed</v>
      </c>
      <c r="F135" s="17"/>
      <c r="G135" s="504" t="str">
        <v>Ship paint (recr) (in use)</v>
      </c>
      <c r="H135" s="504" t="str">
        <v>Wastewater (macro)</v>
      </c>
      <c r="I135" s="440" t="str">
        <v>Ship paint (recr)</v>
      </c>
      <c r="J135" t="str">
        <v>On-the-go consumption</v>
      </c>
    </row>
    <row r="136" spans="1:10" ht="15.75" thickBot="1">
      <c r="A136" s="74" t="str">
        <v>Ship paint (recr) (discarded)</v>
      </c>
      <c r="B136" s="340" t="str">
        <f>IFERROR(VLOOKUP(A136,'Compartments_Kawecki&amp;Nowack19'!A:C,2,FALSE), IFERROR(VLOOKUP(A136,Compartments_Added!A:C,2,FALSE), "Not found"))</f>
        <v>Stock</v>
      </c>
      <c r="C136" s="340" t="str">
        <f>IFERROR(VLOOKUP(A136,'Compartments_Kawecki&amp;Nowack19'!A:C,3,FALSE), IFERROR(VLOOKUP(A136,Compartments_Added!A:C,3,FALSE), "Not found"))</f>
        <v>ShipDiyDis</v>
      </c>
      <c r="D136" s="95" t="str">
        <f>IFERROR(IF(VLOOKUP(A136,'Compartments_Kawecki&amp;Nowack19'!A:C,1,FALSE)=A136, "Kawecki","what?"),"Added/changed")</f>
        <v>Added/changed</v>
      </c>
      <c r="F136" s="17"/>
      <c r="G136" s="504" t="str">
        <v>Ship paint (prof) (discarded)</v>
      </c>
      <c r="H136" s="504" t="str">
        <v>Pellet conversion</v>
      </c>
      <c r="I136" s="440" t="str">
        <v>Ship paint (recr) (in use)</v>
      </c>
      <c r="J136" t="str">
        <v>Highway DAB non cleaned</v>
      </c>
    </row>
    <row r="137" spans="1:10" ht="15.75" thickBot="1">
      <c r="A137" s="74" t="str">
        <v>Concrete paint (prof)</v>
      </c>
      <c r="B137" s="340" t="str">
        <f>IFERROR(VLOOKUP(A137,'Compartments_Kawecki&amp;Nowack19'!A:C,2,FALSE), IFERROR(VLOOKUP(A137,Compartments_Added!A:C,2,FALSE), "Not found"))</f>
        <v>Flow</v>
      </c>
      <c r="C137" s="340" t="str">
        <f>IFERROR(VLOOKUP(A137,'Compartments_Kawecki&amp;Nowack19'!A:C,3,FALSE), IFERROR(VLOOKUP(A137,Compartments_Added!A:C,3,FALSE), "Not found"))</f>
        <v>ConcreteProf</v>
      </c>
      <c r="D137" s="95" t="str">
        <f>IFERROR(IF(VLOOKUP(A137,'Compartments_Kawecki&amp;Nowack19'!A:C,1,FALSE)=A137, "Kawecki","what?"),"Added/changed")</f>
        <v>Added/changed</v>
      </c>
      <c r="F137" s="17"/>
      <c r="G137" s="504" t="str">
        <v>Ship paint (recr) (discarded)</v>
      </c>
      <c r="H137" s="504" t="str">
        <v>Textile coating</v>
      </c>
      <c r="I137" s="440" t="str">
        <v>Ship paint (prof) (discarded)</v>
      </c>
      <c r="J137" t="str">
        <v>Highway ZOAB</v>
      </c>
    </row>
    <row r="138" spans="1:10" ht="15.75" thickBot="1">
      <c r="A138" s="74" t="str">
        <v>Concrete paint (prof) outdoor</v>
      </c>
      <c r="B138" s="340" t="str">
        <f>IFERROR(VLOOKUP(A138,'Compartments_Kawecki&amp;Nowack19'!A:C,2,FALSE), IFERROR(VLOOKUP(A138,Compartments_Added!A:C,2,FALSE), "Not found"))</f>
        <v>Flow</v>
      </c>
      <c r="C138" s="340" t="str">
        <f>IFERROR(VLOOKUP(A138,'Compartments_Kawecki&amp;Nowack19'!A:C,3,FALSE), IFERROR(VLOOKUP(A138,Compartments_Added!A:C,3,FALSE), "Not found"))</f>
        <v>ConcreteProfOut</v>
      </c>
      <c r="D138" s="95" t="str">
        <f>IFERROR(IF(VLOOKUP(A138,'Compartments_Kawecki&amp;Nowack19'!A:C,1,FALSE)=A138, "Kawecki","what?"),"Added/changed")</f>
        <v>Added/changed</v>
      </c>
      <c r="F138" s="17"/>
      <c r="G138" s="504" t="str">
        <v>Concrete paint (prof)</v>
      </c>
      <c r="H138" s="504" t="str">
        <v>Pellet losses transport land</v>
      </c>
      <c r="I138" s="440" t="str">
        <v>Ship paint (recr) (discarded)</v>
      </c>
      <c r="J138" t="str">
        <v>Textile waste collection</v>
      </c>
    </row>
    <row r="139" spans="1:10" ht="15.75" thickBot="1">
      <c r="A139" s="74" t="str">
        <v>Concrete paint (prof) outdoor (in use)</v>
      </c>
      <c r="B139" s="340" t="str">
        <f>IFERROR(VLOOKUP(A139,'Compartments_Kawecki&amp;Nowack19'!A:C,2,FALSE), IFERROR(VLOOKUP(A139,Compartments_Added!A:C,2,FALSE), "Not found"))</f>
        <v>Stock</v>
      </c>
      <c r="C139" s="340" t="str">
        <f>IFERROR(VLOOKUP(A139,'Compartments_Kawecki&amp;Nowack19'!A:C,3,FALSE), IFERROR(VLOOKUP(A139,Compartments_Added!A:C,3,FALSE), "Not found"))</f>
        <v>ConcreteProfOutIU</v>
      </c>
      <c r="D139" s="95" t="str">
        <f>IFERROR(IF(VLOOKUP(A139,'Compartments_Kawecki&amp;Nowack19'!A:C,1,FALSE)=A139, "Kawecki","what?"),"Added/changed")</f>
        <v>Added/changed</v>
      </c>
      <c r="F139" s="17"/>
      <c r="G139" s="504" t="str">
        <v>Concrete paint (prof) outdoor</v>
      </c>
      <c r="H139" s="504" t="str">
        <v>Sea water (micro)</v>
      </c>
      <c r="I139" s="440" t="str">
        <v>Concrete paint (prof)</v>
      </c>
      <c r="J139" t="str">
        <v>Highway ZOAB non cleaned</v>
      </c>
    </row>
    <row r="140" spans="1:10" ht="15.75" thickBot="1">
      <c r="A140" s="74" t="str">
        <v>Concrete paint (prof) indoor</v>
      </c>
      <c r="B140" s="340" t="str">
        <f>IFERROR(VLOOKUP(A140,'Compartments_Kawecki&amp;Nowack19'!A:C,2,FALSE), IFERROR(VLOOKUP(A140,Compartments_Added!A:C,2,FALSE), "Not found"))</f>
        <v>Flow</v>
      </c>
      <c r="C140" s="340" t="str">
        <f>IFERROR(VLOOKUP(A140,'Compartments_Kawecki&amp;Nowack19'!A:C,3,FALSE), IFERROR(VLOOKUP(A140,Compartments_Added!A:C,3,FALSE), "Not found"))</f>
        <v>ConcreteProfIn</v>
      </c>
      <c r="D140" s="95" t="str">
        <f>IFERROR(IF(VLOOKUP(A140,'Compartments_Kawecki&amp;Nowack19'!A:C,1,FALSE)=A140, "Kawecki","what?"),"Added/changed")</f>
        <v>Added/changed</v>
      </c>
      <c r="F140" s="17"/>
      <c r="G140" s="504" t="str">
        <v>Concrete paint (prof) outdoor (in use)</v>
      </c>
      <c r="H140" s="504" t="str">
        <v>Pellet losses industrial plants</v>
      </c>
      <c r="I140" s="440" t="str">
        <v>Concrete paint (prof) outdoor</v>
      </c>
      <c r="J140" t="str">
        <v>Road cleaning</v>
      </c>
    </row>
    <row r="141" spans="1:10" ht="15.75" thickBot="1">
      <c r="A141" s="74" t="str">
        <v>Concrete paint (prof) indoor (in use)</v>
      </c>
      <c r="B141" s="340" t="str">
        <f>IFERROR(VLOOKUP(A141,'Compartments_Kawecki&amp;Nowack19'!A:C,2,FALSE), IFERROR(VLOOKUP(A141,Compartments_Added!A:C,2,FALSE), "Not found"))</f>
        <v>Stock</v>
      </c>
      <c r="C141" s="340" t="str">
        <f>IFERROR(VLOOKUP(A141,'Compartments_Kawecki&amp;Nowack19'!A:C,3,FALSE), IFERROR(VLOOKUP(A141,Compartments_Added!A:C,3,FALSE), "Not found"))</f>
        <v>ConcreteProfInIU</v>
      </c>
      <c r="D141" s="95" t="str">
        <f>IFERROR(IF(VLOOKUP(A141,'Compartments_Kawecki&amp;Nowack19'!A:C,1,FALSE)=A141, "Kawecki","what?"),"Added/changed")</f>
        <v>Added/changed</v>
      </c>
      <c r="F141" s="17"/>
      <c r="G141" s="504" t="str">
        <v>Concrete paint (prof) indoor</v>
      </c>
      <c r="H141" s="504" t="str">
        <v>Concrete paint (prof)</v>
      </c>
      <c r="I141" s="440" t="str">
        <v>Concrete paint (prof) outdoor (in use)</v>
      </c>
      <c r="J141" t="str">
        <v>Road runoff</v>
      </c>
    </row>
    <row r="142" spans="1:10" ht="15.75" thickBot="1">
      <c r="A142" s="74" t="str">
        <v>Concrete paint (prof) outdoor (discarded)</v>
      </c>
      <c r="B142" s="340" t="str">
        <f>IFERROR(VLOOKUP(A142,'Compartments_Kawecki&amp;Nowack19'!A:C,2,FALSE), IFERROR(VLOOKUP(A142,Compartments_Added!A:C,2,FALSE), "Not found"))</f>
        <v>Stock</v>
      </c>
      <c r="C142" s="340" t="str">
        <f>IFERROR(VLOOKUP(A142,'Compartments_Kawecki&amp;Nowack19'!A:C,3,FALSE), IFERROR(VLOOKUP(A142,Compartments_Added!A:C,3,FALSE), "Not found"))</f>
        <v>ConcreteProfOutDis</v>
      </c>
      <c r="D142" s="95" t="str">
        <f>IFERROR(IF(VLOOKUP(A142,'Compartments_Kawecki&amp;Nowack19'!A:C,1,FALSE)=A142, "Kawecki","what?"),"Added/changed")</f>
        <v>Added/changed</v>
      </c>
      <c r="F142" s="17"/>
      <c r="G142" s="504" t="str">
        <v>Concrete paint (prof) indoor (in use)</v>
      </c>
      <c r="H142" s="504" t="str">
        <v>Lacquer (prof)</v>
      </c>
      <c r="I142" s="440" t="str">
        <v>Concrete paint (prof) indoor</v>
      </c>
      <c r="J142" t="str">
        <v>Rural roads</v>
      </c>
    </row>
    <row r="143" spans="1:10" ht="15.75" thickBot="1">
      <c r="A143" s="74" t="str">
        <v>Concrete paint (prof) indoor (discarded)</v>
      </c>
      <c r="B143" s="340" t="str">
        <f>IFERROR(VLOOKUP(A143,'Compartments_Kawecki&amp;Nowack19'!A:C,2,FALSE), IFERROR(VLOOKUP(A143,Compartments_Added!A:C,2,FALSE), "Not found"))</f>
        <v>Stock</v>
      </c>
      <c r="C143" s="340" t="str">
        <f>IFERROR(VLOOKUP(A143,'Compartments_Kawecki&amp;Nowack19'!A:C,3,FALSE), IFERROR(VLOOKUP(A143,Compartments_Added!A:C,3,FALSE), "Not found"))</f>
        <v>ConcreteProfInDis</v>
      </c>
      <c r="D143" s="95" t="str">
        <f>IFERROR(IF(VLOOKUP(A143,'Compartments_Kawecki&amp;Nowack19'!A:C,1,FALSE)=A143, "Kawecki","what?"),"Added/changed")</f>
        <v>Added/changed</v>
      </c>
      <c r="F143" s="17"/>
      <c r="G143" s="504" t="str">
        <v>Concrete paint (prof) outdoor (discarded)</v>
      </c>
      <c r="H143" s="504" t="str">
        <v>Wood stain (prof)</v>
      </c>
      <c r="I143" s="440" t="str">
        <v>Concrete paint (prof) indoor (in use)</v>
      </c>
      <c r="J143" t="str">
        <v>Tyre wear</v>
      </c>
    </row>
    <row r="144" spans="1:10" ht="15.75" thickBot="1">
      <c r="A144" s="74" t="str">
        <v>Lacquer (prof)</v>
      </c>
      <c r="B144" s="340" t="str">
        <f>IFERROR(VLOOKUP(A144,'Compartments_Kawecki&amp;Nowack19'!A:C,2,FALSE), IFERROR(VLOOKUP(A144,Compartments_Added!A:C,2,FALSE), "Not found"))</f>
        <v>Flow</v>
      </c>
      <c r="C144" s="340" t="str">
        <f>IFERROR(VLOOKUP(A144,'Compartments_Kawecki&amp;Nowack19'!A:C,3,FALSE), IFERROR(VLOOKUP(A144,Compartments_Added!A:C,3,FALSE), "Not found"))</f>
        <v>LacquerProf</v>
      </c>
      <c r="D144" s="95" t="str">
        <f>IFERROR(IF(VLOOKUP(A144,'Compartments_Kawecki&amp;Nowack19'!A:C,1,FALSE)=A144, "Kawecki","what?"),"Added/changed")</f>
        <v>Added/changed</v>
      </c>
      <c r="F144" s="17"/>
      <c r="G144" s="504" t="str">
        <v>Concrete paint (prof) indoor (discarded)</v>
      </c>
      <c r="H144" s="504" t="str">
        <v>Wall paint (prof)</v>
      </c>
      <c r="I144" s="440" t="str">
        <v>Concrete paint (prof) outdoor (discarded)</v>
      </c>
      <c r="J144" t="str">
        <v>Primary water treatment (macro)</v>
      </c>
    </row>
    <row r="145" spans="1:10" ht="15.75" thickBot="1">
      <c r="A145" s="74" t="str">
        <v>Lacquer (prof) outdoor</v>
      </c>
      <c r="B145" s="340" t="str">
        <f>IFERROR(VLOOKUP(A145,'Compartments_Kawecki&amp;Nowack19'!A:C,2,FALSE), IFERROR(VLOOKUP(A145,Compartments_Added!A:C,2,FALSE), "Not found"))</f>
        <v>Flow</v>
      </c>
      <c r="C145" s="340" t="str">
        <f>IFERROR(VLOOKUP(A145,'Compartments_Kawecki&amp;Nowack19'!A:C,3,FALSE), IFERROR(VLOOKUP(A145,Compartments_Added!A:C,3,FALSE), "Not found"))</f>
        <v>LacquerProfOut</v>
      </c>
      <c r="D145" s="95" t="str">
        <f>IFERROR(IF(VLOOKUP(A145,'Compartments_Kawecki&amp;Nowack19'!A:C,1,FALSE)=A145, "Kawecki","what?"),"Added/changed")</f>
        <v>Added/changed</v>
      </c>
      <c r="F145" s="17"/>
      <c r="G145" s="504" t="str">
        <v>Lacquer (prof)</v>
      </c>
      <c r="H145" s="504" t="str">
        <v>Plaster (prof)</v>
      </c>
      <c r="I145" s="440" t="str">
        <v>Concrete paint (prof) indoor (discarded)</v>
      </c>
      <c r="J145" t="str">
        <v>Primary water treatment (micro)</v>
      </c>
    </row>
    <row r="146" spans="1:10" ht="15.75" thickBot="1">
      <c r="A146" s="74" t="str">
        <v>Lacquer (prof) outdoor (in use)</v>
      </c>
      <c r="B146" s="340" t="str">
        <f>IFERROR(VLOOKUP(A146,'Compartments_Kawecki&amp;Nowack19'!A:C,2,FALSE), IFERROR(VLOOKUP(A146,Compartments_Added!A:C,2,FALSE), "Not found"))</f>
        <v>Stock</v>
      </c>
      <c r="C146" s="340" t="str">
        <f>IFERROR(VLOOKUP(A146,'Compartments_Kawecki&amp;Nowack19'!A:C,3,FALSE), IFERROR(VLOOKUP(A146,Compartments_Added!A:C,3,FALSE), "Not found"))</f>
        <v>LacquerProfOutIU</v>
      </c>
      <c r="D146" s="95" t="str">
        <f>IFERROR(IF(VLOOKUP(A146,'Compartments_Kawecki&amp;Nowack19'!A:C,1,FALSE)=A146, "Kawecki","what?"),"Added/changed")</f>
        <v>Added/changed</v>
      </c>
      <c r="F146" s="17"/>
      <c r="G146" s="504" t="str">
        <v>Lacquer (prof) outdoor</v>
      </c>
      <c r="H146" s="504" t="str">
        <v>Other paint uses (prof)</v>
      </c>
      <c r="I146" s="440" t="str">
        <v>Lacquer (prof)</v>
      </c>
      <c r="J146" t="str">
        <v>On-site sewage facility (macro)</v>
      </c>
    </row>
    <row r="147" spans="1:10" ht="15.75" thickBot="1">
      <c r="A147" s="74" t="str">
        <v>Lacquer (prof) indoor</v>
      </c>
      <c r="B147" s="340" t="str">
        <f>IFERROR(VLOOKUP(A147,'Compartments_Kawecki&amp;Nowack19'!A:C,2,FALSE), IFERROR(VLOOKUP(A147,Compartments_Added!A:C,2,FALSE), "Not found"))</f>
        <v>Flow</v>
      </c>
      <c r="C147" s="340" t="str">
        <f>IFERROR(VLOOKUP(A147,'Compartments_Kawecki&amp;Nowack19'!A:C,3,FALSE), IFERROR(VLOOKUP(A147,Compartments_Added!A:C,3,FALSE), "Not found"))</f>
        <v>LacquerProfIn</v>
      </c>
      <c r="D147" s="95" t="str">
        <f>IFERROR(IF(VLOOKUP(A147,'Compartments_Kawecki&amp;Nowack19'!A:C,1,FALSE)=A147, "Kawecki","what?"),"Added/changed")</f>
        <v>Added/changed</v>
      </c>
      <c r="F147" s="17"/>
      <c r="G147" s="504" t="str">
        <v>Lacquer (prof) outdoor (in use)</v>
      </c>
      <c r="H147" s="504" t="str">
        <v>Paints used in pre-made wooden products</v>
      </c>
      <c r="I147" s="440" t="str">
        <v>Lacquer (prof) outdoor</v>
      </c>
      <c r="J147" t="str">
        <v>Secondary water treatment (macro)</v>
      </c>
    </row>
    <row r="148" spans="1:10" ht="15.75" thickBot="1">
      <c r="A148" s="74" t="str">
        <v>Lacquer (prof) indoor (in use)</v>
      </c>
      <c r="B148" s="340" t="str">
        <f>IFERROR(VLOOKUP(A148,'Compartments_Kawecki&amp;Nowack19'!A:C,2,FALSE), IFERROR(VLOOKUP(A148,Compartments_Added!A:C,2,FALSE), "Not found"))</f>
        <v>Stock</v>
      </c>
      <c r="C148" s="340" t="str">
        <f>IFERROR(VLOOKUP(A148,'Compartments_Kawecki&amp;Nowack19'!A:C,3,FALSE), IFERROR(VLOOKUP(A148,Compartments_Added!A:C,3,FALSE), "Not found"))</f>
        <v>LacquerProfInIU</v>
      </c>
      <c r="D148" s="95" t="str">
        <f>IFERROR(IF(VLOOKUP(A148,'Compartments_Kawecki&amp;Nowack19'!A:C,1,FALSE)=A148, "Kawecki","what?"),"Added/changed")</f>
        <v>Added/changed</v>
      </c>
      <c r="F148" s="17"/>
      <c r="G148" s="504" t="str">
        <v>Lacquer (prof) indoor</v>
      </c>
      <c r="H148" s="504" t="str">
        <v>Lacquer (DIY)</v>
      </c>
      <c r="I148" s="440" t="str">
        <v>Lacquer (prof) outdoor (in use)</v>
      </c>
      <c r="J148" t="str">
        <v>On-site sewage facility (micro)</v>
      </c>
    </row>
    <row r="149" spans="1:10" ht="15.75" thickBot="1">
      <c r="A149" s="74" t="str">
        <v>Lacquer (prof) outdoor (discarded)</v>
      </c>
      <c r="B149" s="340" t="str">
        <f>IFERROR(VLOOKUP(A149,'Compartments_Kawecki&amp;Nowack19'!A:C,2,FALSE), IFERROR(VLOOKUP(A149,Compartments_Added!A:C,2,FALSE), "Not found"))</f>
        <v>Stock</v>
      </c>
      <c r="C149" s="340" t="str">
        <f>IFERROR(VLOOKUP(A149,'Compartments_Kawecki&amp;Nowack19'!A:C,3,FALSE), IFERROR(VLOOKUP(A149,Compartments_Added!A:C,3,FALSE), "Not found"))</f>
        <v>LacquerProfOutDis</v>
      </c>
      <c r="D149" s="95" t="str">
        <f>IFERROR(IF(VLOOKUP(A149,'Compartments_Kawecki&amp;Nowack19'!A:C,1,FALSE)=A149, "Kawecki","what?"),"Added/changed")</f>
        <v>Added/changed</v>
      </c>
      <c r="F149" s="17"/>
      <c r="G149" s="504" t="str">
        <v>Lacquer (prof) indoor (in use)</v>
      </c>
      <c r="H149" s="504" t="str">
        <v>Wood stain (DIY)</v>
      </c>
      <c r="I149" s="440" t="str">
        <v>Lacquer (prof) indoor</v>
      </c>
      <c r="J149" t="str">
        <v>Secondary water treatment (micro)</v>
      </c>
    </row>
    <row r="150" spans="1:10" ht="15.75" thickBot="1">
      <c r="A150" s="74" t="str">
        <v>Lacquer (prof) indoor (discarded)</v>
      </c>
      <c r="B150" s="340" t="str">
        <f>IFERROR(VLOOKUP(A150,'Compartments_Kawecki&amp;Nowack19'!A:C,2,FALSE), IFERROR(VLOOKUP(A150,Compartments_Added!A:C,2,FALSE), "Not found"))</f>
        <v>Stock</v>
      </c>
      <c r="C150" s="340" t="str">
        <f>IFERROR(VLOOKUP(A150,'Compartments_Kawecki&amp;Nowack19'!A:C,3,FALSE), IFERROR(VLOOKUP(A150,Compartments_Added!A:C,3,FALSE), "Not found"))</f>
        <v>LacquerProfInDis</v>
      </c>
      <c r="D150" s="95" t="str">
        <f>IFERROR(IF(VLOOKUP(A150,'Compartments_Kawecki&amp;Nowack19'!A:C,1,FALSE)=A150, "Kawecki","what?"),"Added/changed")</f>
        <v>Added/changed</v>
      </c>
      <c r="F150" s="17"/>
      <c r="G150" s="504" t="str">
        <v>Lacquer (prof) outdoor (discarded)</v>
      </c>
      <c r="H150" s="504" t="str">
        <v>Wall paint (DIY)</v>
      </c>
      <c r="I150" s="440" t="str">
        <v>Lacquer (prof) indoor (in use)</v>
      </c>
      <c r="J150" t="str">
        <v>Litter on road sides</v>
      </c>
    </row>
    <row r="151" spans="1:10" ht="15.75" thickBot="1">
      <c r="A151" s="74" t="str">
        <v>Wood stain (prof)</v>
      </c>
      <c r="B151" s="340" t="str">
        <f>IFERROR(VLOOKUP(A151,'Compartments_Kawecki&amp;Nowack19'!A:C,2,FALSE), IFERROR(VLOOKUP(A151,Compartments_Added!A:C,2,FALSE), "Not found"))</f>
        <v>Flow</v>
      </c>
      <c r="C151" s="340" t="str">
        <f>IFERROR(VLOOKUP(A151,'Compartments_Kawecki&amp;Nowack19'!A:C,3,FALSE), IFERROR(VLOOKUP(A151,Compartments_Added!A:C,3,FALSE), "Not found"))</f>
        <v>WoodProf</v>
      </c>
      <c r="D151" s="95" t="str">
        <f>IFERROR(IF(VLOOKUP(A151,'Compartments_Kawecki&amp;Nowack19'!A:C,1,FALSE)=A151, "Kawecki","what?"),"Added/changed")</f>
        <v>Added/changed</v>
      </c>
      <c r="F151" s="17"/>
      <c r="G151" s="504" t="str">
        <v>Lacquer (prof) indoor (discarded)</v>
      </c>
      <c r="H151" s="504" t="str">
        <v>Plaster (DIY)</v>
      </c>
      <c r="I151" s="440" t="str">
        <v>Lacquer (prof) outdoor (discarded)</v>
      </c>
      <c r="J151" t="str">
        <v>Combined sewer overflow (micro)</v>
      </c>
    </row>
    <row r="152" spans="1:10" ht="15.75" thickBot="1">
      <c r="A152" s="74" t="str">
        <v>Wood stain (prof) outdoor</v>
      </c>
      <c r="B152" s="340" t="str">
        <f>IFERROR(VLOOKUP(A152,'Compartments_Kawecki&amp;Nowack19'!A:C,2,FALSE), IFERROR(VLOOKUP(A152,Compartments_Added!A:C,2,FALSE), "Not found"))</f>
        <v>Flow</v>
      </c>
      <c r="C152" s="340" t="str">
        <f>IFERROR(VLOOKUP(A152,'Compartments_Kawecki&amp;Nowack19'!A:C,3,FALSE), IFERROR(VLOOKUP(A152,Compartments_Added!A:C,3,FALSE), "Not found"))</f>
        <v>WoodProfOut</v>
      </c>
      <c r="D152" s="95" t="str">
        <f>IFERROR(IF(VLOOKUP(A152,'Compartments_Kawecki&amp;Nowack19'!A:C,1,FALSE)=A152, "Kawecki","what?"),"Added/changed")</f>
        <v>Added/changed</v>
      </c>
      <c r="F152" s="17"/>
      <c r="G152" s="504" t="str">
        <v>Wood stain (prof)</v>
      </c>
      <c r="H152" s="504" t="str">
        <v>Other paint uses (DIY)</v>
      </c>
      <c r="I152" s="440" t="str">
        <v>Lacquer (prof) indoor (discarded)</v>
      </c>
      <c r="J152" t="str">
        <v>Urban roads</v>
      </c>
    </row>
    <row r="153" spans="1:10" ht="15.75" thickBot="1">
      <c r="A153" s="74" t="str">
        <v>Wood stain (prof) outdoor (in use)</v>
      </c>
      <c r="B153" s="340" t="str">
        <f>IFERROR(VLOOKUP(A153,'Compartments_Kawecki&amp;Nowack19'!A:C,2,FALSE), IFERROR(VLOOKUP(A153,Compartments_Added!A:C,2,FALSE), "Not found"))</f>
        <v>Stock</v>
      </c>
      <c r="C153" s="340" t="str">
        <f>IFERROR(VLOOKUP(A153,'Compartments_Kawecki&amp;Nowack19'!A:C,3,FALSE), IFERROR(VLOOKUP(A153,Compartments_Added!A:C,3,FALSE), "Not found"))</f>
        <v>WoodStainProfOutIU</v>
      </c>
      <c r="D153" s="95" t="str">
        <f>IFERROR(IF(VLOOKUP(A153,'Compartments_Kawecki&amp;Nowack19'!A:C,1,FALSE)=A153, "Kawecki","what?"),"Added/changed")</f>
        <v>Added/changed</v>
      </c>
      <c r="F153" s="17"/>
      <c r="G153" s="504" t="str">
        <v>Wood stain (prof) outdoor</v>
      </c>
      <c r="H153" s="504" t="str">
        <v>Ship paint (prof)</v>
      </c>
      <c r="I153" s="440" t="str">
        <v>Wood stain (prof)</v>
      </c>
      <c r="J153" t="str">
        <v>Offshore oil &amp; gas applications</v>
      </c>
    </row>
    <row r="154" spans="1:10" ht="15.75" thickBot="1">
      <c r="A154" s="74" t="str">
        <v>Wood stain (prof) indoor</v>
      </c>
      <c r="B154" s="340" t="str">
        <f>IFERROR(VLOOKUP(A154,'Compartments_Kawecki&amp;Nowack19'!A:C,2,FALSE), IFERROR(VLOOKUP(A154,Compartments_Added!A:C,2,FALSE), "Not found"))</f>
        <v>Flow</v>
      </c>
      <c r="C154" s="340" t="str">
        <f>IFERROR(VLOOKUP(A154,'Compartments_Kawecki&amp;Nowack19'!A:C,3,FALSE), IFERROR(VLOOKUP(A154,Compartments_Added!A:C,3,FALSE), "Not found"))</f>
        <v>WoodProfIn</v>
      </c>
      <c r="D154" s="95" t="str">
        <f>IFERROR(IF(VLOOKUP(A154,'Compartments_Kawecki&amp;Nowack19'!A:C,1,FALSE)=A154, "Kawecki","what?"),"Added/changed")</f>
        <v>Added/changed</v>
      </c>
      <c r="F154" s="17"/>
      <c r="G154" s="504" t="str">
        <v>Wood stain (prof) outdoor (in use)</v>
      </c>
      <c r="H154" s="504" t="str">
        <v>Ship paint (recr)</v>
      </c>
      <c r="I154" s="440" t="str">
        <v>Wood stain (prof) outdoor</v>
      </c>
      <c r="J154" t="str">
        <v>Textile coating</v>
      </c>
    </row>
    <row r="155" spans="1:10" ht="15.75" thickBot="1">
      <c r="A155" s="74" t="str">
        <v>Wood stain (prof) indoor (in use)</v>
      </c>
      <c r="B155" s="340" t="str">
        <f>IFERROR(VLOOKUP(A155,'Compartments_Kawecki&amp;Nowack19'!A:C,2,FALSE), IFERROR(VLOOKUP(A155,Compartments_Added!A:C,2,FALSE), "Not found"))</f>
        <v>Stock</v>
      </c>
      <c r="C155" s="340" t="str">
        <f>IFERROR(VLOOKUP(A155,'Compartments_Kawecki&amp;Nowack19'!A:C,3,FALSE), IFERROR(VLOOKUP(A155,Compartments_Added!A:C,3,FALSE), "Not found"))</f>
        <v>WoodStainProfInIU</v>
      </c>
      <c r="D155" s="95" t="str">
        <f>IFERROR(IF(VLOOKUP(A155,'Compartments_Kawecki&amp;Nowack19'!A:C,1,FALSE)=A155, "Kawecki","what?"),"Added/changed")</f>
        <v>Added/changed</v>
      </c>
      <c r="F155" s="17"/>
      <c r="G155" s="504" t="str">
        <v>Wood stain (prof) indoor</v>
      </c>
      <c r="H155" s="504" t="str">
        <v>Ship paint (prof) (in use)</v>
      </c>
      <c r="I155" s="440" t="str">
        <v>Wood stain (prof) outdoor (in use)</v>
      </c>
      <c r="J155" t="str">
        <v>Clothing (in use) wash &amp; dry</v>
      </c>
    </row>
    <row r="156" spans="1:10" ht="15.75" thickBot="1">
      <c r="A156" s="74" t="str">
        <v>Wood stain (prof) outdoor (discarded)</v>
      </c>
      <c r="B156" s="340" t="str">
        <f>IFERROR(VLOOKUP(A156,'Compartments_Kawecki&amp;Nowack19'!A:C,2,FALSE), IFERROR(VLOOKUP(A156,Compartments_Added!A:C,2,FALSE), "Not found"))</f>
        <v>Stock</v>
      </c>
      <c r="C156" s="340" t="str">
        <f>IFERROR(VLOOKUP(A156,'Compartments_Kawecki&amp;Nowack19'!A:C,3,FALSE), IFERROR(VLOOKUP(A156,Compartments_Added!A:C,3,FALSE), "Not found"))</f>
        <v>WoodStainProfOutDis</v>
      </c>
      <c r="D156" s="95" t="str">
        <f>IFERROR(IF(VLOOKUP(A156,'Compartments_Kawecki&amp;Nowack19'!A:C,1,FALSE)=A156, "Kawecki","what?"),"Added/changed")</f>
        <v>Added/changed</v>
      </c>
      <c r="F156" s="17"/>
      <c r="G156" s="504" t="str">
        <v>Wood stain (prof) indoor (in use)</v>
      </c>
      <c r="H156" s="504" t="str">
        <v>Ship paint (prof) (discarded)</v>
      </c>
      <c r="I156" s="440" t="str">
        <v>Wood stain (prof) indoor</v>
      </c>
      <c r="J156" t="str">
        <v>Textile recycling</v>
      </c>
    </row>
    <row r="157" spans="1:10" ht="15.75" thickBot="1">
      <c r="A157" s="74" t="str">
        <v>Wood stain (prof) indoor (discarded)</v>
      </c>
      <c r="B157" s="340" t="str">
        <f>IFERROR(VLOOKUP(A157,'Compartments_Kawecki&amp;Nowack19'!A:C,2,FALSE), IFERROR(VLOOKUP(A157,Compartments_Added!A:C,2,FALSE), "Not found"))</f>
        <v>Stock</v>
      </c>
      <c r="C157" s="340" t="str">
        <f>IFERROR(VLOOKUP(A157,'Compartments_Kawecki&amp;Nowack19'!A:C,3,FALSE), IFERROR(VLOOKUP(A157,Compartments_Added!A:C,3,FALSE), "Not found"))</f>
        <v>WoodStainProfInDis</v>
      </c>
      <c r="D157" s="95" t="str">
        <f>IFERROR(IF(VLOOKUP(A157,'Compartments_Kawecki&amp;Nowack19'!A:C,1,FALSE)=A157, "Kawecki","what?"),"Added/changed")</f>
        <v>Added/changed</v>
      </c>
      <c r="F157" s="17"/>
      <c r="G157" s="504" t="str">
        <v>Wood stain (prof) outdoor (discarded)</v>
      </c>
      <c r="H157" s="504" t="str">
        <v>Ship paint (recr) (in use)</v>
      </c>
      <c r="I157" s="440" t="str">
        <v>Wood stain (prof) indoor (in use)</v>
      </c>
      <c r="J157" t="str">
        <v>Pellet losses transport land</v>
      </c>
    </row>
    <row r="158" spans="1:10" ht="15.75" thickBot="1">
      <c r="A158" s="74" t="str">
        <v>Wall paint (prof)</v>
      </c>
      <c r="B158" s="340" t="str">
        <f>IFERROR(VLOOKUP(A158,'Compartments_Kawecki&amp;Nowack19'!A:C,2,FALSE), IFERROR(VLOOKUP(A158,Compartments_Added!A:C,2,FALSE), "Not found"))</f>
        <v>Flow</v>
      </c>
      <c r="C158" s="340" t="str">
        <f>IFERROR(VLOOKUP(A158,'Compartments_Kawecki&amp;Nowack19'!A:C,3,FALSE), IFERROR(VLOOKUP(A158,Compartments_Added!A:C,3,FALSE), "Not found"))</f>
        <v>WallProf</v>
      </c>
      <c r="D158" s="95" t="str">
        <f>IFERROR(IF(VLOOKUP(A158,'Compartments_Kawecki&amp;Nowack19'!A:C,1,FALSE)=A158, "Kawecki","what?"),"Added/changed")</f>
        <v>Added/changed</v>
      </c>
      <c r="F158" s="17"/>
      <c r="G158" s="504" t="str">
        <v>Wood stain (prof) indoor (discarded)</v>
      </c>
      <c r="H158" s="504" t="str">
        <v>Ship paint (recr) (discarded)</v>
      </c>
      <c r="I158" s="440" t="str">
        <v>Wood stain (prof) outdoor (discarded)</v>
      </c>
      <c r="J158" t="str">
        <v>Pellet losses industrial plants</v>
      </c>
    </row>
    <row r="159" spans="1:10" ht="15.75" thickBot="1">
      <c r="A159" s="74" t="str">
        <v>Wall paint (prof) outdoor</v>
      </c>
      <c r="B159" s="340" t="str">
        <f>IFERROR(VLOOKUP(A159,'Compartments_Kawecki&amp;Nowack19'!A:C,2,FALSE), IFERROR(VLOOKUP(A159,Compartments_Added!A:C,2,FALSE), "Not found"))</f>
        <v>Flow</v>
      </c>
      <c r="C159" s="340" t="str">
        <f>IFERROR(VLOOKUP(A159,'Compartments_Kawecki&amp;Nowack19'!A:C,3,FALSE), IFERROR(VLOOKUP(A159,Compartments_Added!A:C,3,FALSE), "Not found"))</f>
        <v>WallProfOut</v>
      </c>
      <c r="D159" s="95" t="str">
        <f>IFERROR(IF(VLOOKUP(A159,'Compartments_Kawecki&amp;Nowack19'!A:C,1,FALSE)=A159, "Kawecki","what?"),"Added/changed")</f>
        <v>Added/changed</v>
      </c>
      <c r="F159" s="17"/>
      <c r="G159" s="504" t="str">
        <v>Wall paint (prof)</v>
      </c>
      <c r="H159" s="504" t="str">
        <v>Concrete paint (prof) outdoor</v>
      </c>
      <c r="I159" s="440" t="str">
        <v>Wood stain (prof) indoor (discarded)</v>
      </c>
      <c r="J159" t="str">
        <v>Paint</v>
      </c>
    </row>
    <row r="160" spans="1:10" ht="15.75" thickBot="1">
      <c r="A160" s="74" t="str">
        <v>Wall paint (prof) outdoor (in use)</v>
      </c>
      <c r="B160" s="340" t="str">
        <f>IFERROR(VLOOKUP(A160,'Compartments_Kawecki&amp;Nowack19'!A:C,2,FALSE), IFERROR(VLOOKUP(A160,Compartments_Added!A:C,2,FALSE), "Not found"))</f>
        <v>Stock</v>
      </c>
      <c r="C160" s="340" t="str">
        <f>IFERROR(VLOOKUP(A160,'Compartments_Kawecki&amp;Nowack19'!A:C,3,FALSE), IFERROR(VLOOKUP(A160,Compartments_Added!A:C,3,FALSE), "Not found"))</f>
        <v>WallPaintProfOutIU</v>
      </c>
      <c r="D160" s="95" t="str">
        <f>IFERROR(IF(VLOOKUP(A160,'Compartments_Kawecki&amp;Nowack19'!A:C,1,FALSE)=A160, "Kawecki","what?"),"Added/changed")</f>
        <v>Added/changed</v>
      </c>
      <c r="F160" s="17"/>
      <c r="G160" s="504" t="str">
        <v>Wall paint (prof) outdoor</v>
      </c>
      <c r="H160" s="504" t="str">
        <v>Concrete paint (prof) indoor</v>
      </c>
      <c r="I160" s="440" t="str">
        <v>Wall paint (prof)</v>
      </c>
      <c r="J160" t="str">
        <v>Ship paint (prof)</v>
      </c>
    </row>
    <row r="161" spans="1:10" ht="15.75" thickBot="1">
      <c r="A161" s="74" t="str">
        <v>Wall paint (prof) indoor</v>
      </c>
      <c r="B161" s="340" t="str">
        <f>IFERROR(VLOOKUP(A161,'Compartments_Kawecki&amp;Nowack19'!A:C,2,FALSE), IFERROR(VLOOKUP(A161,Compartments_Added!A:C,2,FALSE), "Not found"))</f>
        <v>Flow</v>
      </c>
      <c r="C161" s="340" t="str">
        <f>IFERROR(VLOOKUP(A161,'Compartments_Kawecki&amp;Nowack19'!A:C,3,FALSE), IFERROR(VLOOKUP(A161,Compartments_Added!A:C,3,FALSE), "Not found"))</f>
        <v>WallProfIn</v>
      </c>
      <c r="D161" s="95" t="str">
        <f>IFERROR(IF(VLOOKUP(A161,'Compartments_Kawecki&amp;Nowack19'!A:C,1,FALSE)=A161, "Kawecki","what?"),"Added/changed")</f>
        <v>Added/changed</v>
      </c>
      <c r="F161" s="17"/>
      <c r="G161" s="504" t="str">
        <v>Wall paint (prof) outdoor (in use)</v>
      </c>
      <c r="H161" s="504" t="str">
        <v>Concrete paint (prof) outdoor (in use)</v>
      </c>
      <c r="I161" s="440" t="str">
        <v>Wall paint (prof) outdoor</v>
      </c>
      <c r="J161" t="str">
        <v>Ship paint (prof) (in use)</v>
      </c>
    </row>
    <row r="162" spans="1:10" ht="15.75" thickBot="1">
      <c r="A162" s="74" t="str">
        <v>Wall paint (prof) indoor (in use)</v>
      </c>
      <c r="B162" s="340" t="str">
        <f>IFERROR(VLOOKUP(A162,'Compartments_Kawecki&amp;Nowack19'!A:C,2,FALSE), IFERROR(VLOOKUP(A162,Compartments_Added!A:C,2,FALSE), "Not found"))</f>
        <v>Stock</v>
      </c>
      <c r="C162" s="340" t="str">
        <f>IFERROR(VLOOKUP(A162,'Compartments_Kawecki&amp;Nowack19'!A:C,3,FALSE), IFERROR(VLOOKUP(A162,Compartments_Added!A:C,3,FALSE), "Not found"))</f>
        <v>WallPaintProfInIU</v>
      </c>
      <c r="D162" s="95" t="str">
        <f>IFERROR(IF(VLOOKUP(A162,'Compartments_Kawecki&amp;Nowack19'!A:C,1,FALSE)=A162, "Kawecki","what?"),"Added/changed")</f>
        <v>Added/changed</v>
      </c>
      <c r="F162" s="17"/>
      <c r="G162" s="504" t="str">
        <v>Wall paint (prof) indoor</v>
      </c>
      <c r="H162" s="504" t="str">
        <v>Concrete paint (prof) outdoor (discarded)</v>
      </c>
      <c r="I162" s="440" t="str">
        <v>Wall paint (prof) outdoor (in use)</v>
      </c>
      <c r="J162" t="str">
        <v>Ship paint (recr)</v>
      </c>
    </row>
    <row r="163" spans="1:10" ht="15.75" thickBot="1">
      <c r="A163" s="74" t="str">
        <v>Wall paint (prof) outdoor (discarded)</v>
      </c>
      <c r="B163" s="340" t="str">
        <f>IFERROR(VLOOKUP(A163,'Compartments_Kawecki&amp;Nowack19'!A:C,2,FALSE), IFERROR(VLOOKUP(A163,Compartments_Added!A:C,2,FALSE), "Not found"))</f>
        <v>Stock</v>
      </c>
      <c r="C163" s="340" t="str">
        <f>IFERROR(VLOOKUP(A163,'Compartments_Kawecki&amp;Nowack19'!A:C,3,FALSE), IFERROR(VLOOKUP(A163,Compartments_Added!A:C,3,FALSE), "Not found"))</f>
        <v>WallPaintProfOutDis</v>
      </c>
      <c r="D163" s="95" t="str">
        <f>IFERROR(IF(VLOOKUP(A163,'Compartments_Kawecki&amp;Nowack19'!A:C,1,FALSE)=A163, "Kawecki","what?"),"Added/changed")</f>
        <v>Added/changed</v>
      </c>
      <c r="F163" s="17"/>
      <c r="G163" s="504" t="str">
        <v>Wall paint (prof) indoor (in use)</v>
      </c>
      <c r="H163" s="504" t="str">
        <v>Concrete paint (prof) indoor (in use)</v>
      </c>
      <c r="I163" s="440" t="str">
        <v>Wall paint (prof) indoor</v>
      </c>
      <c r="J163" t="str">
        <v>Ship paint (recr) (in use)</v>
      </c>
    </row>
    <row r="164" spans="1:10" ht="15.75" thickBot="1">
      <c r="A164" s="74" t="str">
        <v>Wall paint (prof) indoor (discarded)</v>
      </c>
      <c r="B164" s="340" t="str">
        <f>IFERROR(VLOOKUP(A164,'Compartments_Kawecki&amp;Nowack19'!A:C,2,FALSE), IFERROR(VLOOKUP(A164,Compartments_Added!A:C,2,FALSE), "Not found"))</f>
        <v>Stock</v>
      </c>
      <c r="C164" s="340" t="str">
        <f>IFERROR(VLOOKUP(A164,'Compartments_Kawecki&amp;Nowack19'!A:C,3,FALSE), IFERROR(VLOOKUP(A164,Compartments_Added!A:C,3,FALSE), "Not found"))</f>
        <v>WallPaintProfInDis</v>
      </c>
      <c r="D164" s="95" t="str">
        <f>IFERROR(IF(VLOOKUP(A164,'Compartments_Kawecki&amp;Nowack19'!A:C,1,FALSE)=A164, "Kawecki","what?"),"Added/changed")</f>
        <v>Added/changed</v>
      </c>
      <c r="F164" s="17"/>
      <c r="G164" s="504" t="str">
        <v>Wall paint (prof) outdoor (discarded)</v>
      </c>
      <c r="H164" s="504" t="str">
        <v>Concrete paint (prof) indoor (discarded)</v>
      </c>
      <c r="I164" s="440" t="str">
        <v>Wall paint (prof) indoor (in use)</v>
      </c>
      <c r="J164" t="str">
        <v>Ship paint (prof) (discarded)</v>
      </c>
    </row>
    <row r="165" spans="1:10" ht="15.75" thickBot="1">
      <c r="A165" s="74" t="str">
        <v>Plaster (prof)</v>
      </c>
      <c r="B165" s="340" t="str">
        <f>IFERROR(VLOOKUP(A165,'Compartments_Kawecki&amp;Nowack19'!A:C,2,FALSE), IFERROR(VLOOKUP(A165,Compartments_Added!A:C,2,FALSE), "Not found"))</f>
        <v>Flow</v>
      </c>
      <c r="C165" s="340" t="str">
        <f>IFERROR(VLOOKUP(A165,'Compartments_Kawecki&amp;Nowack19'!A:C,3,FALSE), IFERROR(VLOOKUP(A165,Compartments_Added!A:C,3,FALSE), "Not found"))</f>
        <v>PlasterProf</v>
      </c>
      <c r="D165" s="95" t="str">
        <f>IFERROR(IF(VLOOKUP(A165,'Compartments_Kawecki&amp;Nowack19'!A:C,1,FALSE)=A165, "Kawecki","what?"),"Added/changed")</f>
        <v>Added/changed</v>
      </c>
      <c r="F165" s="17"/>
      <c r="G165" s="504" t="str">
        <v>Wall paint (prof) indoor (discarded)</v>
      </c>
      <c r="H165" s="504" t="str">
        <v>Lacquer (prof) outdoor</v>
      </c>
      <c r="I165" s="440" t="str">
        <v>Wall paint (prof) outdoor (discarded)</v>
      </c>
      <c r="J165" t="str">
        <v>Ship paint (recr) (discarded)</v>
      </c>
    </row>
    <row r="166" spans="1:10" ht="15.75" thickBot="1">
      <c r="A166" s="74" t="str">
        <v>Plaster (prof) outdoor</v>
      </c>
      <c r="B166" s="340" t="str">
        <f>IFERROR(VLOOKUP(A166,'Compartments_Kawecki&amp;Nowack19'!A:C,2,FALSE), IFERROR(VLOOKUP(A166,Compartments_Added!A:C,2,FALSE), "Not found"))</f>
        <v>Flow</v>
      </c>
      <c r="C166" s="340" t="str">
        <f>IFERROR(VLOOKUP(A166,'Compartments_Kawecki&amp;Nowack19'!A:C,3,FALSE), IFERROR(VLOOKUP(A166,Compartments_Added!A:C,3,FALSE), "Not found"))</f>
        <v>PlasterProfOut</v>
      </c>
      <c r="D166" s="95" t="str">
        <f>IFERROR(IF(VLOOKUP(A166,'Compartments_Kawecki&amp;Nowack19'!A:C,1,FALSE)=A166, "Kawecki","what?"),"Added/changed")</f>
        <v>Added/changed</v>
      </c>
      <c r="F166" s="17"/>
      <c r="G166" s="504" t="str">
        <v>Plaster (prof)</v>
      </c>
      <c r="H166" s="504" t="str">
        <v>Lacquer (prof) indoor</v>
      </c>
      <c r="I166" s="440" t="str">
        <v>Wall paint (prof) indoor (discarded)</v>
      </c>
      <c r="J166" t="str">
        <v>Concrete paint (prof)</v>
      </c>
    </row>
    <row r="167" spans="1:10" ht="15.75" thickBot="1">
      <c r="A167" s="74" t="str">
        <v>Plaster (prof) outdoor (in use)</v>
      </c>
      <c r="B167" s="340" t="str">
        <f>IFERROR(VLOOKUP(A167,'Compartments_Kawecki&amp;Nowack19'!A:C,2,FALSE), IFERROR(VLOOKUP(A167,Compartments_Added!A:C,2,FALSE), "Not found"))</f>
        <v>Stock</v>
      </c>
      <c r="C167" s="340" t="str">
        <f>IFERROR(VLOOKUP(A167,'Compartments_Kawecki&amp;Nowack19'!A:C,3,FALSE), IFERROR(VLOOKUP(A167,Compartments_Added!A:C,3,FALSE), "Not found"))</f>
        <v>PlasterProfOutIU</v>
      </c>
      <c r="D167" s="95" t="str">
        <f>IFERROR(IF(VLOOKUP(A167,'Compartments_Kawecki&amp;Nowack19'!A:C,1,FALSE)=A167, "Kawecki","what?"),"Added/changed")</f>
        <v>Added/changed</v>
      </c>
      <c r="F167" s="17"/>
      <c r="G167" s="504" t="str">
        <v>Plaster (prof) outdoor</v>
      </c>
      <c r="H167" s="504" t="str">
        <v>Lacquer (prof) outdoor (in use)</v>
      </c>
      <c r="I167" s="440" t="str">
        <v>Plaster (prof)</v>
      </c>
      <c r="J167" t="str">
        <v>Concrete paint (prof) outdoor</v>
      </c>
    </row>
    <row r="168" spans="1:10" ht="15.75" thickBot="1">
      <c r="A168" s="74" t="str">
        <v>Plaster (prof) indoor</v>
      </c>
      <c r="B168" s="340" t="str">
        <f>IFERROR(VLOOKUP(A168,'Compartments_Kawecki&amp;Nowack19'!A:C,2,FALSE), IFERROR(VLOOKUP(A168,Compartments_Added!A:C,2,FALSE), "Not found"))</f>
        <v>Flow</v>
      </c>
      <c r="C168" s="340" t="str">
        <f>IFERROR(VLOOKUP(A168,'Compartments_Kawecki&amp;Nowack19'!A:C,3,FALSE), IFERROR(VLOOKUP(A168,Compartments_Added!A:C,3,FALSE), "Not found"))</f>
        <v>PlasterProfIn</v>
      </c>
      <c r="D168" s="95" t="str">
        <f>IFERROR(IF(VLOOKUP(A168,'Compartments_Kawecki&amp;Nowack19'!A:C,1,FALSE)=A168, "Kawecki","what?"),"Added/changed")</f>
        <v>Added/changed</v>
      </c>
      <c r="F168" s="17"/>
      <c r="G168" s="504" t="str">
        <v>Plaster (prof) outdoor (in use)</v>
      </c>
      <c r="H168" s="504" t="str">
        <v>Lacquer (prof) outdoor (discarded)</v>
      </c>
      <c r="I168" s="440" t="str">
        <v>Plaster (prof) outdoor</v>
      </c>
      <c r="J168" t="str">
        <v>Concrete paint (prof) outdoor (in use)</v>
      </c>
    </row>
    <row r="169" spans="1:10" ht="15.75" thickBot="1">
      <c r="A169" s="74" t="str">
        <v>Plaster (prof) indoor (in use)</v>
      </c>
      <c r="B169" s="340" t="str">
        <f>IFERROR(VLOOKUP(A169,'Compartments_Kawecki&amp;Nowack19'!A:C,2,FALSE), IFERROR(VLOOKUP(A169,Compartments_Added!A:C,2,FALSE), "Not found"))</f>
        <v>Stock</v>
      </c>
      <c r="C169" s="340" t="str">
        <f>IFERROR(VLOOKUP(A169,'Compartments_Kawecki&amp;Nowack19'!A:C,3,FALSE), IFERROR(VLOOKUP(A169,Compartments_Added!A:C,3,FALSE), "Not found"))</f>
        <v>PlasterProfInIU</v>
      </c>
      <c r="D169" s="95" t="str">
        <f>IFERROR(IF(VLOOKUP(A169,'Compartments_Kawecki&amp;Nowack19'!A:C,1,FALSE)=A169, "Kawecki","what?"),"Added/changed")</f>
        <v>Added/changed</v>
      </c>
      <c r="F169" s="17"/>
      <c r="G169" s="504" t="str">
        <v>Plaster (prof) indoor</v>
      </c>
      <c r="H169" s="504" t="str">
        <v>Lacquer (prof) indoor (in use)</v>
      </c>
      <c r="I169" s="440" t="str">
        <v>Plaster (prof) outdoor (in use)</v>
      </c>
      <c r="J169" t="str">
        <v>Concrete paint (prof) indoor</v>
      </c>
    </row>
    <row r="170" spans="1:10" ht="15.75" thickBot="1">
      <c r="A170" s="74" t="str">
        <v>Plaster (prof) outdoor (discarded)</v>
      </c>
      <c r="B170" s="340" t="str">
        <f>IFERROR(VLOOKUP(A170,'Compartments_Kawecki&amp;Nowack19'!A:C,2,FALSE), IFERROR(VLOOKUP(A170,Compartments_Added!A:C,2,FALSE), "Not found"))</f>
        <v>Stock</v>
      </c>
      <c r="C170" s="340" t="str">
        <f>IFERROR(VLOOKUP(A170,'Compartments_Kawecki&amp;Nowack19'!A:C,3,FALSE), IFERROR(VLOOKUP(A170,Compartments_Added!A:C,3,FALSE), "Not found"))</f>
        <v>PlasterProfOutDis</v>
      </c>
      <c r="D170" s="95" t="str">
        <f>IFERROR(IF(VLOOKUP(A170,'Compartments_Kawecki&amp;Nowack19'!A:C,1,FALSE)=A170, "Kawecki","what?"),"Added/changed")</f>
        <v>Added/changed</v>
      </c>
      <c r="F170" s="17"/>
      <c r="G170" s="504" t="str">
        <v>Plaster (prof) indoor (in use)</v>
      </c>
      <c r="H170" s="504" t="str">
        <v>Lacquer (prof) indoor (discarded)</v>
      </c>
      <c r="I170" s="440" t="str">
        <v>Plaster (prof) indoor</v>
      </c>
      <c r="J170" t="str">
        <v>Concrete paint (prof) indoor (in use)</v>
      </c>
    </row>
    <row r="171" spans="1:10" ht="15.75" thickBot="1">
      <c r="A171" s="74" t="str">
        <v>Plaster (prof) indoor (discarded)</v>
      </c>
      <c r="B171" s="340" t="str">
        <f>IFERROR(VLOOKUP(A171,'Compartments_Kawecki&amp;Nowack19'!A:C,2,FALSE), IFERROR(VLOOKUP(A171,Compartments_Added!A:C,2,FALSE), "Not found"))</f>
        <v>Stock</v>
      </c>
      <c r="C171" s="340" t="str">
        <f>IFERROR(VLOOKUP(A171,'Compartments_Kawecki&amp;Nowack19'!A:C,3,FALSE), IFERROR(VLOOKUP(A171,Compartments_Added!A:C,3,FALSE), "Not found"))</f>
        <v>PlasterProfInDis</v>
      </c>
      <c r="D171" s="95" t="str">
        <f>IFERROR(IF(VLOOKUP(A171,'Compartments_Kawecki&amp;Nowack19'!A:C,1,FALSE)=A171, "Kawecki","what?"),"Added/changed")</f>
        <v>Added/changed</v>
      </c>
      <c r="F171" s="17"/>
      <c r="G171" s="504" t="str">
        <v>Plaster (prof) outdoor (discarded)</v>
      </c>
      <c r="H171" s="504" t="str">
        <v>Wood stain (prof) outdoor</v>
      </c>
      <c r="I171" s="440" t="str">
        <v>Plaster (prof) indoor (in use)</v>
      </c>
      <c r="J171" t="str">
        <v>Concrete paint (prof) outdoor (discarded)</v>
      </c>
    </row>
    <row r="172" spans="1:10" ht="15.75" thickBot="1">
      <c r="A172" s="74" t="str">
        <v>Other paint uses (prof)</v>
      </c>
      <c r="B172" s="340" t="str">
        <f>IFERROR(VLOOKUP(A172,'Compartments_Kawecki&amp;Nowack19'!A:C,2,FALSE), IFERROR(VLOOKUP(A172,Compartments_Added!A:C,2,FALSE), "Not found"))</f>
        <v>Flow</v>
      </c>
      <c r="C172" s="340" t="str">
        <f>IFERROR(VLOOKUP(A172,'Compartments_Kawecki&amp;Nowack19'!A:C,3,FALSE), IFERROR(VLOOKUP(A172,Compartments_Added!A:C,3,FALSE), "Not found"))</f>
        <v>OtherPaintUses</v>
      </c>
      <c r="D172" s="95" t="str">
        <f>IFERROR(IF(VLOOKUP(A172,'Compartments_Kawecki&amp;Nowack19'!A:C,1,FALSE)=A172, "Kawecki","what?"),"Added/changed")</f>
        <v>Added/changed</v>
      </c>
      <c r="F172" s="17"/>
      <c r="G172" s="504" t="str">
        <v>Plaster (prof) indoor (discarded)</v>
      </c>
      <c r="H172" s="504" t="str">
        <v>Wood stain (prof) indoor</v>
      </c>
      <c r="I172" s="440" t="str">
        <v>Plaster (prof) outdoor (discarded)</v>
      </c>
      <c r="J172" t="str">
        <v>Concrete paint (prof) indoor (discarded)</v>
      </c>
    </row>
    <row r="173" spans="1:10" ht="15.75" thickBot="1">
      <c r="A173" s="74" t="str">
        <v>Other paint uses (prof) outdoor</v>
      </c>
      <c r="B173" s="340" t="str">
        <f>IFERROR(VLOOKUP(A173,'Compartments_Kawecki&amp;Nowack19'!A:C,2,FALSE), IFERROR(VLOOKUP(A173,Compartments_Added!A:C,2,FALSE), "Not found"))</f>
        <v>Flow</v>
      </c>
      <c r="C173" s="340" t="str">
        <f>IFERROR(VLOOKUP(A173,'Compartments_Kawecki&amp;Nowack19'!A:C,3,FALSE), IFERROR(VLOOKUP(A173,Compartments_Added!A:C,3,FALSE), "Not found"))</f>
        <v>OtherPaintUsesProfOut</v>
      </c>
      <c r="D173" s="95" t="str">
        <f>IFERROR(IF(VLOOKUP(A173,'Compartments_Kawecki&amp;Nowack19'!A:C,1,FALSE)=A173, "Kawecki","what?"),"Added/changed")</f>
        <v>Added/changed</v>
      </c>
      <c r="F173" s="17"/>
      <c r="G173" s="504" t="str">
        <v>Other paint uses (prof)</v>
      </c>
      <c r="H173" s="504" t="str">
        <v>Wood stain (prof) outdoor (in use)</v>
      </c>
      <c r="I173" s="440" t="str">
        <v>Plaster (prof) indoor (discarded)</v>
      </c>
      <c r="J173" t="str">
        <v>Lacquer (prof)</v>
      </c>
    </row>
    <row r="174" spans="1:10" ht="15.75" thickBot="1">
      <c r="A174" s="74" t="str">
        <v>Other paint uses (prof) outdoor (in use)</v>
      </c>
      <c r="B174" s="340" t="str">
        <f>IFERROR(VLOOKUP(A174,'Compartments_Kawecki&amp;Nowack19'!A:C,2,FALSE), IFERROR(VLOOKUP(A174,Compartments_Added!A:C,2,FALSE), "Not found"))</f>
        <v>Stock</v>
      </c>
      <c r="C174" s="340" t="str">
        <f>IFERROR(VLOOKUP(A174,'Compartments_Kawecki&amp;Nowack19'!A:C,3,FALSE), IFERROR(VLOOKUP(A174,Compartments_Added!A:C,3,FALSE), "Not found"))</f>
        <v>OtherPaintUsesProfOutIU</v>
      </c>
      <c r="D174" s="95" t="str">
        <f>IFERROR(IF(VLOOKUP(A174,'Compartments_Kawecki&amp;Nowack19'!A:C,1,FALSE)=A174, "Kawecki","what?"),"Added/changed")</f>
        <v>Added/changed</v>
      </c>
      <c r="F174" s="17"/>
      <c r="G174" s="504" t="str">
        <v>Other paint uses (prof) outdoor</v>
      </c>
      <c r="H174" s="504" t="str">
        <v>Wood stain (prof) outdoor (discarded)</v>
      </c>
      <c r="I174" s="440" t="str">
        <v>Other paint uses (prof)</v>
      </c>
      <c r="J174" t="str">
        <v>Lacquer (prof) outdoor</v>
      </c>
    </row>
    <row r="175" spans="1:10" ht="15.75" thickBot="1">
      <c r="A175" s="74" t="str">
        <v>Other paint uses (prof) indoor</v>
      </c>
      <c r="B175" s="340" t="str">
        <f>IFERROR(VLOOKUP(A175,'Compartments_Kawecki&amp;Nowack19'!A:C,2,FALSE), IFERROR(VLOOKUP(A175,Compartments_Added!A:C,2,FALSE), "Not found"))</f>
        <v>Flow</v>
      </c>
      <c r="C175" s="340" t="str">
        <f>IFERROR(VLOOKUP(A175,'Compartments_Kawecki&amp;Nowack19'!A:C,3,FALSE), IFERROR(VLOOKUP(A175,Compartments_Added!A:C,3,FALSE), "Not found"))</f>
        <v>OtherPaintUsesProfIn</v>
      </c>
      <c r="D175" s="95" t="str">
        <f>IFERROR(IF(VLOOKUP(A175,'Compartments_Kawecki&amp;Nowack19'!A:C,1,FALSE)=A175, "Kawecki","what?"),"Added/changed")</f>
        <v>Added/changed</v>
      </c>
      <c r="F175" s="17"/>
      <c r="G175" s="504" t="str">
        <v>Other paint uses (prof) outdoor (in use)</v>
      </c>
      <c r="H175" s="504" t="str">
        <v>Wood stain (prof) indoor (in use)</v>
      </c>
      <c r="I175" s="440" t="str">
        <v>Other paint uses (prof) outdoor</v>
      </c>
      <c r="J175" t="str">
        <v>Lacquer (prof) outdoor (in use)</v>
      </c>
    </row>
    <row r="176" spans="1:10" ht="15.75" thickBot="1">
      <c r="A176" s="74" t="str">
        <v>Other paint uses (prof) indoor (in use)</v>
      </c>
      <c r="B176" s="340" t="str">
        <f>IFERROR(VLOOKUP(A176,'Compartments_Kawecki&amp;Nowack19'!A:C,2,FALSE), IFERROR(VLOOKUP(A176,Compartments_Added!A:C,2,FALSE), "Not found"))</f>
        <v>Stock</v>
      </c>
      <c r="C176" s="340" t="str">
        <f>IFERROR(VLOOKUP(A176,'Compartments_Kawecki&amp;Nowack19'!A:C,3,FALSE), IFERROR(VLOOKUP(A176,Compartments_Added!A:C,3,FALSE), "Not found"))</f>
        <v>OtherPaintUsesProfInIU</v>
      </c>
      <c r="D176" s="95" t="str">
        <f>IFERROR(IF(VLOOKUP(A176,'Compartments_Kawecki&amp;Nowack19'!A:C,1,FALSE)=A176, "Kawecki","what?"),"Added/changed")</f>
        <v>Added/changed</v>
      </c>
      <c r="F176" s="17"/>
      <c r="G176" s="504" t="str">
        <v>Other paint uses (prof) indoor</v>
      </c>
      <c r="H176" s="504" t="str">
        <v>Wood stain (prof) indoor (discarded)</v>
      </c>
      <c r="I176" s="440" t="str">
        <v>Other paint uses (prof) outdoor (in use)</v>
      </c>
      <c r="J176" t="str">
        <v>Lacquer (prof) indoor</v>
      </c>
    </row>
    <row r="177" spans="1:10" ht="15.75" thickBot="1">
      <c r="A177" s="74" t="str">
        <v>Other paint uses (prof) outdoor (discarded)</v>
      </c>
      <c r="B177" s="340" t="str">
        <f>IFERROR(VLOOKUP(A177,'Compartments_Kawecki&amp;Nowack19'!A:C,2,FALSE), IFERROR(VLOOKUP(A177,Compartments_Added!A:C,2,FALSE), "Not found"))</f>
        <v>Stock</v>
      </c>
      <c r="C177" s="340" t="str">
        <f>IFERROR(VLOOKUP(A177,'Compartments_Kawecki&amp;Nowack19'!A:C,3,FALSE), IFERROR(VLOOKUP(A177,Compartments_Added!A:C,3,FALSE), "Not found"))</f>
        <v>OtherPaintUsesProfOutDis</v>
      </c>
      <c r="D177" s="95" t="str">
        <f>IFERROR(IF(VLOOKUP(A177,'Compartments_Kawecki&amp;Nowack19'!A:C,1,FALSE)=A177, "Kawecki","what?"),"Added/changed")</f>
        <v>Added/changed</v>
      </c>
      <c r="F177" s="17"/>
      <c r="G177" s="504" t="str">
        <v>Other paint uses (prof) indoor (in use)</v>
      </c>
      <c r="H177" s="504" t="str">
        <v>Wall paint (prof) outdoor</v>
      </c>
      <c r="I177" s="440" t="str">
        <v>Other paint uses (prof) indoor</v>
      </c>
      <c r="J177" t="str">
        <v>Lacquer (prof) indoor (in use)</v>
      </c>
    </row>
    <row r="178" spans="1:10" ht="15.75" thickBot="1">
      <c r="A178" s="74" t="str">
        <v>Other paint uses (prof) indoor (discarded)</v>
      </c>
      <c r="B178" s="340" t="str">
        <f>IFERROR(VLOOKUP(A178,'Compartments_Kawecki&amp;Nowack19'!A:C,2,FALSE), IFERROR(VLOOKUP(A178,Compartments_Added!A:C,2,FALSE), "Not found"))</f>
        <v>Stock</v>
      </c>
      <c r="C178" s="340" t="str">
        <f>IFERROR(VLOOKUP(A178,'Compartments_Kawecki&amp;Nowack19'!A:C,3,FALSE), IFERROR(VLOOKUP(A178,Compartments_Added!A:C,3,FALSE), "Not found"))</f>
        <v>OtherPaintUsesProfInDis</v>
      </c>
      <c r="D178" s="95" t="str">
        <f>IFERROR(IF(VLOOKUP(A178,'Compartments_Kawecki&amp;Nowack19'!A:C,1,FALSE)=A178, "Kawecki","what?"),"Added/changed")</f>
        <v>Added/changed</v>
      </c>
      <c r="F178" s="17"/>
      <c r="G178" s="504" t="str">
        <v>Other paint uses (prof) outdoor (discarded)</v>
      </c>
      <c r="H178" s="504" t="str">
        <v>Wall paint (prof) indoor</v>
      </c>
      <c r="I178" s="440" t="str">
        <v>Other paint uses (prof) indoor (in use)</v>
      </c>
      <c r="J178" t="str">
        <v>Lacquer (prof) outdoor (discarded)</v>
      </c>
    </row>
    <row r="179" spans="1:10" ht="15.75" thickBot="1">
      <c r="A179" s="74" t="str">
        <v>Paints used in pre-made wooden products</v>
      </c>
      <c r="B179" s="340" t="str">
        <f>IFERROR(VLOOKUP(A179,'Compartments_Kawecki&amp;Nowack19'!A:C,2,FALSE), IFERROR(VLOOKUP(A179,Compartments_Added!A:C,2,FALSE), "Not found"))</f>
        <v>Flow</v>
      </c>
      <c r="C179" s="340" t="str">
        <f>IFERROR(VLOOKUP(A179,'Compartments_Kawecki&amp;Nowack19'!A:C,3,FALSE), IFERROR(VLOOKUP(A179,Compartments_Added!A:C,3,FALSE), "Not found"))</f>
        <v>PaintsPreMadeWood</v>
      </c>
      <c r="D179" s="95" t="str">
        <f>IFERROR(IF(VLOOKUP(A179,'Compartments_Kawecki&amp;Nowack19'!A:C,1,FALSE)=A179, "Kawecki","what?"),"Added/changed")</f>
        <v>Added/changed</v>
      </c>
      <c r="F179" s="17"/>
      <c r="G179" s="504" t="str">
        <v>Other paint uses (prof) indoor (discarded)</v>
      </c>
      <c r="H179" s="504" t="str">
        <v>Wall paint (prof) outdoor (in use)</v>
      </c>
      <c r="I179" s="440" t="str">
        <v>Other paint uses (prof) outdoor (discarded)</v>
      </c>
      <c r="J179" t="str">
        <v>Lacquer (prof) indoor (discarded)</v>
      </c>
    </row>
    <row r="180" spans="1:10" ht="15.75" thickBot="1">
      <c r="A180" s="74" t="str">
        <v>Paints used in pre-made wooden products outdoor</v>
      </c>
      <c r="B180" s="340" t="str">
        <f>IFERROR(VLOOKUP(A180,'Compartments_Kawecki&amp;Nowack19'!A:C,2,FALSE), IFERROR(VLOOKUP(A180,Compartments_Added!A:C,2,FALSE), "Not found"))</f>
        <v>Flow</v>
      </c>
      <c r="C180" s="340" t="str">
        <f>IFERROR(VLOOKUP(A180,'Compartments_Kawecki&amp;Nowack19'!A:C,3,FALSE), IFERROR(VLOOKUP(A180,Compartments_Added!A:C,3,FALSE), "Not found"))</f>
        <v>PaintsPreMadeWoodOut</v>
      </c>
      <c r="D180" s="95" t="str">
        <f>IFERROR(IF(VLOOKUP(A180,'Compartments_Kawecki&amp;Nowack19'!A:C,1,FALSE)=A180, "Kawecki","what?"),"Added/changed")</f>
        <v>Added/changed</v>
      </c>
      <c r="F180" s="17"/>
      <c r="G180" s="504" t="str">
        <v>Paints used in pre-made wooden products</v>
      </c>
      <c r="H180" s="504" t="str">
        <v>Wall paint (prof) outdoor (discarded)</v>
      </c>
      <c r="I180" s="440" t="str">
        <v>Other paint uses (prof) indoor (discarded)</v>
      </c>
      <c r="J180" t="str">
        <v>Wood stain (prof)</v>
      </c>
    </row>
    <row r="181" spans="1:10" ht="15.75" thickBot="1">
      <c r="A181" s="74" t="str">
        <v>Paints used in pre-made wooden products outdoor (in use)</v>
      </c>
      <c r="B181" s="340" t="str">
        <f>IFERROR(VLOOKUP(A181,'Compartments_Kawecki&amp;Nowack19'!A:C,2,FALSE), IFERROR(VLOOKUP(A181,Compartments_Added!A:C,2,FALSE), "Not found"))</f>
        <v>Stock</v>
      </c>
      <c r="C181" s="340" t="str">
        <f>IFERROR(VLOOKUP(A181,'Compartments_Kawecki&amp;Nowack19'!A:C,3,FALSE), IFERROR(VLOOKUP(A181,Compartments_Added!A:C,3,FALSE), "Not found"))</f>
        <v>PaintsPreMadeWoodOutIU</v>
      </c>
      <c r="D181" s="95" t="str">
        <f>IFERROR(IF(VLOOKUP(A181,'Compartments_Kawecki&amp;Nowack19'!A:C,1,FALSE)=A181, "Kawecki","what?"),"Added/changed")</f>
        <v>Added/changed</v>
      </c>
      <c r="F181" s="17"/>
      <c r="G181" s="504" t="str">
        <v>Paints used in pre-made wooden products outdoor</v>
      </c>
      <c r="H181" s="504" t="str">
        <v>Wall paint (prof) indoor (in use)</v>
      </c>
      <c r="I181" s="440" t="str">
        <v>Paints used in pre-made wooden products</v>
      </c>
      <c r="J181" t="str">
        <v>Wood stain (prof) outdoor</v>
      </c>
    </row>
    <row r="182" spans="1:10" ht="15.75" thickBot="1">
      <c r="A182" s="74" t="str">
        <v>Paints used in pre-made wooden products indoor</v>
      </c>
      <c r="B182" s="340" t="str">
        <f>IFERROR(VLOOKUP(A182,'Compartments_Kawecki&amp;Nowack19'!A:C,2,FALSE), IFERROR(VLOOKUP(A182,Compartments_Added!A:C,2,FALSE), "Not found"))</f>
        <v>Flow</v>
      </c>
      <c r="C182" s="340" t="str">
        <f>IFERROR(VLOOKUP(A182,'Compartments_Kawecki&amp;Nowack19'!A:C,3,FALSE), IFERROR(VLOOKUP(A182,Compartments_Added!A:C,3,FALSE), "Not found"))</f>
        <v>PaintsPreMadeWoodIn</v>
      </c>
      <c r="D182" s="95" t="str">
        <f>IFERROR(IF(VLOOKUP(A182,'Compartments_Kawecki&amp;Nowack19'!A:C,1,FALSE)=A182, "Kawecki","what?"),"Added/changed")</f>
        <v>Added/changed</v>
      </c>
      <c r="F182" s="17"/>
      <c r="G182" s="504" t="str">
        <v>Paints used in pre-made wooden products outdoor (in use)</v>
      </c>
      <c r="H182" s="504" t="str">
        <v>Wall paint (prof) indoor (discarded)</v>
      </c>
      <c r="I182" s="440" t="str">
        <v>Paints used in pre-made wooden products outdoor</v>
      </c>
      <c r="J182" t="str">
        <v>Wood stain (prof) outdoor (in use)</v>
      </c>
    </row>
    <row r="183" spans="1:10" ht="15.75" thickBot="1">
      <c r="A183" s="74" t="str">
        <v>Paints used in pre-made wooden products indoor (in use)</v>
      </c>
      <c r="B183" s="340" t="str">
        <f>IFERROR(VLOOKUP(A183,'Compartments_Kawecki&amp;Nowack19'!A:C,2,FALSE), IFERROR(VLOOKUP(A183,Compartments_Added!A:C,2,FALSE), "Not found"))</f>
        <v>Stock</v>
      </c>
      <c r="C183" s="340" t="str">
        <f>IFERROR(VLOOKUP(A183,'Compartments_Kawecki&amp;Nowack19'!A:C,3,FALSE), IFERROR(VLOOKUP(A183,Compartments_Added!A:C,3,FALSE), "Not found"))</f>
        <v>PaintsPreMadeWoodInIU</v>
      </c>
      <c r="D183" s="95" t="str">
        <f>IFERROR(IF(VLOOKUP(A183,'Compartments_Kawecki&amp;Nowack19'!A:C,1,FALSE)=A183, "Kawecki","what?"),"Added/changed")</f>
        <v>Added/changed</v>
      </c>
      <c r="F183" s="17"/>
      <c r="G183" s="504" t="str">
        <v>Paints used in pre-made wooden products indoor</v>
      </c>
      <c r="H183" s="504" t="str">
        <v>Plaster (prof) outdoor</v>
      </c>
      <c r="I183" s="440" t="str">
        <v>Paints used in pre-made wooden products outdoor (in use)</v>
      </c>
      <c r="J183" t="str">
        <v>Wood stain (prof) indoor</v>
      </c>
    </row>
    <row r="184" spans="1:10" ht="15.75" thickBot="1">
      <c r="A184" s="74" t="str">
        <v>Paints used in pre-made wooden products outdoor (discarded)</v>
      </c>
      <c r="B184" s="340" t="str">
        <f>IFERROR(VLOOKUP(A184,'Compartments_Kawecki&amp;Nowack19'!A:C,2,FALSE), IFERROR(VLOOKUP(A184,Compartments_Added!A:C,2,FALSE), "Not found"))</f>
        <v>Stock</v>
      </c>
      <c r="C184" s="340" t="str">
        <f>IFERROR(VLOOKUP(A184,'Compartments_Kawecki&amp;Nowack19'!A:C,3,FALSE), IFERROR(VLOOKUP(A184,Compartments_Added!A:C,3,FALSE), "Not found"))</f>
        <v>PaintsPreMadeWoodOutDis</v>
      </c>
      <c r="D184" s="95" t="str">
        <f>IFERROR(IF(VLOOKUP(A184,'Compartments_Kawecki&amp;Nowack19'!A:C,1,FALSE)=A184, "Kawecki","what?"),"Added/changed")</f>
        <v>Added/changed</v>
      </c>
      <c r="F184" s="17"/>
      <c r="G184" s="504" t="str">
        <v>Paints used in pre-made wooden products indoor (in use)</v>
      </c>
      <c r="H184" s="504" t="str">
        <v>Plaster (prof) indoor</v>
      </c>
      <c r="I184" s="440" t="str">
        <v>Paints used in pre-made wooden products indoor</v>
      </c>
      <c r="J184" t="str">
        <v>Wood stain (prof) indoor (in use)</v>
      </c>
    </row>
    <row r="185" spans="1:10" ht="15.75" thickBot="1">
      <c r="A185" s="74" t="str">
        <v>Paints used in pre-made wooden products indoor (discarded)</v>
      </c>
      <c r="B185" s="340" t="str">
        <f>IFERROR(VLOOKUP(A185,'Compartments_Kawecki&amp;Nowack19'!A:C,2,FALSE), IFERROR(VLOOKUP(A185,Compartments_Added!A:C,2,FALSE), "Not found"))</f>
        <v>Stock</v>
      </c>
      <c r="C185" s="340" t="str">
        <f>IFERROR(VLOOKUP(A185,'Compartments_Kawecki&amp;Nowack19'!A:C,3,FALSE), IFERROR(VLOOKUP(A185,Compartments_Added!A:C,3,FALSE), "Not found"))</f>
        <v>PaintsPreMadeWoodInDis</v>
      </c>
      <c r="D185" s="95" t="str">
        <f>IFERROR(IF(VLOOKUP(A185,'Compartments_Kawecki&amp;Nowack19'!A:C,1,FALSE)=A185, "Kawecki","what?"),"Added/changed")</f>
        <v>Added/changed</v>
      </c>
      <c r="F185" s="17"/>
      <c r="G185" s="504" t="str">
        <v>Paints used in pre-made wooden products outdoor (discarded)</v>
      </c>
      <c r="H185" s="504" t="str">
        <v>Plaster (prof) outdoor (in use)</v>
      </c>
      <c r="I185" s="440" t="str">
        <v>Paints used in pre-made wooden products indoor (in use)</v>
      </c>
      <c r="J185" t="str">
        <v>Wood stain (prof) outdoor (discarded)</v>
      </c>
    </row>
    <row r="186" spans="1:10" ht="15.75" thickBot="1">
      <c r="A186" s="74" t="str">
        <v>Lacquer (DIY)</v>
      </c>
      <c r="B186" s="340" t="str">
        <f>IFERROR(VLOOKUP(A186,'Compartments_Kawecki&amp;Nowack19'!A:C,2,FALSE), IFERROR(VLOOKUP(A186,Compartments_Added!A:C,2,FALSE), "Not found"))</f>
        <v>Flow</v>
      </c>
      <c r="C186" s="340" t="str">
        <f>IFERROR(VLOOKUP(A186,'Compartments_Kawecki&amp;Nowack19'!A:C,3,FALSE), IFERROR(VLOOKUP(A186,Compartments_Added!A:C,3,FALSE), "Not found"))</f>
        <v>LacquerDiy</v>
      </c>
      <c r="D186" s="95" t="str">
        <f>IFERROR(IF(VLOOKUP(A186,'Compartments_Kawecki&amp;Nowack19'!A:C,1,FALSE)=A186, "Kawecki","what?"),"Added/changed")</f>
        <v>Added/changed</v>
      </c>
      <c r="F186" s="17"/>
      <c r="G186" s="504" t="str">
        <v>Paints used in pre-made wooden products indoor (discarded)</v>
      </c>
      <c r="H186" s="504" t="str">
        <v>Plaster (prof) outdoor (discarded)</v>
      </c>
      <c r="I186" s="440" t="str">
        <v>Paints used in pre-made wooden products outdoor (discarded)</v>
      </c>
      <c r="J186" t="str">
        <v>Wood stain (prof) indoor (discarded)</v>
      </c>
    </row>
    <row r="187" spans="1:10" ht="15.75" thickBot="1">
      <c r="A187" s="74" t="str">
        <v>Lacquer (DIY) outdoor</v>
      </c>
      <c r="B187" s="340" t="str">
        <f>IFERROR(VLOOKUP(A187,'Compartments_Kawecki&amp;Nowack19'!A:C,2,FALSE), IFERROR(VLOOKUP(A187,Compartments_Added!A:C,2,FALSE), "Not found"))</f>
        <v>Flow</v>
      </c>
      <c r="C187" s="340" t="str">
        <f>IFERROR(VLOOKUP(A187,'Compartments_Kawecki&amp;Nowack19'!A:C,3,FALSE), IFERROR(VLOOKUP(A187,Compartments_Added!A:C,3,FALSE), "Not found"))</f>
        <v>LacquerDiyOut</v>
      </c>
      <c r="D187" s="95" t="str">
        <f>IFERROR(IF(VLOOKUP(A187,'Compartments_Kawecki&amp;Nowack19'!A:C,1,FALSE)=A187, "Kawecki","what?"),"Added/changed")</f>
        <v>Added/changed</v>
      </c>
      <c r="F187" s="17"/>
      <c r="G187" s="504" t="str">
        <v>Lacquer (DIY)</v>
      </c>
      <c r="H187" s="504" t="str">
        <v>Plaster (prof) indoor (in use)</v>
      </c>
      <c r="I187" s="440" t="str">
        <v>Paints used in pre-made wooden products indoor (discarded)</v>
      </c>
      <c r="J187" t="str">
        <v>Wall paint (prof)</v>
      </c>
    </row>
    <row r="188" spans="1:10" ht="15.75" thickBot="1">
      <c r="A188" s="74" t="str">
        <v>Lacquer (DIY) outdoor (in use)</v>
      </c>
      <c r="B188" s="340" t="str">
        <f>IFERROR(VLOOKUP(A188,'Compartments_Kawecki&amp;Nowack19'!A:C,2,FALSE), IFERROR(VLOOKUP(A188,Compartments_Added!A:C,2,FALSE), "Not found"))</f>
        <v>Stock</v>
      </c>
      <c r="C188" s="340" t="str">
        <f>IFERROR(VLOOKUP(A188,'Compartments_Kawecki&amp;Nowack19'!A:C,3,FALSE), IFERROR(VLOOKUP(A188,Compartments_Added!A:C,3,FALSE), "Not found"))</f>
        <v>LacquerDiyOutIU</v>
      </c>
      <c r="D188" s="95" t="str">
        <f>IFERROR(IF(VLOOKUP(A188,'Compartments_Kawecki&amp;Nowack19'!A:C,1,FALSE)=A188, "Kawecki","what?"),"Added/changed")</f>
        <v>Added/changed</v>
      </c>
      <c r="F188" s="17"/>
      <c r="G188" s="504" t="str">
        <v>Lacquer (DIY) outdoor</v>
      </c>
      <c r="H188" s="504" t="str">
        <v>Plaster (prof) indoor (discarded)</v>
      </c>
      <c r="I188" s="440" t="str">
        <v>Lacquer (DIY)</v>
      </c>
      <c r="J188" t="str">
        <v>Wall paint (prof) outdoor</v>
      </c>
    </row>
    <row r="189" spans="1:10" ht="15.75" thickBot="1">
      <c r="A189" s="74" t="str">
        <v>Lacquer (DIY) indoor</v>
      </c>
      <c r="B189" s="340" t="str">
        <f>IFERROR(VLOOKUP(A189,'Compartments_Kawecki&amp;Nowack19'!A:C,2,FALSE), IFERROR(VLOOKUP(A189,Compartments_Added!A:C,2,FALSE), "Not found"))</f>
        <v>Flow</v>
      </c>
      <c r="C189" s="340" t="str">
        <f>IFERROR(VLOOKUP(A189,'Compartments_Kawecki&amp;Nowack19'!A:C,3,FALSE), IFERROR(VLOOKUP(A189,Compartments_Added!A:C,3,FALSE), "Not found"))</f>
        <v>LacquerDiyIn</v>
      </c>
      <c r="D189" s="95" t="str">
        <f>IFERROR(IF(VLOOKUP(A189,'Compartments_Kawecki&amp;Nowack19'!A:C,1,FALSE)=A189, "Kawecki","what?"),"Added/changed")</f>
        <v>Added/changed</v>
      </c>
      <c r="G189" s="504" t="str">
        <v>Lacquer (DIY) outdoor (in use)</v>
      </c>
      <c r="H189" s="504" t="str">
        <v>Other paint uses (prof) outdoor</v>
      </c>
      <c r="I189" s="440" t="str">
        <v>Lacquer (DIY) outdoor</v>
      </c>
      <c r="J189" t="str">
        <v>Wall paint (prof) outdoor (in use)</v>
      </c>
    </row>
    <row r="190" spans="1:10" ht="15.75" thickBot="1">
      <c r="A190" s="74" t="str">
        <v>Lacquer (DIY) indoor (in use)</v>
      </c>
      <c r="B190" s="340" t="str">
        <f>IFERROR(VLOOKUP(A190,'Compartments_Kawecki&amp;Nowack19'!A:C,2,FALSE), IFERROR(VLOOKUP(A190,Compartments_Added!A:C,2,FALSE), "Not found"))</f>
        <v>Stock</v>
      </c>
      <c r="C190" s="340" t="str">
        <f>IFERROR(VLOOKUP(A190,'Compartments_Kawecki&amp;Nowack19'!A:C,3,FALSE), IFERROR(VLOOKUP(A190,Compartments_Added!A:C,3,FALSE), "Not found"))</f>
        <v>LacquerDiyInIU</v>
      </c>
      <c r="D190" s="95" t="str">
        <f>IFERROR(IF(VLOOKUP(A190,'Compartments_Kawecki&amp;Nowack19'!A:C,1,FALSE)=A190, "Kawecki","what?"),"Added/changed")</f>
        <v>Added/changed</v>
      </c>
      <c r="G190" s="504" t="str">
        <v>Lacquer (DIY) indoor</v>
      </c>
      <c r="H190" s="504" t="str">
        <v>Other paint uses (prof) indoor</v>
      </c>
      <c r="I190" s="440" t="str">
        <v>Lacquer (DIY) outdoor (in use)</v>
      </c>
      <c r="J190" t="str">
        <v>Wall paint (prof) indoor</v>
      </c>
    </row>
    <row r="191" spans="1:10" ht="15.75" thickBot="1">
      <c r="A191" s="74" t="str">
        <v>Lacquer (DIY) outdoor (discarded)</v>
      </c>
      <c r="B191" s="340" t="str">
        <f>IFERROR(VLOOKUP(A191,'Compartments_Kawecki&amp;Nowack19'!A:C,2,FALSE), IFERROR(VLOOKUP(A191,Compartments_Added!A:C,2,FALSE), "Not found"))</f>
        <v>Stock</v>
      </c>
      <c r="C191" s="340" t="str">
        <f>IFERROR(VLOOKUP(A191,'Compartments_Kawecki&amp;Nowack19'!A:C,3,FALSE), IFERROR(VLOOKUP(A191,Compartments_Added!A:C,3,FALSE), "Not found"))</f>
        <v>LacquerDiyOutDis</v>
      </c>
      <c r="D191" s="95" t="str">
        <f>IFERROR(IF(VLOOKUP(A191,'Compartments_Kawecki&amp;Nowack19'!A:C,1,FALSE)=A191, "Kawecki","what?"),"Added/changed")</f>
        <v>Added/changed</v>
      </c>
      <c r="G191" s="504" t="str">
        <v>Lacquer (DIY) indoor (in use)</v>
      </c>
      <c r="H191" s="504" t="str">
        <v>Other paint uses (prof) outdoor (in use)</v>
      </c>
      <c r="I191" s="440" t="str">
        <v>Lacquer (DIY) indoor</v>
      </c>
      <c r="J191" t="str">
        <v>Wall paint (prof) indoor (in use)</v>
      </c>
    </row>
    <row r="192" spans="1:10" ht="15.75" thickBot="1">
      <c r="A192" s="74" t="str">
        <v>Lacquer (DIY) indoor (discarded)</v>
      </c>
      <c r="B192" s="340" t="str">
        <f>IFERROR(VLOOKUP(A192,'Compartments_Kawecki&amp;Nowack19'!A:C,2,FALSE), IFERROR(VLOOKUP(A192,Compartments_Added!A:C,2,FALSE), "Not found"))</f>
        <v>Stock</v>
      </c>
      <c r="C192" s="340" t="str">
        <f>IFERROR(VLOOKUP(A192,'Compartments_Kawecki&amp;Nowack19'!A:C,3,FALSE), IFERROR(VLOOKUP(A192,Compartments_Added!A:C,3,FALSE), "Not found"))</f>
        <v>LacquerDiyInDis</v>
      </c>
      <c r="D192" s="95" t="str">
        <f>IFERROR(IF(VLOOKUP(A192,'Compartments_Kawecki&amp;Nowack19'!A:C,1,FALSE)=A192, "Kawecki","what?"),"Added/changed")</f>
        <v>Added/changed</v>
      </c>
      <c r="G192" s="504" t="str">
        <v>Lacquer (DIY) outdoor (discarded)</v>
      </c>
      <c r="H192" s="504" t="str">
        <v>Other paint uses (prof) outdoor (discarded)</v>
      </c>
      <c r="I192" s="440" t="str">
        <v>Lacquer (DIY) indoor (in use)</v>
      </c>
      <c r="J192" t="str">
        <v>Wall paint (prof) outdoor (discarded)</v>
      </c>
    </row>
    <row r="193" spans="1:10" ht="15.75" thickBot="1">
      <c r="A193" s="74" t="str">
        <v>Wood stain (DIY)</v>
      </c>
      <c r="B193" s="340" t="str">
        <f>IFERROR(VLOOKUP(A193,'Compartments_Kawecki&amp;Nowack19'!A:C,2,FALSE), IFERROR(VLOOKUP(A193,Compartments_Added!A:C,2,FALSE), "Not found"))</f>
        <v>Flow</v>
      </c>
      <c r="C193" s="340" t="str">
        <f>IFERROR(VLOOKUP(A193,'Compartments_Kawecki&amp;Nowack19'!A:C,3,FALSE), IFERROR(VLOOKUP(A193,Compartments_Added!A:C,3,FALSE), "Not found"))</f>
        <v>WoodDiy</v>
      </c>
      <c r="D193" s="95" t="str">
        <f>IFERROR(IF(VLOOKUP(A193,'Compartments_Kawecki&amp;Nowack19'!A:C,1,FALSE)=A193, "Kawecki","what?"),"Added/changed")</f>
        <v>Added/changed</v>
      </c>
      <c r="G193" s="504" t="str">
        <v>Lacquer (DIY) indoor (discarded)</v>
      </c>
      <c r="H193" s="504" t="str">
        <v>Other paint uses (prof) indoor (in use)</v>
      </c>
      <c r="I193" s="440" t="str">
        <v>Lacquer (DIY) outdoor (discarded)</v>
      </c>
      <c r="J193" t="str">
        <v>Wall paint (prof) indoor (discarded)</v>
      </c>
    </row>
    <row r="194" spans="1:10" ht="15.75" thickBot="1">
      <c r="A194" s="74" t="str">
        <v>Wood stain (DIY) outdoor</v>
      </c>
      <c r="B194" s="340" t="str">
        <f>IFERROR(VLOOKUP(A194,'Compartments_Kawecki&amp;Nowack19'!A:C,2,FALSE), IFERROR(VLOOKUP(A194,Compartments_Added!A:C,2,FALSE), "Not found"))</f>
        <v>Flow</v>
      </c>
      <c r="C194" s="340" t="str">
        <f>IFERROR(VLOOKUP(A194,'Compartments_Kawecki&amp;Nowack19'!A:C,3,FALSE), IFERROR(VLOOKUP(A194,Compartments_Added!A:C,3,FALSE), "Not found"))</f>
        <v>WoodDiyOut</v>
      </c>
      <c r="D194" s="95" t="str">
        <f>IFERROR(IF(VLOOKUP(A194,'Compartments_Kawecki&amp;Nowack19'!A:C,1,FALSE)=A194, "Kawecki","what?"),"Added/changed")</f>
        <v>Added/changed</v>
      </c>
      <c r="G194" s="504" t="str">
        <v>Wood stain (DIY)</v>
      </c>
      <c r="H194" s="504" t="str">
        <v>Other paint uses (prof) indoor (discarded)</v>
      </c>
      <c r="I194" s="440" t="str">
        <v>Lacquer (DIY) indoor (discarded)</v>
      </c>
      <c r="J194" t="str">
        <v>Plaster (prof)</v>
      </c>
    </row>
    <row r="195" spans="1:10" ht="15.75" thickBot="1">
      <c r="A195" s="74" t="str">
        <v>Wood stain (DIY) outdoor (in use)</v>
      </c>
      <c r="B195" s="340" t="str">
        <f>IFERROR(VLOOKUP(A195,'Compartments_Kawecki&amp;Nowack19'!A:C,2,FALSE), IFERROR(VLOOKUP(A195,Compartments_Added!A:C,2,FALSE), "Not found"))</f>
        <v>Stock</v>
      </c>
      <c r="C195" s="340" t="str">
        <f>IFERROR(VLOOKUP(A195,'Compartments_Kawecki&amp;Nowack19'!A:C,3,FALSE), IFERROR(VLOOKUP(A195,Compartments_Added!A:C,3,FALSE), "Not found"))</f>
        <v>WoodStainDiyOutIU</v>
      </c>
      <c r="D195" s="95" t="str">
        <f>IFERROR(IF(VLOOKUP(A195,'Compartments_Kawecki&amp;Nowack19'!A:C,1,FALSE)=A195, "Kawecki","what?"),"Added/changed")</f>
        <v>Added/changed</v>
      </c>
      <c r="G195" s="504" t="str">
        <v>Wood stain (DIY) outdoor</v>
      </c>
      <c r="H195" s="504" t="str">
        <v>Paints used in pre-made wooden products outdoor</v>
      </c>
      <c r="I195" s="440" t="str">
        <v>Wood stain (DIY)</v>
      </c>
      <c r="J195" t="str">
        <v>Plaster (prof) outdoor</v>
      </c>
    </row>
    <row r="196" spans="1:10" ht="15.75" thickBot="1">
      <c r="A196" s="74" t="str">
        <v>Wood stain (DIY) indoor</v>
      </c>
      <c r="B196" s="340" t="str">
        <f>IFERROR(VLOOKUP(A196,'Compartments_Kawecki&amp;Nowack19'!A:C,2,FALSE), IFERROR(VLOOKUP(A196,Compartments_Added!A:C,2,FALSE), "Not found"))</f>
        <v>Flow</v>
      </c>
      <c r="C196" s="340" t="str">
        <f>IFERROR(VLOOKUP(A196,'Compartments_Kawecki&amp;Nowack19'!A:C,3,FALSE), IFERROR(VLOOKUP(A196,Compartments_Added!A:C,3,FALSE), "Not found"))</f>
        <v>WoodDiyIn</v>
      </c>
      <c r="D196" s="95" t="str">
        <f>IFERROR(IF(VLOOKUP(A196,'Compartments_Kawecki&amp;Nowack19'!A:C,1,FALSE)=A196, "Kawecki","what?"),"Added/changed")</f>
        <v>Added/changed</v>
      </c>
      <c r="G196" s="504" t="str">
        <v>Wood stain (DIY) outdoor (in use)</v>
      </c>
      <c r="H196" s="504" t="str">
        <v>Paints used in pre-made wooden products indoor</v>
      </c>
      <c r="I196" s="440" t="str">
        <v>Wood stain (DIY) outdoor</v>
      </c>
      <c r="J196" t="str">
        <v>Plaster (prof) outdoor (in use)</v>
      </c>
    </row>
    <row r="197" spans="1:10" ht="15.75" thickBot="1">
      <c r="A197" s="74" t="str">
        <v>Wood stain (DIY) indoor (in use)</v>
      </c>
      <c r="B197" s="340" t="str">
        <f>IFERROR(VLOOKUP(A197,'Compartments_Kawecki&amp;Nowack19'!A:C,2,FALSE), IFERROR(VLOOKUP(A197,Compartments_Added!A:C,2,FALSE), "Not found"))</f>
        <v>Stock</v>
      </c>
      <c r="C197" s="340" t="str">
        <f>IFERROR(VLOOKUP(A197,'Compartments_Kawecki&amp;Nowack19'!A:C,3,FALSE), IFERROR(VLOOKUP(A197,Compartments_Added!A:C,3,FALSE), "Not found"))</f>
        <v>WoodStainDiyInIU</v>
      </c>
      <c r="D197" s="95" t="str">
        <f>IFERROR(IF(VLOOKUP(A197,'Compartments_Kawecki&amp;Nowack19'!A:C,1,FALSE)=A197, "Kawecki","what?"),"Added/changed")</f>
        <v>Added/changed</v>
      </c>
      <c r="G197" s="504" t="str">
        <v>Wood stain (DIY) indoor</v>
      </c>
      <c r="H197" s="504" t="str">
        <v>Paints used in pre-made wooden products outdoor (in use)</v>
      </c>
      <c r="I197" s="440" t="str">
        <v>Wood stain (DIY) outdoor (in use)</v>
      </c>
      <c r="J197" t="str">
        <v>Plaster (prof) indoor</v>
      </c>
    </row>
    <row r="198" spans="1:10" ht="15.75" thickBot="1">
      <c r="A198" s="74" t="str">
        <v>Wood stain (DIY) outdoor (discarded)</v>
      </c>
      <c r="B198" s="340" t="str">
        <f>IFERROR(VLOOKUP(A198,'Compartments_Kawecki&amp;Nowack19'!A:C,2,FALSE), IFERROR(VLOOKUP(A198,Compartments_Added!A:C,2,FALSE), "Not found"))</f>
        <v>Stock</v>
      </c>
      <c r="C198" s="340" t="str">
        <f>IFERROR(VLOOKUP(A198,'Compartments_Kawecki&amp;Nowack19'!A:C,3,FALSE), IFERROR(VLOOKUP(A198,Compartments_Added!A:C,3,FALSE), "Not found"))</f>
        <v>WoodStainDiyOutDis</v>
      </c>
      <c r="D198" s="95" t="str">
        <f>IFERROR(IF(VLOOKUP(A198,'Compartments_Kawecki&amp;Nowack19'!A:C,1,FALSE)=A198, "Kawecki","what?"),"Added/changed")</f>
        <v>Added/changed</v>
      </c>
      <c r="G198" s="504" t="str">
        <v>Wood stain (DIY) indoor (in use)</v>
      </c>
      <c r="H198" s="504" t="str">
        <v>Paints used in pre-made wooden products outdoor (discarded)</v>
      </c>
      <c r="I198" s="440" t="str">
        <v>Wood stain (DIY) indoor</v>
      </c>
      <c r="J198" t="str">
        <v>Plaster (prof) indoor (in use)</v>
      </c>
    </row>
    <row r="199" spans="1:10" ht="15.75" thickBot="1">
      <c r="A199" s="74" t="str">
        <v>Wood stain (DIY) indoor (discarded)</v>
      </c>
      <c r="B199" s="340" t="str">
        <f>IFERROR(VLOOKUP(A199,'Compartments_Kawecki&amp;Nowack19'!A:C,2,FALSE), IFERROR(VLOOKUP(A199,Compartments_Added!A:C,2,FALSE), "Not found"))</f>
        <v>Stock</v>
      </c>
      <c r="C199" s="340" t="str">
        <f>IFERROR(VLOOKUP(A199,'Compartments_Kawecki&amp;Nowack19'!A:C,3,FALSE), IFERROR(VLOOKUP(A199,Compartments_Added!A:C,3,FALSE), "Not found"))</f>
        <v>WoodStainDiyInDis</v>
      </c>
      <c r="D199" s="95" t="str">
        <f>IFERROR(IF(VLOOKUP(A199,'Compartments_Kawecki&amp;Nowack19'!A:C,1,FALSE)=A199, "Kawecki","what?"),"Added/changed")</f>
        <v>Added/changed</v>
      </c>
      <c r="G199" s="504" t="str">
        <v>Wood stain (DIY) outdoor (discarded)</v>
      </c>
      <c r="H199" s="504" t="str">
        <v>Paints used in pre-made wooden products indoor (in use)</v>
      </c>
      <c r="I199" s="440" t="str">
        <v>Wood stain (DIY) indoor (in use)</v>
      </c>
      <c r="J199" t="str">
        <v>Plaster (prof) outdoor (discarded)</v>
      </c>
    </row>
    <row r="200" spans="1:10" ht="15.75" thickBot="1">
      <c r="A200" s="74" t="str">
        <v>Wall paint (DIY)</v>
      </c>
      <c r="B200" s="340" t="str">
        <f>IFERROR(VLOOKUP(A200,'Compartments_Kawecki&amp;Nowack19'!A:C,2,FALSE), IFERROR(VLOOKUP(A200,Compartments_Added!A:C,2,FALSE), "Not found"))</f>
        <v>Flow</v>
      </c>
      <c r="C200" s="340" t="str">
        <f>IFERROR(VLOOKUP(A200,'Compartments_Kawecki&amp;Nowack19'!A:C,3,FALSE), IFERROR(VLOOKUP(A200,Compartments_Added!A:C,3,FALSE), "Not found"))</f>
        <v>WallDiy</v>
      </c>
      <c r="D200" s="95" t="str">
        <f>IFERROR(IF(VLOOKUP(A200,'Compartments_Kawecki&amp;Nowack19'!A:C,1,FALSE)=A200, "Kawecki","what?"),"Added/changed")</f>
        <v>Added/changed</v>
      </c>
      <c r="G200" s="504" t="str">
        <v>Wood stain (DIY) indoor (discarded)</v>
      </c>
      <c r="H200" s="504" t="str">
        <v>Paints used in pre-made wooden products indoor (discarded)</v>
      </c>
      <c r="I200" s="440" t="str">
        <v>Wood stain (DIY) outdoor (discarded)</v>
      </c>
      <c r="J200" s="509" t="str">
        <v>Plaster (prof) indoor (discarded)</v>
      </c>
    </row>
    <row r="201" spans="1:10" ht="15.75" thickBot="1">
      <c r="A201" s="74" t="str">
        <v>Wall paint (DIY) outdoor</v>
      </c>
      <c r="B201" s="340" t="str">
        <f>IFERROR(VLOOKUP(A201,'Compartments_Kawecki&amp;Nowack19'!A:C,2,FALSE), IFERROR(VLOOKUP(A201,Compartments_Added!A:C,2,FALSE), "Not found"))</f>
        <v>Flow</v>
      </c>
      <c r="C201" s="340" t="str">
        <f>IFERROR(VLOOKUP(A201,'Compartments_Kawecki&amp;Nowack19'!A:C,3,FALSE), IFERROR(VLOOKUP(A201,Compartments_Added!A:C,3,FALSE), "Not found"))</f>
        <v>WallDiyOut</v>
      </c>
      <c r="D201" s="95" t="str">
        <f>IFERROR(IF(VLOOKUP(A201,'Compartments_Kawecki&amp;Nowack19'!A:C,1,FALSE)=A201, "Kawecki","what?"),"Added/changed")</f>
        <v>Added/changed</v>
      </c>
      <c r="G201" s="504" t="str">
        <v>Wall paint (DIY)</v>
      </c>
      <c r="H201" s="504" t="str">
        <v>Lacquer (DIY) outdoor</v>
      </c>
      <c r="I201" s="440" t="str">
        <v>Wood stain (DIY) indoor (discarded)</v>
      </c>
      <c r="J201" t="str">
        <v>Other paint uses (prof)</v>
      </c>
    </row>
    <row r="202" spans="1:10" ht="15.75" thickBot="1">
      <c r="A202" s="74" t="str">
        <v>Wall paint (DIY) outdoor (in use)</v>
      </c>
      <c r="B202" s="340" t="str">
        <f>IFERROR(VLOOKUP(A202,'Compartments_Kawecki&amp;Nowack19'!A:C,2,FALSE), IFERROR(VLOOKUP(A202,Compartments_Added!A:C,2,FALSE), "Not found"))</f>
        <v>Stock</v>
      </c>
      <c r="C202" s="340" t="str">
        <f>IFERROR(VLOOKUP(A202,'Compartments_Kawecki&amp;Nowack19'!A:C,3,FALSE), IFERROR(VLOOKUP(A202,Compartments_Added!A:C,3,FALSE), "Not found"))</f>
        <v>WallPaintDiyOutIU</v>
      </c>
      <c r="D202" s="95" t="str">
        <f>IFERROR(IF(VLOOKUP(A202,'Compartments_Kawecki&amp;Nowack19'!A:C,1,FALSE)=A202, "Kawecki","what?"),"Added/changed")</f>
        <v>Added/changed</v>
      </c>
      <c r="G202" s="504" t="str">
        <v>Wall paint (DIY) outdoor</v>
      </c>
      <c r="H202" s="504" t="str">
        <v>Lacquer (DIY) indoor</v>
      </c>
      <c r="I202" s="440" t="str">
        <v>Wall paint (DIY)</v>
      </c>
      <c r="J202" t="str">
        <v>Other paint uses (prof) outdoor</v>
      </c>
    </row>
    <row r="203" spans="1:10" ht="15.75" thickBot="1">
      <c r="A203" s="74" t="str">
        <v>Wall paint (DIY) indoor</v>
      </c>
      <c r="B203" s="340" t="str">
        <f>IFERROR(VLOOKUP(A203,'Compartments_Kawecki&amp;Nowack19'!A:C,2,FALSE), IFERROR(VLOOKUP(A203,Compartments_Added!A:C,2,FALSE), "Not found"))</f>
        <v>Flow</v>
      </c>
      <c r="C203" s="340" t="str">
        <f>IFERROR(VLOOKUP(A203,'Compartments_Kawecki&amp;Nowack19'!A:C,3,FALSE), IFERROR(VLOOKUP(A203,Compartments_Added!A:C,3,FALSE), "Not found"))</f>
        <v>WallDiyIn</v>
      </c>
      <c r="D203" s="95" t="str">
        <f>IFERROR(IF(VLOOKUP(A203,'Compartments_Kawecki&amp;Nowack19'!A:C,1,FALSE)=A203, "Kawecki","what?"),"Added/changed")</f>
        <v>Added/changed</v>
      </c>
      <c r="G203" s="504" t="str">
        <v>Wall paint (DIY) outdoor (in use)</v>
      </c>
      <c r="H203" s="504" t="str">
        <v>Lacquer (DIY) outdoor (in use)</v>
      </c>
      <c r="I203" s="440" t="str">
        <v>Wall paint (DIY) outdoor</v>
      </c>
      <c r="J203" t="str">
        <v>Other paint uses (prof) outdoor (in use)</v>
      </c>
    </row>
    <row r="204" spans="1:10" ht="15.75" thickBot="1">
      <c r="A204" s="74" t="str">
        <v>Wall paint (DIY) indoor applied</v>
      </c>
      <c r="B204" s="340" t="str">
        <f>IFERROR(VLOOKUP(A204,'Compartments_Kawecki&amp;Nowack19'!A:C,2,FALSE), IFERROR(VLOOKUP(A204,Compartments_Added!A:C,2,FALSE), "Not found"))</f>
        <v>Flow</v>
      </c>
      <c r="C204" s="340" t="str">
        <f>IFERROR(VLOOKUP(A204,'Compartments_Kawecki&amp;Nowack19'!A:C,3,FALSE), IFERROR(VLOOKUP(A204,Compartments_Added!A:C,3,FALSE), "Not found"))</f>
        <v>WallApplDiy</v>
      </c>
      <c r="D204" s="95" t="str">
        <f>IFERROR(IF(VLOOKUP(A204,'Compartments_Kawecki&amp;Nowack19'!A:C,1,FALSE)=A204, "Kawecki","what?"),"Added/changed")</f>
        <v>Added/changed</v>
      </c>
      <c r="G204" s="504" t="str">
        <v>Wall paint (DIY) indoor</v>
      </c>
      <c r="H204" s="504" t="str">
        <v>Lacquer (DIY) outdoor (discarded)</v>
      </c>
      <c r="I204" s="440" t="str">
        <v>Wall paint (DIY) outdoor (in use)</v>
      </c>
      <c r="J204" t="str">
        <v>Other paint uses (prof) indoor</v>
      </c>
    </row>
    <row r="205" spans="1:10" ht="15.75" thickBot="1">
      <c r="A205" s="74" t="str">
        <v>Wall paint (DIY) indoor applied (in use)</v>
      </c>
      <c r="B205" s="340" t="str">
        <f>IFERROR(VLOOKUP(A205,'Compartments_Kawecki&amp;Nowack19'!A:C,2,FALSE), IFERROR(VLOOKUP(A205,Compartments_Added!A:C,2,FALSE), "Not found"))</f>
        <v>Stock</v>
      </c>
      <c r="C205" s="340" t="str">
        <f>IFERROR(VLOOKUP(A205,'Compartments_Kawecki&amp;Nowack19'!A:C,3,FALSE), IFERROR(VLOOKUP(A205,Compartments_Added!A:C,3,FALSE), "Not found"))</f>
        <v>WallPaintDiyIndoorAppliedIU</v>
      </c>
      <c r="D205" s="95" t="str">
        <f>IFERROR(IF(VLOOKUP(A205,'Compartments_Kawecki&amp;Nowack19'!A:C,1,FALSE)=A205, "Kawecki","what?"),"Added/changed")</f>
        <v>Added/changed</v>
      </c>
      <c r="G205" s="504" t="str">
        <v>Wall paint (DIY) indoor applied</v>
      </c>
      <c r="H205" s="504" t="str">
        <v>Lacquer (DIY) indoor (in use)</v>
      </c>
      <c r="I205" s="440" t="str">
        <v>Wall paint (DIY) indoor</v>
      </c>
      <c r="J205" t="str">
        <v>Other paint uses (prof) indoor (in use)</v>
      </c>
    </row>
    <row r="206" spans="1:10" ht="15.75" thickBot="1">
      <c r="A206" s="74" t="str">
        <v>Wall paint (DIY) indoor on brush</v>
      </c>
      <c r="B206" s="340" t="str">
        <f>IFERROR(VLOOKUP(A206,'Compartments_Kawecki&amp;Nowack19'!A:C,2,FALSE), IFERROR(VLOOKUP(A206,Compartments_Added!A:C,2,FALSE), "Not found"))</f>
        <v>Flow</v>
      </c>
      <c r="C206" s="340" t="str">
        <f>IFERROR(VLOOKUP(A206,'Compartments_Kawecki&amp;Nowack19'!A:C,3,FALSE), IFERROR(VLOOKUP(A206,Compartments_Added!A:C,3,FALSE), "Not found"))</f>
        <v>WallBrushDiy</v>
      </c>
      <c r="D206" s="95" t="str">
        <f>IFERROR(IF(VLOOKUP(A206,'Compartments_Kawecki&amp;Nowack19'!A:C,1,FALSE)=A206, "Kawecki","what?"),"Added/changed")</f>
        <v>Added/changed</v>
      </c>
      <c r="G206" s="504" t="str">
        <v>Wall paint (DIY) indoor applied (in use)</v>
      </c>
      <c r="H206" s="504" t="str">
        <v>Lacquer (DIY) indoor (discarded)</v>
      </c>
      <c r="I206" s="440" t="str">
        <v>Wall paint (DIY) indoor applied</v>
      </c>
      <c r="J206" t="str">
        <v>Other paint uses (prof) outdoor (discarded)</v>
      </c>
    </row>
    <row r="207" spans="1:10" ht="15.75" thickBot="1">
      <c r="A207" s="74" t="str">
        <v>Wall paint (DIY) outdoor (discarded)</v>
      </c>
      <c r="B207" s="340" t="str">
        <f>IFERROR(VLOOKUP(A207,'Compartments_Kawecki&amp;Nowack19'!A:C,2,FALSE), IFERROR(VLOOKUP(A207,Compartments_Added!A:C,2,FALSE), "Not found"))</f>
        <v>Stock</v>
      </c>
      <c r="C207" s="340" t="str">
        <f>IFERROR(VLOOKUP(A207,'Compartments_Kawecki&amp;Nowack19'!A:C,3,FALSE), IFERROR(VLOOKUP(A207,Compartments_Added!A:C,3,FALSE), "Not found"))</f>
        <v>WallPaintDiyOutDis</v>
      </c>
      <c r="D207" s="95" t="str">
        <f>IFERROR(IF(VLOOKUP(A207,'Compartments_Kawecki&amp;Nowack19'!A:C,1,FALSE)=A207, "Kawecki","what?"),"Added/changed")</f>
        <v>Added/changed</v>
      </c>
      <c r="G207" s="504" t="str">
        <v>Wall paint (DIY) indoor on brush</v>
      </c>
      <c r="H207" s="504" t="str">
        <v>Wood stain (DIY) outdoor</v>
      </c>
      <c r="I207" s="440" t="str">
        <v>Wall paint (DIY) indoor applied (in use)</v>
      </c>
      <c r="J207" t="str">
        <v>Other paint uses (prof) indoor (discarded)</v>
      </c>
    </row>
    <row r="208" spans="1:10" ht="15.75" thickBot="1">
      <c r="A208" s="74" t="str">
        <v>Wall paint (DIY) indoor applied (discarded)</v>
      </c>
      <c r="B208" s="340" t="str">
        <f>IFERROR(VLOOKUP(A208,'Compartments_Kawecki&amp;Nowack19'!A:C,2,FALSE), IFERROR(VLOOKUP(A208,Compartments_Added!A:C,2,FALSE), "Not found"))</f>
        <v>Stock</v>
      </c>
      <c r="C208" s="340" t="str">
        <f>IFERROR(VLOOKUP(A208,'Compartments_Kawecki&amp;Nowack19'!A:C,3,FALSE), IFERROR(VLOOKUP(A208,Compartments_Added!A:C,3,FALSE), "Not found"))</f>
        <v>WallPaintDiyIndoorAppliedDis</v>
      </c>
      <c r="D208" s="95" t="str">
        <f>IFERROR(IF(VLOOKUP(A208,'Compartments_Kawecki&amp;Nowack19'!A:C,1,FALSE)=A208, "Kawecki","what?"),"Added/changed")</f>
        <v>Added/changed</v>
      </c>
      <c r="G208" s="504" t="str">
        <v>Wall paint (DIY) outdoor (discarded)</v>
      </c>
      <c r="H208" s="504" t="str">
        <v>Wood stain (DIY) indoor</v>
      </c>
      <c r="I208" s="440" t="str">
        <v>Wall paint (DIY) indoor on brush</v>
      </c>
      <c r="J208" t="str">
        <v>Paints used in pre-made wooden products</v>
      </c>
    </row>
    <row r="209" spans="1:10" ht="15.75" thickBot="1">
      <c r="A209" s="74" t="str">
        <v>Plaster (DIY)</v>
      </c>
      <c r="B209" s="340" t="str">
        <f>IFERROR(VLOOKUP(A209,'Compartments_Kawecki&amp;Nowack19'!A:C,2,FALSE), IFERROR(VLOOKUP(A209,Compartments_Added!A:C,2,FALSE), "Not found"))</f>
        <v>Flow</v>
      </c>
      <c r="C209" s="340" t="str">
        <f>IFERROR(VLOOKUP(A209,'Compartments_Kawecki&amp;Nowack19'!A:C,3,FALSE), IFERROR(VLOOKUP(A209,Compartments_Added!A:C,3,FALSE), "Not found"))</f>
        <v>PlasterDiy</v>
      </c>
      <c r="D209" s="95" t="str">
        <f>IFERROR(IF(VLOOKUP(A209,'Compartments_Kawecki&amp;Nowack19'!A:C,1,FALSE)=A209, "Kawecki","what?"),"Added/changed")</f>
        <v>Added/changed</v>
      </c>
      <c r="G209" s="504" t="str">
        <v>Wall paint (DIY) indoor applied (discarded)</v>
      </c>
      <c r="H209" s="504" t="str">
        <v>Wood stain (DIY) outdoor (in use)</v>
      </c>
      <c r="I209" s="440" t="str">
        <v>Wall paint (DIY) outdoor (discarded)</v>
      </c>
      <c r="J209" t="str">
        <v>Paints used in pre-made wooden products outdoor</v>
      </c>
    </row>
    <row r="210" spans="1:10" ht="15.75" thickBot="1">
      <c r="A210" s="74" t="str">
        <v>Plaster (DIY) outdoor</v>
      </c>
      <c r="B210" s="340" t="str">
        <f>IFERROR(VLOOKUP(A210,'Compartments_Kawecki&amp;Nowack19'!A:C,2,FALSE), IFERROR(VLOOKUP(A210,Compartments_Added!A:C,2,FALSE), "Not found"))</f>
        <v>Flow</v>
      </c>
      <c r="C210" s="340" t="str">
        <f>IFERROR(VLOOKUP(A210,'Compartments_Kawecki&amp;Nowack19'!A:C,3,FALSE), IFERROR(VLOOKUP(A210,Compartments_Added!A:C,3,FALSE), "Not found"))</f>
        <v>PlasterDiyOut</v>
      </c>
      <c r="D210" s="95" t="str">
        <f>IFERROR(IF(VLOOKUP(A210,'Compartments_Kawecki&amp;Nowack19'!A:C,1,FALSE)=A210, "Kawecki","what?"),"Added/changed")</f>
        <v>Added/changed</v>
      </c>
      <c r="G210" s="504" t="str">
        <v>Plaster (DIY)</v>
      </c>
      <c r="H210" s="504" t="str">
        <v>Wood stain (DIY) outdoor (discarded)</v>
      </c>
      <c r="I210" s="440" t="str">
        <v>Wall paint (DIY) indoor applied (discarded)</v>
      </c>
      <c r="J210" t="str">
        <v>Paints used in pre-made wooden products outdoor (in use)</v>
      </c>
    </row>
    <row r="211" spans="1:10" ht="15.75" thickBot="1">
      <c r="A211" s="74" t="str">
        <v>Plaster (DIY) outdoor (in use)</v>
      </c>
      <c r="B211" s="340" t="str">
        <f>IFERROR(VLOOKUP(A211,'Compartments_Kawecki&amp;Nowack19'!A:C,2,FALSE), IFERROR(VLOOKUP(A211,Compartments_Added!A:C,2,FALSE), "Not found"))</f>
        <v>Stock</v>
      </c>
      <c r="C211" s="340" t="str">
        <f>IFERROR(VLOOKUP(A211,'Compartments_Kawecki&amp;Nowack19'!A:C,3,FALSE), IFERROR(VLOOKUP(A211,Compartments_Added!A:C,3,FALSE), "Not found"))</f>
        <v>PlasterDiyOutIU</v>
      </c>
      <c r="D211" s="95" t="str">
        <f>IFERROR(IF(VLOOKUP(A211,'Compartments_Kawecki&amp;Nowack19'!A:C,1,FALSE)=A211, "Kawecki","what?"),"Added/changed")</f>
        <v>Added/changed</v>
      </c>
      <c r="G211" s="504" t="str">
        <v>Plaster (DIY) outdoor</v>
      </c>
      <c r="H211" s="504" t="str">
        <v>Wood stain (DIY) indoor (in use)</v>
      </c>
      <c r="I211" s="440" t="str">
        <v>Plaster (DIY)</v>
      </c>
      <c r="J211" t="str">
        <v>Paints used in pre-made wooden products indoor</v>
      </c>
    </row>
    <row r="212" spans="1:10" ht="15.75" thickBot="1">
      <c r="A212" s="74" t="str">
        <v>Plaster (DIY) indoor</v>
      </c>
      <c r="B212" s="340" t="str">
        <f>IFERROR(VLOOKUP(A212,'Compartments_Kawecki&amp;Nowack19'!A:C,2,FALSE), IFERROR(VLOOKUP(A212,Compartments_Added!A:C,2,FALSE), "Not found"))</f>
        <v>Flow</v>
      </c>
      <c r="C212" s="340" t="str">
        <f>IFERROR(VLOOKUP(A212,'Compartments_Kawecki&amp;Nowack19'!A:C,3,FALSE), IFERROR(VLOOKUP(A212,Compartments_Added!A:C,3,FALSE), "Not found"))</f>
        <v>PlasterDiyIn</v>
      </c>
      <c r="D212" s="95" t="str">
        <f>IFERROR(IF(VLOOKUP(A212,'Compartments_Kawecki&amp;Nowack19'!A:C,1,FALSE)=A212, "Kawecki","what?"),"Added/changed")</f>
        <v>Added/changed</v>
      </c>
      <c r="G212" s="504" t="str">
        <v>Plaster (DIY) outdoor (in use)</v>
      </c>
      <c r="H212" s="504" t="str">
        <v>Wood stain (DIY) indoor (discarded)</v>
      </c>
      <c r="I212" s="440" t="str">
        <v>Plaster (DIY) outdoor</v>
      </c>
      <c r="J212" t="str">
        <v>Paints used in pre-made wooden products indoor (in use)</v>
      </c>
    </row>
    <row r="213" spans="1:10" ht="15.75" thickBot="1">
      <c r="A213" s="74" t="str">
        <v>Plaster (DIY) indoor (in use)</v>
      </c>
      <c r="B213" s="340" t="str">
        <f>IFERROR(VLOOKUP(A213,'Compartments_Kawecki&amp;Nowack19'!A:C,2,FALSE), IFERROR(VLOOKUP(A213,Compartments_Added!A:C,2,FALSE), "Not found"))</f>
        <v>Stock</v>
      </c>
      <c r="C213" s="340" t="str">
        <f>IFERROR(VLOOKUP(A213,'Compartments_Kawecki&amp;Nowack19'!A:C,3,FALSE), IFERROR(VLOOKUP(A213,Compartments_Added!A:C,3,FALSE), "Not found"))</f>
        <v>PlasterDiyInIU</v>
      </c>
      <c r="D213" s="95" t="str">
        <f>IFERROR(IF(VLOOKUP(A213,'Compartments_Kawecki&amp;Nowack19'!A:C,1,FALSE)=A213, "Kawecki","what?"),"Added/changed")</f>
        <v>Added/changed</v>
      </c>
      <c r="G213" s="504" t="str">
        <v>Plaster (DIY) indoor</v>
      </c>
      <c r="H213" s="504" t="str">
        <v>Wall paint (DIY) outdoor</v>
      </c>
      <c r="I213" s="440" t="str">
        <v>Plaster (DIY) outdoor (in use)</v>
      </c>
      <c r="J213" t="str">
        <v>Paints used in pre-made wooden products outdoor (discarded)</v>
      </c>
    </row>
    <row r="214" spans="1:10" ht="15.75" thickBot="1">
      <c r="A214" s="74" t="str">
        <v>Plaster (DIY) outdoor (discarded)</v>
      </c>
      <c r="B214" s="340" t="str">
        <f>IFERROR(VLOOKUP(A214,'Compartments_Kawecki&amp;Nowack19'!A:C,2,FALSE), IFERROR(VLOOKUP(A214,Compartments_Added!A:C,2,FALSE), "Not found"))</f>
        <v>Stock</v>
      </c>
      <c r="C214" s="340" t="str">
        <f>IFERROR(VLOOKUP(A214,'Compartments_Kawecki&amp;Nowack19'!A:C,3,FALSE), IFERROR(VLOOKUP(A214,Compartments_Added!A:C,3,FALSE), "Not found"))</f>
        <v>PlasterDiyOutDis</v>
      </c>
      <c r="D214" s="95" t="str">
        <f>IFERROR(IF(VLOOKUP(A214,'Compartments_Kawecki&amp;Nowack19'!A:C,1,FALSE)=A214, "Kawecki","what?"),"Added/changed")</f>
        <v>Added/changed</v>
      </c>
      <c r="G214" s="504" t="str">
        <v>Plaster (DIY) indoor (in use)</v>
      </c>
      <c r="H214" s="504" t="str">
        <v>Wall paint (DIY) indoor</v>
      </c>
      <c r="I214" s="440" t="str">
        <v>Plaster (DIY) indoor</v>
      </c>
      <c r="J214" t="str">
        <v>Paints used in pre-made wooden products indoor (discarded)</v>
      </c>
    </row>
    <row r="215" spans="1:10" ht="15.75" thickBot="1">
      <c r="A215" s="74" t="str">
        <v>Plaster (DIY) indoor (discarded)</v>
      </c>
      <c r="B215" s="340" t="str">
        <f>IFERROR(VLOOKUP(A215,'Compartments_Kawecki&amp;Nowack19'!A:C,2,FALSE), IFERROR(VLOOKUP(A215,Compartments_Added!A:C,2,FALSE), "Not found"))</f>
        <v>Stock</v>
      </c>
      <c r="C215" s="340" t="str">
        <f>IFERROR(VLOOKUP(A215,'Compartments_Kawecki&amp;Nowack19'!A:C,3,FALSE), IFERROR(VLOOKUP(A215,Compartments_Added!A:C,3,FALSE), "Not found"))</f>
        <v>PlasterDiyInDis</v>
      </c>
      <c r="D215" s="95" t="str">
        <f>IFERROR(IF(VLOOKUP(A215,'Compartments_Kawecki&amp;Nowack19'!A:C,1,FALSE)=A215, "Kawecki","what?"),"Added/changed")</f>
        <v>Added/changed</v>
      </c>
      <c r="G215" s="504" t="str">
        <v>Plaster (DIY) outdoor (discarded)</v>
      </c>
      <c r="H215" s="504" t="str">
        <v>Wall paint (DIY) outdoor (in use)</v>
      </c>
      <c r="I215" s="440" t="str">
        <v>Plaster (DIY) indoor (in use)</v>
      </c>
      <c r="J215" t="str">
        <v>Lacquer (DIY)</v>
      </c>
    </row>
    <row r="216" spans="1:10" ht="15.75" thickBot="1">
      <c r="A216" s="74" t="str">
        <v>Other paint uses (DIY)</v>
      </c>
      <c r="B216" s="340" t="str">
        <f>IFERROR(VLOOKUP(A216,'Compartments_Kawecki&amp;Nowack19'!A:C,2,FALSE), IFERROR(VLOOKUP(A216,Compartments_Added!A:C,2,FALSE), "Not found"))</f>
        <v>Flow</v>
      </c>
      <c r="C216" s="340" t="str">
        <f>IFERROR(VLOOKUP(A216,'Compartments_Kawecki&amp;Nowack19'!A:C,3,FALSE), IFERROR(VLOOKUP(A216,Compartments_Added!A:C,3,FALSE), "Not found"))</f>
        <v>OtherPaintUsesDiy</v>
      </c>
      <c r="D216" s="95" t="str">
        <f>IFERROR(IF(VLOOKUP(A216,'Compartments_Kawecki&amp;Nowack19'!A:C,1,FALSE)=A216, "Kawecki","what?"),"Added/changed")</f>
        <v>Added/changed</v>
      </c>
      <c r="G216" s="504" t="str">
        <v>Plaster (DIY) indoor (discarded)</v>
      </c>
      <c r="H216" s="504" t="str">
        <v>Wall paint (DIY) outdoor (discarded)</v>
      </c>
      <c r="I216" s="440" t="str">
        <v>Plaster (DIY) outdoor (discarded)</v>
      </c>
      <c r="J216" t="str">
        <v>Lacquer (DIY) outdoor</v>
      </c>
    </row>
    <row r="217" spans="1:10" ht="15.75" thickBot="1">
      <c r="A217" s="74" t="str">
        <v>Other paint uses (DIY) outdoor</v>
      </c>
      <c r="B217" s="340" t="str">
        <f>IFERROR(VLOOKUP(A217,'Compartments_Kawecki&amp;Nowack19'!A:C,2,FALSE), IFERROR(VLOOKUP(A217,Compartments_Added!A:C,2,FALSE), "Not found"))</f>
        <v>Flow</v>
      </c>
      <c r="C217" s="340" t="str">
        <f>IFERROR(VLOOKUP(A217,'Compartments_Kawecki&amp;Nowack19'!A:C,3,FALSE), IFERROR(VLOOKUP(A217,Compartments_Added!A:C,3,FALSE), "Not found"))</f>
        <v>OtherPaintUsesDiyOut</v>
      </c>
      <c r="D217" s="95" t="str">
        <f>IFERROR(IF(VLOOKUP(A217,'Compartments_Kawecki&amp;Nowack19'!A:C,1,FALSE)=A217, "Kawecki","what?"),"Added/changed")</f>
        <v>Added/changed</v>
      </c>
      <c r="G217" s="504" t="str">
        <v>Other paint uses (DIY)</v>
      </c>
      <c r="H217" s="504" t="str">
        <v>Wall paint (DIY) indoor applied</v>
      </c>
      <c r="I217" s="440" t="str">
        <v>Plaster (DIY) indoor (discarded)</v>
      </c>
      <c r="J217" t="str">
        <v>Lacquer (DIY) outdoor (in use)</v>
      </c>
    </row>
    <row r="218" spans="1:10" ht="15.75" thickBot="1">
      <c r="A218" s="74" t="str">
        <v>Other paint uses (DIY) outdoor (in use)</v>
      </c>
      <c r="B218" s="340" t="str">
        <f>IFERROR(VLOOKUP(A218,'Compartments_Kawecki&amp;Nowack19'!A:C,2,FALSE), IFERROR(VLOOKUP(A218,Compartments_Added!A:C,2,FALSE), "Not found"))</f>
        <v>Stock</v>
      </c>
      <c r="C218" s="340" t="str">
        <f>IFERROR(VLOOKUP(A218,'Compartments_Kawecki&amp;Nowack19'!A:C,3,FALSE), IFERROR(VLOOKUP(A218,Compartments_Added!A:C,3,FALSE), "Not found"))</f>
        <v>OtherPaintUsesDiyOutIU</v>
      </c>
      <c r="D218" s="95" t="str">
        <f>IFERROR(IF(VLOOKUP(A218,'Compartments_Kawecki&amp;Nowack19'!A:C,1,FALSE)=A218, "Kawecki","what?"),"Added/changed")</f>
        <v>Added/changed</v>
      </c>
      <c r="G218" s="504" t="str">
        <v>Other paint uses (DIY) outdoor</v>
      </c>
      <c r="H218" s="504" t="str">
        <v>Wall paint (DIY) indoor on brush</v>
      </c>
      <c r="I218" s="440" t="str">
        <v>Other paint uses (DIY)</v>
      </c>
      <c r="J218" t="str">
        <v>Lacquer (DIY) indoor</v>
      </c>
    </row>
    <row r="219" spans="1:10" ht="15.75" thickBot="1">
      <c r="A219" s="74" t="str">
        <v>Other paint uses (DIY) indoor</v>
      </c>
      <c r="B219" s="340" t="str">
        <f>IFERROR(VLOOKUP(A219,'Compartments_Kawecki&amp;Nowack19'!A:C,2,FALSE), IFERROR(VLOOKUP(A219,Compartments_Added!A:C,2,FALSE), "Not found"))</f>
        <v>Flow</v>
      </c>
      <c r="C219" s="340" t="str">
        <f>IFERROR(VLOOKUP(A219,'Compartments_Kawecki&amp;Nowack19'!A:C,3,FALSE), IFERROR(VLOOKUP(A219,Compartments_Added!A:C,3,FALSE), "Not found"))</f>
        <v>OtherPaintUsesDiyIn</v>
      </c>
      <c r="D219" s="95" t="str">
        <f>IFERROR(IF(VLOOKUP(A219,'Compartments_Kawecki&amp;Nowack19'!A:C,1,FALSE)=A219, "Kawecki","what?"),"Added/changed")</f>
        <v>Added/changed</v>
      </c>
      <c r="G219" s="504" t="str">
        <v>Other paint uses (DIY) outdoor (in use)</v>
      </c>
      <c r="H219" s="504" t="str">
        <v>Wall paint (DIY) indoor applied (in use)</v>
      </c>
      <c r="I219" s="440" t="str">
        <v>Other paint uses (DIY) outdoor</v>
      </c>
      <c r="J219" t="str">
        <v>Lacquer (DIY) indoor (in use)</v>
      </c>
    </row>
    <row r="220" spans="1:10" ht="15.75" thickBot="1">
      <c r="A220" s="74" t="str">
        <v>Other paint uses (DIY) indoor (in use)</v>
      </c>
      <c r="B220" s="340" t="str">
        <f>IFERROR(VLOOKUP(A220,'Compartments_Kawecki&amp;Nowack19'!A:C,2,FALSE), IFERROR(VLOOKUP(A220,Compartments_Added!A:C,2,FALSE), "Not found"))</f>
        <v>Stock</v>
      </c>
      <c r="C220" s="340" t="str">
        <f>IFERROR(VLOOKUP(A220,'Compartments_Kawecki&amp;Nowack19'!A:C,3,FALSE), IFERROR(VLOOKUP(A220,Compartments_Added!A:C,3,FALSE), "Not found"))</f>
        <v>OtherPaintUsesDiyInIU</v>
      </c>
      <c r="D220" s="95" t="str">
        <f>IFERROR(IF(VLOOKUP(A220,'Compartments_Kawecki&amp;Nowack19'!A:C,1,FALSE)=A220, "Kawecki","what?"),"Added/changed")</f>
        <v>Added/changed</v>
      </c>
      <c r="G220" s="504" t="str">
        <v>Other paint uses (DIY) indoor</v>
      </c>
      <c r="H220" s="504" t="str">
        <v>Wall paint (DIY) indoor applied (discarded)</v>
      </c>
      <c r="I220" s="440" t="str">
        <v>Other paint uses (DIY) outdoor (in use)</v>
      </c>
      <c r="J220" t="str">
        <v>Lacquer (DIY) outdoor (discarded)</v>
      </c>
    </row>
    <row r="221" spans="1:10" ht="15.75" thickBot="1">
      <c r="A221" s="74" t="str">
        <v>Other paint uses (DIY) outdoor (discarded)</v>
      </c>
      <c r="B221" s="340" t="str">
        <f>IFERROR(VLOOKUP(A221,'Compartments_Kawecki&amp;Nowack19'!A:C,2,FALSE), IFERROR(VLOOKUP(A221,Compartments_Added!A:C,2,FALSE), "Not found"))</f>
        <v>Stock</v>
      </c>
      <c r="C221" s="340" t="str">
        <f>IFERROR(VLOOKUP(A221,'Compartments_Kawecki&amp;Nowack19'!A:C,3,FALSE), IFERROR(VLOOKUP(A221,Compartments_Added!A:C,3,FALSE), "Not found"))</f>
        <v>OtherPaintUsesDiyOutDis</v>
      </c>
      <c r="D221" s="95" t="str">
        <f>IFERROR(IF(VLOOKUP(A221,'Compartments_Kawecki&amp;Nowack19'!A:C,1,FALSE)=A221, "Kawecki","what?"),"Added/changed")</f>
        <v>Added/changed</v>
      </c>
      <c r="G221" s="504" t="str">
        <v>Other paint uses (DIY) indoor (in use)</v>
      </c>
      <c r="H221" s="504" t="str">
        <v>Plaster (DIY) outdoor</v>
      </c>
      <c r="I221" s="440" t="str">
        <v>Other paint uses (DIY) indoor</v>
      </c>
      <c r="J221" t="str">
        <v>Lacquer (DIY) indoor (discarded)</v>
      </c>
    </row>
    <row r="222" spans="1:10" ht="15.75" thickBot="1">
      <c r="A222" s="74" t="str">
        <v>Other paint uses (DIY) indoor (discarded)</v>
      </c>
      <c r="B222" s="340" t="str">
        <f>IFERROR(VLOOKUP(A222,'Compartments_Kawecki&amp;Nowack19'!A:C,2,FALSE), IFERROR(VLOOKUP(A222,Compartments_Added!A:C,2,FALSE), "Not found"))</f>
        <v>Stock</v>
      </c>
      <c r="C222" s="340" t="str">
        <f>IFERROR(VLOOKUP(A222,'Compartments_Kawecki&amp;Nowack19'!A:C,3,FALSE), IFERROR(VLOOKUP(A222,Compartments_Added!A:C,3,FALSE), "Not found"))</f>
        <v>OtherPaintUsesDiyInDis</v>
      </c>
      <c r="D222" s="95" t="str">
        <f>IFERROR(IF(VLOOKUP(A222,'Compartments_Kawecki&amp;Nowack19'!A:C,1,FALSE)=A222, "Kawecki","what?"),"Added/changed")</f>
        <v>Added/changed</v>
      </c>
      <c r="G222" s="504" t="str">
        <v>Other paint uses (DIY) outdoor (discarded)</v>
      </c>
      <c r="H222" s="504" t="str">
        <v>Plaster (DIY) indoor</v>
      </c>
      <c r="I222" s="440" t="str">
        <v>Other paint uses (DIY) indoor (in use)</v>
      </c>
      <c r="J222" t="str">
        <v>Wood stain (DIY)</v>
      </c>
    </row>
    <row r="223" spans="1:10" ht="15.75" thickBot="1">
      <c r="A223" s="74" t="str">
        <v>Landfill</v>
      </c>
      <c r="B223" s="340" t="str">
        <f>IFERROR(VLOOKUP(A223,'Compartments_Kawecki&amp;Nowack19'!A:C,2,FALSE), IFERROR(VLOOKUP(A223,Compartments_Added!A:C,2,FALSE), "Not found"))</f>
        <v>Sink</v>
      </c>
      <c r="C223" s="340" t="str">
        <f>IFERROR(VLOOKUP(A223,'Compartments_Kawecki&amp;Nowack19'!A:C,3,FALSE), IFERROR(VLOOKUP(A223,Compartments_Added!A:C,3,FALSE), "Not found"))</f>
        <v>Landfill</v>
      </c>
      <c r="D223" s="95" t="str">
        <f>IFERROR(IF(VLOOKUP(A223,'Compartments_Kawecki&amp;Nowack19'!A:C,1,FALSE)=A223, "Kawecki","what?"),"Added/changed")</f>
        <v>Kawecki</v>
      </c>
      <c r="G223" s="504" t="str">
        <v>Other paint uses (DIY) indoor (discarded)</v>
      </c>
      <c r="H223" s="504" t="str">
        <v>Plaster (DIY) outdoor (in use)</v>
      </c>
      <c r="I223" s="440" t="str">
        <v>Other paint uses (DIY) outdoor (discarded)</v>
      </c>
      <c r="J223" t="str">
        <v>Wood stain (DIY) outdoor</v>
      </c>
    </row>
    <row r="224" spans="1:10" ht="15.75" thickBot="1">
      <c r="A224" s="74" t="str">
        <v>Residential soil (macro)</v>
      </c>
      <c r="B224" s="340" t="str">
        <f>IFERROR(VLOOKUP(A224,'Compartments_Kawecki&amp;Nowack19'!A:C,2,FALSE), IFERROR(VLOOKUP(A224,Compartments_Added!A:C,2,FALSE), "Not found"))</f>
        <v>Sink</v>
      </c>
      <c r="C224" s="340" t="str">
        <f>IFERROR(VLOOKUP(A224,'Compartments_Kawecki&amp;Nowack19'!A:C,3,FALSE), IFERROR(VLOOKUP(A224,Compartments_Added!A:C,3,FALSE), "Not found"))</f>
        <v>UrbanSoilMacro</v>
      </c>
      <c r="D224" s="95" t="str">
        <f>IFERROR(IF(VLOOKUP(A224,'Compartments_Kawecki&amp;Nowack19'!A:C,1,FALSE)=A224, "Kawecki","what?"),"Added/changed")</f>
        <v>Kawecki</v>
      </c>
      <c r="G224" s="504"/>
      <c r="H224" s="504" t="str">
        <v>Plaster (DIY) outdoor (discarded)</v>
      </c>
      <c r="I224" s="440" t="str">
        <v>Other paint uses (DIY) indoor (discarded)</v>
      </c>
      <c r="J224" t="str">
        <v>Wood stain (DIY) outdoor (in use)</v>
      </c>
    </row>
    <row r="225" spans="1:10" ht="15.75" thickBot="1">
      <c r="A225" s="74" t="str">
        <v>Agricultural soil (macro)</v>
      </c>
      <c r="B225" s="340" t="str">
        <f>IFERROR(VLOOKUP(A225,'Compartments_Kawecki&amp;Nowack19'!A:C,2,FALSE), IFERROR(VLOOKUP(A225,Compartments_Added!A:C,2,FALSE), "Not found"))</f>
        <v>Sink</v>
      </c>
      <c r="C225" s="340" t="str">
        <f>IFERROR(VLOOKUP(A225,'Compartments_Kawecki&amp;Nowack19'!A:C,3,FALSE), IFERROR(VLOOKUP(A225,Compartments_Added!A:C,3,FALSE), "Not found"))</f>
        <v>AgriculturalSoilMacro</v>
      </c>
      <c r="D225" s="95" t="str">
        <f>IFERROR(IF(VLOOKUP(A225,'Compartments_Kawecki&amp;Nowack19'!A:C,1,FALSE)=A225, "Kawecki","what?"),"Added/changed")</f>
        <v>Kawecki</v>
      </c>
      <c r="G225" s="504"/>
      <c r="H225" s="504" t="str">
        <v>Plaster (DIY) indoor (in use)</v>
      </c>
      <c r="I225" s="440" t="str">
        <v>Landfill</v>
      </c>
      <c r="J225" t="str">
        <v>Wood stain (DIY) indoor</v>
      </c>
    </row>
    <row r="226" spans="1:10" ht="15.75" thickBot="1">
      <c r="A226" s="447" t="str">
        <v>Agricultural soil (micro)</v>
      </c>
      <c r="B226" s="449" t="str">
        <f>IFERROR(VLOOKUP(A226,'Compartments_Kawecki&amp;Nowack19'!A:C,2,FALSE), IFERROR(VLOOKUP(A226,Compartments_Added!A:C,2,FALSE), "Not found"))</f>
        <v>Sink</v>
      </c>
      <c r="C226" s="449" t="str">
        <f>IFERROR(VLOOKUP(A226,'Compartments_Kawecki&amp;Nowack19'!A:C,3,FALSE), IFERROR(VLOOKUP(A226,Compartments_Added!A:C,3,FALSE), "Not found"))</f>
        <v>AgriculturalSoilMicro</v>
      </c>
      <c r="D226" s="95" t="str">
        <f>IFERROR(IF(VLOOKUP(A226,'Compartments_Kawecki&amp;Nowack19'!A:C,1,FALSE)=A226, "Kawecki","what?"),"Added/changed")</f>
        <v>Kawecki</v>
      </c>
      <c r="G226" s="504"/>
      <c r="H226" s="504" t="str">
        <v>Plaster (DIY) indoor (discarded)</v>
      </c>
      <c r="I226" s="440" t="str">
        <v>Residential soil (macro)</v>
      </c>
      <c r="J226" t="str">
        <v>Wood stain (DIY) indoor (in use)</v>
      </c>
    </row>
    <row r="227" spans="1:10" ht="15.75" thickBot="1">
      <c r="A227" s="74" t="str">
        <v>Sub-surface soil (micro)</v>
      </c>
      <c r="B227" s="340" t="str">
        <f>IFERROR(VLOOKUP(A227,'Compartments_Kawecki&amp;Nowack19'!A:C,2,FALSE), IFERROR(VLOOKUP(A227,Compartments_Added!A:C,2,FALSE), "Not found"))</f>
        <v>Sink</v>
      </c>
      <c r="C227" s="340" t="str">
        <f>IFERROR(VLOOKUP(A227,'Compartments_Kawecki&amp;Nowack19'!A:C,3,FALSE), IFERROR(VLOOKUP(A227,Compartments_Added!A:C,3,FALSE), "Not found"))</f>
        <v>DeepUrbanSoilMicro</v>
      </c>
      <c r="D227" s="95" t="str">
        <f>IFERROR(IF(VLOOKUP(A227,'Compartments_Kawecki&amp;Nowack19'!A:C,1,FALSE)=A227, "Kawecki","what?"),"Added/changed")</f>
        <v>Kawecki</v>
      </c>
      <c r="G227" s="504"/>
      <c r="H227" s="504" t="str">
        <v>Other paint uses (DIY) outdoor</v>
      </c>
      <c r="I227" s="440" t="str">
        <v>Agricultural soil (macro)</v>
      </c>
      <c r="J227" t="str">
        <v>Wood stain (DIY) outdoor (discarded)</v>
      </c>
    </row>
    <row r="228" spans="1:10" ht="15.75" thickBot="1">
      <c r="A228" s="74" t="str">
        <v>Outdoor air (micro)</v>
      </c>
      <c r="B228" s="340" t="str">
        <f>IFERROR(VLOOKUP(A228,'Compartments_Kawecki&amp;Nowack19'!A:C,2,FALSE), IFERROR(VLOOKUP(A228,Compartments_Added!A:C,2,FALSE), "Not found"))</f>
        <v>Sink</v>
      </c>
      <c r="C228" s="340" t="str">
        <f>IFERROR(VLOOKUP(A228,'Compartments_Kawecki&amp;Nowack19'!A:C,3,FALSE), IFERROR(VLOOKUP(A228,Compartments_Added!A:C,3,FALSE), "Not found"))</f>
        <v>OutdoorAirMicro</v>
      </c>
      <c r="D228" s="95" t="str">
        <f>IFERROR(IF(VLOOKUP(A228,'Compartments_Kawecki&amp;Nowack19'!A:C,1,FALSE)=A228, "Kawecki","what?"),"Added/changed")</f>
        <v>Kawecki</v>
      </c>
      <c r="G228" s="504"/>
      <c r="H228" s="504" t="str">
        <v>Other paint uses (DIY) indoor</v>
      </c>
      <c r="I228" s="440" t="str">
        <v>Agricultural soil (micro)</v>
      </c>
      <c r="J228" t="str">
        <v>Wood stain (DIY) indoor (discarded)</v>
      </c>
    </row>
    <row r="229" spans="1:10" ht="15.75" thickBot="1">
      <c r="A229" s="74" t="str">
        <v>Elimination</v>
      </c>
      <c r="B229" s="340" t="str">
        <f>IFERROR(VLOOKUP(A229,'Compartments_Kawecki&amp;Nowack19'!A:C,2,FALSE), IFERROR(VLOOKUP(A229,Compartments_Added!A:C,2,FALSE), "Not found"))</f>
        <v>Sink</v>
      </c>
      <c r="C229" s="340" t="str">
        <f>IFERROR(VLOOKUP(A229,'Compartments_Kawecki&amp;Nowack19'!A:C,3,FALSE), IFERROR(VLOOKUP(A229,Compartments_Added!A:C,3,FALSE), "Not found"))</f>
        <v>Elimination</v>
      </c>
      <c r="D229" s="95" t="str">
        <f>IFERROR(IF(VLOOKUP(A229,'Compartments_Kawecki&amp;Nowack19'!A:C,1,FALSE)=A229, "Kawecki","what?"),"Added/changed")</f>
        <v>Kawecki</v>
      </c>
      <c r="G229" s="504"/>
      <c r="H229" s="504" t="str">
        <v>Other paint uses (DIY) outdoor (in use)</v>
      </c>
      <c r="I229" s="440" t="str">
        <v>Sub-surface soil (micro)</v>
      </c>
      <c r="J229" t="str">
        <v>Wall paint (DIY)</v>
      </c>
    </row>
    <row r="230" spans="1:10" ht="15.75" thickBot="1">
      <c r="A230" s="74" t="str">
        <v>Export</v>
      </c>
      <c r="B230" s="340" t="str">
        <f>IFERROR(VLOOKUP(A230,'Compartments_Kawecki&amp;Nowack19'!A:C,2,FALSE), IFERROR(VLOOKUP(A230,Compartments_Added!A:C,2,FALSE), "Not found"))</f>
        <v>Sink</v>
      </c>
      <c r="C230" s="340" t="str">
        <f>IFERROR(VLOOKUP(A230,'Compartments_Kawecki&amp;Nowack19'!A:C,3,FALSE), IFERROR(VLOOKUP(A230,Compartments_Added!A:C,3,FALSE), "Not found"))</f>
        <v>Export</v>
      </c>
      <c r="D230" s="95" t="str">
        <f>IFERROR(IF(VLOOKUP(A230,'Compartments_Kawecki&amp;Nowack19'!A:C,1,FALSE)=A230, "Kawecki","what?"),"Added/changed")</f>
        <v>Kawecki</v>
      </c>
      <c r="G230" s="443"/>
      <c r="H230" s="504" t="str">
        <v>Other paint uses (DIY) outdoor (discarded)</v>
      </c>
      <c r="I230" s="440" t="str">
        <v>Outdoor air (micro)</v>
      </c>
      <c r="J230" t="str">
        <v>Wall paint (DIY) outdoor</v>
      </c>
    </row>
    <row r="231" spans="1:10" ht="15.75" thickBot="1">
      <c r="A231" s="74" t="str">
        <v>Secondary material reuse</v>
      </c>
      <c r="B231" s="340" t="str">
        <f>IFERROR(VLOOKUP(A231,'Compartments_Kawecki&amp;Nowack19'!A:C,2,FALSE), IFERROR(VLOOKUP(A231,Compartments_Added!A:C,2,FALSE), "Not found"))</f>
        <v>Sink</v>
      </c>
      <c r="C231" s="340" t="str">
        <f>IFERROR(VLOOKUP(A231,'Compartments_Kawecki&amp;Nowack19'!A:C,3,FALSE), IFERROR(VLOOKUP(A231,Compartments_Added!A:C,3,FALSE), "Not found"))</f>
        <v>MaterialReuse</v>
      </c>
      <c r="D231" s="95" t="str">
        <f>IFERROR(IF(VLOOKUP(A231,'Compartments_Kawecki&amp;Nowack19'!A:C,1,FALSE)=A231, "Kawecki","what?"),"Added/changed")</f>
        <v>Kawecki</v>
      </c>
      <c r="G231" s="443"/>
      <c r="H231" s="504" t="str">
        <v>Other paint uses (DIY) indoor (in use)</v>
      </c>
      <c r="I231" s="440" t="str">
        <v>Elimination</v>
      </c>
      <c r="J231" t="str">
        <v>Wall paint (DIY) outdoor (in use)</v>
      </c>
    </row>
    <row r="232" spans="1:10" ht="15.75" thickBot="1">
      <c r="A232" s="74" t="str">
        <v>Residential soil (micro)</v>
      </c>
      <c r="B232" s="340" t="str">
        <f>IFERROR(VLOOKUP(A232,'Compartments_Kawecki&amp;Nowack19'!A:C,2,FALSE), IFERROR(VLOOKUP(A232,Compartments_Added!A:C,2,FALSE), "Not found"))</f>
        <v>Sink</v>
      </c>
      <c r="C232" s="340" t="str">
        <f>IFERROR(VLOOKUP(A232,'Compartments_Kawecki&amp;Nowack19'!A:C,3,FALSE), IFERROR(VLOOKUP(A232,Compartments_Added!A:C,3,FALSE), "Not found"))</f>
        <v>UrbanSoilMicro</v>
      </c>
      <c r="D232" s="95" t="str">
        <f>IFERROR(IF(VLOOKUP(A232,'Compartments_Kawecki&amp;Nowack19'!A:C,1,FALSE)=A232, "Kawecki","what?"),"Added/changed")</f>
        <v>Kawecki</v>
      </c>
      <c r="G232" s="443"/>
      <c r="H232" s="504" t="str">
        <v>Other paint uses (DIY) indoor (discarded)</v>
      </c>
      <c r="I232" s="440" t="str">
        <v>Export</v>
      </c>
      <c r="J232" t="str">
        <v>Wall paint (DIY) indoor</v>
      </c>
    </row>
    <row r="233" spans="1:10" ht="15.75" thickBot="1">
      <c r="A233" s="74" t="str">
        <v>Surface water (micro)</v>
      </c>
      <c r="B233" s="340" t="str">
        <f>IFERROR(VLOOKUP(A233,'Compartments_Kawecki&amp;Nowack19'!A:C,2,FALSE), IFERROR(VLOOKUP(A233,Compartments_Added!A:C,2,FALSE), "Not found"))</f>
        <v>Sink</v>
      </c>
      <c r="C233" s="340" t="str">
        <f>IFERROR(VLOOKUP(A233,'Compartments_Kawecki&amp;Nowack19'!A:C,3,FALSE), IFERROR(VLOOKUP(A233,Compartments_Added!A:C,3,FALSE), "Not found"))</f>
        <v>SurfaceWaterMicro</v>
      </c>
      <c r="D233" s="95" t="str">
        <f>IFERROR(IF(VLOOKUP(A233,'Compartments_Kawecki&amp;Nowack19'!A:C,1,FALSE)=A233, "Kawecki","what?"),"Added/changed")</f>
        <v>Kawecki</v>
      </c>
      <c r="G233" s="443"/>
      <c r="H233" s="504"/>
      <c r="I233" s="440" t="str">
        <v>Secondary material reuse</v>
      </c>
      <c r="J233" t="str">
        <v>Wall paint (DIY) indoor applied</v>
      </c>
    </row>
    <row r="234" spans="1:10" ht="15.75" thickBot="1">
      <c r="A234" s="74" t="str">
        <v>Plastic products</v>
      </c>
      <c r="B234" s="340" t="str">
        <f>IFERROR(VLOOKUP(A234,'Compartments_Kawecki&amp;Nowack19'!A:C,2,FALSE), IFERROR(VLOOKUP(A234,Compartments_Added!A:C,2,FALSE), "Not found"))</f>
        <v>Sink</v>
      </c>
      <c r="C234" s="340" t="str">
        <f>IFERROR(VLOOKUP(A234,'Compartments_Kawecki&amp;Nowack19'!A:C,3,FALSE), IFERROR(VLOOKUP(A234,Compartments_Added!A:C,3,FALSE), "Not found"))</f>
        <v>PlasticProduct</v>
      </c>
      <c r="D234" s="95" t="str">
        <f>IFERROR(IF(VLOOKUP(A234,'Compartments_Kawecki&amp;Nowack19'!A:C,1,FALSE)=A234, "Kawecki","what?"),"Added/changed")</f>
        <v>Added/changed</v>
      </c>
      <c r="G234" s="443"/>
      <c r="H234" s="443"/>
      <c r="I234" s="440" t="str">
        <v>Residential soil (micro)</v>
      </c>
      <c r="J234" t="str">
        <v>Wall paint (DIY) indoor applied (in use)</v>
      </c>
    </row>
    <row r="235" spans="1:10" ht="15.75" thickBot="1">
      <c r="A235" s="74" t="str">
        <v>Surface water (macro)</v>
      </c>
      <c r="B235" s="340" t="str">
        <f>IFERROR(VLOOKUP(A235,'Compartments_Kawecki&amp;Nowack19'!A:C,2,FALSE), IFERROR(VLOOKUP(A235,Compartments_Added!A:C,2,FALSE), "Not found"))</f>
        <v>Sink</v>
      </c>
      <c r="C235" s="340" t="str">
        <f>IFERROR(VLOOKUP(A235,'Compartments_Kawecki&amp;Nowack19'!A:C,3,FALSE), IFERROR(VLOOKUP(A235,Compartments_Added!A:C,3,FALSE), "Not found"))</f>
        <v>SurfaceWaterMacro</v>
      </c>
      <c r="D235" s="95" t="str">
        <f>IFERROR(IF(VLOOKUP(A235,'Compartments_Kawecki&amp;Nowack19'!A:C,1,FALSE)=A235, "Kawecki","what?"),"Added/changed")</f>
        <v>Kawecki</v>
      </c>
      <c r="G235" s="443"/>
      <c r="H235" s="443"/>
      <c r="I235" s="440" t="str">
        <v>Surface water (micro)</v>
      </c>
      <c r="J235" t="str">
        <v>Wall paint (DIY) indoor on brush</v>
      </c>
    </row>
    <row r="236" spans="1:10" ht="15.75" thickBot="1">
      <c r="A236" s="329" t="str">
        <v>Natural soil (macro)</v>
      </c>
      <c r="B236" s="341" t="str">
        <f>IFERROR(VLOOKUP(A236,'Compartments_Kawecki&amp;Nowack19'!A:C,2,FALSE), IFERROR(VLOOKUP(A236,Compartments_Added!A:C,2,FALSE), "Not found"))</f>
        <v>Sink</v>
      </c>
      <c r="C236" s="341" t="str">
        <f>IFERROR(VLOOKUP(A236,'Compartments_Kawecki&amp;Nowack19'!A:C,3,FALSE), IFERROR(VLOOKUP(A236,Compartments_Added!A:C,3,FALSE), "Not found"))</f>
        <v>RuralSoilMacro</v>
      </c>
      <c r="D236" s="95" t="str">
        <f>IFERROR(IF(VLOOKUP(A236,'Compartments_Kawecki&amp;Nowack19'!A:C,1,FALSE)=A236, "Kawecki","what?"),"Added/changed")</f>
        <v>Kawecki</v>
      </c>
      <c r="G236" s="443"/>
      <c r="H236" s="443"/>
      <c r="I236" s="440" t="str">
        <v>Plastic products</v>
      </c>
      <c r="J236" t="str">
        <v>Wall paint (DIY) outdoor (discarded)</v>
      </c>
    </row>
    <row r="237" spans="1:10" ht="15.75" thickBot="1">
      <c r="A237" s="74" t="str">
        <v>Natural soil (micro)</v>
      </c>
      <c r="B237" s="340" t="str">
        <f>IFERROR(VLOOKUP(A237,'Compartments_Kawecki&amp;Nowack19'!A:C,2,FALSE), IFERROR(VLOOKUP(A237,Compartments_Added!A:C,2,FALSE), "Not found"))</f>
        <v>Sink</v>
      </c>
      <c r="C237" s="340" t="str">
        <f>IFERROR(VLOOKUP(A237,'Compartments_Kawecki&amp;Nowack19'!A:C,3,FALSE), IFERROR(VLOOKUP(A237,Compartments_Added!A:C,3,FALSE), "Not found"))</f>
        <v>RuralSoilMicro</v>
      </c>
      <c r="D237" s="95" t="str">
        <f>IFERROR(IF(VLOOKUP(A237,'Compartments_Kawecki&amp;Nowack19'!A:C,1,FALSE)=A237, "Kawecki","what?"),"Added/changed")</f>
        <v>Kawecki</v>
      </c>
      <c r="G237" s="443"/>
      <c r="H237" s="443"/>
      <c r="I237" s="440" t="str">
        <v>Surface water (macro)</v>
      </c>
      <c r="J237" t="str">
        <v>Wall paint (DIY) indoor applied (discarded)</v>
      </c>
    </row>
    <row r="238" spans="1:10" ht="15.75" thickBot="1">
      <c r="A238" s="74" t="str">
        <v>Road side soil (micro)</v>
      </c>
      <c r="B238" s="340" t="str">
        <f>IFERROR(VLOOKUP(A238,'Compartments_Kawecki&amp;Nowack19'!A:C,2,FALSE), IFERROR(VLOOKUP(A238,Compartments_Added!A:C,2,FALSE), "Not found"))</f>
        <v>Sink</v>
      </c>
      <c r="C238" s="340" t="str">
        <f>IFERROR(VLOOKUP(A238,'Compartments_Kawecki&amp;Nowack19'!A:C,3,FALSE), IFERROR(VLOOKUP(A238,Compartments_Added!A:C,3,FALSE), "Not found"))</f>
        <v>RoadSideSoilMicro</v>
      </c>
      <c r="D238" s="95" t="str">
        <f>IFERROR(IF(VLOOKUP(A238,'Compartments_Kawecki&amp;Nowack19'!A:C,1,FALSE)=A238, "Kawecki","what?"),"Added/changed")</f>
        <v>Added/changed</v>
      </c>
      <c r="G238" s="443"/>
      <c r="H238" s="443"/>
      <c r="I238" s="440" t="str">
        <v>Natural soil (macro)</v>
      </c>
      <c r="J238" t="str">
        <v>Plaster (DIY)</v>
      </c>
    </row>
    <row r="239" spans="1:10" ht="15.75" thickBot="1">
      <c r="A239" s="74" t="str">
        <v>Road side soil (macro)</v>
      </c>
      <c r="B239" s="340" t="str">
        <f>IFERROR(VLOOKUP(A239,'Compartments_Kawecki&amp;Nowack19'!A:C,2,FALSE), IFERROR(VLOOKUP(A239,Compartments_Added!A:C,2,FALSE), "Not found"))</f>
        <v>Sink</v>
      </c>
      <c r="C239" s="340" t="str">
        <f>IFERROR(VLOOKUP(A239,'Compartments_Kawecki&amp;Nowack19'!A:C,3,FALSE), IFERROR(VLOOKUP(A239,Compartments_Added!A:C,3,FALSE), "Not found"))</f>
        <v>RoadSideMacro</v>
      </c>
      <c r="D239" s="95" t="str">
        <f>IFERROR(IF(VLOOKUP(A239,'Compartments_Kawecki&amp;Nowack19'!A:C,1,FALSE)=A239, "Kawecki","what?"),"Added/changed")</f>
        <v>Kawecki</v>
      </c>
      <c r="G239" s="443"/>
      <c r="H239" s="443"/>
      <c r="I239" s="440" t="str">
        <v>Natural soil (micro)</v>
      </c>
      <c r="J239" t="str">
        <v>Plaster (DIY) outdoor</v>
      </c>
    </row>
    <row r="240" spans="1:10" ht="15.75" thickBot="1">
      <c r="A240" s="74" t="str">
        <v>Textile reuse</v>
      </c>
      <c r="B240" s="340" t="str">
        <f>IFERROR(VLOOKUP(A240,'Compartments_Kawecki&amp;Nowack19'!A:C,2,FALSE), IFERROR(VLOOKUP(A240,Compartments_Added!A:C,2,FALSE), "Not found"))</f>
        <v>Sink</v>
      </c>
      <c r="C240" s="340" t="str">
        <f>IFERROR(VLOOKUP(A240,'Compartments_Kawecki&amp;Nowack19'!A:C,3,FALSE), IFERROR(VLOOKUP(A240,Compartments_Added!A:C,3,FALSE), "Not found"))</f>
        <v>TextileReuse</v>
      </c>
      <c r="D240" s="95" t="str">
        <f>IFERROR(IF(VLOOKUP(A240,'Compartments_Kawecki&amp;Nowack19'!A:C,1,FALSE)=A240, "Kawecki","what?"),"Added/changed")</f>
        <v>Kawecki</v>
      </c>
      <c r="G240" s="443"/>
      <c r="H240" s="443"/>
      <c r="I240" s="440" t="str">
        <v>Road side soil (micro)</v>
      </c>
      <c r="J240" t="str">
        <v>Plaster (DIY) outdoor (in use)</v>
      </c>
    </row>
    <row r="241" spans="1:10" ht="15.75" thickBot="1">
      <c r="A241" s="74" t="str">
        <v>Sea water (micro)</v>
      </c>
      <c r="B241" s="340" t="str">
        <f>IFERROR(VLOOKUP(A241,'Compartments_Kawecki&amp;Nowack19'!A:C,2,FALSE), IFERROR(VLOOKUP(A241,Compartments_Added!A:C,2,FALSE), "Not found"))</f>
        <v>Sink</v>
      </c>
      <c r="C241" s="340" t="str">
        <f>IFERROR(VLOOKUP(A241,'Compartments_Kawecki&amp;Nowack19'!A:C,3,FALSE), IFERROR(VLOOKUP(A241,Compartments_Added!A:C,3,FALSE), "Not found"))</f>
        <v>SeaWaterMicro</v>
      </c>
      <c r="D241" s="95" t="str">
        <f>IFERROR(IF(VLOOKUP(A241,'Compartments_Kawecki&amp;Nowack19'!A:C,1,FALSE)=A241, "Kawecki","what?"),"Added/changed")</f>
        <v>Added/changed</v>
      </c>
      <c r="G241" s="443"/>
      <c r="H241" s="443"/>
      <c r="I241" s="440" t="str">
        <v>Road side soil (macro)</v>
      </c>
      <c r="J241" t="str">
        <v>Plaster (DIY) indoor</v>
      </c>
    </row>
    <row r="242" spans="1:10" ht="15.75" thickBot="1">
      <c r="A242" s="74"/>
      <c r="B242" s="340" t="str">
        <f>IFERROR(VLOOKUP(A242,'Compartments_Kawecki&amp;Nowack19'!A:C,2,FALSE), IFERROR(VLOOKUP(A242,Compartments_Added!A:C,2,FALSE), "Not found"))</f>
        <v>Not found</v>
      </c>
      <c r="C242" s="340" t="str">
        <f>IFERROR(VLOOKUP(A242,'Compartments_Kawecki&amp;Nowack19'!A:C,3,FALSE), IFERROR(VLOOKUP(A242,Compartments_Added!A:C,3,FALSE), "Not found"))</f>
        <v>Not found</v>
      </c>
      <c r="D242" s="95" t="str">
        <f>IFERROR(IF(VLOOKUP(A242,'Compartments_Kawecki&amp;Nowack19'!A:C,1,FALSE)=A242, "Kawecki","what?"),"Added/changed")</f>
        <v>Added/changed</v>
      </c>
      <c r="G242" s="443"/>
      <c r="H242" s="443"/>
      <c r="I242" s="440" t="str">
        <v>Textile reuse</v>
      </c>
      <c r="J242" t="str">
        <v>Plaster (DIY) indoor (in use)</v>
      </c>
    </row>
    <row r="243" spans="1:10" ht="15.75" thickBot="1">
      <c r="A243" s="74"/>
      <c r="B243" s="340" t="str">
        <f>IFERROR(VLOOKUP(A243,'Compartments_Kawecki&amp;Nowack19'!A:C,2,FALSE), IFERROR(VLOOKUP(A243,Compartments_Added!A:C,2,FALSE), "Not found"))</f>
        <v>Not found</v>
      </c>
      <c r="C243" s="340" t="str">
        <f>IFERROR(VLOOKUP(A243,'Compartments_Kawecki&amp;Nowack19'!A:C,3,FALSE), IFERROR(VLOOKUP(A243,Compartments_Added!A:C,3,FALSE), "Not found"))</f>
        <v>Not found</v>
      </c>
      <c r="D243" s="95" t="str">
        <f>IFERROR(IF(VLOOKUP(A243,'Compartments_Kawecki&amp;Nowack19'!A:C,1,FALSE)=A243, "Kawecki","what?"),"Added/changed")</f>
        <v>Added/changed</v>
      </c>
      <c r="G243" s="443"/>
      <c r="H243" s="443"/>
      <c r="I243" s="440" t="str">
        <v>Sea water (micro)</v>
      </c>
      <c r="J243" t="str">
        <v>Plaster (DIY) outdoor (discarded)</v>
      </c>
    </row>
    <row r="244" spans="1:10" ht="15.75" thickBot="1">
      <c r="A244" s="74"/>
      <c r="B244" s="340" t="str">
        <f>IFERROR(VLOOKUP(A244,'Compartments_Kawecki&amp;Nowack19'!A:C,2,FALSE), IFERROR(VLOOKUP(A244,Compartments_Added!A:C,2,FALSE), "Not found"))</f>
        <v>Not found</v>
      </c>
      <c r="C244" s="340" t="str">
        <f>IFERROR(VLOOKUP(A244,'Compartments_Kawecki&amp;Nowack19'!A:C,3,FALSE), IFERROR(VLOOKUP(A244,Compartments_Added!A:C,3,FALSE), "Not found"))</f>
        <v>Not found</v>
      </c>
      <c r="D244" s="95" t="str">
        <f>IFERROR(IF(VLOOKUP(A244,'Compartments_Kawecki&amp;Nowack19'!A:C,1,FALSE)=A244, "Kawecki","what?"),"Added/changed")</f>
        <v>Added/changed</v>
      </c>
      <c r="G244" s="443"/>
      <c r="H244" s="443"/>
      <c r="I244" s="440">
        <v>0</v>
      </c>
      <c r="J244" t="str">
        <v>Plaster (DIY) indoor (discarded)</v>
      </c>
    </row>
    <row r="245" spans="1:10" ht="15.75" thickBot="1">
      <c r="A245" s="74"/>
      <c r="B245" s="340" t="str">
        <f>IFERROR(VLOOKUP(A245,'Compartments_Kawecki&amp;Nowack19'!A:C,2,FALSE), IFERROR(VLOOKUP(A245,Compartments_Added!A:C,2,FALSE), "Not found"))</f>
        <v>Not found</v>
      </c>
      <c r="C245" s="340" t="str">
        <f>IFERROR(VLOOKUP(A245,'Compartments_Kawecki&amp;Nowack19'!A:C,3,FALSE), IFERROR(VLOOKUP(A245,Compartments_Added!A:C,3,FALSE), "Not found"))</f>
        <v>Not found</v>
      </c>
      <c r="D245" s="95" t="str">
        <f>IFERROR(IF(VLOOKUP(A245,'Compartments_Kawecki&amp;Nowack19'!A:C,1,FALSE)=A245, "Kawecki","what?"),"Added/changed")</f>
        <v>Added/changed</v>
      </c>
      <c r="G245" s="443"/>
      <c r="H245" s="443"/>
      <c r="I245" s="440"/>
      <c r="J245" t="str">
        <v>Other paint uses (DIY)</v>
      </c>
    </row>
    <row r="246" spans="1:10" ht="15.75" thickBot="1">
      <c r="A246" s="74"/>
      <c r="B246" s="340" t="str">
        <f>IFERROR(VLOOKUP(A246,'Compartments_Kawecki&amp;Nowack19'!A:C,2,FALSE), IFERROR(VLOOKUP(A246,Compartments_Added!A:C,2,FALSE), "Not found"))</f>
        <v>Not found</v>
      </c>
      <c r="C246" s="340" t="str">
        <f>IFERROR(VLOOKUP(A246,'Compartments_Kawecki&amp;Nowack19'!A:C,3,FALSE), IFERROR(VLOOKUP(A246,Compartments_Added!A:C,3,FALSE), "Not found"))</f>
        <v>Not found</v>
      </c>
      <c r="D246" s="95" t="str">
        <f>IFERROR(IF(VLOOKUP(A246,'Compartments_Kawecki&amp;Nowack19'!A:C,1,FALSE)=A246, "Kawecki","what?"),"Added/changed")</f>
        <v>Added/changed</v>
      </c>
      <c r="G246" s="443"/>
      <c r="H246" s="443"/>
      <c r="I246" s="440"/>
      <c r="J246" t="str">
        <v>Other paint uses (DIY) outdoor</v>
      </c>
    </row>
    <row r="247" spans="1:10" ht="15.75" thickBot="1">
      <c r="A247" s="74"/>
      <c r="B247" s="340" t="str">
        <f>IFERROR(VLOOKUP(A247,'Compartments_Kawecki&amp;Nowack19'!A:C,2,FALSE), IFERROR(VLOOKUP(A247,Compartments_Added!A:C,2,FALSE), "Not found"))</f>
        <v>Not found</v>
      </c>
      <c r="C247" s="340" t="str">
        <f>IFERROR(VLOOKUP(A247,'Compartments_Kawecki&amp;Nowack19'!A:C,3,FALSE), IFERROR(VLOOKUP(A247,Compartments_Added!A:C,3,FALSE), "Not found"))</f>
        <v>Not found</v>
      </c>
      <c r="D247" s="95" t="str">
        <f>IFERROR(IF(VLOOKUP(A247,'Compartments_Kawecki&amp;Nowack19'!A:C,1,FALSE)=A247, "Kawecki","what?"),"Added/changed")</f>
        <v>Added/changed</v>
      </c>
      <c r="G247" s="443"/>
      <c r="H247" s="443"/>
      <c r="I247" s="440"/>
      <c r="J247" t="str">
        <v>Other paint uses (DIY) outdoor (in use)</v>
      </c>
    </row>
    <row r="248" spans="1:10" ht="15.75" thickBot="1">
      <c r="A248" s="629"/>
      <c r="B248" s="315" t="str">
        <f>IFERROR(VLOOKUP(A248,'Compartments_Kawecki&amp;Nowack19'!A:C,2,FALSE), IFERROR(VLOOKUP(A248,Compartments_Added!A:C,2,FALSE), "Not found"))</f>
        <v>Not found</v>
      </c>
      <c r="C248" s="315" t="str">
        <f>IFERROR(VLOOKUP(A248,'Compartments_Kawecki&amp;Nowack19'!A:C,3,FALSE), IFERROR(VLOOKUP(A248,Compartments_Added!A:C,3,FALSE), "Not found"))</f>
        <v>Not found</v>
      </c>
      <c r="D248" s="95" t="str">
        <f>IFERROR(IF(VLOOKUP(A248,'Compartments_Kawecki&amp;Nowack19'!A:C,1,FALSE)=A248, "Kawecki","what?"),"Added/changed")</f>
        <v>Added/changed</v>
      </c>
      <c r="G248" s="443"/>
      <c r="H248" s="443"/>
      <c r="I248" s="440"/>
      <c r="J248" t="str">
        <v>Other paint uses (DIY) indoor</v>
      </c>
    </row>
    <row r="249" spans="1:10" ht="15.75" thickBot="1">
      <c r="A249" s="629"/>
      <c r="B249" s="315" t="str">
        <f>IFERROR(VLOOKUP(A249,'Compartments_Kawecki&amp;Nowack19'!A:C,2,FALSE), IFERROR(VLOOKUP(A249,Compartments_Added!A:C,2,FALSE), "Not found"))</f>
        <v>Not found</v>
      </c>
      <c r="C249" s="315" t="str">
        <f>IFERROR(VLOOKUP(A249,'Compartments_Kawecki&amp;Nowack19'!A:C,3,FALSE), IFERROR(VLOOKUP(A249,Compartments_Added!A:C,3,FALSE), "Not found"))</f>
        <v>Not found</v>
      </c>
      <c r="D249" s="95" t="str">
        <f>IFERROR(IF(VLOOKUP(A249,'Compartments_Kawecki&amp;Nowack19'!A:C,1,FALSE)=A249, "Kawecki","what?"),"Added/changed")</f>
        <v>Added/changed</v>
      </c>
      <c r="G249" s="443"/>
      <c r="H249" s="443"/>
      <c r="I249" s="440"/>
      <c r="J249" t="str">
        <v>Other paint uses (DIY) indoor (in use)</v>
      </c>
    </row>
    <row r="250" spans="1:10" ht="15.75" thickBot="1">
      <c r="A250" s="629"/>
      <c r="B250" s="315" t="str">
        <f>IFERROR(VLOOKUP(A250,'Compartments_Kawecki&amp;Nowack19'!A:C,2,FALSE), IFERROR(VLOOKUP(A250,Compartments_Added!A:C,2,FALSE), "Not found"))</f>
        <v>Not found</v>
      </c>
      <c r="C250" s="315" t="str">
        <f>IFERROR(VLOOKUP(A250,'Compartments_Kawecki&amp;Nowack19'!A:C,3,FALSE), IFERROR(VLOOKUP(A250,Compartments_Added!A:C,3,FALSE), "Not found"))</f>
        <v>Not found</v>
      </c>
      <c r="D250" s="95" t="str">
        <f>IFERROR(IF(VLOOKUP(A250,'Compartments_Kawecki&amp;Nowack19'!A:C,1,FALSE)=A250, "Kawecki","what?"),"Added/changed")</f>
        <v>Added/changed</v>
      </c>
      <c r="G250" s="443"/>
      <c r="H250" s="443"/>
      <c r="I250" s="440"/>
      <c r="J250" t="str">
        <v>Other paint uses (DIY) outdoor (discarded)</v>
      </c>
    </row>
    <row r="251" spans="1:10" ht="15.75" thickBot="1">
      <c r="A251" s="629"/>
      <c r="B251" s="315" t="str">
        <f>IFERROR(VLOOKUP(A251,'Compartments_Kawecki&amp;Nowack19'!A:C,2,FALSE), IFERROR(VLOOKUP(A251,Compartments_Added!A:C,2,FALSE), "Not found"))</f>
        <v>Not found</v>
      </c>
      <c r="C251" s="315" t="str">
        <f>IFERROR(VLOOKUP(A251,'Compartments_Kawecki&amp;Nowack19'!A:C,3,FALSE), IFERROR(VLOOKUP(A251,Compartments_Added!A:C,3,FALSE), "Not found"))</f>
        <v>Not found</v>
      </c>
      <c r="D251" s="95" t="str">
        <f>IFERROR(IF(VLOOKUP(A251,'Compartments_Kawecki&amp;Nowack19'!A:C,1,FALSE)=A251, "Kawecki","what?"),"Added/changed")</f>
        <v>Added/changed</v>
      </c>
      <c r="G251" s="443"/>
      <c r="H251" s="443"/>
      <c r="I251" s="440"/>
      <c r="J251" t="str">
        <v>Other paint uses (DIY) indoor (discarded)</v>
      </c>
    </row>
    <row r="252" spans="1:10" ht="15.75" thickBot="1">
      <c r="A252"/>
      <c r="G252" s="443"/>
      <c r="H252" s="443"/>
      <c r="I252" s="440"/>
      <c r="J252">
        <v>0</v>
      </c>
    </row>
    <row r="253" spans="1:10" ht="15.75" thickBot="1">
      <c r="A253"/>
      <c r="G253" s="443"/>
      <c r="H253" s="443"/>
      <c r="I253" s="440"/>
      <c r="J253">
        <v>0</v>
      </c>
    </row>
    <row r="254" spans="1:10" ht="15.75" thickBot="1">
      <c r="A254"/>
      <c r="G254" s="443"/>
      <c r="H254" s="443"/>
      <c r="I254" s="440"/>
      <c r="J254">
        <v>0</v>
      </c>
    </row>
    <row r="255" spans="1:10" ht="15.75" thickBot="1">
      <c r="A255"/>
      <c r="G255" s="443"/>
      <c r="H255" s="443"/>
      <c r="I255" s="440"/>
      <c r="J255">
        <v>0</v>
      </c>
    </row>
    <row r="256" spans="1:10" ht="15.75" thickBot="1">
      <c r="A256"/>
      <c r="G256" s="443"/>
      <c r="H256" s="443"/>
      <c r="I256" s="440"/>
      <c r="J256">
        <v>0</v>
      </c>
    </row>
    <row r="257" spans="1:10" ht="15.75" thickBot="1">
      <c r="A257"/>
      <c r="G257" s="443"/>
      <c r="H257" s="443"/>
      <c r="I257" s="440"/>
      <c r="J257">
        <v>0</v>
      </c>
    </row>
    <row r="258" spans="1:10" ht="15.75" thickBot="1">
      <c r="A258"/>
      <c r="G258" s="443"/>
      <c r="H258" s="443"/>
      <c r="I258" s="440"/>
      <c r="J258">
        <v>0</v>
      </c>
    </row>
    <row r="259" spans="1:10" ht="15.75" thickBot="1">
      <c r="A259"/>
      <c r="G259" s="443"/>
      <c r="H259" s="443"/>
      <c r="I259" s="440"/>
      <c r="J259">
        <v>0</v>
      </c>
    </row>
    <row r="260" spans="1:10" ht="15.75" thickBot="1">
      <c r="A260"/>
      <c r="G260" s="443"/>
      <c r="H260" s="443"/>
      <c r="I260" s="440"/>
      <c r="J260">
        <v>0</v>
      </c>
    </row>
    <row r="261" spans="1:10" ht="15.75" thickBot="1">
      <c r="A261"/>
      <c r="G261" s="443"/>
      <c r="H261" s="443"/>
      <c r="I261" s="440"/>
      <c r="J261">
        <v>0</v>
      </c>
    </row>
    <row r="262" spans="1:10" ht="15.75" thickBot="1">
      <c r="A262"/>
      <c r="G262" s="443"/>
      <c r="H262" s="443"/>
      <c r="I262" s="440"/>
      <c r="J262">
        <v>0</v>
      </c>
    </row>
    <row r="263" spans="1:10" ht="15.75" thickBot="1">
      <c r="A263"/>
      <c r="G263" s="443"/>
      <c r="H263" s="443"/>
      <c r="I263" s="440"/>
      <c r="J263">
        <v>0</v>
      </c>
    </row>
    <row r="264" spans="1:10" ht="15.75" thickBot="1">
      <c r="A264"/>
      <c r="G264" s="443"/>
      <c r="H264" s="443"/>
      <c r="I264" s="440"/>
      <c r="J264">
        <v>0</v>
      </c>
    </row>
    <row r="265" spans="1:10" ht="15.75" thickBot="1">
      <c r="A265"/>
      <c r="G265" s="443"/>
      <c r="H265" s="443"/>
      <c r="I265" s="440"/>
      <c r="J265">
        <v>0</v>
      </c>
    </row>
    <row r="266" spans="1:10" ht="15.75" thickBot="1">
      <c r="A266"/>
      <c r="G266" s="443"/>
      <c r="H266" s="443"/>
      <c r="I266" s="440"/>
      <c r="J266">
        <v>0</v>
      </c>
    </row>
    <row r="267" spans="1:10" ht="15.75" thickBot="1">
      <c r="A267"/>
      <c r="G267" s="443"/>
      <c r="H267" s="443"/>
      <c r="I267" s="440"/>
      <c r="J267">
        <v>0</v>
      </c>
    </row>
    <row r="268" spans="1:10" ht="15.75" thickBot="1">
      <c r="A268"/>
      <c r="G268" s="443"/>
      <c r="H268" s="443"/>
      <c r="I268" s="440"/>
      <c r="J268">
        <v>0</v>
      </c>
    </row>
    <row r="269" spans="1:10" ht="15.75" thickBot="1">
      <c r="A269"/>
      <c r="G269" s="443"/>
      <c r="H269" s="443"/>
      <c r="I269" s="440"/>
      <c r="J269">
        <v>0</v>
      </c>
    </row>
    <row r="270" spans="1:10" ht="15.75" thickBot="1">
      <c r="A270"/>
      <c r="G270" s="443"/>
      <c r="H270" s="443"/>
      <c r="I270" s="440"/>
      <c r="J270">
        <v>0</v>
      </c>
    </row>
    <row r="271" spans="1:10" ht="15.75" thickBot="1">
      <c r="A271"/>
      <c r="G271" s="443"/>
      <c r="H271" s="443"/>
      <c r="I271" s="440"/>
      <c r="J271">
        <v>0</v>
      </c>
    </row>
    <row r="272" spans="1:10" ht="15.75" thickBot="1">
      <c r="A272"/>
      <c r="G272" s="443"/>
      <c r="H272" s="443"/>
      <c r="I272" s="440"/>
      <c r="J272">
        <v>0</v>
      </c>
    </row>
    <row r="273" spans="1:10" ht="15.75" thickBot="1">
      <c r="A273"/>
      <c r="G273" s="443"/>
      <c r="H273" s="443"/>
      <c r="I273" s="440"/>
      <c r="J273">
        <v>0</v>
      </c>
    </row>
    <row r="274" spans="1:10" ht="15.75" thickBot="1">
      <c r="A274"/>
      <c r="G274" s="443"/>
      <c r="H274" s="443"/>
      <c r="I274" s="440"/>
      <c r="J274">
        <v>0</v>
      </c>
    </row>
    <row r="275" spans="1:10" ht="15.75" thickBot="1">
      <c r="A275"/>
      <c r="G275" s="443"/>
      <c r="H275" s="443"/>
      <c r="I275" s="440"/>
      <c r="J275">
        <v>0</v>
      </c>
    </row>
    <row r="276" spans="1:10" ht="15.75" thickBot="1">
      <c r="A276"/>
      <c r="G276" s="443"/>
      <c r="H276" s="443"/>
      <c r="I276" s="440"/>
      <c r="J276">
        <v>0</v>
      </c>
    </row>
    <row r="277" spans="1:10" ht="15.75" thickBot="1">
      <c r="A277"/>
      <c r="G277" s="443"/>
      <c r="H277" s="443"/>
      <c r="I277" s="440"/>
      <c r="J277">
        <v>0</v>
      </c>
    </row>
    <row r="278" spans="1:10" ht="15.75" thickBot="1">
      <c r="A278"/>
      <c r="G278" s="443"/>
      <c r="H278" s="443"/>
      <c r="I278" s="440"/>
      <c r="J278">
        <v>0</v>
      </c>
    </row>
    <row r="279" spans="1:10" ht="15.75" thickBot="1">
      <c r="A279"/>
      <c r="G279" s="443"/>
      <c r="H279" s="443"/>
      <c r="I279" s="440"/>
      <c r="J279">
        <v>0</v>
      </c>
    </row>
    <row r="280" spans="1:10" ht="15.75" thickBot="1">
      <c r="A280"/>
      <c r="G280" s="443"/>
      <c r="H280" s="443"/>
      <c r="I280" s="440"/>
      <c r="J280">
        <v>0</v>
      </c>
    </row>
    <row r="281" spans="1:10" ht="15.75" thickBot="1">
      <c r="A281"/>
      <c r="G281" s="443"/>
      <c r="H281" s="443"/>
      <c r="I281" s="440"/>
      <c r="J281">
        <v>0</v>
      </c>
    </row>
    <row r="282" spans="1:10" ht="15.75" thickBot="1">
      <c r="G282" s="443"/>
      <c r="H282" s="443"/>
      <c r="I282" s="440"/>
      <c r="J282">
        <v>0</v>
      </c>
    </row>
    <row r="283" spans="1:10" ht="15.75" thickBot="1">
      <c r="G283" s="443"/>
      <c r="H283" s="443"/>
      <c r="I283" s="440"/>
      <c r="J283">
        <v>0</v>
      </c>
    </row>
    <row r="284" spans="1:10" ht="15.75" thickBot="1">
      <c r="G284" s="443"/>
      <c r="H284" s="443"/>
      <c r="I284" s="440"/>
      <c r="J284">
        <v>0</v>
      </c>
    </row>
    <row r="285" spans="1:10" ht="15.75" thickBot="1">
      <c r="G285" s="443"/>
      <c r="H285" s="443"/>
      <c r="I285" s="440"/>
      <c r="J285">
        <v>0</v>
      </c>
    </row>
    <row r="286" spans="1:10" ht="15.75" thickBot="1">
      <c r="G286" s="443"/>
      <c r="H286" s="443"/>
      <c r="I286" s="440"/>
      <c r="J286">
        <v>0</v>
      </c>
    </row>
    <row r="287" spans="1:10" ht="15.75" thickBot="1">
      <c r="G287" s="443"/>
      <c r="H287" s="443"/>
      <c r="I287" s="440"/>
      <c r="J287">
        <v>0</v>
      </c>
    </row>
    <row r="288" spans="1:10" ht="15.75" thickBot="1">
      <c r="G288" s="443"/>
      <c r="H288" s="443"/>
      <c r="I288" s="440"/>
      <c r="J288">
        <v>0</v>
      </c>
    </row>
    <row r="289" spans="7:10" ht="15.75" thickBot="1">
      <c r="G289" s="443"/>
      <c r="H289" s="443"/>
      <c r="I289" s="440"/>
      <c r="J289">
        <v>0</v>
      </c>
    </row>
    <row r="290" spans="7:10" ht="15.75" thickBot="1">
      <c r="G290" s="443"/>
      <c r="H290" s="443"/>
      <c r="I290" s="440"/>
      <c r="J290">
        <v>0</v>
      </c>
    </row>
    <row r="291" spans="7:10" ht="15.75" thickBot="1">
      <c r="G291" s="443"/>
      <c r="H291" s="443"/>
      <c r="I291" s="440"/>
      <c r="J291">
        <v>0</v>
      </c>
    </row>
    <row r="292" spans="7:10" ht="15.75" thickBot="1">
      <c r="G292" s="443"/>
      <c r="H292" s="443"/>
      <c r="I292" s="440"/>
      <c r="J292">
        <v>0</v>
      </c>
    </row>
    <row r="293" spans="7:10" ht="15.75" thickBot="1">
      <c r="G293" s="443"/>
      <c r="H293" s="443"/>
      <c r="I293" s="440"/>
      <c r="J293">
        <v>0</v>
      </c>
    </row>
    <row r="294" spans="7:10" ht="15.75" thickBot="1">
      <c r="G294" s="443"/>
      <c r="H294" s="443"/>
      <c r="I294" s="440"/>
      <c r="J294">
        <v>0</v>
      </c>
    </row>
    <row r="295" spans="7:10" ht="15.75" thickBot="1">
      <c r="G295" s="443"/>
      <c r="H295" s="443"/>
      <c r="I295" s="440"/>
      <c r="J295">
        <v>0</v>
      </c>
    </row>
    <row r="296" spans="7:10" ht="15.75" thickBot="1">
      <c r="G296" s="443"/>
      <c r="H296" s="443"/>
      <c r="I296" s="440"/>
      <c r="J296">
        <v>0</v>
      </c>
    </row>
    <row r="297" spans="7:10" ht="15.75" thickBot="1">
      <c r="G297" s="443"/>
      <c r="H297" s="443"/>
      <c r="I297" s="440"/>
      <c r="J297">
        <v>0</v>
      </c>
    </row>
    <row r="298" spans="7:10" ht="15.75" thickBot="1">
      <c r="G298" s="443"/>
      <c r="H298" s="443"/>
      <c r="I298" s="440"/>
      <c r="J298">
        <v>0</v>
      </c>
    </row>
    <row r="299" spans="7:10" ht="15.75" thickBot="1">
      <c r="G299" s="443"/>
      <c r="H299" s="443"/>
      <c r="I299" s="440"/>
      <c r="J299">
        <v>0</v>
      </c>
    </row>
    <row r="300" spans="7:10" ht="15.75" thickBot="1">
      <c r="G300" s="443"/>
      <c r="H300" s="443"/>
      <c r="I300" s="440"/>
      <c r="J300">
        <v>0</v>
      </c>
    </row>
    <row r="301" spans="7:10" ht="15.75" thickBot="1">
      <c r="G301" s="443"/>
      <c r="H301" s="443"/>
      <c r="I301" s="440"/>
      <c r="J301">
        <v>0</v>
      </c>
    </row>
    <row r="302" spans="7:10" ht="15.75" thickBot="1">
      <c r="G302" s="443"/>
      <c r="H302" s="443"/>
      <c r="I302" s="440"/>
      <c r="J302">
        <v>0</v>
      </c>
    </row>
    <row r="303" spans="7:10" ht="15.75" thickBot="1">
      <c r="G303" s="443"/>
      <c r="H303" s="443"/>
      <c r="I303" s="440"/>
      <c r="J303">
        <v>0</v>
      </c>
    </row>
    <row r="304" spans="7:10" ht="15.75" thickBot="1">
      <c r="G304" s="443"/>
      <c r="H304" s="443"/>
      <c r="I304" s="440"/>
      <c r="J304">
        <v>0</v>
      </c>
    </row>
    <row r="305" spans="7:10" ht="15.75" thickBot="1">
      <c r="G305" s="443"/>
      <c r="H305" s="443"/>
      <c r="I305" s="440"/>
      <c r="J305">
        <v>0</v>
      </c>
    </row>
    <row r="306" spans="7:10" ht="15.75" thickBot="1">
      <c r="G306" s="443"/>
      <c r="H306" s="443"/>
      <c r="I306" s="440"/>
      <c r="J306">
        <v>0</v>
      </c>
    </row>
    <row r="307" spans="7:10" ht="15.75" thickBot="1">
      <c r="G307" s="443"/>
      <c r="H307" s="443"/>
      <c r="I307" s="440"/>
      <c r="J307">
        <v>0</v>
      </c>
    </row>
    <row r="308" spans="7:10" ht="15.75" thickBot="1">
      <c r="G308" s="443"/>
      <c r="H308" s="443"/>
      <c r="I308" s="440"/>
      <c r="J308">
        <v>0</v>
      </c>
    </row>
    <row r="309" spans="7:10" ht="15.75" thickBot="1">
      <c r="G309" s="443"/>
      <c r="H309" s="443"/>
      <c r="I309" s="440"/>
      <c r="J309">
        <v>0</v>
      </c>
    </row>
    <row r="310" spans="7:10" ht="15.75" thickBot="1">
      <c r="G310" s="443"/>
      <c r="H310" s="443"/>
      <c r="I310" s="440"/>
      <c r="J310">
        <v>0</v>
      </c>
    </row>
    <row r="311" spans="7:10" ht="15.75" thickBot="1">
      <c r="G311" s="443"/>
      <c r="H311" s="443"/>
      <c r="I311" s="440"/>
      <c r="J311">
        <v>0</v>
      </c>
    </row>
    <row r="312" spans="7:10" ht="15.75" thickBot="1">
      <c r="G312" s="443"/>
      <c r="H312" s="443"/>
      <c r="I312" s="440"/>
      <c r="J312">
        <v>0</v>
      </c>
    </row>
    <row r="313" spans="7:10" ht="15.75" thickBot="1">
      <c r="G313" s="443"/>
      <c r="H313" s="443"/>
      <c r="I313" s="440"/>
      <c r="J313">
        <v>0</v>
      </c>
    </row>
    <row r="314" spans="7:10" ht="15.75" thickBot="1">
      <c r="G314" s="443"/>
      <c r="H314" s="443"/>
      <c r="I314" s="440"/>
      <c r="J314">
        <v>0</v>
      </c>
    </row>
    <row r="315" spans="7:10" ht="15.75" thickBot="1">
      <c r="G315" s="443"/>
      <c r="H315" s="443"/>
      <c r="I315" s="440"/>
      <c r="J315">
        <v>0</v>
      </c>
    </row>
    <row r="316" spans="7:10" ht="15.75" thickBot="1">
      <c r="G316" s="443"/>
      <c r="H316" s="443"/>
      <c r="I316" s="440"/>
      <c r="J316">
        <v>0</v>
      </c>
    </row>
    <row r="317" spans="7:10" ht="15.75" thickBot="1">
      <c r="G317" s="443"/>
      <c r="H317" s="443"/>
      <c r="I317" s="440"/>
      <c r="J317">
        <v>0</v>
      </c>
    </row>
    <row r="318" spans="7:10" ht="15.75" thickBot="1">
      <c r="G318" s="443"/>
      <c r="H318" s="443"/>
      <c r="I318" s="440"/>
      <c r="J318">
        <v>0</v>
      </c>
    </row>
    <row r="319" spans="7:10" ht="15.75" thickBot="1">
      <c r="G319" s="443"/>
      <c r="H319" s="443"/>
      <c r="I319" s="440"/>
      <c r="J319">
        <v>0</v>
      </c>
    </row>
    <row r="320" spans="7:10" ht="15.75" thickBot="1">
      <c r="G320" s="443"/>
      <c r="H320" s="443"/>
      <c r="I320" s="440"/>
      <c r="J320">
        <v>0</v>
      </c>
    </row>
    <row r="321" spans="7:10" ht="15.75" thickBot="1">
      <c r="G321" s="443"/>
      <c r="H321" s="443"/>
      <c r="I321" s="440"/>
      <c r="J321">
        <v>0</v>
      </c>
    </row>
    <row r="322" spans="7:10" ht="15.75" thickBot="1">
      <c r="G322" s="443"/>
      <c r="H322" s="443"/>
      <c r="I322" s="440"/>
      <c r="J322">
        <v>0</v>
      </c>
    </row>
    <row r="323" spans="7:10" ht="15.75" thickBot="1">
      <c r="G323" s="443"/>
      <c r="H323" s="443"/>
      <c r="I323" s="440"/>
      <c r="J323">
        <v>0</v>
      </c>
    </row>
    <row r="324" spans="7:10" ht="15.75" thickBot="1">
      <c r="G324" s="443"/>
      <c r="H324" s="443"/>
      <c r="I324" s="440"/>
      <c r="J324">
        <v>0</v>
      </c>
    </row>
    <row r="325" spans="7:10" ht="15.75" thickBot="1">
      <c r="G325" s="443"/>
      <c r="H325" s="443"/>
      <c r="I325" s="440"/>
      <c r="J325">
        <v>0</v>
      </c>
    </row>
    <row r="326" spans="7:10" ht="15.75" thickBot="1">
      <c r="G326" s="443"/>
      <c r="H326" s="443"/>
      <c r="I326" s="440"/>
      <c r="J326">
        <v>0</v>
      </c>
    </row>
    <row r="327" spans="7:10" ht="15.75" thickBot="1">
      <c r="G327" s="443"/>
      <c r="H327" s="443"/>
      <c r="I327" s="440"/>
      <c r="J327">
        <v>0</v>
      </c>
    </row>
    <row r="328" spans="7:10" ht="15.75" thickBot="1">
      <c r="G328" s="443"/>
      <c r="H328" s="443"/>
      <c r="I328" s="440"/>
      <c r="J328">
        <v>0</v>
      </c>
    </row>
    <row r="329" spans="7:10" ht="15.75" thickBot="1">
      <c r="G329" s="443"/>
      <c r="H329" s="443"/>
      <c r="I329" s="440"/>
      <c r="J329" t="str">
        <v>Agricultural greenhouse films (discarded)</v>
      </c>
    </row>
    <row r="330" spans="7:10" ht="15.75" thickBot="1">
      <c r="G330" s="443"/>
      <c r="H330" s="443"/>
      <c r="I330" s="440"/>
      <c r="J330" t="str">
        <v>Agricultural greenhouse films (in use)</v>
      </c>
    </row>
    <row r="331" spans="7:10" ht="15.75" thickBot="1">
      <c r="G331" s="443"/>
      <c r="H331" s="443"/>
      <c r="I331" s="440"/>
      <c r="J331" t="str">
        <v>Agricultural mulching films</v>
      </c>
    </row>
    <row r="332" spans="7:10" ht="15.75" thickBot="1">
      <c r="G332" s="443"/>
      <c r="H332" s="443"/>
      <c r="I332" s="440"/>
      <c r="J332" t="str">
        <v>Agricultural other</v>
      </c>
    </row>
    <row r="333" spans="7:10" ht="15.75" thickBot="1">
      <c r="G333" s="443"/>
      <c r="H333" s="443"/>
      <c r="I333" s="440"/>
      <c r="J333" t="str">
        <v>Agricultural packaging bottles</v>
      </c>
    </row>
    <row r="334" spans="7:10" ht="15.75" thickBot="1">
      <c r="G334" s="443"/>
      <c r="H334" s="443"/>
      <c r="I334" s="440"/>
      <c r="J334" t="str">
        <v>Agricultural packaging films</v>
      </c>
    </row>
    <row r="335" spans="7:10" ht="15.75" thickBot="1">
      <c r="G335" s="443"/>
      <c r="H335" s="443"/>
      <c r="I335" s="440"/>
      <c r="J335" t="str">
        <v>Agricultural pipes (discarded)</v>
      </c>
    </row>
    <row r="336" spans="7:10" ht="15.75" thickBot="1">
      <c r="G336" s="443"/>
      <c r="H336" s="443"/>
      <c r="I336" s="440"/>
      <c r="J336" t="str">
        <v>Agricultural pipes (in use)</v>
      </c>
    </row>
    <row r="337" spans="7:10" ht="15.75" thickBot="1">
      <c r="G337" s="443"/>
      <c r="H337" s="443"/>
      <c r="I337" s="440"/>
      <c r="J337" t="str">
        <v>Agricultural plastic recycling</v>
      </c>
    </row>
    <row r="338" spans="7:10" ht="15.75" thickBot="1">
      <c r="G338" s="443"/>
      <c r="H338" s="443"/>
      <c r="I338" s="440"/>
      <c r="J338" t="str">
        <v>Incineration</v>
      </c>
    </row>
    <row r="339" spans="7:10" ht="15.75" thickBot="1">
      <c r="G339" s="443"/>
      <c r="H339" s="443"/>
      <c r="I339" s="440"/>
      <c r="J339" t="str">
        <v>Landfill</v>
      </c>
    </row>
    <row r="340" spans="7:10" ht="15.75" thickBot="1">
      <c r="G340" s="443"/>
      <c r="H340" s="443"/>
      <c r="I340" s="440"/>
      <c r="J340" t="str">
        <v>Residential soil (macro)</v>
      </c>
    </row>
    <row r="341" spans="7:10" ht="15.75" thickBot="1">
      <c r="G341" s="443"/>
      <c r="H341" s="443"/>
      <c r="I341" s="440"/>
      <c r="J341" t="str">
        <v>Agricultural soil (macro)</v>
      </c>
    </row>
    <row r="342" spans="7:10" ht="15.75" thickBot="1">
      <c r="G342" s="443"/>
      <c r="H342" s="443"/>
      <c r="I342" s="440"/>
      <c r="J342" t="str">
        <v>Agrotextiles (discarded)</v>
      </c>
    </row>
    <row r="343" spans="7:10" ht="15.75" thickBot="1">
      <c r="G343" s="443"/>
      <c r="H343" s="443"/>
      <c r="I343" s="440"/>
      <c r="J343" t="str">
        <v>Agricultural soil (micro)</v>
      </c>
    </row>
    <row r="344" spans="7:10" ht="15.75" thickBot="1">
      <c r="G344" s="443"/>
      <c r="H344" s="443"/>
      <c r="I344" s="440"/>
      <c r="J344" t="str">
        <v>Agrotextiles (in use)</v>
      </c>
    </row>
    <row r="345" spans="7:10" ht="15.75" thickBot="1">
      <c r="G345" s="443"/>
      <c r="H345" s="443"/>
      <c r="I345" s="440"/>
      <c r="J345" t="str">
        <v>Agricultural waste collection</v>
      </c>
    </row>
    <row r="346" spans="7:10" ht="15.75" thickBot="1">
      <c r="G346" s="443"/>
      <c r="H346" s="443"/>
      <c r="I346" s="440"/>
      <c r="J346" t="str">
        <v>Agricultural waste collection (micro)</v>
      </c>
    </row>
    <row r="347" spans="7:10" ht="15.75" thickBot="1">
      <c r="G347" s="443"/>
      <c r="H347" s="443"/>
      <c r="I347" s="440"/>
      <c r="J347" t="str">
        <v>Collected organic waste</v>
      </c>
    </row>
    <row r="348" spans="7:10" ht="15.75" thickBot="1">
      <c r="G348" s="443"/>
      <c r="H348" s="443"/>
      <c r="I348" s="440"/>
      <c r="J348" t="str">
        <v>Dumping</v>
      </c>
    </row>
    <row r="349" spans="7:10" ht="15.75" thickBot="1">
      <c r="G349" s="443"/>
      <c r="H349" s="443"/>
      <c r="I349" s="440"/>
      <c r="J349" t="str">
        <v>Building textiles (discarded)</v>
      </c>
    </row>
    <row r="350" spans="7:10" ht="15.75" thickBot="1">
      <c r="G350" s="443"/>
      <c r="H350" s="443"/>
      <c r="I350" s="440"/>
      <c r="J350" t="str">
        <v>Building textiles (in use)</v>
      </c>
    </row>
    <row r="351" spans="7:10" ht="15.75" thickBot="1">
      <c r="G351" s="443"/>
      <c r="H351" s="443"/>
      <c r="I351" s="440"/>
      <c r="J351" t="str">
        <v>Construction and demolition incinerable waste collection</v>
      </c>
    </row>
    <row r="352" spans="7:10" ht="15.75" thickBot="1">
      <c r="G352" s="443"/>
      <c r="H352" s="443"/>
      <c r="I352" s="440"/>
      <c r="J352" t="str">
        <v>Building packaging films</v>
      </c>
    </row>
    <row r="353" spans="7:10" ht="15.75" thickBot="1">
      <c r="G353" s="443"/>
      <c r="H353" s="443"/>
      <c r="I353" s="440"/>
      <c r="J353" t="str">
        <v>Geotextiles (discarded)</v>
      </c>
    </row>
    <row r="354" spans="7:10" ht="15.75" thickBot="1">
      <c r="G354" s="443"/>
      <c r="H354" s="443"/>
      <c r="I354" s="440"/>
      <c r="J354" t="str">
        <v>Geotextiles (in use)</v>
      </c>
    </row>
    <row r="355" spans="7:10" ht="15.75" thickBot="1">
      <c r="G355" s="443"/>
      <c r="H355" s="443"/>
      <c r="I355" s="440"/>
      <c r="J355" t="str">
        <v>Sub-surface soil (micro)</v>
      </c>
    </row>
    <row r="356" spans="7:10" ht="15.75" thickBot="1">
      <c r="G356" s="443"/>
      <c r="H356" s="443"/>
      <c r="I356" s="440"/>
      <c r="J356" t="str">
        <v>Home textiles (discarded)</v>
      </c>
    </row>
    <row r="357" spans="7:10" ht="15.75" thickBot="1">
      <c r="G357" s="443"/>
      <c r="H357" s="443"/>
      <c r="I357" s="440"/>
      <c r="J357" t="str">
        <v>Home textiles (in use)</v>
      </c>
    </row>
    <row r="358" spans="7:10" ht="15.75" thickBot="1">
      <c r="G358" s="443"/>
      <c r="H358" s="443"/>
      <c r="I358" s="440"/>
      <c r="J358" t="str">
        <v>Clothing (discarded)</v>
      </c>
    </row>
    <row r="359" spans="7:10" ht="15.75" thickBot="1">
      <c r="G359" s="443"/>
      <c r="H359" s="443"/>
      <c r="I359" s="440"/>
      <c r="J359" t="str">
        <v>Clothing (in use)</v>
      </c>
    </row>
    <row r="360" spans="7:10" ht="15.75" thickBot="1">
      <c r="G360" s="443"/>
      <c r="H360" s="443"/>
      <c r="I360" s="440"/>
      <c r="J360" t="str">
        <v>Clothing (in use) wash &amp; dry</v>
      </c>
    </row>
    <row r="361" spans="7:10" ht="15.75" thickBot="1">
      <c r="G361" s="443"/>
      <c r="H361" s="443"/>
      <c r="I361" s="440"/>
      <c r="J361" t="str">
        <v>Clothing (in use) wear &amp; tear</v>
      </c>
    </row>
    <row r="362" spans="7:10" ht="15.75" thickBot="1">
      <c r="G362" s="443"/>
      <c r="H362" s="443"/>
      <c r="I362" s="440"/>
      <c r="J362" t="str">
        <v>Collected organic waste (larger than 1 mm)</v>
      </c>
    </row>
    <row r="363" spans="7:10" ht="15.75" thickBot="1">
      <c r="G363" s="443"/>
      <c r="H363" s="443"/>
      <c r="I363" s="440"/>
      <c r="J363" t="str">
        <v>Collected organic waste (smaller than 1 mm)</v>
      </c>
    </row>
    <row r="364" spans="7:10" ht="15.75" thickBot="1">
      <c r="G364" s="443"/>
      <c r="H364" s="443"/>
      <c r="I364" s="440"/>
      <c r="J364" t="str">
        <v>Combined sewer overflow (macro)</v>
      </c>
    </row>
    <row r="365" spans="7:10" ht="15.75" thickBot="1">
      <c r="G365" s="443"/>
      <c r="H365" s="443"/>
      <c r="I365" s="440"/>
      <c r="J365" t="str">
        <v>Combined sewer overflow (micro)</v>
      </c>
    </row>
    <row r="366" spans="7:10" ht="15.75" thickBot="1">
      <c r="G366" s="443"/>
      <c r="H366" s="443"/>
      <c r="I366" s="440"/>
      <c r="J366" t="str">
        <v>Compost (macro)</v>
      </c>
    </row>
    <row r="367" spans="7:10" ht="15.75" thickBot="1">
      <c r="G367" s="443"/>
      <c r="H367" s="443"/>
      <c r="I367" s="440"/>
      <c r="J367" t="str">
        <v>Compost (micro)</v>
      </c>
    </row>
    <row r="368" spans="7:10" ht="15.75" thickBot="1">
      <c r="G368" s="443"/>
      <c r="H368" s="443"/>
      <c r="I368" s="440"/>
      <c r="J368" t="str">
        <v>Compost size separation (fictional process)</v>
      </c>
    </row>
    <row r="369" spans="7:10" ht="15.75" thickBot="1">
      <c r="G369" s="443"/>
      <c r="H369" s="443"/>
      <c r="I369" s="440"/>
      <c r="J369" t="str">
        <v>Mixed waste collection</v>
      </c>
    </row>
    <row r="370" spans="7:10" ht="15.75" thickBot="1">
      <c r="G370" s="443"/>
      <c r="H370" s="443"/>
      <c r="I370" s="440"/>
      <c r="J370" t="str">
        <v>Textile waste collection</v>
      </c>
    </row>
    <row r="371" spans="7:10" ht="15.75" thickBot="1">
      <c r="G371" s="443"/>
      <c r="H371" s="443"/>
      <c r="I371" s="440"/>
      <c r="J371" t="str">
        <v>Consumer bags</v>
      </c>
    </row>
    <row r="372" spans="7:10" ht="15.75" thickBot="1">
      <c r="G372" s="443"/>
      <c r="H372" s="443"/>
      <c r="I372" s="440"/>
      <c r="J372" t="str">
        <v>Consumer bottles</v>
      </c>
    </row>
    <row r="373" spans="7:10" ht="15.75" thickBot="1">
      <c r="G373" s="443"/>
      <c r="H373" s="443"/>
      <c r="I373" s="440"/>
      <c r="J373" t="str">
        <v>Consumer films</v>
      </c>
    </row>
    <row r="374" spans="7:10" ht="15.75" thickBot="1">
      <c r="G374" s="443"/>
      <c r="H374" s="443"/>
      <c r="I374" s="440"/>
      <c r="J374" t="str">
        <v>Controlled release fertilizer</v>
      </c>
    </row>
    <row r="375" spans="7:10" ht="15.75" thickBot="1">
      <c r="G375" s="443"/>
      <c r="H375" s="443"/>
      <c r="I375" s="440"/>
      <c r="J375" t="str">
        <v>Detergents and maintenance products</v>
      </c>
    </row>
    <row r="376" spans="7:10" ht="15.75" thickBot="1">
      <c r="G376" s="443"/>
      <c r="H376" s="443"/>
      <c r="I376" s="440"/>
      <c r="J376" t="str">
        <v>Indoor air (micro)</v>
      </c>
    </row>
    <row r="377" spans="7:10" ht="15.75" thickBot="1">
      <c r="G377" s="443"/>
      <c r="H377" s="443"/>
      <c r="I377" s="440"/>
      <c r="J377" t="str">
        <v>Outdoor air (micro)</v>
      </c>
    </row>
    <row r="378" spans="7:10" ht="15.75" thickBot="1">
      <c r="G378" s="443"/>
      <c r="H378" s="443"/>
      <c r="I378" s="440"/>
      <c r="J378" t="str">
        <v>Wastewater (micro)</v>
      </c>
    </row>
    <row r="379" spans="7:10" ht="15.75" thickBot="1">
      <c r="G379" s="443"/>
      <c r="H379" s="443"/>
      <c r="I379" s="440"/>
      <c r="J379" t="str">
        <v>Disposable cleaning cloths</v>
      </c>
    </row>
    <row r="380" spans="7:10" ht="15.75" thickBot="1">
      <c r="G380" s="443"/>
      <c r="H380" s="443"/>
      <c r="I380" s="440"/>
      <c r="J380" t="str">
        <v>Home textiles</v>
      </c>
    </row>
    <row r="381" spans="7:10" ht="15.75" thickBot="1">
      <c r="G381" s="443"/>
      <c r="H381" s="443"/>
      <c r="I381" s="440"/>
      <c r="J381" t="str">
        <v>Elimination</v>
      </c>
    </row>
    <row r="382" spans="7:10" ht="15.75" thickBot="1">
      <c r="G382" s="443"/>
      <c r="H382" s="443"/>
      <c r="I382" s="440"/>
      <c r="J382" t="str">
        <v>Export</v>
      </c>
    </row>
    <row r="383" spans="7:10" ht="15.75" thickBot="1">
      <c r="G383" s="443"/>
      <c r="H383" s="443"/>
      <c r="I383" s="440"/>
      <c r="J383" t="str">
        <v>Secondary material reuse</v>
      </c>
    </row>
    <row r="384" spans="7:10" ht="15.75" thickBot="1">
      <c r="G384" s="443"/>
      <c r="H384" s="443"/>
      <c r="I384" s="440"/>
      <c r="J384" t="str">
        <v>Residential soil (micro)</v>
      </c>
    </row>
    <row r="385" spans="7:10" ht="15.75" thickBot="1">
      <c r="G385" s="443"/>
      <c r="H385" s="443"/>
      <c r="I385" s="440"/>
      <c r="J385" t="str">
        <v>Industrial stormwater (micro)</v>
      </c>
    </row>
    <row r="386" spans="7:10" ht="15.75" thickBot="1">
      <c r="G386" s="443"/>
      <c r="H386" s="443"/>
      <c r="I386" s="440"/>
      <c r="J386" t="str">
        <v>Transport of primary plastics</v>
      </c>
    </row>
    <row r="387" spans="7:10" ht="15.75" thickBot="1">
      <c r="G387" s="443"/>
      <c r="H387" s="443"/>
      <c r="I387" s="440"/>
      <c r="J387" t="str">
        <v>Surface water (micro)</v>
      </c>
    </row>
    <row r="388" spans="7:10" ht="15.75" thickBot="1">
      <c r="G388" s="443"/>
      <c r="H388" s="443"/>
      <c r="I388" s="440"/>
      <c r="J388" t="str">
        <v>Wastewater treatment plant (micro)</v>
      </c>
    </row>
    <row r="389" spans="7:10" ht="15.75" thickBot="1">
      <c r="G389" s="443"/>
      <c r="H389" s="443"/>
      <c r="I389" s="440"/>
      <c r="J389" t="str">
        <v>Plastic products</v>
      </c>
    </row>
    <row r="390" spans="7:10" ht="15.75" thickBot="1">
      <c r="G390" s="443"/>
      <c r="H390" s="443"/>
      <c r="I390" s="440"/>
      <c r="J390" t="str">
        <v>Surface water (macro)</v>
      </c>
    </row>
    <row r="391" spans="7:10" ht="15.75" thickBot="1">
      <c r="G391" s="443"/>
      <c r="H391" s="443"/>
      <c r="I391" s="440"/>
      <c r="J391" t="str">
        <v>Wastewater treatment plant (macro)</v>
      </c>
    </row>
    <row r="392" spans="7:10" ht="15.75" thickBot="1">
      <c r="G392" s="443"/>
      <c r="H392" s="443"/>
      <c r="I392" s="440"/>
      <c r="J392" t="str">
        <v>Fertilizer additives</v>
      </c>
    </row>
    <row r="393" spans="7:10" ht="15.75" thickBot="1">
      <c r="G393" s="443"/>
      <c r="H393" s="443"/>
      <c r="I393" s="440"/>
      <c r="J393" t="str">
        <v>Food additives</v>
      </c>
    </row>
    <row r="394" spans="7:10" ht="15.75" thickBot="1">
      <c r="G394" s="443"/>
      <c r="H394" s="443"/>
      <c r="I394" s="440"/>
      <c r="J394" t="str">
        <v>Panty liners</v>
      </c>
    </row>
    <row r="395" spans="7:10" ht="15.75" thickBot="1">
      <c r="G395" s="443"/>
      <c r="H395" s="443"/>
      <c r="I395" s="440"/>
      <c r="J395" t="str">
        <v>Highway DAB</v>
      </c>
    </row>
    <row r="396" spans="7:10" ht="15.75" thickBot="1">
      <c r="G396" s="443"/>
      <c r="H396" s="443"/>
      <c r="I396" s="440"/>
      <c r="J396" t="str">
        <v>Highway ZOAB</v>
      </c>
    </row>
    <row r="397" spans="7:10" ht="15.75" thickBot="1">
      <c r="G397" s="443"/>
      <c r="H397" s="443"/>
      <c r="I397" s="440"/>
      <c r="J397" t="str">
        <v>Highway DAB non cleaned</v>
      </c>
    </row>
    <row r="398" spans="7:10" ht="15.75" thickBot="1">
      <c r="G398" s="443"/>
      <c r="H398" s="443"/>
      <c r="I398" s="440"/>
      <c r="J398" t="str">
        <v>Sanitary pads</v>
      </c>
    </row>
    <row r="399" spans="7:10" ht="15.75" thickBot="1">
      <c r="G399" s="443"/>
      <c r="H399" s="443"/>
      <c r="I399" s="440"/>
      <c r="J399" t="str">
        <v>Tampons</v>
      </c>
    </row>
    <row r="400" spans="7:10" ht="15.75" thickBot="1">
      <c r="G400" s="443"/>
      <c r="H400" s="443"/>
      <c r="I400" s="440"/>
      <c r="J400" t="str">
        <v>Road cleaning</v>
      </c>
    </row>
    <row r="401" spans="7:10" ht="15.75" thickBot="1">
      <c r="G401" s="443"/>
      <c r="H401" s="443"/>
      <c r="I401" s="440"/>
      <c r="J401" t="str">
        <v>Indoor floors (micro)</v>
      </c>
    </row>
    <row r="402" spans="7:10" ht="15.75" thickBot="1">
      <c r="G402" s="443"/>
      <c r="H402" s="443"/>
      <c r="I402" s="440"/>
      <c r="J402" t="str">
        <v>Infill material sports fields</v>
      </c>
    </row>
    <row r="403" spans="7:10" ht="15.75" thickBot="1">
      <c r="G403" s="443"/>
      <c r="H403" s="443"/>
      <c r="I403" s="440"/>
      <c r="J403" t="str">
        <v>Infill material sports fields (discarded)</v>
      </c>
    </row>
    <row r="404" spans="7:10" ht="15.75" thickBot="1">
      <c r="G404" s="443"/>
      <c r="H404" s="443"/>
      <c r="I404" s="440"/>
      <c r="J404" t="str">
        <v>Infill material sports fields (in use)</v>
      </c>
    </row>
    <row r="405" spans="7:10" ht="15.75" thickBot="1">
      <c r="G405" s="443"/>
      <c r="H405" s="443"/>
      <c r="I405" s="440"/>
      <c r="J405" t="str">
        <v>Invitro diagnostic devices</v>
      </c>
    </row>
    <row r="406" spans="7:10" ht="15.75" thickBot="1">
      <c r="G406" s="443"/>
      <c r="H406" s="443"/>
      <c r="I406" s="440"/>
      <c r="J406" t="str">
        <v>Litter on road sides</v>
      </c>
    </row>
    <row r="407" spans="7:10" ht="15.75" thickBot="1">
      <c r="G407" s="443"/>
      <c r="H407" s="443"/>
      <c r="I407" s="440"/>
      <c r="J407" t="str">
        <v>Litter in natural environments</v>
      </c>
    </row>
    <row r="408" spans="7:10" ht="15.75" thickBot="1">
      <c r="G408" s="443"/>
      <c r="H408" s="443"/>
      <c r="I408" s="440"/>
      <c r="J408" t="str">
        <v>Litter in residential environments</v>
      </c>
    </row>
    <row r="409" spans="7:10" ht="15.75" thickBot="1">
      <c r="G409" s="443"/>
      <c r="H409" s="443"/>
      <c r="I409" s="440"/>
      <c r="J409" t="str">
        <v>Wet wipes</v>
      </c>
    </row>
    <row r="410" spans="7:10" ht="15.75" thickBot="1">
      <c r="G410" s="443"/>
      <c r="H410" s="443"/>
      <c r="I410" s="440"/>
      <c r="J410" t="str">
        <v>Medicine diffusion limitation (slow release)</v>
      </c>
    </row>
    <row r="411" spans="7:10" ht="15.75" thickBot="1">
      <c r="G411" s="443"/>
      <c r="H411" s="443"/>
      <c r="I411" s="440"/>
      <c r="J411" t="str">
        <v>Natural soil (macro)</v>
      </c>
    </row>
    <row r="412" spans="7:10" ht="15.75" thickBot="1">
      <c r="G412" s="443"/>
      <c r="H412" s="443"/>
      <c r="I412" s="440"/>
      <c r="J412" t="str">
        <v>ELV textiles collection</v>
      </c>
    </row>
    <row r="413" spans="7:10" ht="15.75" thickBot="1">
      <c r="G413" s="443"/>
      <c r="H413" s="443"/>
      <c r="I413" s="440"/>
      <c r="J413" t="str">
        <v>Mixed waste collection (micro)</v>
      </c>
    </row>
    <row r="414" spans="7:10" ht="15.75" thickBot="1">
      <c r="G414" s="443"/>
      <c r="H414" s="443"/>
      <c r="I414" s="440"/>
      <c r="J414" t="str">
        <v>Technical home textiles (discarded)</v>
      </c>
    </row>
    <row r="415" spans="7:10" ht="15.75" thickBot="1">
      <c r="G415" s="443"/>
      <c r="H415" s="443"/>
      <c r="I415" s="440"/>
      <c r="J415" t="str">
        <v>Technical home textiles (in use)</v>
      </c>
    </row>
    <row r="416" spans="7:10" ht="15.75" thickBot="1">
      <c r="G416" s="443"/>
      <c r="H416" s="443"/>
      <c r="I416" s="440"/>
      <c r="J416" t="str">
        <v>Agrotextiles</v>
      </c>
    </row>
    <row r="417" spans="7:10" ht="15.75" thickBot="1">
      <c r="G417" s="443"/>
      <c r="H417" s="443"/>
      <c r="I417" s="440"/>
      <c r="J417" t="str">
        <v>Natural soil (micro)</v>
      </c>
    </row>
    <row r="418" spans="7:10" ht="15.75" thickBot="1">
      <c r="G418" s="443"/>
      <c r="H418" s="443"/>
      <c r="I418" s="440"/>
      <c r="J418" t="str">
        <v>Non-consumer bags</v>
      </c>
    </row>
    <row r="419" spans="7:10" ht="15.75" thickBot="1">
      <c r="G419" s="443"/>
      <c r="H419" s="443"/>
      <c r="I419" s="440"/>
      <c r="J419" t="str">
        <v>Offshore oil &amp; gas applications</v>
      </c>
    </row>
    <row r="420" spans="7:10" ht="15.75" thickBot="1">
      <c r="G420" s="443"/>
      <c r="H420" s="443"/>
      <c r="I420" s="440"/>
      <c r="J420" t="str">
        <v>On-site sewage facility (macro)</v>
      </c>
    </row>
    <row r="421" spans="7:10" ht="15.75" thickBot="1">
      <c r="G421" s="443"/>
      <c r="H421" s="443"/>
      <c r="I421" s="440"/>
      <c r="J421" t="str">
        <v>On-site sewage facility (micro)</v>
      </c>
    </row>
    <row r="422" spans="7:10" ht="15.75" thickBot="1">
      <c r="G422" s="443"/>
      <c r="H422" s="443"/>
      <c r="I422" s="440"/>
      <c r="J422" t="str">
        <v>On-the-go consumption</v>
      </c>
    </row>
    <row r="423" spans="7:10" ht="15.75" thickBot="1">
      <c r="G423" s="443"/>
      <c r="H423" s="443"/>
      <c r="I423" s="440"/>
      <c r="J423" t="str">
        <v>On-the-go consumption (nature)</v>
      </c>
    </row>
    <row r="424" spans="7:10" ht="15.75" thickBot="1">
      <c r="G424" s="443"/>
      <c r="H424" s="443"/>
      <c r="I424" s="440"/>
      <c r="J424" t="str">
        <v>On-the-go consumption (residential)</v>
      </c>
    </row>
    <row r="425" spans="7:10" ht="15.75" thickBot="1">
      <c r="G425" s="443"/>
      <c r="H425" s="443"/>
      <c r="I425" s="440"/>
      <c r="J425" t="str">
        <v>On-the-go consumption (transport)</v>
      </c>
    </row>
    <row r="426" spans="7:10" ht="15.75" thickBot="1">
      <c r="G426" s="443"/>
      <c r="H426" s="443"/>
      <c r="I426" s="440"/>
      <c r="J426" t="str">
        <v>Other consumer packaging</v>
      </c>
    </row>
    <row r="427" spans="7:10" ht="15.75" thickBot="1">
      <c r="G427" s="443"/>
      <c r="H427" s="443"/>
      <c r="I427" s="440"/>
      <c r="J427" t="str">
        <v>Other non-consumer films</v>
      </c>
    </row>
    <row r="428" spans="7:10" ht="15.75" thickBot="1">
      <c r="G428" s="443"/>
      <c r="H428" s="443"/>
      <c r="I428" s="440"/>
      <c r="J428" t="str">
        <v>Other non-consumer packaging</v>
      </c>
    </row>
    <row r="429" spans="7:10" ht="15.75" thickBot="1">
      <c r="G429" s="443"/>
      <c r="H429" s="443"/>
      <c r="I429" s="440"/>
      <c r="J429" t="str">
        <v>Building textiles</v>
      </c>
    </row>
    <row r="430" spans="7:10" ht="15.75" thickBot="1">
      <c r="G430" s="443"/>
      <c r="H430" s="443"/>
      <c r="I430" s="440"/>
      <c r="J430" t="str">
        <v>Road side soil (micro)</v>
      </c>
    </row>
    <row r="431" spans="7:10" ht="15.75" thickBot="1">
      <c r="G431" s="443"/>
      <c r="H431" s="443"/>
      <c r="I431" s="440"/>
      <c r="J431" t="str">
        <v>Highway ZOAB non cleaned</v>
      </c>
    </row>
    <row r="432" spans="7:10" ht="15.75" thickBot="1">
      <c r="G432" s="443"/>
      <c r="H432" s="443"/>
      <c r="I432" s="440"/>
      <c r="J432" t="str">
        <v>Packaging collection</v>
      </c>
    </row>
    <row r="433" spans="7:10" ht="15.75" thickBot="1">
      <c r="G433" s="443"/>
      <c r="H433" s="443"/>
      <c r="I433" s="440"/>
      <c r="J433" t="str">
        <v>Packaging recycling</v>
      </c>
    </row>
    <row r="434" spans="7:10" ht="15.75" thickBot="1">
      <c r="G434" s="443"/>
      <c r="H434" s="443"/>
      <c r="I434" s="440"/>
      <c r="J434" t="str">
        <v>Geotextiles</v>
      </c>
    </row>
    <row r="435" spans="7:10" ht="15.75" thickBot="1">
      <c r="G435" s="443"/>
      <c r="H435" s="443"/>
      <c r="I435" s="440"/>
      <c r="J435" t="str">
        <v>PCCP</v>
      </c>
    </row>
    <row r="436" spans="7:10" ht="15.75" thickBot="1">
      <c r="G436" s="443"/>
      <c r="H436" s="443"/>
      <c r="I436" s="440"/>
      <c r="J436" t="str">
        <v>Plant protection products</v>
      </c>
    </row>
    <row r="437" spans="7:10" ht="15.75" thickBot="1">
      <c r="G437" s="443"/>
      <c r="H437" s="443"/>
      <c r="I437" s="440"/>
      <c r="J437" t="str">
        <v>Primary water treatment (macro)</v>
      </c>
    </row>
    <row r="438" spans="7:10" ht="15.75" thickBot="1">
      <c r="G438" s="443"/>
      <c r="H438" s="443"/>
      <c r="I438" s="440"/>
      <c r="J438" t="str">
        <v>Primary water treatment (micro)</v>
      </c>
    </row>
    <row r="439" spans="7:10" ht="15.75" thickBot="1">
      <c r="G439" s="443"/>
      <c r="H439" s="443"/>
      <c r="I439" s="440"/>
      <c r="J439" t="str">
        <v>Stormwater (macro)</v>
      </c>
    </row>
    <row r="440" spans="7:10" ht="15.75" thickBot="1">
      <c r="G440" s="443"/>
      <c r="H440" s="443"/>
      <c r="I440" s="440"/>
      <c r="J440" t="str">
        <v>Stormwater (micro)</v>
      </c>
    </row>
    <row r="441" spans="7:10" ht="15.75" thickBot="1">
      <c r="G441" s="443"/>
      <c r="H441" s="443"/>
      <c r="I441" s="440"/>
      <c r="J441" t="str">
        <v>Highway</v>
      </c>
    </row>
    <row r="442" spans="7:10" ht="15.75" thickBot="1">
      <c r="G442" s="443"/>
      <c r="H442" s="443"/>
      <c r="I442" s="440"/>
      <c r="J442" t="str">
        <v>Rural roads</v>
      </c>
    </row>
    <row r="443" spans="7:10" ht="15.75" thickBot="1">
      <c r="G443" s="443"/>
      <c r="H443" s="443"/>
      <c r="I443" s="440"/>
      <c r="J443" t="str">
        <v>Urban roads</v>
      </c>
    </row>
    <row r="444" spans="7:10" ht="15.75" thickBot="1">
      <c r="G444" s="443"/>
      <c r="H444" s="443"/>
      <c r="I444" s="440"/>
      <c r="J444" t="str">
        <v>Medical textiles</v>
      </c>
    </row>
    <row r="445" spans="7:10" ht="15.75" thickBot="1">
      <c r="G445" s="443"/>
      <c r="H445" s="443"/>
      <c r="I445" s="440"/>
      <c r="J445" t="str">
        <v>Secondary water treatment (macro)</v>
      </c>
    </row>
    <row r="446" spans="7:10" ht="15.75" thickBot="1">
      <c r="G446" s="443"/>
      <c r="H446" s="443"/>
      <c r="I446" s="440"/>
      <c r="J446" t="str">
        <v>Secondary water treatment (micro)</v>
      </c>
    </row>
    <row r="447" spans="7:10" ht="15.75" thickBot="1">
      <c r="G447" s="443"/>
      <c r="H447" s="443"/>
      <c r="I447" s="440"/>
      <c r="J447" t="str">
        <v>Seed coating</v>
      </c>
    </row>
    <row r="448" spans="7:10" ht="15.75" thickBot="1">
      <c r="G448" s="443"/>
      <c r="H448" s="443"/>
      <c r="I448" s="440"/>
      <c r="J448" t="str">
        <v>Sludge (macro)</v>
      </c>
    </row>
    <row r="449" spans="7:10" ht="15.75" thickBot="1">
      <c r="G449" s="443"/>
      <c r="H449" s="443"/>
      <c r="I449" s="440"/>
      <c r="J449" t="str">
        <v>Sludge (micro)</v>
      </c>
    </row>
    <row r="450" spans="7:10" ht="15.75" thickBot="1">
      <c r="G450" s="443"/>
      <c r="H450" s="443"/>
      <c r="I450" s="440"/>
      <c r="J450" t="str">
        <v>Textile recycling</v>
      </c>
    </row>
    <row r="451" spans="7:10" ht="15.75" thickBot="1">
      <c r="G451" s="443"/>
      <c r="H451" s="443"/>
      <c r="I451" s="440"/>
      <c r="J451" t="str">
        <v>Road side soil (macro)</v>
      </c>
    </row>
    <row r="452" spans="7:10" ht="15.75" thickBot="1">
      <c r="G452" s="443"/>
      <c r="H452" s="443"/>
      <c r="I452" s="440"/>
      <c r="J452" t="str">
        <v>Road runoff</v>
      </c>
    </row>
    <row r="453" spans="7:10" ht="15.75" thickBot="1">
      <c r="G453" s="443"/>
      <c r="H453" s="443"/>
      <c r="I453" s="440"/>
      <c r="J453" t="str">
        <v>Mobility textiles</v>
      </c>
    </row>
    <row r="454" spans="7:10" ht="15.75" thickBot="1">
      <c r="G454" s="443"/>
      <c r="H454" s="443"/>
      <c r="I454" s="440"/>
      <c r="J454" t="str">
        <v>Other technical textiles</v>
      </c>
    </row>
    <row r="455" spans="7:10" ht="15.75" thickBot="1">
      <c r="G455" s="443"/>
      <c r="H455" s="443"/>
      <c r="I455" s="440"/>
      <c r="J455" t="str">
        <v>Tertiary water treatment (macro)</v>
      </c>
    </row>
    <row r="456" spans="7:10" ht="15.75" thickBot="1">
      <c r="G456" s="443"/>
      <c r="H456" s="443"/>
      <c r="I456" s="440"/>
      <c r="J456" t="str">
        <v>Tertiary water treatment (micro)</v>
      </c>
    </row>
    <row r="457" spans="7:10" ht="15.75" thickBot="1">
      <c r="G457" s="443"/>
      <c r="H457" s="443"/>
      <c r="I457" s="440"/>
      <c r="J457" t="str">
        <v>Technical home textiles</v>
      </c>
    </row>
    <row r="458" spans="7:10" ht="15.75" thickBot="1">
      <c r="G458" s="443"/>
      <c r="H458" s="443"/>
      <c r="I458" s="440"/>
      <c r="J458" t="str">
        <v>Textile coating (discarded)</v>
      </c>
    </row>
    <row r="459" spans="7:10" ht="15.75" thickBot="1">
      <c r="G459" s="443"/>
      <c r="H459" s="443"/>
      <c r="I459" s="440"/>
      <c r="J459" t="str">
        <v>Textile coating (in use)</v>
      </c>
    </row>
    <row r="460" spans="7:10">
      <c r="G460" s="443"/>
      <c r="H460" s="443"/>
      <c r="I460" s="440"/>
      <c r="J460" t="str">
        <v>Textile reuse</v>
      </c>
    </row>
    <row r="461" spans="7:10">
      <c r="G461" s="443"/>
      <c r="H461" s="443"/>
      <c r="I461" s="230"/>
      <c r="J461" t="str">
        <v>Wastewater (macro)</v>
      </c>
    </row>
    <row r="462" spans="7:10">
      <c r="G462" s="443"/>
      <c r="H462" s="443"/>
      <c r="I462" s="230"/>
      <c r="J462" t="str">
        <v>Pellet conversion</v>
      </c>
    </row>
    <row r="463" spans="7:10">
      <c r="I463" s="68"/>
      <c r="J463" t="str">
        <v>Textile coating</v>
      </c>
    </row>
    <row r="464" spans="7:10" ht="15.75" thickBot="1">
      <c r="I464" s="72"/>
      <c r="J464" t="str">
        <v>Pellet losses transport land</v>
      </c>
    </row>
    <row r="465" spans="10:10">
      <c r="J465" t="str">
        <v>Sea water (micro)</v>
      </c>
    </row>
    <row r="466" spans="10:10">
      <c r="J466" t="str">
        <v>Pellet losses industrial plants</v>
      </c>
    </row>
    <row r="467" spans="10:10">
      <c r="J467" t="str">
        <v>Concrete paint (prof)</v>
      </c>
    </row>
    <row r="468" spans="10:10">
      <c r="J468" t="str">
        <v>Lacquer (prof)</v>
      </c>
    </row>
    <row r="469" spans="10:10">
      <c r="J469" t="str">
        <v>Wood stain (prof)</v>
      </c>
    </row>
    <row r="470" spans="10:10">
      <c r="J470" t="str">
        <v>Wall paint (prof)</v>
      </c>
    </row>
    <row r="471" spans="10:10">
      <c r="J471" t="str">
        <v>Plaster (prof)</v>
      </c>
    </row>
    <row r="472" spans="10:10">
      <c r="J472" t="str">
        <v>Other paint uses (prof)</v>
      </c>
    </row>
    <row r="473" spans="10:10">
      <c r="J473" t="str">
        <v>Paints used in pre-made wooden products</v>
      </c>
    </row>
    <row r="474" spans="10:10">
      <c r="J474" t="str">
        <v>Lacquer (DIY)</v>
      </c>
    </row>
    <row r="475" spans="10:10">
      <c r="J475" t="str">
        <v>Wood stain (DIY)</v>
      </c>
    </row>
    <row r="476" spans="10:10">
      <c r="J476" t="str">
        <v>Wall paint (DIY)</v>
      </c>
    </row>
    <row r="477" spans="10:10">
      <c r="J477" t="str">
        <v>Plaster (DIY)</v>
      </c>
    </row>
    <row r="478" spans="10:10">
      <c r="J478" t="str">
        <v>Other paint uses (DIY)</v>
      </c>
    </row>
    <row r="479" spans="10:10">
      <c r="J479" t="str">
        <v>Ship paint (prof)</v>
      </c>
    </row>
    <row r="480" spans="10:10">
      <c r="J480" t="str">
        <v>Ship paint (recr)</v>
      </c>
    </row>
    <row r="481" spans="10:10">
      <c r="J481" t="str">
        <v>Ship paint (prof) (in use)</v>
      </c>
    </row>
    <row r="482" spans="10:10">
      <c r="J482" t="str">
        <v>Ship paint (prof) (discarded)</v>
      </c>
    </row>
    <row r="483" spans="10:10">
      <c r="J483" t="str">
        <v>Ship paint (recr) (in use)</v>
      </c>
    </row>
    <row r="484" spans="10:10">
      <c r="J484" t="str">
        <v>Ship paint (recr) (discarded)</v>
      </c>
    </row>
    <row r="485" spans="10:10">
      <c r="J485" t="str">
        <v>Concrete paint (prof) outdoor</v>
      </c>
    </row>
    <row r="486" spans="10:10">
      <c r="J486" t="str">
        <v>Concrete paint (prof) indoor</v>
      </c>
    </row>
    <row r="487" spans="10:10">
      <c r="J487" t="str">
        <v>Concrete paint (prof) outdoor (in use)</v>
      </c>
    </row>
    <row r="488" spans="10:10">
      <c r="J488" t="str">
        <v>Concrete paint (prof) outdoor (discarded)</v>
      </c>
    </row>
    <row r="489" spans="10:10">
      <c r="J489" t="str">
        <v>Concrete paint (prof) indoor (in use)</v>
      </c>
    </row>
    <row r="490" spans="10:10">
      <c r="J490" t="str">
        <v>Concrete paint (prof) indoor (discarded)</v>
      </c>
    </row>
    <row r="491" spans="10:10">
      <c r="J491" t="str">
        <v>Lacquer (prof) outdoor</v>
      </c>
    </row>
    <row r="492" spans="10:10">
      <c r="J492" t="str">
        <v>Lacquer (prof) indoor</v>
      </c>
    </row>
    <row r="493" spans="10:10">
      <c r="J493" t="str">
        <v>Lacquer (prof) outdoor (in use)</v>
      </c>
    </row>
    <row r="494" spans="10:10">
      <c r="J494" t="str">
        <v>Lacquer (prof) outdoor (discarded)</v>
      </c>
    </row>
    <row r="495" spans="10:10">
      <c r="J495" t="str">
        <v>Lacquer (prof) indoor (in use)</v>
      </c>
    </row>
    <row r="496" spans="10:10">
      <c r="J496" t="str">
        <v>Lacquer (prof) indoor (discarded)</v>
      </c>
    </row>
    <row r="497" spans="10:10">
      <c r="J497" t="str">
        <v>Wood stain (prof) outdoor</v>
      </c>
    </row>
    <row r="498" spans="10:10">
      <c r="J498" t="str">
        <v>Wood stain (prof) indoor</v>
      </c>
    </row>
    <row r="499" spans="10:10">
      <c r="J499" t="str">
        <v>Wood stain (prof) outdoor (in use)</v>
      </c>
    </row>
    <row r="500" spans="10:10">
      <c r="J500" t="str">
        <v>Wood stain (prof) outdoor (discarded)</v>
      </c>
    </row>
    <row r="501" spans="10:10">
      <c r="J501" t="str">
        <v>Wood stain (prof) indoor (in use)</v>
      </c>
    </row>
    <row r="502" spans="10:10">
      <c r="J502" t="str">
        <v>Wood stain (prof) indoor (discarded)</v>
      </c>
    </row>
    <row r="503" spans="10:10">
      <c r="J503" t="str">
        <v>Wall paint (prof) outdoor</v>
      </c>
    </row>
    <row r="504" spans="10:10">
      <c r="J504" t="str">
        <v>Wall paint (prof) indoor</v>
      </c>
    </row>
    <row r="505" spans="10:10">
      <c r="J505" t="str">
        <v>Wall paint (prof) outdoor (in use)</v>
      </c>
    </row>
    <row r="506" spans="10:10">
      <c r="J506" t="str">
        <v>Wall paint (prof) outdoor (discarded)</v>
      </c>
    </row>
    <row r="507" spans="10:10">
      <c r="J507" t="str">
        <v>Wall paint (prof) indoor (in use)</v>
      </c>
    </row>
    <row r="508" spans="10:10">
      <c r="J508" t="str">
        <v>Wall paint (prof) indoor (discarded)</v>
      </c>
    </row>
    <row r="509" spans="10:10">
      <c r="J509" t="str">
        <v>Plaster (prof) outdoor</v>
      </c>
    </row>
    <row r="510" spans="10:10">
      <c r="J510" t="str">
        <v>Plaster (prof) indoor</v>
      </c>
    </row>
    <row r="511" spans="10:10">
      <c r="J511" t="str">
        <v>Plaster (prof) outdoor (in use)</v>
      </c>
    </row>
    <row r="512" spans="10:10">
      <c r="J512" t="str">
        <v>Plaster (prof) outdoor (discarded)</v>
      </c>
    </row>
    <row r="513" spans="10:10">
      <c r="J513" t="str">
        <v>Plaster (prof) indoor (in use)</v>
      </c>
    </row>
    <row r="514" spans="10:10">
      <c r="J514" t="str">
        <v>Plaster (prof) indoor (discarded)</v>
      </c>
    </row>
    <row r="515" spans="10:10">
      <c r="J515" t="str">
        <v>Other paint uses (prof) outdoor</v>
      </c>
    </row>
    <row r="516" spans="10:10">
      <c r="J516" t="str">
        <v>Other paint uses (prof) indoor</v>
      </c>
    </row>
    <row r="517" spans="10:10">
      <c r="J517" t="str">
        <v>Other paint uses (prof) outdoor (in use)</v>
      </c>
    </row>
    <row r="518" spans="10:10">
      <c r="J518" t="str">
        <v>Other paint uses (prof) outdoor (discarded)</v>
      </c>
    </row>
    <row r="519" spans="10:10">
      <c r="J519" t="str">
        <v>Other paint uses (prof) indoor (in use)</v>
      </c>
    </row>
    <row r="520" spans="10:10">
      <c r="J520" t="str">
        <v>Other paint uses (prof) indoor (discarded)</v>
      </c>
    </row>
    <row r="521" spans="10:10">
      <c r="J521" t="str">
        <v>Paints used in pre-made wooden products outdoor</v>
      </c>
    </row>
    <row r="522" spans="10:10">
      <c r="J522" t="str">
        <v>Paints used in pre-made wooden products indoor</v>
      </c>
    </row>
    <row r="523" spans="10:10">
      <c r="J523" t="str">
        <v>Paints used in pre-made wooden products outdoor (in use)</v>
      </c>
    </row>
    <row r="524" spans="10:10">
      <c r="J524" t="str">
        <v>Paints used in pre-made wooden products outdoor (discarded)</v>
      </c>
    </row>
    <row r="525" spans="10:10">
      <c r="J525" t="str">
        <v>Paints used in pre-made wooden products indoor (in use)</v>
      </c>
    </row>
    <row r="526" spans="10:10">
      <c r="J526" t="str">
        <v>Paints used in pre-made wooden products indoor (discarded)</v>
      </c>
    </row>
    <row r="527" spans="10:10">
      <c r="J527" t="str">
        <v>Lacquer (DIY) outdoor</v>
      </c>
    </row>
    <row r="528" spans="10:10">
      <c r="J528" t="str">
        <v>Lacquer (DIY) indoor</v>
      </c>
    </row>
    <row r="529" spans="10:10">
      <c r="J529" t="str">
        <v>Lacquer (DIY) outdoor (in use)</v>
      </c>
    </row>
    <row r="530" spans="10:10">
      <c r="J530" t="str">
        <v>Lacquer (DIY) outdoor (discarded)</v>
      </c>
    </row>
    <row r="531" spans="10:10">
      <c r="J531" t="str">
        <v>Lacquer (DIY) indoor (in use)</v>
      </c>
    </row>
    <row r="532" spans="10:10">
      <c r="J532" t="str">
        <v>Lacquer (DIY) indoor (discarded)</v>
      </c>
    </row>
    <row r="533" spans="10:10">
      <c r="J533" t="str">
        <v>Wood stain (DIY) outdoor</v>
      </c>
    </row>
    <row r="534" spans="10:10">
      <c r="J534" t="str">
        <v>Wood stain (DIY) indoor</v>
      </c>
    </row>
    <row r="535" spans="10:10">
      <c r="J535" t="str">
        <v>Wood stain (DIY) outdoor (in use)</v>
      </c>
    </row>
    <row r="536" spans="10:10">
      <c r="J536" t="str">
        <v>Wood stain (DIY) outdoor (discarded)</v>
      </c>
    </row>
    <row r="537" spans="10:10">
      <c r="J537" t="str">
        <v>Wood stain (DIY) indoor (in use)</v>
      </c>
    </row>
    <row r="538" spans="10:10">
      <c r="J538" t="str">
        <v>Wood stain (DIY) indoor (discarded)</v>
      </c>
    </row>
    <row r="539" spans="10:10">
      <c r="J539" t="str">
        <v>Wall paint (DIY) outdoor</v>
      </c>
    </row>
    <row r="540" spans="10:10">
      <c r="J540" t="str">
        <v>Wall paint (DIY) indoor</v>
      </c>
    </row>
    <row r="541" spans="10:10">
      <c r="J541" t="str">
        <v>Wall paint (DIY) outdoor (in use)</v>
      </c>
    </row>
    <row r="542" spans="10:10">
      <c r="J542" t="str">
        <v>Wall paint (DIY) outdoor (discarded)</v>
      </c>
    </row>
    <row r="543" spans="10:10">
      <c r="J543" t="str">
        <v>Wall paint (DIY) indoor applied</v>
      </c>
    </row>
    <row r="544" spans="10:10">
      <c r="J544" t="str">
        <v>Wall paint (DIY) indoor on brush</v>
      </c>
    </row>
    <row r="545" spans="10:10">
      <c r="J545" t="str">
        <v>Wall paint (DIY) indoor applied (in use)</v>
      </c>
    </row>
    <row r="546" spans="10:10">
      <c r="J546" t="str">
        <v>Wall paint (DIY) indoor applied (discarded)</v>
      </c>
    </row>
    <row r="547" spans="10:10">
      <c r="J547" t="str">
        <v>Plaster (DIY) outdoor</v>
      </c>
    </row>
    <row r="548" spans="10:10">
      <c r="J548" t="str">
        <v>Plaster (DIY) indoor</v>
      </c>
    </row>
    <row r="549" spans="10:10">
      <c r="J549" t="str">
        <v>Plaster (DIY) outdoor (in use)</v>
      </c>
    </row>
    <row r="550" spans="10:10">
      <c r="J550" t="str">
        <v>Plaster (DIY) outdoor (discarded)</v>
      </c>
    </row>
    <row r="551" spans="10:10">
      <c r="J551" t="str">
        <v>Plaster (DIY) indoor (in use)</v>
      </c>
    </row>
    <row r="552" spans="10:10">
      <c r="J552" t="str">
        <v>Plaster (DIY) indoor (discarded)</v>
      </c>
    </row>
    <row r="553" spans="10:10">
      <c r="J553" t="str">
        <v>Other paint uses (DIY) outdoor</v>
      </c>
    </row>
    <row r="554" spans="10:10">
      <c r="J554" t="str">
        <v>Other paint uses (DIY) indoor</v>
      </c>
    </row>
    <row r="555" spans="10:10">
      <c r="J555" t="str">
        <v>Other paint uses (DIY) outdoor (in use)</v>
      </c>
    </row>
    <row r="556" spans="10:10">
      <c r="J556" t="str">
        <v>Other paint uses (DIY) outdoor (discarded)</v>
      </c>
    </row>
    <row r="557" spans="10:10">
      <c r="J557" t="str">
        <v>Other paint uses (DIY) indoor (in use)</v>
      </c>
    </row>
    <row r="558" spans="10:10">
      <c r="J558" t="str">
        <v>Other paint uses (DIY) indoor (discarded)</v>
      </c>
    </row>
    <row r="559" spans="10:10">
      <c r="J559">
        <v>0</v>
      </c>
    </row>
    <row r="560" spans="10:10">
      <c r="J560">
        <v>0</v>
      </c>
    </row>
    <row r="561" spans="10:10">
      <c r="J561">
        <v>0</v>
      </c>
    </row>
    <row r="562" spans="10:10">
      <c r="J562">
        <v>0</v>
      </c>
    </row>
    <row r="563" spans="10:10">
      <c r="J563">
        <v>0</v>
      </c>
    </row>
    <row r="564" spans="10:10">
      <c r="J564">
        <v>0</v>
      </c>
    </row>
    <row r="565" spans="10:10">
      <c r="J565">
        <v>0</v>
      </c>
    </row>
    <row r="566" spans="10:10">
      <c r="J566">
        <v>0</v>
      </c>
    </row>
    <row r="567" spans="10:10">
      <c r="J567">
        <v>0</v>
      </c>
    </row>
    <row r="568" spans="10:10">
      <c r="J568">
        <v>0</v>
      </c>
    </row>
    <row r="569" spans="10:10">
      <c r="J569">
        <v>0</v>
      </c>
    </row>
    <row r="570" spans="10:10">
      <c r="J570">
        <v>0</v>
      </c>
    </row>
    <row r="571" spans="10:10">
      <c r="J571">
        <v>0</v>
      </c>
    </row>
    <row r="572" spans="10:10">
      <c r="J572">
        <v>0</v>
      </c>
    </row>
    <row r="573" spans="10:10">
      <c r="J573">
        <v>0</v>
      </c>
    </row>
    <row r="574" spans="10:10">
      <c r="J574">
        <v>0</v>
      </c>
    </row>
    <row r="575" spans="10:10">
      <c r="J575">
        <v>0</v>
      </c>
    </row>
    <row r="576" spans="10:10">
      <c r="J576">
        <v>0</v>
      </c>
    </row>
    <row r="577" spans="10:10">
      <c r="J577">
        <v>0</v>
      </c>
    </row>
    <row r="578" spans="10:10">
      <c r="J578">
        <v>0</v>
      </c>
    </row>
    <row r="579" spans="10:10">
      <c r="J579">
        <v>0</v>
      </c>
    </row>
    <row r="580" spans="10:10">
      <c r="J580">
        <v>0</v>
      </c>
    </row>
    <row r="581" spans="10:10">
      <c r="J581">
        <v>0</v>
      </c>
    </row>
    <row r="582" spans="10:10">
      <c r="J582">
        <v>0</v>
      </c>
    </row>
    <row r="583" spans="10:10">
      <c r="J583">
        <v>0</v>
      </c>
    </row>
    <row r="584" spans="10:10">
      <c r="J584">
        <v>0</v>
      </c>
    </row>
    <row r="585" spans="10:10">
      <c r="J585">
        <v>0</v>
      </c>
    </row>
    <row r="586" spans="10:10">
      <c r="J586">
        <v>0</v>
      </c>
    </row>
    <row r="587" spans="10:10">
      <c r="J587">
        <v>0</v>
      </c>
    </row>
    <row r="588" spans="10:10">
      <c r="J588">
        <v>0</v>
      </c>
    </row>
    <row r="589" spans="10:10">
      <c r="J589">
        <v>0</v>
      </c>
    </row>
    <row r="590" spans="10:10">
      <c r="J590">
        <v>0</v>
      </c>
    </row>
    <row r="591" spans="10:10">
      <c r="J591">
        <v>0</v>
      </c>
    </row>
    <row r="592" spans="10:10">
      <c r="J592">
        <v>0</v>
      </c>
    </row>
    <row r="593" spans="10:10">
      <c r="J593">
        <v>0</v>
      </c>
    </row>
    <row r="594" spans="10:10">
      <c r="J594">
        <v>0</v>
      </c>
    </row>
    <row r="595" spans="10:10">
      <c r="J595">
        <v>0</v>
      </c>
    </row>
    <row r="596" spans="10:10">
      <c r="J596">
        <v>0</v>
      </c>
    </row>
    <row r="597" spans="10:10">
      <c r="J597">
        <v>0</v>
      </c>
    </row>
    <row r="598" spans="10:10">
      <c r="J598">
        <v>0</v>
      </c>
    </row>
    <row r="599" spans="10:10">
      <c r="J599">
        <v>0</v>
      </c>
    </row>
    <row r="600" spans="10:10">
      <c r="J600">
        <v>0</v>
      </c>
    </row>
    <row r="601" spans="10:10">
      <c r="J601">
        <v>0</v>
      </c>
    </row>
    <row r="602" spans="10:10">
      <c r="J602">
        <v>0</v>
      </c>
    </row>
    <row r="603" spans="10:10">
      <c r="J603">
        <v>0</v>
      </c>
    </row>
    <row r="604" spans="10:10">
      <c r="J604">
        <v>0</v>
      </c>
    </row>
    <row r="605" spans="10:10">
      <c r="J605">
        <v>0</v>
      </c>
    </row>
    <row r="606" spans="10:10">
      <c r="J606">
        <v>0</v>
      </c>
    </row>
    <row r="607" spans="10:10">
      <c r="J607">
        <v>0</v>
      </c>
    </row>
    <row r="608" spans="10:10">
      <c r="J608">
        <v>0</v>
      </c>
    </row>
    <row r="609" spans="10:10">
      <c r="J609">
        <v>0</v>
      </c>
    </row>
    <row r="610" spans="10:10">
      <c r="J610">
        <v>0</v>
      </c>
    </row>
    <row r="611" spans="10:10">
      <c r="J611">
        <v>0</v>
      </c>
    </row>
    <row r="612" spans="10:10">
      <c r="J612">
        <v>0</v>
      </c>
    </row>
    <row r="613" spans="10:10">
      <c r="J613">
        <v>0</v>
      </c>
    </row>
    <row r="614" spans="10:10">
      <c r="J614">
        <v>0</v>
      </c>
    </row>
    <row r="615" spans="10:10">
      <c r="J615">
        <v>0</v>
      </c>
    </row>
    <row r="616" spans="10:10">
      <c r="J616">
        <v>0</v>
      </c>
    </row>
    <row r="617" spans="10:10">
      <c r="J617">
        <v>0</v>
      </c>
    </row>
    <row r="618" spans="10:10">
      <c r="J618">
        <v>0</v>
      </c>
    </row>
    <row r="619" spans="10:10">
      <c r="J619">
        <v>0</v>
      </c>
    </row>
    <row r="620" spans="10:10">
      <c r="J620">
        <v>0</v>
      </c>
    </row>
    <row r="621" spans="10:10">
      <c r="J621">
        <v>0</v>
      </c>
    </row>
    <row r="622" spans="10:10">
      <c r="J622">
        <v>0</v>
      </c>
    </row>
    <row r="623" spans="10:10">
      <c r="J623">
        <v>0</v>
      </c>
    </row>
    <row r="624" spans="10:10">
      <c r="J624">
        <v>0</v>
      </c>
    </row>
    <row r="625" spans="10:10">
      <c r="J625">
        <v>0</v>
      </c>
    </row>
    <row r="626" spans="10:10">
      <c r="J626">
        <v>0</v>
      </c>
    </row>
  </sheetData>
  <sortState xmlns:xlrd2="http://schemas.microsoft.com/office/spreadsheetml/2017/richdata2" ref="I3:I440">
    <sortCondition ref="I3:I440"/>
  </sortState>
  <mergeCells count="1">
    <mergeCell ref="G1:H1"/>
  </mergeCells>
  <conditionalFormatting sqref="B2:B251">
    <cfRule type="containsText" dxfId="18" priority="1" operator="containsText" text="stock">
      <formula>NOT(ISERROR(SEARCH("stock",B2)))</formula>
    </cfRule>
    <cfRule type="containsText" dxfId="17" priority="2" operator="containsText" text="Not found">
      <formula>NOT(ISERROR(SEARCH("Not found",B2)))</formula>
    </cfRule>
    <cfRule type="containsText" dxfId="16" priority="3" operator="containsText" text="Sink">
      <formula>NOT(ISERROR(SEARCH("Sink",B2)))</formula>
    </cfRule>
  </conditionalFormatting>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75452-2B1A-4461-B635-C388F58109C0}">
  <sheetPr>
    <tabColor rgb="FF92D050"/>
  </sheetPr>
  <dimension ref="A1:F1015"/>
  <sheetViews>
    <sheetView topLeftCell="A74" zoomScale="85" zoomScaleNormal="85" workbookViewId="0">
      <selection activeCell="E44" sqref="E44"/>
    </sheetView>
  </sheetViews>
  <sheetFormatPr defaultRowHeight="15"/>
  <cols>
    <col min="1" max="1" width="38.5703125" style="1" customWidth="1"/>
    <col min="2" max="2" width="20.5703125" bestFit="1" customWidth="1"/>
    <col min="3" max="3" width="55.28515625" bestFit="1" customWidth="1"/>
    <col min="4" max="4" width="32.85546875" style="6" customWidth="1"/>
    <col min="5" max="5" width="44.85546875" style="6" customWidth="1"/>
    <col min="6" max="6" width="50.7109375" style="6" customWidth="1"/>
  </cols>
  <sheetData>
    <row r="1" spans="1:6" s="4" customFormat="1" ht="30" customHeight="1" thickBot="1">
      <c r="A1" s="617" t="s">
        <v>1493</v>
      </c>
      <c r="B1" s="617" t="s">
        <v>1494</v>
      </c>
      <c r="C1" s="617" t="s">
        <v>1495</v>
      </c>
      <c r="D1" s="617" t="s">
        <v>1496</v>
      </c>
      <c r="E1" s="617"/>
      <c r="F1" s="617"/>
    </row>
    <row r="2" spans="1:6" s="16" customFormat="1" ht="30" customHeight="1" thickBot="1">
      <c r="A2" s="58" t="s">
        <v>1485</v>
      </c>
      <c r="B2" s="65" t="s">
        <v>1486</v>
      </c>
      <c r="C2" s="58" t="s">
        <v>1487</v>
      </c>
      <c r="D2" s="58" t="s">
        <v>1497</v>
      </c>
      <c r="E2" s="144" t="s">
        <v>1498</v>
      </c>
      <c r="F2" s="65" t="s">
        <v>1499</v>
      </c>
    </row>
    <row r="3" spans="1:6">
      <c r="A3" s="572" t="s">
        <v>1131</v>
      </c>
      <c r="B3" s="95" t="s">
        <v>1500</v>
      </c>
      <c r="C3" s="326" t="s">
        <v>1501</v>
      </c>
      <c r="D3" s="307" t="str">
        <f t="shared" ref="D3:D34" si="0">IF(B3=IF(COUNTIF($F$5:$F$209,C3),"Stock","Flow/Sink"),"OK",IF(B3="Stock","Compartment missing in Lifetimes_pairs",IF(IF(COUNTIF($F$5:$F$161,C3),"Stock","Flow/Sink")="Stock","Change Type of compartment to Stock","OK")))</f>
        <v>OK</v>
      </c>
      <c r="E3" s="36"/>
      <c r="F3" s="618" t="str">
        <f>Lifetimes!B1</f>
        <v>AgriculturalFilmsIU</v>
      </c>
    </row>
    <row r="4" spans="1:6">
      <c r="A4" s="573" t="s">
        <v>1046</v>
      </c>
      <c r="B4" s="370" t="s">
        <v>1500</v>
      </c>
      <c r="C4" s="312" t="s">
        <v>1502</v>
      </c>
      <c r="D4" s="306" t="str">
        <f t="shared" si="0"/>
        <v>OK</v>
      </c>
      <c r="E4" s="37"/>
      <c r="F4" s="619" t="str">
        <f>Lifetimes!C1</f>
        <v>AgriculturalFilmsDis</v>
      </c>
    </row>
    <row r="5" spans="1:6">
      <c r="A5" s="573" t="s">
        <v>146</v>
      </c>
      <c r="B5" s="370" t="s">
        <v>1503</v>
      </c>
      <c r="C5" s="312" t="s">
        <v>1242</v>
      </c>
      <c r="D5" s="306" t="str">
        <f t="shared" si="0"/>
        <v>OK</v>
      </c>
      <c r="E5" s="37"/>
      <c r="F5" s="619" t="str">
        <f>Lifetimes!D1</f>
        <v>AgriculturalPackagingBottles</v>
      </c>
    </row>
    <row r="6" spans="1:6">
      <c r="A6" s="573" t="s">
        <v>150</v>
      </c>
      <c r="B6" s="370" t="s">
        <v>1503</v>
      </c>
      <c r="C6" s="312" t="s">
        <v>1245</v>
      </c>
      <c r="D6" s="306" t="str">
        <f t="shared" si="0"/>
        <v>OK</v>
      </c>
      <c r="E6" s="37"/>
      <c r="F6" s="619" t="str">
        <f>Lifetimes!E1</f>
        <v>AgriculturalPackagingFilms</v>
      </c>
    </row>
    <row r="7" spans="1:6">
      <c r="A7" s="574" t="s">
        <v>1133</v>
      </c>
      <c r="B7" s="68" t="s">
        <v>1500</v>
      </c>
      <c r="C7" s="312" t="s">
        <v>1504</v>
      </c>
      <c r="D7" s="306" t="str">
        <f t="shared" si="0"/>
        <v>OK</v>
      </c>
      <c r="E7" s="37"/>
      <c r="F7" s="619" t="str">
        <f>Lifetimes!F1</f>
        <v>AgriculturalPipesIU</v>
      </c>
    </row>
    <row r="8" spans="1:6">
      <c r="A8" s="330" t="s">
        <v>152</v>
      </c>
      <c r="B8" s="68" t="s">
        <v>1500</v>
      </c>
      <c r="C8" s="312" t="s">
        <v>1505</v>
      </c>
      <c r="D8" s="306" t="str">
        <f t="shared" si="0"/>
        <v>OK</v>
      </c>
      <c r="E8" s="37"/>
      <c r="F8" s="619" t="str">
        <f>Lifetimes!G1</f>
        <v>AgriculturalPipesDis</v>
      </c>
    </row>
    <row r="9" spans="1:6">
      <c r="A9" s="330" t="s">
        <v>154</v>
      </c>
      <c r="B9" s="68" t="s">
        <v>1506</v>
      </c>
      <c r="C9" s="312" t="s">
        <v>1507</v>
      </c>
      <c r="D9" s="306" t="str">
        <f t="shared" si="0"/>
        <v>OK</v>
      </c>
      <c r="E9" s="37"/>
      <c r="F9" s="619" t="str">
        <f>Lifetimes!H1</f>
        <v>AgriculturalPPP</v>
      </c>
    </row>
    <row r="10" spans="1:6">
      <c r="A10" s="330" t="s">
        <v>163</v>
      </c>
      <c r="B10" s="68" t="s">
        <v>1506</v>
      </c>
      <c r="C10" s="312" t="s">
        <v>1508</v>
      </c>
      <c r="D10" s="306" t="str">
        <f t="shared" si="0"/>
        <v>OK</v>
      </c>
      <c r="E10" s="37"/>
      <c r="F10" s="619" t="str">
        <f>Lifetimes!I1</f>
        <v>BuildingPackagingFilms</v>
      </c>
    </row>
    <row r="11" spans="1:6">
      <c r="A11" s="330" t="s">
        <v>173</v>
      </c>
      <c r="B11" s="68" t="s">
        <v>1500</v>
      </c>
      <c r="C11" s="312" t="s">
        <v>1509</v>
      </c>
      <c r="D11" s="306" t="str">
        <f t="shared" si="0"/>
        <v>OK</v>
      </c>
      <c r="E11" s="37"/>
      <c r="F11" s="619" t="str">
        <f>Lifetimes!J1</f>
        <v>ConsumerBags</v>
      </c>
    </row>
    <row r="12" spans="1:6">
      <c r="A12" s="330" t="s">
        <v>1033</v>
      </c>
      <c r="B12" s="68" t="s">
        <v>1500</v>
      </c>
      <c r="C12" s="312" t="s">
        <v>1033</v>
      </c>
      <c r="D12" s="306" t="str">
        <f t="shared" si="0"/>
        <v>OK</v>
      </c>
      <c r="E12" s="37"/>
      <c r="F12" s="619" t="str">
        <f>Lifetimes!K1</f>
        <v>ConsumerBottles</v>
      </c>
    </row>
    <row r="13" spans="1:6">
      <c r="A13" s="330" t="s">
        <v>160</v>
      </c>
      <c r="B13" s="68" t="s">
        <v>1500</v>
      </c>
      <c r="C13" s="312" t="s">
        <v>160</v>
      </c>
      <c r="D13" s="306" t="str">
        <f t="shared" si="0"/>
        <v>OK</v>
      </c>
      <c r="E13" s="37"/>
      <c r="F13" s="619" t="str">
        <f>Lifetimes!L1</f>
        <v>ConsumerFilms</v>
      </c>
    </row>
    <row r="14" spans="1:6">
      <c r="A14" s="330" t="s">
        <v>1510</v>
      </c>
      <c r="B14" s="68" t="s">
        <v>1500</v>
      </c>
      <c r="C14" s="312" t="s">
        <v>1511</v>
      </c>
      <c r="D14" s="306" t="str">
        <f t="shared" si="0"/>
        <v>OK</v>
      </c>
      <c r="E14" s="37"/>
      <c r="F14" s="619" t="str">
        <f>Lifetimes!M1</f>
        <v>ConsumerOther</v>
      </c>
    </row>
    <row r="15" spans="1:6">
      <c r="A15" s="330" t="s">
        <v>1512</v>
      </c>
      <c r="B15" s="68" t="s">
        <v>1500</v>
      </c>
      <c r="C15" s="312" t="s">
        <v>1512</v>
      </c>
      <c r="D15" s="306" t="str">
        <f t="shared" si="0"/>
        <v>OK</v>
      </c>
      <c r="E15" s="37"/>
      <c r="F15" s="619" t="str">
        <f>Lifetimes!N1</f>
        <v>Cosmetics</v>
      </c>
    </row>
    <row r="16" spans="1:6">
      <c r="A16" s="330" t="s">
        <v>1513</v>
      </c>
      <c r="B16" s="68" t="s">
        <v>1500</v>
      </c>
      <c r="C16" s="312" t="s">
        <v>1514</v>
      </c>
      <c r="D16" s="306" t="str">
        <f t="shared" si="0"/>
        <v>OK</v>
      </c>
      <c r="E16" s="37"/>
      <c r="F16" s="619" t="str">
        <f>Lifetimes!O1</f>
        <v>Household</v>
      </c>
    </row>
    <row r="17" spans="1:6">
      <c r="A17" s="330" t="s">
        <v>1515</v>
      </c>
      <c r="B17" s="68" t="s">
        <v>1500</v>
      </c>
      <c r="C17" s="312" t="s">
        <v>1516</v>
      </c>
      <c r="D17" s="306" t="str">
        <f t="shared" si="0"/>
        <v>OK</v>
      </c>
      <c r="E17" s="37"/>
      <c r="F17" s="619" t="str">
        <f>Lifetimes!P1</f>
        <v>NonConsumerBags</v>
      </c>
    </row>
    <row r="18" spans="1:6">
      <c r="A18" s="330" t="s">
        <v>1517</v>
      </c>
      <c r="B18" s="68" t="s">
        <v>1506</v>
      </c>
      <c r="C18" s="312" t="s">
        <v>1518</v>
      </c>
      <c r="D18" s="306" t="str">
        <f t="shared" si="0"/>
        <v>OK</v>
      </c>
      <c r="E18" s="37"/>
      <c r="F18" s="619" t="str">
        <f>Lifetimes!Q1</f>
        <v>NonConsumerOther</v>
      </c>
    </row>
    <row r="19" spans="1:6">
      <c r="A19" s="330" t="s">
        <v>1519</v>
      </c>
      <c r="B19" s="68" t="s">
        <v>1500</v>
      </c>
      <c r="C19" s="312" t="s">
        <v>1520</v>
      </c>
      <c r="D19" s="306" t="str">
        <f t="shared" si="0"/>
        <v>OK</v>
      </c>
      <c r="E19" s="37"/>
      <c r="F19" s="619" t="str">
        <f>Lifetimes!R1</f>
        <v>OtherNonConsumerFilms</v>
      </c>
    </row>
    <row r="20" spans="1:6">
      <c r="A20" s="330" t="s">
        <v>191</v>
      </c>
      <c r="B20" s="68" t="s">
        <v>1500</v>
      </c>
      <c r="C20" s="312" t="s">
        <v>1246</v>
      </c>
      <c r="D20" s="306" t="str">
        <f t="shared" si="0"/>
        <v>Change Type of compartment to Stock</v>
      </c>
      <c r="E20" s="37" t="s">
        <v>1521</v>
      </c>
      <c r="F20" s="619" t="str">
        <f>Lifetimes!S1</f>
        <v>OtherOther</v>
      </c>
    </row>
    <row r="21" spans="1:6">
      <c r="A21" s="330" t="s">
        <v>178</v>
      </c>
      <c r="B21" s="68" t="s">
        <v>1500</v>
      </c>
      <c r="C21" s="312" t="s">
        <v>1522</v>
      </c>
      <c r="D21" s="306" t="str">
        <f t="shared" si="0"/>
        <v>OK</v>
      </c>
      <c r="E21" s="37"/>
      <c r="F21" s="619" t="str">
        <f>Lifetimes!T1</f>
        <v>PipesDucts</v>
      </c>
    </row>
    <row r="22" spans="1:6">
      <c r="A22" s="330" t="s">
        <v>1523</v>
      </c>
      <c r="B22" s="68" t="s">
        <v>1500</v>
      </c>
      <c r="C22" s="312" t="s">
        <v>1524</v>
      </c>
      <c r="D22" s="306" t="str">
        <f t="shared" si="0"/>
        <v>OK</v>
      </c>
      <c r="E22" s="37"/>
      <c r="F22" s="619" t="str">
        <f>Lifetimes!U1</f>
        <v>OtherOilGas</v>
      </c>
    </row>
    <row r="23" spans="1:6">
      <c r="A23" s="330" t="s">
        <v>116</v>
      </c>
      <c r="B23" s="68" t="s">
        <v>1500</v>
      </c>
      <c r="C23" s="575" t="s">
        <v>1525</v>
      </c>
      <c r="D23" s="306" t="str">
        <f t="shared" si="0"/>
        <v>OK</v>
      </c>
      <c r="E23" s="37"/>
      <c r="F23" s="619" t="str">
        <f>Lifetimes!V1</f>
        <v>InfillSportsFieldDis</v>
      </c>
    </row>
    <row r="24" spans="1:6">
      <c r="A24" s="330" t="s">
        <v>1526</v>
      </c>
      <c r="B24" s="68" t="s">
        <v>1500</v>
      </c>
      <c r="C24" s="312" t="s">
        <v>1527</v>
      </c>
      <c r="D24" s="306" t="str">
        <f t="shared" si="0"/>
        <v>OK</v>
      </c>
      <c r="E24" s="37"/>
      <c r="F24" s="619" t="str">
        <f>Lifetimes!W1</f>
        <v>InfillSportsFieldU</v>
      </c>
    </row>
    <row r="25" spans="1:6">
      <c r="A25" s="330" t="s">
        <v>1528</v>
      </c>
      <c r="B25" s="68" t="s">
        <v>1500</v>
      </c>
      <c r="C25" s="312" t="s">
        <v>1529</v>
      </c>
      <c r="D25" s="306" t="str">
        <f t="shared" si="0"/>
        <v>OK</v>
      </c>
      <c r="E25" s="37"/>
      <c r="F25" s="619" t="str">
        <f>Lifetimes!X1</f>
        <v>ClothingDis</v>
      </c>
    </row>
    <row r="26" spans="1:6">
      <c r="A26" s="330" t="s">
        <v>1530</v>
      </c>
      <c r="B26" s="68" t="s">
        <v>1500</v>
      </c>
      <c r="C26" s="312" t="s">
        <v>1531</v>
      </c>
      <c r="D26" s="306" t="str">
        <f t="shared" si="0"/>
        <v>OK</v>
      </c>
      <c r="E26" s="37"/>
      <c r="F26" s="619" t="str">
        <f>Lifetimes!Y1</f>
        <v>ClothingIUWearTear</v>
      </c>
    </row>
    <row r="27" spans="1:6">
      <c r="A27" s="330" t="s">
        <v>157</v>
      </c>
      <c r="B27" s="68" t="s">
        <v>1500</v>
      </c>
      <c r="C27" s="312" t="s">
        <v>1532</v>
      </c>
      <c r="D27" s="306" t="str">
        <f t="shared" si="0"/>
        <v>OK</v>
      </c>
      <c r="E27" s="37"/>
      <c r="F27" s="619" t="str">
        <f>Lifetimes!Z1</f>
        <v>ClothingIUWashDry</v>
      </c>
    </row>
    <row r="28" spans="1:6">
      <c r="A28" s="330" t="s">
        <v>162</v>
      </c>
      <c r="B28" s="68" t="s">
        <v>1500</v>
      </c>
      <c r="C28" s="312" t="s">
        <v>1533</v>
      </c>
      <c r="D28" s="306" t="str">
        <f t="shared" si="0"/>
        <v>OK</v>
      </c>
      <c r="E28" s="37"/>
      <c r="F28" s="619" t="str">
        <f>Lifetimes!AA1</f>
        <v>HomeTextilesDis</v>
      </c>
    </row>
    <row r="29" spans="1:6">
      <c r="A29" s="330" t="s">
        <v>1534</v>
      </c>
      <c r="B29" s="68" t="s">
        <v>1500</v>
      </c>
      <c r="C29" s="312" t="s">
        <v>1535</v>
      </c>
      <c r="D29" s="306" t="str">
        <f t="shared" si="0"/>
        <v>OK</v>
      </c>
      <c r="E29" s="37"/>
      <c r="F29" s="619" t="str">
        <f>Lifetimes!AB1</f>
        <v>HomeTextilesIU</v>
      </c>
    </row>
    <row r="30" spans="1:6">
      <c r="A30" s="330" t="s">
        <v>1536</v>
      </c>
      <c r="B30" s="68" t="s">
        <v>1500</v>
      </c>
      <c r="C30" s="312" t="s">
        <v>1537</v>
      </c>
      <c r="D30" s="306" t="str">
        <f t="shared" si="0"/>
        <v>OK</v>
      </c>
      <c r="E30" s="37"/>
      <c r="F30" s="619" t="str">
        <f>Lifetimes!AC1</f>
        <v>TechHomeTextilesDis</v>
      </c>
    </row>
    <row r="31" spans="1:6">
      <c r="A31" s="330" t="s">
        <v>231</v>
      </c>
      <c r="B31" s="68" t="s">
        <v>1500</v>
      </c>
      <c r="C31" s="312" t="s">
        <v>1538</v>
      </c>
      <c r="D31" s="306" t="str">
        <f t="shared" si="0"/>
        <v>OK</v>
      </c>
      <c r="E31" s="37"/>
      <c r="F31" s="619" t="str">
        <f>Lifetimes!AD1</f>
        <v>TechHomeTextilesIU</v>
      </c>
    </row>
    <row r="32" spans="1:6">
      <c r="A32" s="330" t="s">
        <v>183</v>
      </c>
      <c r="B32" s="68" t="s">
        <v>1500</v>
      </c>
      <c r="C32" s="312" t="s">
        <v>1539</v>
      </c>
      <c r="D32" s="306" t="str">
        <f t="shared" si="0"/>
        <v>OK</v>
      </c>
      <c r="E32" s="37"/>
      <c r="F32" s="619" t="str">
        <f>Lifetimes!AE1</f>
        <v>MedicalTextiles</v>
      </c>
    </row>
    <row r="33" spans="1:6">
      <c r="A33" s="330" t="s">
        <v>1540</v>
      </c>
      <c r="B33" s="68" t="s">
        <v>1500</v>
      </c>
      <c r="C33" s="312" t="s">
        <v>1541</v>
      </c>
      <c r="D33" s="306" t="str">
        <f t="shared" si="0"/>
        <v>OK</v>
      </c>
      <c r="E33" s="37"/>
      <c r="F33" s="619" t="str">
        <f>Lifetimes!AF1</f>
        <v>AgrotextilesDis</v>
      </c>
    </row>
    <row r="34" spans="1:6">
      <c r="A34" s="330" t="s">
        <v>1542</v>
      </c>
      <c r="B34" s="68" t="s">
        <v>1500</v>
      </c>
      <c r="C34" s="312" t="s">
        <v>1543</v>
      </c>
      <c r="D34" s="306" t="str">
        <f t="shared" si="0"/>
        <v>OK</v>
      </c>
      <c r="E34" s="37"/>
      <c r="F34" s="619" t="str">
        <f>Lifetimes!AG1</f>
        <v>AgrotextilesIU</v>
      </c>
    </row>
    <row r="35" spans="1:6">
      <c r="A35" s="330" t="s">
        <v>1544</v>
      </c>
      <c r="B35" s="68" t="s">
        <v>1500</v>
      </c>
      <c r="C35" s="312" t="s">
        <v>1344</v>
      </c>
      <c r="D35" s="306" t="str">
        <f t="shared" ref="D35:D66" si="1">IF(B35=IF(COUNTIF($F$5:$F$209,C35),"Stock","Flow/Sink"),"OK",IF(B35="Stock","Compartment missing in Lifetimes_pairs",IF(IF(COUNTIF($F$5:$F$161,C35),"Stock","Flow/Sink")="Stock","Change Type of compartment to Stock","OK")))</f>
        <v>Change Type of compartment to Stock</v>
      </c>
      <c r="E35" s="37" t="s">
        <v>1521</v>
      </c>
      <c r="F35" s="619" t="str">
        <f>Lifetimes!AH1</f>
        <v>MobilityTextiles</v>
      </c>
    </row>
    <row r="36" spans="1:6">
      <c r="A36" s="330" t="s">
        <v>213</v>
      </c>
      <c r="B36" s="68" t="s">
        <v>1503</v>
      </c>
      <c r="C36" s="312" t="s">
        <v>1247</v>
      </c>
      <c r="D36" s="306" t="str">
        <f t="shared" si="1"/>
        <v>OK</v>
      </c>
      <c r="E36" s="595" t="s">
        <v>1545</v>
      </c>
      <c r="F36" s="619" t="str">
        <f>Lifetimes!AI1</f>
        <v>GeotextilesDis</v>
      </c>
    </row>
    <row r="37" spans="1:6">
      <c r="A37" s="330" t="s">
        <v>214</v>
      </c>
      <c r="B37" s="68" t="s">
        <v>1503</v>
      </c>
      <c r="C37" s="312" t="s">
        <v>1341</v>
      </c>
      <c r="D37" s="306" t="str">
        <f t="shared" si="1"/>
        <v>OK</v>
      </c>
      <c r="E37" s="595" t="s">
        <v>1545</v>
      </c>
      <c r="F37" s="619" t="str">
        <f>Lifetimes!AJ1</f>
        <v>GeotextilesIU</v>
      </c>
    </row>
    <row r="38" spans="1:6">
      <c r="A38" s="330" t="s">
        <v>215</v>
      </c>
      <c r="B38" s="68" t="s">
        <v>1503</v>
      </c>
      <c r="C38" s="312" t="s">
        <v>1248</v>
      </c>
      <c r="D38" s="306" t="str">
        <f t="shared" si="1"/>
        <v>OK</v>
      </c>
      <c r="E38" s="595" t="s">
        <v>1545</v>
      </c>
      <c r="F38" s="619" t="str">
        <f>Lifetimes!AK1</f>
        <v>BuildingTextilesDis</v>
      </c>
    </row>
    <row r="39" spans="1:6">
      <c r="A39" s="330" t="s">
        <v>1546</v>
      </c>
      <c r="B39" s="68" t="s">
        <v>1500</v>
      </c>
      <c r="C39" s="312" t="s">
        <v>1547</v>
      </c>
      <c r="D39" s="306" t="str">
        <f t="shared" si="1"/>
        <v>OK</v>
      </c>
      <c r="E39" s="37"/>
      <c r="F39" s="619" t="str">
        <f>Lifetimes!AL1</f>
        <v>BuildingTextilesIU</v>
      </c>
    </row>
    <row r="40" spans="1:6">
      <c r="A40" s="330" t="s">
        <v>1548</v>
      </c>
      <c r="B40" s="68" t="s">
        <v>1500</v>
      </c>
      <c r="C40" s="312" t="s">
        <v>1549</v>
      </c>
      <c r="D40" s="306" t="str">
        <f t="shared" si="1"/>
        <v>OK</v>
      </c>
      <c r="E40" s="37"/>
      <c r="F40" s="619" t="str">
        <f>Lifetimes!AM1</f>
        <v>OtherTechnicalTextiles</v>
      </c>
    </row>
    <row r="41" spans="1:6">
      <c r="A41" s="330" t="s">
        <v>1550</v>
      </c>
      <c r="B41" s="68" t="s">
        <v>1500</v>
      </c>
      <c r="C41" s="312" t="s">
        <v>1550</v>
      </c>
      <c r="D41" s="306" t="str">
        <f t="shared" si="1"/>
        <v>OK</v>
      </c>
      <c r="E41" s="37"/>
      <c r="F41" s="619" t="str">
        <f>Lifetimes!AN1</f>
        <v>TextileCoatingDis</v>
      </c>
    </row>
    <row r="42" spans="1:6">
      <c r="A42" s="330" t="s">
        <v>247</v>
      </c>
      <c r="B42" s="68" t="s">
        <v>1500</v>
      </c>
      <c r="C42" s="312" t="s">
        <v>1551</v>
      </c>
      <c r="D42" s="306" t="str">
        <f t="shared" si="1"/>
        <v>OK</v>
      </c>
      <c r="E42" s="37"/>
      <c r="F42" s="619" t="str">
        <f>Lifetimes!AO1</f>
        <v>TextileCoatingIU</v>
      </c>
    </row>
    <row r="43" spans="1:6">
      <c r="A43" s="330" t="s">
        <v>217</v>
      </c>
      <c r="B43" s="68" t="s">
        <v>1500</v>
      </c>
      <c r="C43" s="312" t="s">
        <v>217</v>
      </c>
      <c r="D43" s="306" t="str">
        <f t="shared" si="1"/>
        <v>OK</v>
      </c>
      <c r="E43" s="37"/>
      <c r="F43" s="619" t="str">
        <f>Lifetimes!AP1</f>
        <v>ConcreteProfInDis</v>
      </c>
    </row>
    <row r="44" spans="1:6">
      <c r="A44" s="330" t="s">
        <v>1552</v>
      </c>
      <c r="B44" s="68" t="s">
        <v>1500</v>
      </c>
      <c r="C44" s="312" t="s">
        <v>1552</v>
      </c>
      <c r="D44" s="306" t="str">
        <f t="shared" si="1"/>
        <v>OK</v>
      </c>
      <c r="E44" s="37"/>
      <c r="F44" s="619" t="str">
        <f>Lifetimes!AQ1</f>
        <v>ConcreteProfInIU</v>
      </c>
    </row>
    <row r="45" spans="1:6">
      <c r="A45" s="330" t="s">
        <v>1553</v>
      </c>
      <c r="B45" s="68" t="s">
        <v>1500</v>
      </c>
      <c r="C45" s="312" t="s">
        <v>1554</v>
      </c>
      <c r="D45" s="306" t="str">
        <f t="shared" si="1"/>
        <v>OK</v>
      </c>
      <c r="E45" s="37"/>
      <c r="F45" s="619" t="str">
        <f>Lifetimes!AR1</f>
        <v>ConcreteProfOutDis</v>
      </c>
    </row>
    <row r="46" spans="1:6">
      <c r="A46" s="330" t="s">
        <v>256</v>
      </c>
      <c r="B46" s="68" t="s">
        <v>1506</v>
      </c>
      <c r="C46" s="312" t="s">
        <v>256</v>
      </c>
      <c r="D46" s="306" t="str">
        <f t="shared" si="1"/>
        <v>OK</v>
      </c>
      <c r="E46" s="37"/>
      <c r="F46" s="619" t="str">
        <f>Lifetimes!AS1</f>
        <v>ConcreteProfOutIU</v>
      </c>
    </row>
    <row r="47" spans="1:6">
      <c r="A47" s="330" t="s">
        <v>1555</v>
      </c>
      <c r="B47" s="68" t="s">
        <v>1500</v>
      </c>
      <c r="C47" s="312" t="s">
        <v>1556</v>
      </c>
      <c r="D47" s="306" t="str">
        <f t="shared" si="1"/>
        <v>OK</v>
      </c>
      <c r="E47" s="37"/>
      <c r="F47" s="619" t="str">
        <f>Lifetimes!AT1</f>
        <v>LacquerDiyInDis</v>
      </c>
    </row>
    <row r="48" spans="1:6">
      <c r="A48" s="330" t="s">
        <v>186</v>
      </c>
      <c r="B48" s="68" t="s">
        <v>1500</v>
      </c>
      <c r="C48" s="312" t="s">
        <v>1557</v>
      </c>
      <c r="D48" s="306" t="str">
        <f t="shared" si="1"/>
        <v>OK</v>
      </c>
      <c r="E48" s="37"/>
      <c r="F48" s="619" t="str">
        <f>Lifetimes!AU1</f>
        <v>LacquerDiyInIU</v>
      </c>
    </row>
    <row r="49" spans="1:6">
      <c r="A49" s="503" t="s">
        <v>258</v>
      </c>
      <c r="B49" s="68" t="s">
        <v>1506</v>
      </c>
      <c r="C49" s="312" t="s">
        <v>258</v>
      </c>
      <c r="D49" s="306" t="str">
        <f t="shared" si="1"/>
        <v>OK</v>
      </c>
      <c r="E49" s="37"/>
      <c r="F49" s="619" t="str">
        <f>Lifetimes!AV1</f>
        <v>LacquerDiyOutDis</v>
      </c>
    </row>
    <row r="50" spans="1:6">
      <c r="A50" s="330" t="s">
        <v>1558</v>
      </c>
      <c r="B50" s="68" t="s">
        <v>1500</v>
      </c>
      <c r="C50" s="312" t="s">
        <v>1559</v>
      </c>
      <c r="D50" s="306" t="str">
        <f t="shared" si="1"/>
        <v>OK</v>
      </c>
      <c r="E50" s="37"/>
      <c r="F50" s="619" t="str">
        <f>Lifetimes!AW1</f>
        <v>LacquerDiyOutIU</v>
      </c>
    </row>
    <row r="51" spans="1:6">
      <c r="A51" s="330" t="s">
        <v>1560</v>
      </c>
      <c r="B51" s="68" t="s">
        <v>1500</v>
      </c>
      <c r="C51" s="312" t="s">
        <v>1561</v>
      </c>
      <c r="D51" s="306" t="str">
        <f t="shared" si="1"/>
        <v>OK</v>
      </c>
      <c r="E51" s="37"/>
      <c r="F51" s="619" t="str">
        <f>Lifetimes!AX1</f>
        <v>LacquerProfInDis</v>
      </c>
    </row>
    <row r="52" spans="1:6">
      <c r="A52" s="330" t="s">
        <v>1562</v>
      </c>
      <c r="B52" s="68" t="s">
        <v>1500</v>
      </c>
      <c r="C52" s="312" t="s">
        <v>1562</v>
      </c>
      <c r="D52" s="306" t="str">
        <f t="shared" si="1"/>
        <v>OK</v>
      </c>
      <c r="E52" s="37"/>
      <c r="F52" s="619" t="str">
        <f>Lifetimes!AY1</f>
        <v>LacquerProfInIU</v>
      </c>
    </row>
    <row r="53" spans="1:6">
      <c r="A53" s="330" t="s">
        <v>193</v>
      </c>
      <c r="B53" s="68" t="s">
        <v>1500</v>
      </c>
      <c r="C53" s="312" t="s">
        <v>193</v>
      </c>
      <c r="D53" s="306" t="str">
        <f t="shared" si="1"/>
        <v>OK</v>
      </c>
      <c r="E53" s="37"/>
      <c r="F53" s="619" t="str">
        <f>Lifetimes!AZ1</f>
        <v>LacquerProfOutDis</v>
      </c>
    </row>
    <row r="54" spans="1:6">
      <c r="A54" s="330" t="s">
        <v>1563</v>
      </c>
      <c r="B54" s="68" t="s">
        <v>1500</v>
      </c>
      <c r="C54" s="312" t="s">
        <v>1342</v>
      </c>
      <c r="D54" s="306" t="str">
        <f t="shared" si="1"/>
        <v>Change Type of compartment to Stock</v>
      </c>
      <c r="E54" s="37" t="s">
        <v>1521</v>
      </c>
      <c r="F54" s="619" t="str">
        <f>Lifetimes!BA1</f>
        <v>LacquerProfOutIU</v>
      </c>
    </row>
    <row r="55" spans="1:6">
      <c r="A55" s="330" t="s">
        <v>1564</v>
      </c>
      <c r="B55" s="68" t="s">
        <v>1500</v>
      </c>
      <c r="C55" s="312" t="s">
        <v>1565</v>
      </c>
      <c r="D55" s="306" t="str">
        <f t="shared" si="1"/>
        <v>OK</v>
      </c>
      <c r="E55" s="37"/>
      <c r="F55" s="619" t="str">
        <f>Lifetimes!BB1</f>
        <v>OtherPaintUsesDiyInDis</v>
      </c>
    </row>
    <row r="56" spans="1:6">
      <c r="A56" s="330" t="s">
        <v>121</v>
      </c>
      <c r="B56" s="68" t="s">
        <v>1500</v>
      </c>
      <c r="C56" s="312" t="s">
        <v>1566</v>
      </c>
      <c r="D56" s="306" t="str">
        <f t="shared" si="1"/>
        <v>OK</v>
      </c>
      <c r="E56" s="37"/>
      <c r="F56" s="619" t="str">
        <f>Lifetimes!BC1</f>
        <v>OtherPaintUsesDiyInIU</v>
      </c>
    </row>
    <row r="57" spans="1:6">
      <c r="A57" s="330" t="s">
        <v>1567</v>
      </c>
      <c r="B57" s="68" t="s">
        <v>1500</v>
      </c>
      <c r="C57" s="312" t="s">
        <v>1568</v>
      </c>
      <c r="D57" s="306" t="str">
        <f t="shared" si="1"/>
        <v>OK</v>
      </c>
      <c r="E57" s="37"/>
      <c r="F57" s="619" t="str">
        <f>Lifetimes!BD1</f>
        <v>OtherPaintUsesDiyOutDis</v>
      </c>
    </row>
    <row r="58" spans="1:6">
      <c r="A58" s="330" t="s">
        <v>187</v>
      </c>
      <c r="B58" s="68" t="s">
        <v>1500</v>
      </c>
      <c r="C58" s="312" t="s">
        <v>187</v>
      </c>
      <c r="D58" s="306" t="str">
        <f t="shared" si="1"/>
        <v>OK</v>
      </c>
      <c r="E58" s="37"/>
      <c r="F58" s="619" t="str">
        <f>Lifetimes!BE1</f>
        <v>OtherPaintUsesDiyOutIU</v>
      </c>
    </row>
    <row r="59" spans="1:6">
      <c r="A59" s="330" t="s">
        <v>241</v>
      </c>
      <c r="B59" s="68" t="s">
        <v>1500</v>
      </c>
      <c r="C59" s="312" t="s">
        <v>1569</v>
      </c>
      <c r="D59" s="306" t="str">
        <f t="shared" si="1"/>
        <v>OK</v>
      </c>
      <c r="E59" s="37"/>
      <c r="F59" s="619" t="str">
        <f>Lifetimes!BF1</f>
        <v>OtherPaintUsesProfInDis</v>
      </c>
    </row>
    <row r="60" spans="1:6">
      <c r="A60" s="330" t="s">
        <v>314</v>
      </c>
      <c r="B60" s="68" t="s">
        <v>1500</v>
      </c>
      <c r="C60" s="312" t="s">
        <v>1570</v>
      </c>
      <c r="D60" s="306" t="str">
        <f t="shared" si="1"/>
        <v>OK</v>
      </c>
      <c r="E60" s="37"/>
      <c r="F60" s="619" t="str">
        <f>Lifetimes!BG1</f>
        <v>OtherPaintUsesProfInIU</v>
      </c>
    </row>
    <row r="61" spans="1:6">
      <c r="A61" s="330" t="s">
        <v>1255</v>
      </c>
      <c r="B61" s="68" t="s">
        <v>1500</v>
      </c>
      <c r="C61" s="312" t="s">
        <v>1571</v>
      </c>
      <c r="D61" s="306" t="str">
        <f t="shared" si="1"/>
        <v>OK</v>
      </c>
      <c r="E61" s="37"/>
      <c r="F61" s="619" t="str">
        <f>Lifetimes!BH1</f>
        <v>OtherPaintUsesProfOutDis</v>
      </c>
    </row>
    <row r="62" spans="1:6">
      <c r="A62" s="330" t="s">
        <v>1572</v>
      </c>
      <c r="B62" s="68" t="s">
        <v>1500</v>
      </c>
      <c r="C62" s="312" t="s">
        <v>1573</v>
      </c>
      <c r="D62" s="306" t="str">
        <f t="shared" si="1"/>
        <v>OK</v>
      </c>
      <c r="E62" s="37"/>
      <c r="F62" s="619" t="str">
        <f>Lifetimes!BI1</f>
        <v>OtherPaintUsesProfOutIU</v>
      </c>
    </row>
    <row r="63" spans="1:6">
      <c r="A63" s="330" t="s">
        <v>192</v>
      </c>
      <c r="B63" s="68" t="s">
        <v>1506</v>
      </c>
      <c r="C63" s="312" t="s">
        <v>192</v>
      </c>
      <c r="D63" s="306" t="str">
        <f t="shared" si="1"/>
        <v>OK</v>
      </c>
      <c r="E63" s="37"/>
      <c r="F63" s="619" t="str">
        <f>Lifetimes!BJ1</f>
        <v>PaintsPreMadeWoodInDis</v>
      </c>
    </row>
    <row r="64" spans="1:6">
      <c r="A64" s="330" t="s">
        <v>1574</v>
      </c>
      <c r="B64" s="68" t="s">
        <v>1500</v>
      </c>
      <c r="C64" s="312" t="s">
        <v>1575</v>
      </c>
      <c r="D64" s="306" t="str">
        <f t="shared" si="1"/>
        <v>OK</v>
      </c>
      <c r="E64" s="37"/>
      <c r="F64" s="619" t="str">
        <f>Lifetimes!BK1</f>
        <v>PaintsPreMadeWoodInIU</v>
      </c>
    </row>
    <row r="65" spans="1:6">
      <c r="A65" s="330" t="s">
        <v>332</v>
      </c>
      <c r="B65" s="68" t="s">
        <v>1500</v>
      </c>
      <c r="C65" s="312" t="s">
        <v>1576</v>
      </c>
      <c r="D65" s="306" t="str">
        <f t="shared" si="1"/>
        <v>OK</v>
      </c>
      <c r="E65" s="37"/>
      <c r="F65" s="619" t="str">
        <f>Lifetimes!BL1</f>
        <v>PaintsPreMadeWoodOutDis</v>
      </c>
    </row>
    <row r="66" spans="1:6">
      <c r="A66" s="330" t="s">
        <v>336</v>
      </c>
      <c r="B66" s="68" t="s">
        <v>1500</v>
      </c>
      <c r="C66" s="312" t="s">
        <v>1577</v>
      </c>
      <c r="D66" s="306" t="str">
        <f t="shared" si="1"/>
        <v>OK</v>
      </c>
      <c r="E66" s="37"/>
      <c r="F66" s="619" t="str">
        <f>Lifetimes!BM1</f>
        <v>PaintsPreMadeWoodOutIU</v>
      </c>
    </row>
    <row r="67" spans="1:6">
      <c r="A67" s="330" t="s">
        <v>325</v>
      </c>
      <c r="B67" s="68" t="s">
        <v>1500</v>
      </c>
      <c r="C67" s="312" t="s">
        <v>1578</v>
      </c>
      <c r="D67" s="306" t="str">
        <f t="shared" ref="D67:D98" si="2">IF(B67=IF(COUNTIF($F$5:$F$209,C67),"Stock","Flow/Sink"),"OK",IF(B67="Stock","Compartment missing in Lifetimes_pairs",IF(IF(COUNTIF($F$5:$F$161,C67),"Stock","Flow/Sink")="Stock","Change Type of compartment to Stock","OK")))</f>
        <v>OK</v>
      </c>
      <c r="E67" s="37"/>
      <c r="F67" s="619" t="str">
        <f>Lifetimes!BN1</f>
        <v>PlasterDiyInDis</v>
      </c>
    </row>
    <row r="68" spans="1:6">
      <c r="A68" s="330" t="s">
        <v>236</v>
      </c>
      <c r="B68" s="68" t="s">
        <v>1500</v>
      </c>
      <c r="C68" s="312" t="s">
        <v>1579</v>
      </c>
      <c r="D68" s="306" t="str">
        <f t="shared" si="2"/>
        <v>OK</v>
      </c>
      <c r="E68" s="37"/>
      <c r="F68" s="619" t="str">
        <f>Lifetimes!BO1</f>
        <v>PlasterDiyInIU</v>
      </c>
    </row>
    <row r="69" spans="1:6">
      <c r="A69" s="330" t="s">
        <v>358</v>
      </c>
      <c r="B69" s="68" t="s">
        <v>1503</v>
      </c>
      <c r="C69" s="312" t="s">
        <v>1357</v>
      </c>
      <c r="D69" s="306" t="str">
        <f t="shared" si="2"/>
        <v>OK</v>
      </c>
      <c r="E69" s="37"/>
      <c r="F69" s="619" t="str">
        <f>Lifetimes!BP1</f>
        <v>PlasterDiyOutDis</v>
      </c>
    </row>
    <row r="70" spans="1:6">
      <c r="A70" s="330" t="s">
        <v>352</v>
      </c>
      <c r="B70" s="68" t="s">
        <v>1506</v>
      </c>
      <c r="C70" s="312" t="s">
        <v>1580</v>
      </c>
      <c r="D70" s="306" t="str">
        <f t="shared" si="2"/>
        <v>OK</v>
      </c>
      <c r="E70" s="37"/>
      <c r="F70" s="619" t="str">
        <f>Lifetimes!BQ1</f>
        <v>PlasterDiyOutIU</v>
      </c>
    </row>
    <row r="71" spans="1:6">
      <c r="A71" s="330" t="s">
        <v>371</v>
      </c>
      <c r="B71" s="68" t="s">
        <v>1506</v>
      </c>
      <c r="C71" s="312" t="s">
        <v>1581</v>
      </c>
      <c r="D71" s="306" t="str">
        <f t="shared" si="2"/>
        <v>OK</v>
      </c>
      <c r="E71" s="37"/>
      <c r="F71" s="619" t="str">
        <f>Lifetimes!BR1</f>
        <v>PlasterProfInDis</v>
      </c>
    </row>
    <row r="72" spans="1:6">
      <c r="A72" s="330" t="s">
        <v>248</v>
      </c>
      <c r="B72" s="68" t="s">
        <v>1503</v>
      </c>
      <c r="C72" s="312" t="s">
        <v>1249</v>
      </c>
      <c r="D72" s="306" t="str">
        <f t="shared" si="2"/>
        <v>OK</v>
      </c>
      <c r="E72" s="595"/>
      <c r="F72" s="619" t="str">
        <f>Lifetimes!BS1</f>
        <v>PlasterProfInIU</v>
      </c>
    </row>
    <row r="73" spans="1:6">
      <c r="A73" s="330" t="s">
        <v>1582</v>
      </c>
      <c r="B73" s="68" t="s">
        <v>1500</v>
      </c>
      <c r="C73" s="312" t="s">
        <v>1583</v>
      </c>
      <c r="D73" s="306" t="str">
        <f t="shared" si="2"/>
        <v>OK</v>
      </c>
      <c r="E73" s="37"/>
      <c r="F73" s="619" t="str">
        <f>Lifetimes!BT1</f>
        <v>PlasterProfOutDis</v>
      </c>
    </row>
    <row r="74" spans="1:6">
      <c r="A74" s="330" t="s">
        <v>1584</v>
      </c>
      <c r="B74" s="68" t="s">
        <v>1500</v>
      </c>
      <c r="C74" s="312" t="s">
        <v>1585</v>
      </c>
      <c r="D74" s="306" t="str">
        <f t="shared" si="2"/>
        <v>OK</v>
      </c>
      <c r="E74" s="37"/>
      <c r="F74" s="619" t="str">
        <f>Lifetimes!BU1</f>
        <v>PlasterProfOutIU</v>
      </c>
    </row>
    <row r="75" spans="1:6">
      <c r="A75" s="330" t="s">
        <v>1586</v>
      </c>
      <c r="B75" s="68" t="s">
        <v>1500</v>
      </c>
      <c r="C75" s="312" t="s">
        <v>1587</v>
      </c>
      <c r="D75" s="306" t="str">
        <f t="shared" si="2"/>
        <v>OK</v>
      </c>
      <c r="E75" s="37"/>
      <c r="F75" s="619" t="str">
        <f>Lifetimes!BV1</f>
        <v>ShipProfDis</v>
      </c>
    </row>
    <row r="76" spans="1:6">
      <c r="A76" s="330" t="s">
        <v>378</v>
      </c>
      <c r="B76" s="68" t="s">
        <v>1500</v>
      </c>
      <c r="C76" s="312" t="s">
        <v>1588</v>
      </c>
      <c r="D76" s="306" t="str">
        <f t="shared" si="2"/>
        <v>OK</v>
      </c>
      <c r="E76" s="37"/>
      <c r="F76" s="619" t="str">
        <f>Lifetimes!BW1</f>
        <v>ShipProfIU</v>
      </c>
    </row>
    <row r="77" spans="1:6">
      <c r="A77" s="330" t="s">
        <v>334</v>
      </c>
      <c r="B77" s="68" t="s">
        <v>1500</v>
      </c>
      <c r="C77" s="312" t="s">
        <v>1589</v>
      </c>
      <c r="D77" s="306" t="str">
        <f t="shared" si="2"/>
        <v>OK</v>
      </c>
      <c r="E77" s="37"/>
      <c r="F77" s="619" t="str">
        <f>Lifetimes!BX1</f>
        <v>ShipDiyDis</v>
      </c>
    </row>
    <row r="78" spans="1:6">
      <c r="A78" s="330" t="s">
        <v>337</v>
      </c>
      <c r="B78" s="68" t="s">
        <v>1500</v>
      </c>
      <c r="C78" s="312" t="s">
        <v>1590</v>
      </c>
      <c r="D78" s="306" t="str">
        <f t="shared" si="2"/>
        <v>OK</v>
      </c>
      <c r="E78" s="37"/>
      <c r="F78" s="619" t="str">
        <f>Lifetimes!BY1</f>
        <v>ShipDiyIU</v>
      </c>
    </row>
    <row r="79" spans="1:6">
      <c r="A79" s="330" t="s">
        <v>345</v>
      </c>
      <c r="B79" s="68" t="s">
        <v>1500</v>
      </c>
      <c r="C79" s="312" t="s">
        <v>1591</v>
      </c>
      <c r="D79" s="306" t="str">
        <f t="shared" si="2"/>
        <v>OK</v>
      </c>
      <c r="E79" s="37"/>
      <c r="F79" s="619" t="str">
        <f>Lifetimes!BZ1</f>
        <v>WallPaintDiyIndoorAppliedDis</v>
      </c>
    </row>
    <row r="80" spans="1:6">
      <c r="A80" s="330" t="s">
        <v>216</v>
      </c>
      <c r="B80" s="68" t="s">
        <v>1503</v>
      </c>
      <c r="C80" s="312" t="s">
        <v>1155</v>
      </c>
      <c r="D80" s="306" t="str">
        <f t="shared" si="2"/>
        <v>OK</v>
      </c>
      <c r="E80" s="595"/>
      <c r="F80" s="619" t="str">
        <f>Lifetimes!CA1</f>
        <v>WallPaintDiyIndoorAppliedIU</v>
      </c>
    </row>
    <row r="81" spans="1:6">
      <c r="A81" s="330" t="s">
        <v>249</v>
      </c>
      <c r="B81" s="68" t="s">
        <v>1503</v>
      </c>
      <c r="C81" s="312" t="s">
        <v>1251</v>
      </c>
      <c r="D81" s="306" t="str">
        <f t="shared" si="2"/>
        <v>OK</v>
      </c>
      <c r="E81" s="595"/>
      <c r="F81" s="619" t="str">
        <f>Lifetimes!CB1</f>
        <v>WallPaintDiyOutDis</v>
      </c>
    </row>
    <row r="82" spans="1:6">
      <c r="A82" s="330" t="s">
        <v>250</v>
      </c>
      <c r="B82" s="68" t="s">
        <v>1503</v>
      </c>
      <c r="C82" s="312" t="s">
        <v>1250</v>
      </c>
      <c r="D82" s="306" t="str">
        <f t="shared" si="2"/>
        <v>OK</v>
      </c>
      <c r="E82" s="595"/>
      <c r="F82" s="620" t="str">
        <f>Lifetimes!CC1</f>
        <v>WallPaintDiyOutIU</v>
      </c>
    </row>
    <row r="83" spans="1:6">
      <c r="A83" s="330" t="s">
        <v>1592</v>
      </c>
      <c r="B83" s="68" t="s">
        <v>1500</v>
      </c>
      <c r="C83" s="312" t="s">
        <v>1095</v>
      </c>
      <c r="D83" s="306" t="str">
        <f t="shared" si="2"/>
        <v>OK</v>
      </c>
      <c r="E83" s="37"/>
      <c r="F83" s="620" t="str">
        <f>Lifetimes!CD1</f>
        <v>WallPaintProfInDis</v>
      </c>
    </row>
    <row r="84" spans="1:6">
      <c r="A84" s="330" t="s">
        <v>1593</v>
      </c>
      <c r="B84" s="68" t="s">
        <v>1500</v>
      </c>
      <c r="C84" s="312" t="s">
        <v>1343</v>
      </c>
      <c r="D84" s="306" t="str">
        <f t="shared" si="2"/>
        <v>Change Type of compartment to Stock</v>
      </c>
      <c r="E84" s="37" t="s">
        <v>1521</v>
      </c>
      <c r="F84" s="620" t="str">
        <f>Lifetimes!CE1</f>
        <v>WallPaintProfInIU</v>
      </c>
    </row>
    <row r="85" spans="1:6">
      <c r="A85" s="330" t="s">
        <v>251</v>
      </c>
      <c r="B85" s="68" t="s">
        <v>1503</v>
      </c>
      <c r="C85" s="312" t="s">
        <v>1362</v>
      </c>
      <c r="D85" s="306" t="str">
        <f t="shared" si="2"/>
        <v>OK</v>
      </c>
      <c r="E85" s="37"/>
      <c r="F85" s="620" t="str">
        <f>Lifetimes!CF1</f>
        <v>WallPaintProfOutDis</v>
      </c>
    </row>
    <row r="86" spans="1:6">
      <c r="A86" s="330" t="s">
        <v>244</v>
      </c>
      <c r="B86" s="370" t="s">
        <v>1506</v>
      </c>
      <c r="C86" s="312" t="s">
        <v>1594</v>
      </c>
      <c r="D86" s="306" t="str">
        <f t="shared" si="2"/>
        <v>OK</v>
      </c>
      <c r="E86" s="37"/>
      <c r="F86" s="620" t="str">
        <f>Lifetimes!CG1</f>
        <v>WallPaintProfOutIU</v>
      </c>
    </row>
    <row r="87" spans="1:6">
      <c r="A87" s="330" t="s">
        <v>39</v>
      </c>
      <c r="B87" s="68" t="s">
        <v>1500</v>
      </c>
      <c r="C87" s="312" t="s">
        <v>39</v>
      </c>
      <c r="D87" s="306" t="str">
        <f t="shared" si="2"/>
        <v>OK</v>
      </c>
      <c r="E87" s="37"/>
      <c r="F87" s="620" t="str">
        <f>Lifetimes!CH1</f>
        <v>WoodStainDiyInDis</v>
      </c>
    </row>
    <row r="88" spans="1:6">
      <c r="A88" s="330" t="s">
        <v>257</v>
      </c>
      <c r="B88" s="68" t="s">
        <v>1500</v>
      </c>
      <c r="C88" s="312" t="s">
        <v>1595</v>
      </c>
      <c r="D88" s="306" t="str">
        <f t="shared" si="2"/>
        <v>OK</v>
      </c>
      <c r="E88" s="37"/>
      <c r="F88" s="620" t="str">
        <f>Lifetimes!CI1</f>
        <v>WoodStainDiyInIU</v>
      </c>
    </row>
    <row r="89" spans="1:6">
      <c r="A89" s="330" t="s">
        <v>293</v>
      </c>
      <c r="B89" s="68" t="s">
        <v>1500</v>
      </c>
      <c r="C89" s="312" t="s">
        <v>1596</v>
      </c>
      <c r="D89" s="306" t="str">
        <f t="shared" si="2"/>
        <v>OK</v>
      </c>
      <c r="E89" s="37"/>
      <c r="F89" s="620" t="str">
        <f>Lifetimes!CJ1</f>
        <v>WoodStainDiyOutDis</v>
      </c>
    </row>
    <row r="90" spans="1:6">
      <c r="A90" s="330" t="s">
        <v>252</v>
      </c>
      <c r="B90" s="68" t="s">
        <v>1500</v>
      </c>
      <c r="C90" s="312" t="s">
        <v>1597</v>
      </c>
      <c r="D90" s="306" t="str">
        <f t="shared" si="2"/>
        <v>OK</v>
      </c>
      <c r="E90" s="37"/>
      <c r="F90" s="620" t="str">
        <f>Lifetimes!CK1</f>
        <v>WoodStainDiyOutIU</v>
      </c>
    </row>
    <row r="91" spans="1:6">
      <c r="A91" s="330" t="s">
        <v>364</v>
      </c>
      <c r="B91" s="68" t="s">
        <v>1500</v>
      </c>
      <c r="C91" s="312" t="s">
        <v>364</v>
      </c>
      <c r="D91" s="306" t="str">
        <f t="shared" si="2"/>
        <v>OK</v>
      </c>
      <c r="E91" s="595"/>
      <c r="F91" s="620" t="str">
        <f>Lifetimes!CL1</f>
        <v>WoodStainProfInDis</v>
      </c>
    </row>
    <row r="92" spans="1:6">
      <c r="A92" s="330" t="s">
        <v>1598</v>
      </c>
      <c r="B92" s="68" t="s">
        <v>1500</v>
      </c>
      <c r="C92" s="312" t="s">
        <v>1599</v>
      </c>
      <c r="D92" s="306" t="str">
        <f t="shared" si="2"/>
        <v>OK</v>
      </c>
      <c r="E92" s="37"/>
      <c r="F92" s="620" t="str">
        <f>Lifetimes!CM1</f>
        <v>WoodStainProfInIU</v>
      </c>
    </row>
    <row r="93" spans="1:6">
      <c r="A93" s="330" t="s">
        <v>1600</v>
      </c>
      <c r="B93" s="68" t="s">
        <v>1500</v>
      </c>
      <c r="C93" s="312" t="s">
        <v>1601</v>
      </c>
      <c r="D93" s="306" t="str">
        <f t="shared" si="2"/>
        <v>OK</v>
      </c>
      <c r="E93" s="37"/>
      <c r="F93" s="620" t="str">
        <f>Lifetimes!CN1</f>
        <v>WoodStainProfOutDis</v>
      </c>
    </row>
    <row r="94" spans="1:6" ht="15.75" thickBot="1">
      <c r="A94" s="330" t="s">
        <v>1602</v>
      </c>
      <c r="B94" s="68" t="s">
        <v>1500</v>
      </c>
      <c r="C94" s="312" t="s">
        <v>1603</v>
      </c>
      <c r="D94" s="306" t="str">
        <f t="shared" si="2"/>
        <v>OK</v>
      </c>
      <c r="E94" s="37"/>
      <c r="F94" s="621" t="str">
        <f>Lifetimes!CO1</f>
        <v>WoodStainProfOutIU</v>
      </c>
    </row>
    <row r="95" spans="1:6">
      <c r="A95" s="330" t="s">
        <v>395</v>
      </c>
      <c r="B95" s="68" t="s">
        <v>1500</v>
      </c>
      <c r="C95" s="312" t="s">
        <v>1604</v>
      </c>
      <c r="D95" s="306" t="str">
        <f t="shared" si="2"/>
        <v>OK</v>
      </c>
      <c r="E95" s="37"/>
      <c r="F95"/>
    </row>
    <row r="96" spans="1:6">
      <c r="A96" s="330" t="s">
        <v>396</v>
      </c>
      <c r="B96" s="68" t="s">
        <v>1500</v>
      </c>
      <c r="C96" s="312" t="s">
        <v>1605</v>
      </c>
      <c r="D96" s="306" t="str">
        <f t="shared" si="2"/>
        <v>OK</v>
      </c>
      <c r="E96" s="37"/>
      <c r="F96"/>
    </row>
    <row r="97" spans="1:6">
      <c r="A97" s="330" t="s">
        <v>1606</v>
      </c>
      <c r="B97" s="68" t="s">
        <v>1500</v>
      </c>
      <c r="C97" s="312" t="s">
        <v>1607</v>
      </c>
      <c r="D97" s="306" t="str">
        <f t="shared" si="2"/>
        <v>OK</v>
      </c>
      <c r="E97" s="37"/>
      <c r="F97"/>
    </row>
    <row r="98" spans="1:6">
      <c r="A98" s="330" t="s">
        <v>184</v>
      </c>
      <c r="B98" s="68" t="s">
        <v>1506</v>
      </c>
      <c r="C98" s="312" t="s">
        <v>1608</v>
      </c>
      <c r="D98" s="306" t="str">
        <f t="shared" si="2"/>
        <v>OK</v>
      </c>
      <c r="E98" s="37"/>
      <c r="F98"/>
    </row>
    <row r="99" spans="1:6">
      <c r="A99" s="330" t="s">
        <v>264</v>
      </c>
      <c r="B99" s="68" t="s">
        <v>1506</v>
      </c>
      <c r="C99" s="312" t="s">
        <v>1609</v>
      </c>
      <c r="D99" s="306" t="str">
        <f t="shared" ref="D99:D130" si="3">IF(B99=IF(COUNTIF($F$5:$F$209,C99),"Stock","Flow/Sink"),"OK",IF(B99="Stock","Compartment missing in Lifetimes_pairs",IF(IF(COUNTIF($F$5:$F$161,C99),"Stock","Flow/Sink")="Stock","Change Type of compartment to Stock","OK")))</f>
        <v>OK</v>
      </c>
      <c r="E99" s="37"/>
      <c r="F99"/>
    </row>
    <row r="100" spans="1:6">
      <c r="A100" s="330" t="s">
        <v>429</v>
      </c>
      <c r="B100" s="68" t="s">
        <v>1506</v>
      </c>
      <c r="C100" s="312" t="s">
        <v>1610</v>
      </c>
      <c r="D100" s="306" t="str">
        <f t="shared" si="3"/>
        <v>OK</v>
      </c>
      <c r="E100" s="37"/>
      <c r="F100"/>
    </row>
    <row r="101" spans="1:6">
      <c r="A101" s="330" t="s">
        <v>1611</v>
      </c>
      <c r="B101" s="68" t="s">
        <v>1500</v>
      </c>
      <c r="C101" s="312" t="s">
        <v>1612</v>
      </c>
      <c r="D101" s="306" t="str">
        <f t="shared" si="3"/>
        <v>OK</v>
      </c>
      <c r="E101" s="37"/>
      <c r="F101"/>
    </row>
    <row r="102" spans="1:6">
      <c r="A102" s="330" t="s">
        <v>1613</v>
      </c>
      <c r="B102" s="68" t="s">
        <v>1500</v>
      </c>
      <c r="C102" s="312" t="s">
        <v>1614</v>
      </c>
      <c r="D102" s="306" t="str">
        <f t="shared" si="3"/>
        <v>OK</v>
      </c>
      <c r="E102" s="37"/>
      <c r="F102"/>
    </row>
    <row r="103" spans="1:6">
      <c r="A103" s="330" t="s">
        <v>261</v>
      </c>
      <c r="B103" s="68" t="s">
        <v>1506</v>
      </c>
      <c r="C103" s="312" t="s">
        <v>1615</v>
      </c>
      <c r="D103" s="306" t="str">
        <f t="shared" si="3"/>
        <v>OK</v>
      </c>
      <c r="E103" s="37"/>
      <c r="F103"/>
    </row>
    <row r="104" spans="1:6">
      <c r="A104" s="330" t="s">
        <v>411</v>
      </c>
      <c r="B104" s="68" t="s">
        <v>1500</v>
      </c>
      <c r="C104" s="312" t="s">
        <v>1616</v>
      </c>
      <c r="D104" s="306" t="str">
        <f t="shared" si="3"/>
        <v>OK</v>
      </c>
      <c r="E104" s="37"/>
      <c r="F104"/>
    </row>
    <row r="105" spans="1:6">
      <c r="A105" s="330" t="s">
        <v>413</v>
      </c>
      <c r="B105" s="68" t="s">
        <v>1500</v>
      </c>
      <c r="C105" s="312" t="s">
        <v>1617</v>
      </c>
      <c r="D105" s="306" t="str">
        <f t="shared" si="3"/>
        <v>OK</v>
      </c>
      <c r="E105" s="37"/>
      <c r="F105"/>
    </row>
    <row r="106" spans="1:6">
      <c r="A106" s="330" t="s">
        <v>1618</v>
      </c>
      <c r="B106" s="68" t="s">
        <v>1500</v>
      </c>
      <c r="C106" s="312" t="s">
        <v>1619</v>
      </c>
      <c r="D106" s="306" t="str">
        <f t="shared" si="3"/>
        <v>OK</v>
      </c>
      <c r="E106" s="37"/>
      <c r="F106"/>
    </row>
    <row r="107" spans="1:6">
      <c r="A107" s="330" t="s">
        <v>1620</v>
      </c>
      <c r="B107" s="68" t="s">
        <v>1500</v>
      </c>
      <c r="C107" s="312" t="s">
        <v>1621</v>
      </c>
      <c r="D107" s="306" t="str">
        <f t="shared" si="3"/>
        <v>OK</v>
      </c>
      <c r="E107" s="37"/>
      <c r="F107"/>
    </row>
    <row r="108" spans="1:6">
      <c r="A108" s="330" t="s">
        <v>294</v>
      </c>
      <c r="B108" s="68" t="s">
        <v>1500</v>
      </c>
      <c r="C108" s="312" t="s">
        <v>1622</v>
      </c>
      <c r="D108" s="306" t="str">
        <f t="shared" si="3"/>
        <v>OK</v>
      </c>
      <c r="E108" s="37"/>
      <c r="F108"/>
    </row>
    <row r="109" spans="1:6">
      <c r="A109" s="330" t="s">
        <v>296</v>
      </c>
      <c r="B109" s="68" t="s">
        <v>1500</v>
      </c>
      <c r="C109" s="312" t="s">
        <v>1623</v>
      </c>
      <c r="D109" s="306" t="str">
        <f t="shared" si="3"/>
        <v>OK</v>
      </c>
      <c r="E109" s="37"/>
      <c r="F109"/>
    </row>
    <row r="110" spans="1:6">
      <c r="A110" s="330" t="s">
        <v>274</v>
      </c>
      <c r="B110" s="68" t="s">
        <v>1500</v>
      </c>
      <c r="C110" s="312" t="s">
        <v>1624</v>
      </c>
      <c r="D110" s="306" t="str">
        <f t="shared" si="3"/>
        <v>OK</v>
      </c>
      <c r="E110" s="37"/>
      <c r="F110"/>
    </row>
    <row r="111" spans="1:6">
      <c r="A111" s="330" t="s">
        <v>276</v>
      </c>
      <c r="B111" s="68" t="s">
        <v>1500</v>
      </c>
      <c r="C111" s="312" t="s">
        <v>1625</v>
      </c>
      <c r="D111" s="306" t="str">
        <f t="shared" si="3"/>
        <v>OK</v>
      </c>
      <c r="E111" s="37"/>
      <c r="F111"/>
    </row>
    <row r="112" spans="1:6">
      <c r="A112" s="330" t="s">
        <v>1626</v>
      </c>
      <c r="B112" s="68" t="s">
        <v>1500</v>
      </c>
      <c r="C112" s="312" t="s">
        <v>1626</v>
      </c>
      <c r="D112" s="306" t="str">
        <f t="shared" si="3"/>
        <v>OK</v>
      </c>
      <c r="E112" s="37"/>
      <c r="F112"/>
    </row>
    <row r="113" spans="1:6">
      <c r="A113" s="330" t="s">
        <v>196</v>
      </c>
      <c r="B113" s="68" t="s">
        <v>1506</v>
      </c>
      <c r="C113" s="312" t="s">
        <v>1627</v>
      </c>
      <c r="D113" s="306" t="str">
        <f t="shared" si="3"/>
        <v>OK</v>
      </c>
      <c r="E113" s="37"/>
      <c r="F113"/>
    </row>
    <row r="114" spans="1:6">
      <c r="A114" s="330" t="s">
        <v>275</v>
      </c>
      <c r="B114" s="68" t="s">
        <v>1506</v>
      </c>
      <c r="C114" s="312" t="s">
        <v>1628</v>
      </c>
      <c r="D114" s="306" t="str">
        <f t="shared" si="3"/>
        <v>OK</v>
      </c>
      <c r="E114" s="37"/>
      <c r="F114"/>
    </row>
    <row r="115" spans="1:6">
      <c r="A115" s="330" t="s">
        <v>271</v>
      </c>
      <c r="B115" s="68" t="s">
        <v>1506</v>
      </c>
      <c r="C115" s="312" t="s">
        <v>1629</v>
      </c>
      <c r="D115" s="306" t="str">
        <f t="shared" si="3"/>
        <v>OK</v>
      </c>
      <c r="E115" s="37"/>
      <c r="F115"/>
    </row>
    <row r="116" spans="1:6">
      <c r="A116" s="330" t="s">
        <v>1630</v>
      </c>
      <c r="B116" s="68" t="s">
        <v>1500</v>
      </c>
      <c r="C116" s="312" t="s">
        <v>1631</v>
      </c>
      <c r="D116" s="306" t="str">
        <f t="shared" si="3"/>
        <v>OK</v>
      </c>
      <c r="E116" s="37"/>
      <c r="F116"/>
    </row>
    <row r="117" spans="1:6">
      <c r="A117" s="330" t="s">
        <v>254</v>
      </c>
      <c r="B117" s="68" t="s">
        <v>1500</v>
      </c>
      <c r="C117" s="312" t="s">
        <v>254</v>
      </c>
      <c r="D117" s="306" t="str">
        <f t="shared" si="3"/>
        <v>OK</v>
      </c>
      <c r="E117" s="37"/>
      <c r="F117"/>
    </row>
    <row r="118" spans="1:6">
      <c r="A118" s="330" t="s">
        <v>1632</v>
      </c>
      <c r="B118" s="68" t="s">
        <v>1500</v>
      </c>
      <c r="C118" s="312" t="s">
        <v>1633</v>
      </c>
      <c r="D118" s="306" t="str">
        <f t="shared" si="3"/>
        <v>OK</v>
      </c>
      <c r="E118" s="37"/>
      <c r="F118"/>
    </row>
    <row r="119" spans="1:6">
      <c r="A119" s="330" t="s">
        <v>1634</v>
      </c>
      <c r="B119" s="68" t="s">
        <v>1500</v>
      </c>
      <c r="C119" s="312" t="s">
        <v>1635</v>
      </c>
      <c r="D119" s="306" t="str">
        <f t="shared" si="3"/>
        <v>OK</v>
      </c>
      <c r="E119" s="37" t="s">
        <v>1636</v>
      </c>
      <c r="F119"/>
    </row>
    <row r="120" spans="1:6">
      <c r="A120" s="330" t="s">
        <v>130</v>
      </c>
      <c r="B120" s="68" t="s">
        <v>1500</v>
      </c>
      <c r="C120" s="312" t="s">
        <v>1637</v>
      </c>
      <c r="D120" s="306" t="str">
        <f t="shared" si="3"/>
        <v>OK</v>
      </c>
      <c r="E120" s="37"/>
      <c r="F120"/>
    </row>
    <row r="121" spans="1:6">
      <c r="A121" s="330" t="s">
        <v>297</v>
      </c>
      <c r="B121" s="68" t="s">
        <v>1500</v>
      </c>
      <c r="C121" s="312" t="s">
        <v>1638</v>
      </c>
      <c r="D121" s="306" t="str">
        <f t="shared" si="3"/>
        <v>OK</v>
      </c>
      <c r="E121" s="37"/>
      <c r="F121"/>
    </row>
    <row r="122" spans="1:6">
      <c r="A122" s="330" t="s">
        <v>299</v>
      </c>
      <c r="B122" s="68" t="s">
        <v>1500</v>
      </c>
      <c r="C122" s="312" t="s">
        <v>1639</v>
      </c>
      <c r="D122" s="306" t="str">
        <f t="shared" si="3"/>
        <v>OK</v>
      </c>
      <c r="E122" s="37"/>
      <c r="F122"/>
    </row>
    <row r="123" spans="1:6">
      <c r="A123" s="330" t="s">
        <v>1640</v>
      </c>
      <c r="B123" s="68" t="s">
        <v>1500</v>
      </c>
      <c r="C123" s="312" t="s">
        <v>1641</v>
      </c>
      <c r="D123" s="306" t="str">
        <f t="shared" si="3"/>
        <v>OK</v>
      </c>
      <c r="E123" s="37"/>
      <c r="F123"/>
    </row>
    <row r="124" spans="1:6">
      <c r="A124" s="330" t="s">
        <v>436</v>
      </c>
      <c r="B124" s="68" t="s">
        <v>1506</v>
      </c>
      <c r="C124" s="312" t="s">
        <v>1642</v>
      </c>
      <c r="D124" s="306" t="str">
        <f t="shared" si="3"/>
        <v>OK</v>
      </c>
      <c r="E124" s="37"/>
      <c r="F124"/>
    </row>
    <row r="125" spans="1:6">
      <c r="A125" s="330" t="s">
        <v>238</v>
      </c>
      <c r="B125" s="68" t="s">
        <v>1500</v>
      </c>
      <c r="C125" s="312" t="s">
        <v>1643</v>
      </c>
      <c r="D125" s="306" t="str">
        <f t="shared" si="3"/>
        <v>OK</v>
      </c>
      <c r="E125" s="37"/>
      <c r="F125"/>
    </row>
    <row r="126" spans="1:6">
      <c r="A126" s="330" t="s">
        <v>1644</v>
      </c>
      <c r="B126" s="68" t="s">
        <v>1500</v>
      </c>
      <c r="C126" s="312" t="s">
        <v>1644</v>
      </c>
      <c r="D126" s="306" t="str">
        <f t="shared" si="3"/>
        <v>OK</v>
      </c>
      <c r="E126" s="37"/>
      <c r="F126"/>
    </row>
    <row r="127" spans="1:6">
      <c r="A127" s="330" t="s">
        <v>222</v>
      </c>
      <c r="B127" s="68" t="s">
        <v>1500</v>
      </c>
      <c r="C127" s="312" t="s">
        <v>1645</v>
      </c>
      <c r="D127" s="306" t="str">
        <f t="shared" si="3"/>
        <v>OK</v>
      </c>
      <c r="E127" s="37"/>
      <c r="F127"/>
    </row>
    <row r="128" spans="1:6">
      <c r="A128" s="330" t="s">
        <v>228</v>
      </c>
      <c r="B128" s="68" t="s">
        <v>1500</v>
      </c>
      <c r="C128" s="312" t="s">
        <v>1646</v>
      </c>
      <c r="D128" s="306" t="str">
        <f t="shared" si="3"/>
        <v>OK</v>
      </c>
      <c r="E128" s="37"/>
      <c r="F128"/>
    </row>
    <row r="129" spans="1:6">
      <c r="A129" s="330" t="s">
        <v>373</v>
      </c>
      <c r="B129" s="68" t="s">
        <v>1500</v>
      </c>
      <c r="C129" s="312" t="s">
        <v>1647</v>
      </c>
      <c r="D129" s="306" t="str">
        <f t="shared" si="3"/>
        <v>OK</v>
      </c>
      <c r="E129" s="37"/>
      <c r="F129"/>
    </row>
    <row r="130" spans="1:6">
      <c r="A130" s="330" t="s">
        <v>245</v>
      </c>
      <c r="B130" s="68" t="s">
        <v>1500</v>
      </c>
      <c r="C130" s="312" t="s">
        <v>1648</v>
      </c>
      <c r="D130" s="306" t="str">
        <f t="shared" si="3"/>
        <v>OK</v>
      </c>
      <c r="E130" s="37"/>
      <c r="F130"/>
    </row>
    <row r="131" spans="1:6">
      <c r="A131" s="330" t="s">
        <v>1649</v>
      </c>
      <c r="B131" s="68" t="s">
        <v>1500</v>
      </c>
      <c r="C131" s="312" t="s">
        <v>1650</v>
      </c>
      <c r="D131" s="306" t="str">
        <f t="shared" ref="D131:D136" si="4">IF(B131=IF(COUNTIF($F$5:$F$209,C131),"Stock","Flow/Sink"),"OK",IF(B131="Stock","Compartment missing in Lifetimes_pairs",IF(IF(COUNTIF($F$5:$F$161,C131),"Stock","Flow/Sink")="Stock","Change Type of compartment to Stock","OK")))</f>
        <v>OK</v>
      </c>
      <c r="E131" s="37"/>
      <c r="F131"/>
    </row>
    <row r="132" spans="1:6">
      <c r="A132" s="330" t="s">
        <v>1651</v>
      </c>
      <c r="B132" s="68" t="s">
        <v>1500</v>
      </c>
      <c r="C132" s="312" t="s">
        <v>1652</v>
      </c>
      <c r="D132" s="306" t="str">
        <f t="shared" si="4"/>
        <v>OK</v>
      </c>
      <c r="E132" s="37"/>
      <c r="F132"/>
    </row>
    <row r="133" spans="1:6">
      <c r="A133" s="330" t="s">
        <v>1653</v>
      </c>
      <c r="B133" s="68" t="s">
        <v>1500</v>
      </c>
      <c r="C133" s="312" t="s">
        <v>1654</v>
      </c>
      <c r="D133" s="306" t="str">
        <f t="shared" si="4"/>
        <v>OK</v>
      </c>
      <c r="E133" s="37"/>
      <c r="F133"/>
    </row>
    <row r="134" spans="1:6">
      <c r="A134" s="330" t="s">
        <v>347</v>
      </c>
      <c r="B134" s="68" t="s">
        <v>1500</v>
      </c>
      <c r="C134" s="312" t="s">
        <v>1655</v>
      </c>
      <c r="D134" s="306" t="str">
        <f t="shared" si="4"/>
        <v>OK</v>
      </c>
      <c r="E134" s="37"/>
      <c r="F134"/>
    </row>
    <row r="135" spans="1:6">
      <c r="A135" s="330" t="s">
        <v>1656</v>
      </c>
      <c r="B135" s="68" t="s">
        <v>1500</v>
      </c>
      <c r="C135" s="312" t="s">
        <v>1657</v>
      </c>
      <c r="D135" s="306" t="str">
        <f t="shared" si="4"/>
        <v>OK</v>
      </c>
      <c r="E135" s="37"/>
      <c r="F135"/>
    </row>
    <row r="136" spans="1:6" ht="15.75" thickBot="1">
      <c r="A136" s="450" t="s">
        <v>1658</v>
      </c>
      <c r="B136" s="72" t="s">
        <v>1500</v>
      </c>
      <c r="C136" s="325" t="s">
        <v>1658</v>
      </c>
      <c r="D136" s="576" t="str">
        <f t="shared" si="4"/>
        <v>OK</v>
      </c>
      <c r="E136" s="38"/>
      <c r="F136"/>
    </row>
    <row r="137" spans="1:6">
      <c r="A137"/>
      <c r="F137"/>
    </row>
    <row r="138" spans="1:6">
      <c r="A138"/>
      <c r="F138"/>
    </row>
    <row r="139" spans="1:6">
      <c r="A139"/>
      <c r="F139"/>
    </row>
    <row r="140" spans="1:6">
      <c r="A140"/>
      <c r="F140"/>
    </row>
    <row r="141" spans="1:6">
      <c r="A141"/>
      <c r="F141"/>
    </row>
    <row r="142" spans="1:6">
      <c r="A142"/>
      <c r="F142"/>
    </row>
    <row r="143" spans="1:6">
      <c r="A143"/>
      <c r="F143"/>
    </row>
    <row r="144" spans="1:6">
      <c r="A144"/>
      <c r="F144"/>
    </row>
    <row r="145" spans="1:6">
      <c r="A145"/>
      <c r="F145"/>
    </row>
    <row r="146" spans="1:6">
      <c r="A146"/>
      <c r="F146"/>
    </row>
    <row r="147" spans="1:6">
      <c r="A147"/>
      <c r="F147"/>
    </row>
    <row r="148" spans="1:6">
      <c r="A148"/>
      <c r="F148"/>
    </row>
    <row r="149" spans="1:6">
      <c r="A149"/>
      <c r="F149"/>
    </row>
    <row r="150" spans="1:6">
      <c r="A150"/>
      <c r="F150"/>
    </row>
    <row r="151" spans="1:6">
      <c r="A151"/>
      <c r="F151"/>
    </row>
    <row r="152" spans="1:6">
      <c r="A152"/>
      <c r="F152"/>
    </row>
    <row r="153" spans="1:6">
      <c r="A153"/>
      <c r="F153"/>
    </row>
    <row r="154" spans="1:6">
      <c r="A154"/>
      <c r="F154"/>
    </row>
    <row r="155" spans="1:6">
      <c r="A155"/>
      <c r="F155"/>
    </row>
    <row r="156" spans="1:6">
      <c r="A156"/>
      <c r="F156"/>
    </row>
    <row r="157" spans="1:6">
      <c r="A157"/>
      <c r="F157"/>
    </row>
    <row r="158" spans="1:6">
      <c r="A158"/>
      <c r="F158"/>
    </row>
    <row r="159" spans="1:6">
      <c r="A159"/>
      <c r="F159"/>
    </row>
    <row r="160" spans="1:6">
      <c r="A160"/>
      <c r="F160"/>
    </row>
    <row r="161" spans="1:6">
      <c r="A161"/>
      <c r="F161"/>
    </row>
    <row r="162" spans="1:6">
      <c r="A162"/>
      <c r="F162"/>
    </row>
    <row r="163" spans="1:6">
      <c r="A163"/>
      <c r="F163"/>
    </row>
    <row r="164" spans="1:6">
      <c r="A164"/>
      <c r="F164"/>
    </row>
    <row r="165" spans="1:6">
      <c r="A165"/>
      <c r="F165"/>
    </row>
    <row r="166" spans="1:6">
      <c r="A166"/>
      <c r="F166"/>
    </row>
    <row r="167" spans="1:6">
      <c r="A167"/>
      <c r="F167"/>
    </row>
    <row r="168" spans="1:6">
      <c r="A168"/>
      <c r="F168"/>
    </row>
    <row r="169" spans="1:6">
      <c r="A169"/>
      <c r="F169"/>
    </row>
    <row r="170" spans="1:6">
      <c r="A170"/>
      <c r="F170"/>
    </row>
    <row r="171" spans="1:6">
      <c r="A171"/>
      <c r="F171"/>
    </row>
    <row r="172" spans="1:6">
      <c r="A172"/>
      <c r="F172"/>
    </row>
    <row r="173" spans="1:6">
      <c r="A173"/>
      <c r="F173"/>
    </row>
    <row r="174" spans="1:6">
      <c r="A174"/>
      <c r="F174"/>
    </row>
    <row r="175" spans="1:6">
      <c r="A175"/>
      <c r="F175"/>
    </row>
    <row r="176" spans="1:6">
      <c r="A176"/>
      <c r="F176"/>
    </row>
    <row r="177" spans="1:6">
      <c r="A177"/>
      <c r="F177"/>
    </row>
    <row r="178" spans="1:6">
      <c r="A178"/>
      <c r="F178"/>
    </row>
    <row r="179" spans="1:6">
      <c r="A179"/>
      <c r="F179"/>
    </row>
    <row r="180" spans="1:6">
      <c r="A180"/>
      <c r="F180"/>
    </row>
    <row r="181" spans="1:6">
      <c r="A181"/>
      <c r="F181"/>
    </row>
    <row r="182" spans="1:6">
      <c r="A182"/>
      <c r="F182"/>
    </row>
    <row r="183" spans="1:6">
      <c r="A183"/>
      <c r="F183"/>
    </row>
    <row r="184" spans="1:6">
      <c r="A184"/>
      <c r="F184"/>
    </row>
    <row r="185" spans="1:6">
      <c r="A185"/>
      <c r="F185"/>
    </row>
    <row r="186" spans="1:6">
      <c r="A186"/>
      <c r="F186"/>
    </row>
    <row r="187" spans="1:6">
      <c r="A187"/>
      <c r="F187"/>
    </row>
    <row r="188" spans="1:6">
      <c r="A188"/>
      <c r="F188"/>
    </row>
    <row r="189" spans="1:6">
      <c r="A189"/>
      <c r="F189"/>
    </row>
    <row r="190" spans="1:6">
      <c r="A190"/>
      <c r="F190"/>
    </row>
    <row r="191" spans="1:6">
      <c r="A191"/>
      <c r="F191"/>
    </row>
    <row r="192" spans="1:6">
      <c r="A192"/>
      <c r="F192"/>
    </row>
    <row r="193" spans="1:6">
      <c r="A193"/>
      <c r="F193"/>
    </row>
    <row r="194" spans="1:6">
      <c r="A194"/>
      <c r="F194"/>
    </row>
    <row r="195" spans="1:6">
      <c r="A195"/>
      <c r="F195"/>
    </row>
    <row r="196" spans="1:6">
      <c r="A196"/>
      <c r="F196"/>
    </row>
    <row r="197" spans="1:6">
      <c r="A197"/>
      <c r="F197"/>
    </row>
    <row r="198" spans="1:6">
      <c r="A198"/>
      <c r="F198"/>
    </row>
    <row r="199" spans="1:6">
      <c r="A199"/>
      <c r="F199"/>
    </row>
    <row r="200" spans="1:6">
      <c r="A200"/>
      <c r="F200"/>
    </row>
    <row r="201" spans="1:6">
      <c r="A201"/>
      <c r="F201"/>
    </row>
    <row r="202" spans="1:6">
      <c r="A202"/>
      <c r="F202"/>
    </row>
    <row r="203" spans="1:6">
      <c r="A203"/>
      <c r="F203"/>
    </row>
    <row r="204" spans="1:6">
      <c r="A204"/>
      <c r="F204"/>
    </row>
    <row r="205" spans="1:6">
      <c r="A205"/>
      <c r="F205"/>
    </row>
    <row r="206" spans="1:6">
      <c r="A206"/>
      <c r="F206"/>
    </row>
    <row r="207" spans="1:6">
      <c r="A207"/>
      <c r="F207"/>
    </row>
    <row r="208" spans="1:6">
      <c r="A208"/>
      <c r="F208"/>
    </row>
    <row r="209" spans="1:6">
      <c r="A209"/>
      <c r="F209"/>
    </row>
    <row r="210" spans="1:6">
      <c r="A210"/>
      <c r="F210"/>
    </row>
    <row r="211" spans="1:6">
      <c r="A211"/>
      <c r="F211"/>
    </row>
    <row r="212" spans="1:6">
      <c r="A212"/>
      <c r="F212"/>
    </row>
    <row r="213" spans="1:6">
      <c r="A213"/>
      <c r="F213"/>
    </row>
    <row r="214" spans="1:6">
      <c r="A214"/>
      <c r="F214"/>
    </row>
    <row r="215" spans="1:6">
      <c r="A215"/>
      <c r="F215"/>
    </row>
    <row r="216" spans="1:6">
      <c r="A216"/>
      <c r="F216"/>
    </row>
    <row r="217" spans="1:6">
      <c r="A217"/>
      <c r="F217"/>
    </row>
    <row r="218" spans="1:6">
      <c r="A218"/>
      <c r="F218"/>
    </row>
    <row r="219" spans="1:6">
      <c r="A219"/>
      <c r="F219"/>
    </row>
    <row r="220" spans="1:6">
      <c r="A220"/>
      <c r="F220"/>
    </row>
    <row r="221" spans="1:6">
      <c r="A221"/>
      <c r="F221"/>
    </row>
    <row r="222" spans="1:6">
      <c r="A222"/>
      <c r="F222"/>
    </row>
    <row r="223" spans="1:6">
      <c r="A223"/>
      <c r="F223"/>
    </row>
    <row r="224" spans="1:6">
      <c r="A224"/>
      <c r="F224"/>
    </row>
    <row r="225" spans="1:6">
      <c r="A225"/>
      <c r="F225"/>
    </row>
    <row r="226" spans="1:6">
      <c r="A226"/>
      <c r="F226"/>
    </row>
    <row r="227" spans="1:6">
      <c r="A227"/>
      <c r="F227"/>
    </row>
    <row r="228" spans="1:6">
      <c r="A228"/>
      <c r="F228"/>
    </row>
    <row r="229" spans="1:6">
      <c r="A229"/>
      <c r="F229"/>
    </row>
    <row r="230" spans="1:6">
      <c r="A230"/>
      <c r="F230"/>
    </row>
    <row r="231" spans="1:6">
      <c r="A231"/>
      <c r="F231"/>
    </row>
    <row r="232" spans="1:6">
      <c r="A232"/>
      <c r="F232"/>
    </row>
    <row r="233" spans="1:6">
      <c r="A233"/>
      <c r="F233"/>
    </row>
    <row r="234" spans="1:6">
      <c r="A234"/>
      <c r="F234"/>
    </row>
    <row r="235" spans="1:6">
      <c r="A235"/>
      <c r="F235"/>
    </row>
    <row r="236" spans="1:6">
      <c r="A236"/>
      <c r="F236"/>
    </row>
    <row r="237" spans="1:6">
      <c r="A237"/>
      <c r="F237"/>
    </row>
    <row r="238" spans="1:6">
      <c r="A238"/>
      <c r="F238"/>
    </row>
    <row r="239" spans="1:6">
      <c r="A239"/>
      <c r="F239"/>
    </row>
    <row r="240" spans="1:6">
      <c r="A240"/>
      <c r="F240"/>
    </row>
    <row r="241" spans="1:6">
      <c r="A241"/>
      <c r="F241"/>
    </row>
    <row r="242" spans="1:6">
      <c r="A242"/>
      <c r="F242"/>
    </row>
    <row r="243" spans="1:6">
      <c r="A243"/>
      <c r="F243"/>
    </row>
    <row r="244" spans="1:6">
      <c r="A244"/>
      <c r="F244"/>
    </row>
    <row r="245" spans="1:6">
      <c r="A245"/>
      <c r="F245"/>
    </row>
    <row r="246" spans="1:6">
      <c r="A246"/>
      <c r="F246"/>
    </row>
    <row r="247" spans="1:6">
      <c r="A247"/>
      <c r="F247"/>
    </row>
    <row r="248" spans="1:6">
      <c r="A248"/>
      <c r="F248"/>
    </row>
    <row r="249" spans="1:6">
      <c r="A249"/>
      <c r="F249"/>
    </row>
    <row r="250" spans="1:6">
      <c r="A250"/>
      <c r="F250"/>
    </row>
    <row r="251" spans="1:6">
      <c r="A251"/>
      <c r="F251"/>
    </row>
    <row r="252" spans="1:6">
      <c r="A252"/>
      <c r="F252"/>
    </row>
    <row r="253" spans="1:6">
      <c r="A253"/>
      <c r="F253"/>
    </row>
    <row r="254" spans="1:6">
      <c r="A254"/>
      <c r="F254"/>
    </row>
    <row r="255" spans="1:6">
      <c r="A255"/>
      <c r="F255"/>
    </row>
    <row r="256" spans="1:6">
      <c r="A256"/>
      <c r="F256"/>
    </row>
    <row r="257" spans="1:6">
      <c r="A257"/>
      <c r="F257"/>
    </row>
    <row r="258" spans="1:6">
      <c r="A258"/>
      <c r="F258"/>
    </row>
    <row r="259" spans="1:6">
      <c r="A259"/>
      <c r="F259"/>
    </row>
    <row r="260" spans="1:6">
      <c r="A260"/>
      <c r="F260"/>
    </row>
    <row r="261" spans="1:6">
      <c r="A261"/>
      <c r="F261"/>
    </row>
    <row r="262" spans="1:6">
      <c r="A262"/>
      <c r="F262"/>
    </row>
    <row r="263" spans="1:6">
      <c r="A263"/>
      <c r="F263"/>
    </row>
    <row r="264" spans="1:6">
      <c r="A264"/>
      <c r="F264"/>
    </row>
    <row r="265" spans="1:6">
      <c r="A265"/>
      <c r="F265"/>
    </row>
    <row r="266" spans="1:6">
      <c r="A266"/>
      <c r="F266"/>
    </row>
    <row r="267" spans="1:6">
      <c r="A267"/>
      <c r="F267"/>
    </row>
    <row r="268" spans="1:6">
      <c r="A268"/>
      <c r="F268"/>
    </row>
    <row r="269" spans="1:6">
      <c r="A269"/>
      <c r="F269"/>
    </row>
    <row r="270" spans="1:6">
      <c r="A270"/>
      <c r="F270"/>
    </row>
    <row r="271" spans="1:6">
      <c r="A271"/>
      <c r="F271"/>
    </row>
    <row r="272" spans="1:6">
      <c r="A272"/>
      <c r="F272"/>
    </row>
    <row r="273" spans="1:6">
      <c r="A273"/>
      <c r="F273"/>
    </row>
    <row r="274" spans="1:6">
      <c r="A274"/>
      <c r="F274"/>
    </row>
    <row r="275" spans="1:6">
      <c r="A275"/>
      <c r="F275"/>
    </row>
    <row r="276" spans="1:6">
      <c r="A276"/>
      <c r="F276"/>
    </row>
    <row r="277" spans="1:6">
      <c r="A277"/>
      <c r="F277"/>
    </row>
    <row r="278" spans="1:6">
      <c r="A278"/>
      <c r="F278"/>
    </row>
    <row r="279" spans="1:6">
      <c r="A279"/>
      <c r="F279"/>
    </row>
    <row r="280" spans="1:6">
      <c r="A280"/>
      <c r="F280"/>
    </row>
    <row r="281" spans="1:6">
      <c r="A281"/>
      <c r="F281"/>
    </row>
    <row r="282" spans="1:6">
      <c r="A282"/>
      <c r="F282"/>
    </row>
    <row r="283" spans="1:6">
      <c r="A283"/>
      <c r="F283"/>
    </row>
    <row r="284" spans="1:6">
      <c r="A284"/>
      <c r="F284"/>
    </row>
    <row r="285" spans="1:6">
      <c r="A285"/>
      <c r="F285"/>
    </row>
    <row r="286" spans="1:6">
      <c r="A286"/>
      <c r="F286"/>
    </row>
    <row r="287" spans="1:6">
      <c r="A287"/>
      <c r="F287"/>
    </row>
    <row r="288" spans="1:6">
      <c r="A288"/>
      <c r="F288"/>
    </row>
    <row r="289" spans="1:6">
      <c r="A289"/>
      <c r="F289"/>
    </row>
    <row r="290" spans="1:6">
      <c r="A290"/>
      <c r="F290"/>
    </row>
    <row r="291" spans="1:6">
      <c r="A291"/>
      <c r="F291"/>
    </row>
    <row r="292" spans="1:6">
      <c r="A292"/>
      <c r="F292"/>
    </row>
    <row r="293" spans="1:6">
      <c r="A293"/>
      <c r="F293"/>
    </row>
    <row r="294" spans="1:6">
      <c r="A294"/>
      <c r="F294"/>
    </row>
    <row r="295" spans="1:6">
      <c r="A295"/>
      <c r="F295"/>
    </row>
    <row r="296" spans="1:6">
      <c r="A296"/>
      <c r="F296"/>
    </row>
    <row r="297" spans="1:6">
      <c r="A297"/>
      <c r="F297"/>
    </row>
    <row r="298" spans="1:6">
      <c r="A298"/>
      <c r="F298"/>
    </row>
    <row r="299" spans="1:6">
      <c r="A299"/>
      <c r="F299"/>
    </row>
    <row r="300" spans="1:6">
      <c r="A300"/>
      <c r="F300"/>
    </row>
    <row r="301" spans="1:6">
      <c r="A301"/>
      <c r="F301"/>
    </row>
    <row r="302" spans="1:6">
      <c r="A302"/>
      <c r="F302"/>
    </row>
    <row r="303" spans="1:6">
      <c r="A303"/>
      <c r="F303"/>
    </row>
    <row r="304" spans="1:6">
      <c r="A304"/>
      <c r="F304"/>
    </row>
    <row r="305" spans="1:6">
      <c r="A305"/>
      <c r="F305"/>
    </row>
    <row r="306" spans="1:6">
      <c r="A306"/>
      <c r="F306"/>
    </row>
    <row r="307" spans="1:6">
      <c r="A307"/>
      <c r="F307"/>
    </row>
    <row r="308" spans="1:6">
      <c r="A308"/>
      <c r="F308"/>
    </row>
    <row r="309" spans="1:6">
      <c r="A309"/>
      <c r="F309"/>
    </row>
    <row r="310" spans="1:6">
      <c r="A310"/>
      <c r="F310"/>
    </row>
    <row r="311" spans="1:6">
      <c r="A311"/>
      <c r="F311"/>
    </row>
    <row r="312" spans="1:6">
      <c r="A312"/>
      <c r="F312"/>
    </row>
    <row r="313" spans="1:6">
      <c r="A313"/>
      <c r="F313"/>
    </row>
    <row r="314" spans="1:6">
      <c r="A314"/>
      <c r="F314"/>
    </row>
    <row r="315" spans="1:6">
      <c r="A315"/>
      <c r="F315"/>
    </row>
    <row r="316" spans="1:6">
      <c r="A316"/>
      <c r="F316"/>
    </row>
    <row r="317" spans="1:6">
      <c r="A317"/>
      <c r="F317"/>
    </row>
    <row r="318" spans="1:6">
      <c r="A318"/>
      <c r="F318"/>
    </row>
    <row r="319" spans="1:6">
      <c r="A319"/>
      <c r="F319"/>
    </row>
    <row r="320" spans="1:6">
      <c r="A320"/>
      <c r="F320"/>
    </row>
    <row r="321" spans="1:6">
      <c r="A321"/>
      <c r="F321"/>
    </row>
    <row r="322" spans="1:6">
      <c r="A322"/>
      <c r="F322"/>
    </row>
    <row r="323" spans="1:6">
      <c r="A323"/>
      <c r="F323"/>
    </row>
    <row r="324" spans="1:6">
      <c r="A324"/>
      <c r="F324"/>
    </row>
    <row r="325" spans="1:6">
      <c r="A325"/>
      <c r="F325"/>
    </row>
    <row r="326" spans="1:6">
      <c r="A326"/>
      <c r="F326"/>
    </row>
    <row r="327" spans="1:6">
      <c r="A327"/>
      <c r="F327"/>
    </row>
    <row r="328" spans="1:6">
      <c r="A328"/>
      <c r="F328"/>
    </row>
    <row r="329" spans="1:6">
      <c r="A329"/>
      <c r="F329"/>
    </row>
    <row r="330" spans="1:6">
      <c r="A330"/>
      <c r="F330"/>
    </row>
    <row r="331" spans="1:6">
      <c r="A331"/>
      <c r="F331"/>
    </row>
    <row r="332" spans="1:6">
      <c r="A332"/>
      <c r="F332"/>
    </row>
    <row r="333" spans="1:6">
      <c r="A333"/>
      <c r="F333"/>
    </row>
    <row r="334" spans="1:6">
      <c r="A334"/>
      <c r="F334"/>
    </row>
    <row r="335" spans="1:6">
      <c r="A335"/>
      <c r="F335"/>
    </row>
    <row r="336" spans="1:6">
      <c r="A336"/>
      <c r="F336"/>
    </row>
    <row r="337" spans="1:6">
      <c r="A337"/>
      <c r="F337"/>
    </row>
    <row r="338" spans="1:6">
      <c r="A338"/>
      <c r="F338"/>
    </row>
    <row r="339" spans="1:6">
      <c r="A339"/>
      <c r="F339"/>
    </row>
    <row r="340" spans="1:6">
      <c r="A340"/>
      <c r="F340"/>
    </row>
    <row r="341" spans="1:6">
      <c r="A341"/>
      <c r="F341"/>
    </row>
    <row r="342" spans="1:6">
      <c r="A342"/>
      <c r="F342"/>
    </row>
    <row r="343" spans="1:6">
      <c r="A343"/>
      <c r="F343"/>
    </row>
    <row r="344" spans="1:6">
      <c r="A344"/>
      <c r="F344"/>
    </row>
    <row r="345" spans="1:6">
      <c r="A345"/>
      <c r="F345"/>
    </row>
    <row r="346" spans="1:6">
      <c r="A346"/>
      <c r="F346"/>
    </row>
    <row r="347" spans="1:6">
      <c r="A347"/>
      <c r="F347"/>
    </row>
    <row r="348" spans="1:6">
      <c r="A348"/>
      <c r="F348"/>
    </row>
    <row r="349" spans="1:6">
      <c r="A349"/>
      <c r="F349"/>
    </row>
    <row r="350" spans="1:6">
      <c r="A350"/>
      <c r="F350"/>
    </row>
    <row r="351" spans="1:6">
      <c r="A351"/>
      <c r="F351"/>
    </row>
    <row r="352" spans="1:6">
      <c r="A352"/>
      <c r="F352"/>
    </row>
    <row r="353" spans="1:6">
      <c r="A353"/>
      <c r="F353"/>
    </row>
    <row r="354" spans="1:6">
      <c r="A354"/>
      <c r="F354"/>
    </row>
    <row r="355" spans="1:6">
      <c r="A355"/>
      <c r="F355"/>
    </row>
    <row r="356" spans="1:6">
      <c r="A356"/>
      <c r="F356"/>
    </row>
    <row r="357" spans="1:6">
      <c r="A357"/>
      <c r="F357"/>
    </row>
    <row r="358" spans="1:6">
      <c r="A358"/>
      <c r="F358"/>
    </row>
    <row r="359" spans="1:6">
      <c r="A359"/>
      <c r="F359"/>
    </row>
    <row r="360" spans="1:6">
      <c r="A360"/>
      <c r="F360"/>
    </row>
    <row r="361" spans="1:6">
      <c r="A361"/>
      <c r="F361"/>
    </row>
    <row r="362" spans="1:6">
      <c r="A362"/>
      <c r="F362"/>
    </row>
    <row r="363" spans="1:6">
      <c r="A363"/>
      <c r="F363"/>
    </row>
    <row r="364" spans="1:6">
      <c r="A364"/>
      <c r="F364"/>
    </row>
    <row r="365" spans="1:6">
      <c r="A365"/>
      <c r="F365"/>
    </row>
    <row r="366" spans="1:6">
      <c r="A366"/>
      <c r="F366"/>
    </row>
    <row r="367" spans="1:6">
      <c r="A367"/>
      <c r="F367"/>
    </row>
    <row r="368" spans="1:6">
      <c r="A368"/>
      <c r="F368"/>
    </row>
    <row r="369" spans="1:1">
      <c r="A369"/>
    </row>
    <row r="370" spans="1:1">
      <c r="A370"/>
    </row>
    <row r="371" spans="1:1">
      <c r="A371"/>
    </row>
    <row r="372" spans="1:1">
      <c r="A372"/>
    </row>
    <row r="373" spans="1:1">
      <c r="A373"/>
    </row>
    <row r="374" spans="1:1">
      <c r="A374"/>
    </row>
    <row r="375" spans="1:1">
      <c r="A375"/>
    </row>
    <row r="376" spans="1:1">
      <c r="A376"/>
    </row>
    <row r="377" spans="1:1">
      <c r="A377"/>
    </row>
    <row r="378" spans="1:1">
      <c r="A378"/>
    </row>
    <row r="379" spans="1:1">
      <c r="A379"/>
    </row>
    <row r="380" spans="1:1">
      <c r="A380"/>
    </row>
    <row r="381" spans="1:1">
      <c r="A381"/>
    </row>
    <row r="382" spans="1:1">
      <c r="A382"/>
    </row>
    <row r="383" spans="1:1">
      <c r="A383"/>
    </row>
    <row r="384" spans="1:1">
      <c r="A384"/>
    </row>
    <row r="385" spans="1:1">
      <c r="A385"/>
    </row>
    <row r="386" spans="1:1">
      <c r="A386"/>
    </row>
    <row r="387" spans="1:1">
      <c r="A387"/>
    </row>
    <row r="388" spans="1:1">
      <c r="A388"/>
    </row>
    <row r="389" spans="1:1">
      <c r="A389"/>
    </row>
    <row r="390" spans="1:1">
      <c r="A390"/>
    </row>
    <row r="391" spans="1:1">
      <c r="A391"/>
    </row>
    <row r="392" spans="1:1">
      <c r="A392"/>
    </row>
    <row r="393" spans="1:1">
      <c r="A393"/>
    </row>
    <row r="394" spans="1:1">
      <c r="A394"/>
    </row>
    <row r="395" spans="1:1">
      <c r="A395"/>
    </row>
    <row r="396" spans="1:1">
      <c r="A396"/>
    </row>
    <row r="397" spans="1:1">
      <c r="A397"/>
    </row>
    <row r="398" spans="1:1">
      <c r="A398"/>
    </row>
    <row r="399" spans="1:1">
      <c r="A399"/>
    </row>
    <row r="400" spans="1:1">
      <c r="A400"/>
    </row>
    <row r="401" spans="1:1">
      <c r="A401"/>
    </row>
    <row r="402" spans="1:1">
      <c r="A402"/>
    </row>
    <row r="403" spans="1:1">
      <c r="A403"/>
    </row>
    <row r="404" spans="1:1">
      <c r="A404"/>
    </row>
    <row r="405" spans="1:1">
      <c r="A405"/>
    </row>
    <row r="406" spans="1:1">
      <c r="A406"/>
    </row>
    <row r="407" spans="1:1">
      <c r="A407"/>
    </row>
    <row r="408" spans="1:1">
      <c r="A408"/>
    </row>
    <row r="409" spans="1:1">
      <c r="A409"/>
    </row>
    <row r="410" spans="1:1">
      <c r="A410"/>
    </row>
    <row r="411" spans="1:1">
      <c r="A411"/>
    </row>
    <row r="412" spans="1:1">
      <c r="A412"/>
    </row>
    <row r="413" spans="1:1">
      <c r="A413"/>
    </row>
    <row r="414" spans="1:1">
      <c r="A414"/>
    </row>
    <row r="415" spans="1:1">
      <c r="A415"/>
    </row>
    <row r="416" spans="1:1">
      <c r="A416"/>
    </row>
    <row r="417" spans="1:1">
      <c r="A417"/>
    </row>
    <row r="418" spans="1:1">
      <c r="A418"/>
    </row>
    <row r="419" spans="1:1">
      <c r="A419"/>
    </row>
    <row r="420" spans="1:1">
      <c r="A420"/>
    </row>
    <row r="421" spans="1:1">
      <c r="A421"/>
    </row>
    <row r="422" spans="1:1">
      <c r="A422"/>
    </row>
    <row r="423" spans="1:1">
      <c r="A423"/>
    </row>
    <row r="424" spans="1:1">
      <c r="A424"/>
    </row>
    <row r="425" spans="1:1">
      <c r="A425"/>
    </row>
    <row r="426" spans="1:1">
      <c r="A426"/>
    </row>
    <row r="427" spans="1:1">
      <c r="A427"/>
    </row>
    <row r="428" spans="1:1">
      <c r="A428"/>
    </row>
    <row r="429" spans="1:1">
      <c r="A429"/>
    </row>
    <row r="430" spans="1:1">
      <c r="A430"/>
    </row>
    <row r="431" spans="1:1">
      <c r="A431"/>
    </row>
    <row r="432" spans="1:1">
      <c r="A432"/>
    </row>
    <row r="433" spans="1:1">
      <c r="A433"/>
    </row>
    <row r="434" spans="1:1">
      <c r="A434"/>
    </row>
    <row r="435" spans="1:1">
      <c r="A435"/>
    </row>
    <row r="436" spans="1:1">
      <c r="A436"/>
    </row>
    <row r="437" spans="1:1">
      <c r="A437"/>
    </row>
    <row r="438" spans="1:1">
      <c r="A438"/>
    </row>
    <row r="439" spans="1:1">
      <c r="A439"/>
    </row>
    <row r="440" spans="1:1">
      <c r="A440"/>
    </row>
    <row r="441" spans="1:1">
      <c r="A441"/>
    </row>
    <row r="442" spans="1:1">
      <c r="A442"/>
    </row>
    <row r="443" spans="1:1">
      <c r="A443"/>
    </row>
    <row r="444" spans="1:1">
      <c r="A444"/>
    </row>
    <row r="445" spans="1:1">
      <c r="A445"/>
    </row>
    <row r="446" spans="1:1">
      <c r="A446"/>
    </row>
    <row r="447" spans="1:1">
      <c r="A447"/>
    </row>
    <row r="448" spans="1:1">
      <c r="A448"/>
    </row>
    <row r="449" spans="1:1">
      <c r="A449"/>
    </row>
    <row r="450" spans="1:1">
      <c r="A450"/>
    </row>
    <row r="451" spans="1:1">
      <c r="A451"/>
    </row>
    <row r="452" spans="1:1">
      <c r="A452"/>
    </row>
    <row r="453" spans="1:1">
      <c r="A453"/>
    </row>
    <row r="454" spans="1:1">
      <c r="A454"/>
    </row>
    <row r="455" spans="1:1">
      <c r="A455"/>
    </row>
    <row r="456" spans="1:1">
      <c r="A456"/>
    </row>
    <row r="457" spans="1:1">
      <c r="A457"/>
    </row>
    <row r="458" spans="1:1">
      <c r="A458"/>
    </row>
    <row r="459" spans="1:1">
      <c r="A459"/>
    </row>
    <row r="460" spans="1:1">
      <c r="A460"/>
    </row>
    <row r="461" spans="1:1">
      <c r="A461"/>
    </row>
    <row r="462" spans="1:1">
      <c r="A462"/>
    </row>
    <row r="463" spans="1:1">
      <c r="A463"/>
    </row>
    <row r="464" spans="1:1">
      <c r="A464"/>
    </row>
    <row r="465" spans="1:1">
      <c r="A465"/>
    </row>
    <row r="466" spans="1:1">
      <c r="A466"/>
    </row>
    <row r="467" spans="1:1">
      <c r="A467"/>
    </row>
    <row r="468" spans="1:1">
      <c r="A468"/>
    </row>
    <row r="469" spans="1:1">
      <c r="A469"/>
    </row>
    <row r="470" spans="1:1">
      <c r="A470"/>
    </row>
    <row r="471" spans="1:1">
      <c r="A471"/>
    </row>
    <row r="472" spans="1:1">
      <c r="A472"/>
    </row>
    <row r="473" spans="1:1">
      <c r="A473"/>
    </row>
    <row r="474" spans="1:1">
      <c r="A474"/>
    </row>
    <row r="475" spans="1:1">
      <c r="A475"/>
    </row>
    <row r="476" spans="1:1">
      <c r="A476"/>
    </row>
    <row r="477" spans="1:1">
      <c r="A477"/>
    </row>
    <row r="478" spans="1:1">
      <c r="A478"/>
    </row>
    <row r="479" spans="1:1">
      <c r="A479"/>
    </row>
    <row r="480" spans="1:1">
      <c r="A480"/>
    </row>
    <row r="481" spans="1:1">
      <c r="A481"/>
    </row>
    <row r="482" spans="1:1">
      <c r="A482"/>
    </row>
    <row r="483" spans="1:1">
      <c r="A483"/>
    </row>
    <row r="484" spans="1:1">
      <c r="A484"/>
    </row>
    <row r="485" spans="1:1">
      <c r="A485"/>
    </row>
    <row r="486" spans="1:1">
      <c r="A486"/>
    </row>
    <row r="487" spans="1:1">
      <c r="A487"/>
    </row>
    <row r="488" spans="1:1">
      <c r="A488"/>
    </row>
    <row r="489" spans="1:1">
      <c r="A489"/>
    </row>
    <row r="490" spans="1:1">
      <c r="A490"/>
    </row>
    <row r="491" spans="1:1">
      <c r="A491"/>
    </row>
    <row r="492" spans="1:1">
      <c r="A492"/>
    </row>
    <row r="493" spans="1:1">
      <c r="A493"/>
    </row>
    <row r="494" spans="1:1">
      <c r="A494"/>
    </row>
    <row r="495" spans="1:1">
      <c r="A495"/>
    </row>
    <row r="496" spans="1:1">
      <c r="A496"/>
    </row>
    <row r="497" spans="1:1">
      <c r="A497"/>
    </row>
    <row r="498" spans="1:1">
      <c r="A498"/>
    </row>
    <row r="499" spans="1:1">
      <c r="A499"/>
    </row>
    <row r="500" spans="1:1">
      <c r="A500"/>
    </row>
    <row r="501" spans="1:1">
      <c r="A501"/>
    </row>
    <row r="502" spans="1:1">
      <c r="A502"/>
    </row>
    <row r="503" spans="1:1">
      <c r="A503"/>
    </row>
    <row r="504" spans="1:1">
      <c r="A504"/>
    </row>
    <row r="505" spans="1:1">
      <c r="A505"/>
    </row>
    <row r="506" spans="1:1">
      <c r="A506"/>
    </row>
    <row r="507" spans="1:1">
      <c r="A507"/>
    </row>
    <row r="508" spans="1:1">
      <c r="A508"/>
    </row>
    <row r="509" spans="1:1">
      <c r="A509"/>
    </row>
    <row r="510" spans="1:1">
      <c r="A510"/>
    </row>
    <row r="511" spans="1:1">
      <c r="A511"/>
    </row>
    <row r="512" spans="1:1">
      <c r="A512"/>
    </row>
    <row r="513" spans="1:1">
      <c r="A513"/>
    </row>
    <row r="514" spans="1:1">
      <c r="A514"/>
    </row>
    <row r="515" spans="1:1">
      <c r="A515"/>
    </row>
    <row r="516" spans="1:1">
      <c r="A516"/>
    </row>
    <row r="517" spans="1:1">
      <c r="A517"/>
    </row>
    <row r="518" spans="1:1">
      <c r="A518"/>
    </row>
    <row r="519" spans="1:1">
      <c r="A519"/>
    </row>
    <row r="520" spans="1:1">
      <c r="A520"/>
    </row>
    <row r="521" spans="1:1">
      <c r="A521"/>
    </row>
    <row r="522" spans="1:1">
      <c r="A522"/>
    </row>
    <row r="523" spans="1:1">
      <c r="A523"/>
    </row>
    <row r="524" spans="1:1">
      <c r="A524"/>
    </row>
    <row r="525" spans="1:1">
      <c r="A525"/>
    </row>
    <row r="526" spans="1:1">
      <c r="A526"/>
    </row>
    <row r="527" spans="1:1">
      <c r="A527"/>
    </row>
    <row r="528" spans="1:1">
      <c r="A528"/>
    </row>
    <row r="529" spans="1:1">
      <c r="A529"/>
    </row>
    <row r="530" spans="1:1">
      <c r="A530"/>
    </row>
    <row r="531" spans="1:1">
      <c r="A531"/>
    </row>
    <row r="532" spans="1:1">
      <c r="A532"/>
    </row>
    <row r="533" spans="1:1">
      <c r="A533"/>
    </row>
    <row r="534" spans="1:1">
      <c r="A534"/>
    </row>
    <row r="535" spans="1:1">
      <c r="A535"/>
    </row>
    <row r="536" spans="1:1">
      <c r="A536"/>
    </row>
    <row r="537" spans="1:1">
      <c r="A537"/>
    </row>
    <row r="538" spans="1:1">
      <c r="A538"/>
    </row>
    <row r="539" spans="1:1">
      <c r="A539"/>
    </row>
    <row r="540" spans="1:1">
      <c r="A540"/>
    </row>
    <row r="541" spans="1:1">
      <c r="A541"/>
    </row>
    <row r="542" spans="1:1">
      <c r="A542"/>
    </row>
    <row r="543" spans="1:1">
      <c r="A543"/>
    </row>
    <row r="544" spans="1:1">
      <c r="A544"/>
    </row>
    <row r="545" spans="1:1">
      <c r="A545"/>
    </row>
    <row r="546" spans="1:1">
      <c r="A546"/>
    </row>
    <row r="547" spans="1:1">
      <c r="A547"/>
    </row>
    <row r="548" spans="1:1">
      <c r="A548"/>
    </row>
    <row r="549" spans="1:1">
      <c r="A549"/>
    </row>
    <row r="550" spans="1:1">
      <c r="A550"/>
    </row>
    <row r="551" spans="1:1">
      <c r="A551"/>
    </row>
    <row r="552" spans="1:1">
      <c r="A552"/>
    </row>
    <row r="553" spans="1:1">
      <c r="A553"/>
    </row>
    <row r="554" spans="1:1">
      <c r="A554"/>
    </row>
    <row r="555" spans="1:1">
      <c r="A555"/>
    </row>
    <row r="556" spans="1:1">
      <c r="A556"/>
    </row>
    <row r="557" spans="1:1">
      <c r="A557"/>
    </row>
    <row r="558" spans="1:1">
      <c r="A558"/>
    </row>
    <row r="559" spans="1:1">
      <c r="A559"/>
    </row>
    <row r="560" spans="1:1">
      <c r="A560"/>
    </row>
    <row r="561" spans="1:1">
      <c r="A561"/>
    </row>
    <row r="562" spans="1:1">
      <c r="A562"/>
    </row>
    <row r="563" spans="1:1">
      <c r="A563"/>
    </row>
    <row r="564" spans="1:1">
      <c r="A564"/>
    </row>
    <row r="565" spans="1:1">
      <c r="A565"/>
    </row>
    <row r="566" spans="1:1">
      <c r="A566"/>
    </row>
    <row r="567" spans="1:1">
      <c r="A567"/>
    </row>
    <row r="568" spans="1:1">
      <c r="A568"/>
    </row>
    <row r="569" spans="1:1">
      <c r="A569"/>
    </row>
    <row r="570" spans="1:1">
      <c r="A570"/>
    </row>
    <row r="571" spans="1:1">
      <c r="A571"/>
    </row>
    <row r="572" spans="1:1">
      <c r="A572"/>
    </row>
    <row r="573" spans="1:1">
      <c r="A573"/>
    </row>
    <row r="574" spans="1:1">
      <c r="A574"/>
    </row>
    <row r="575" spans="1:1">
      <c r="A575"/>
    </row>
    <row r="576" spans="1:1">
      <c r="A576"/>
    </row>
    <row r="577" spans="1:1">
      <c r="A577"/>
    </row>
    <row r="578" spans="1:1">
      <c r="A578"/>
    </row>
    <row r="579" spans="1:1">
      <c r="A579"/>
    </row>
    <row r="580" spans="1:1">
      <c r="A580"/>
    </row>
    <row r="581" spans="1:1">
      <c r="A581"/>
    </row>
    <row r="582" spans="1:1">
      <c r="A582"/>
    </row>
    <row r="583" spans="1:1">
      <c r="A583"/>
    </row>
    <row r="584" spans="1:1">
      <c r="A584"/>
    </row>
    <row r="585" spans="1:1">
      <c r="A585"/>
    </row>
    <row r="586" spans="1:1">
      <c r="A586"/>
    </row>
    <row r="587" spans="1:1">
      <c r="A587"/>
    </row>
    <row r="588" spans="1:1">
      <c r="A588"/>
    </row>
    <row r="589" spans="1:1">
      <c r="A589"/>
    </row>
    <row r="590" spans="1:1">
      <c r="A590"/>
    </row>
    <row r="591" spans="1:1">
      <c r="A591"/>
    </row>
    <row r="592" spans="1:1">
      <c r="A592"/>
    </row>
    <row r="593" spans="1:1">
      <c r="A593"/>
    </row>
    <row r="594" spans="1:1">
      <c r="A594"/>
    </row>
    <row r="595" spans="1:1">
      <c r="A595"/>
    </row>
    <row r="596" spans="1:1">
      <c r="A596"/>
    </row>
    <row r="597" spans="1:1">
      <c r="A597"/>
    </row>
    <row r="598" spans="1:1">
      <c r="A598"/>
    </row>
    <row r="599" spans="1:1">
      <c r="A599"/>
    </row>
    <row r="600" spans="1:1">
      <c r="A600"/>
    </row>
    <row r="601" spans="1:1">
      <c r="A601"/>
    </row>
    <row r="602" spans="1:1">
      <c r="A602"/>
    </row>
    <row r="603" spans="1:1">
      <c r="A603"/>
    </row>
    <row r="604" spans="1:1">
      <c r="A604"/>
    </row>
    <row r="605" spans="1:1">
      <c r="A605"/>
    </row>
    <row r="606" spans="1:1">
      <c r="A606"/>
    </row>
    <row r="607" spans="1:1">
      <c r="A607"/>
    </row>
    <row r="608" spans="1:1">
      <c r="A608"/>
    </row>
    <row r="609" spans="1:1">
      <c r="A609"/>
    </row>
    <row r="610" spans="1:1">
      <c r="A610"/>
    </row>
    <row r="611" spans="1:1">
      <c r="A611"/>
    </row>
    <row r="612" spans="1:1">
      <c r="A612"/>
    </row>
    <row r="613" spans="1:1">
      <c r="A613"/>
    </row>
    <row r="614" spans="1:1">
      <c r="A614"/>
    </row>
    <row r="615" spans="1:1">
      <c r="A615"/>
    </row>
    <row r="616" spans="1:1">
      <c r="A616"/>
    </row>
    <row r="617" spans="1:1">
      <c r="A617"/>
    </row>
    <row r="618" spans="1:1">
      <c r="A618"/>
    </row>
    <row r="619" spans="1:1">
      <c r="A619"/>
    </row>
    <row r="620" spans="1:1">
      <c r="A620"/>
    </row>
    <row r="621" spans="1:1">
      <c r="A621"/>
    </row>
    <row r="622" spans="1:1">
      <c r="A622"/>
    </row>
    <row r="623" spans="1:1">
      <c r="A623"/>
    </row>
    <row r="624" spans="1:1">
      <c r="A624"/>
    </row>
    <row r="625" spans="1:1">
      <c r="A625"/>
    </row>
    <row r="626" spans="1:1">
      <c r="A626"/>
    </row>
    <row r="627" spans="1:1">
      <c r="A627"/>
    </row>
    <row r="628" spans="1:1">
      <c r="A628"/>
    </row>
    <row r="629" spans="1:1">
      <c r="A629"/>
    </row>
    <row r="630" spans="1:1">
      <c r="A630"/>
    </row>
    <row r="631" spans="1:1">
      <c r="A631"/>
    </row>
    <row r="632" spans="1:1">
      <c r="A632"/>
    </row>
    <row r="633" spans="1:1">
      <c r="A633"/>
    </row>
    <row r="634" spans="1:1">
      <c r="A634"/>
    </row>
    <row r="635" spans="1:1">
      <c r="A635"/>
    </row>
    <row r="636" spans="1:1">
      <c r="A636"/>
    </row>
    <row r="637" spans="1:1">
      <c r="A637"/>
    </row>
    <row r="638" spans="1:1">
      <c r="A638"/>
    </row>
    <row r="639" spans="1:1">
      <c r="A639"/>
    </row>
    <row r="640" spans="1:1">
      <c r="A640"/>
    </row>
    <row r="641" spans="1:1">
      <c r="A641"/>
    </row>
    <row r="642" spans="1:1">
      <c r="A642"/>
    </row>
    <row r="643" spans="1:1">
      <c r="A643"/>
    </row>
    <row r="644" spans="1:1">
      <c r="A644"/>
    </row>
    <row r="645" spans="1:1">
      <c r="A645"/>
    </row>
    <row r="646" spans="1:1">
      <c r="A646"/>
    </row>
    <row r="647" spans="1:1">
      <c r="A647"/>
    </row>
    <row r="648" spans="1:1">
      <c r="A648"/>
    </row>
    <row r="649" spans="1:1">
      <c r="A649"/>
    </row>
    <row r="650" spans="1:1">
      <c r="A650"/>
    </row>
    <row r="651" spans="1:1">
      <c r="A651"/>
    </row>
    <row r="652" spans="1:1">
      <c r="A652"/>
    </row>
    <row r="653" spans="1:1">
      <c r="A653"/>
    </row>
    <row r="654" spans="1:1">
      <c r="A654"/>
    </row>
    <row r="655" spans="1:1">
      <c r="A655"/>
    </row>
    <row r="656" spans="1:1">
      <c r="A656"/>
    </row>
    <row r="657" spans="1:1">
      <c r="A657"/>
    </row>
    <row r="658" spans="1:1">
      <c r="A658"/>
    </row>
    <row r="659" spans="1:1">
      <c r="A659"/>
    </row>
    <row r="660" spans="1:1">
      <c r="A660"/>
    </row>
    <row r="661" spans="1:1">
      <c r="A661"/>
    </row>
    <row r="662" spans="1:1">
      <c r="A662"/>
    </row>
    <row r="663" spans="1:1">
      <c r="A663"/>
    </row>
    <row r="664" spans="1:1">
      <c r="A664"/>
    </row>
    <row r="665" spans="1:1">
      <c r="A665"/>
    </row>
    <row r="666" spans="1:1">
      <c r="A666"/>
    </row>
    <row r="667" spans="1:1">
      <c r="A667"/>
    </row>
    <row r="668" spans="1:1">
      <c r="A668"/>
    </row>
    <row r="669" spans="1:1">
      <c r="A669"/>
    </row>
    <row r="670" spans="1:1">
      <c r="A670"/>
    </row>
    <row r="671" spans="1:1">
      <c r="A671"/>
    </row>
    <row r="672" spans="1:1">
      <c r="A672"/>
    </row>
    <row r="673" spans="1:1">
      <c r="A673"/>
    </row>
    <row r="674" spans="1:1">
      <c r="A674"/>
    </row>
    <row r="675" spans="1:1">
      <c r="A675"/>
    </row>
    <row r="676" spans="1:1">
      <c r="A676"/>
    </row>
    <row r="677" spans="1:1">
      <c r="A677"/>
    </row>
    <row r="678" spans="1:1">
      <c r="A678"/>
    </row>
    <row r="679" spans="1:1">
      <c r="A679"/>
    </row>
    <row r="680" spans="1:1">
      <c r="A680"/>
    </row>
    <row r="681" spans="1:1">
      <c r="A681"/>
    </row>
    <row r="682" spans="1:1">
      <c r="A682"/>
    </row>
    <row r="683" spans="1:1">
      <c r="A683"/>
    </row>
    <row r="684" spans="1:1">
      <c r="A684"/>
    </row>
    <row r="685" spans="1:1">
      <c r="A685"/>
    </row>
    <row r="686" spans="1:1">
      <c r="A686"/>
    </row>
    <row r="687" spans="1:1">
      <c r="A687"/>
    </row>
    <row r="688" spans="1:1">
      <c r="A688"/>
    </row>
    <row r="689" spans="1:1">
      <c r="A689"/>
    </row>
    <row r="690" spans="1:1">
      <c r="A690"/>
    </row>
    <row r="691" spans="1:1">
      <c r="A691"/>
    </row>
    <row r="692" spans="1:1">
      <c r="A692"/>
    </row>
    <row r="693" spans="1:1">
      <c r="A693"/>
    </row>
    <row r="694" spans="1:1">
      <c r="A694"/>
    </row>
    <row r="695" spans="1:1">
      <c r="A695"/>
    </row>
    <row r="696" spans="1:1">
      <c r="A696"/>
    </row>
    <row r="697" spans="1:1">
      <c r="A697"/>
    </row>
    <row r="698" spans="1:1">
      <c r="A698"/>
    </row>
    <row r="699" spans="1:1">
      <c r="A699"/>
    </row>
    <row r="700" spans="1:1">
      <c r="A700"/>
    </row>
    <row r="701" spans="1:1">
      <c r="A701"/>
    </row>
    <row r="702" spans="1:1">
      <c r="A702"/>
    </row>
    <row r="703" spans="1:1">
      <c r="A703"/>
    </row>
    <row r="704" spans="1:1">
      <c r="A704"/>
    </row>
    <row r="705" spans="1:1">
      <c r="A705"/>
    </row>
    <row r="706" spans="1:1">
      <c r="A706"/>
    </row>
    <row r="707" spans="1:1">
      <c r="A707"/>
    </row>
    <row r="708" spans="1:1">
      <c r="A708"/>
    </row>
    <row r="709" spans="1:1">
      <c r="A709"/>
    </row>
    <row r="710" spans="1:1">
      <c r="A710"/>
    </row>
    <row r="711" spans="1:1">
      <c r="A711"/>
    </row>
    <row r="712" spans="1:1">
      <c r="A712"/>
    </row>
    <row r="713" spans="1:1">
      <c r="A713"/>
    </row>
    <row r="714" spans="1:1">
      <c r="A714"/>
    </row>
    <row r="715" spans="1:1">
      <c r="A715"/>
    </row>
    <row r="716" spans="1:1">
      <c r="A716"/>
    </row>
    <row r="717" spans="1:1">
      <c r="A717"/>
    </row>
    <row r="718" spans="1:1">
      <c r="A718"/>
    </row>
    <row r="719" spans="1:1">
      <c r="A719"/>
    </row>
    <row r="720" spans="1:1">
      <c r="A720"/>
    </row>
    <row r="721" spans="1:1">
      <c r="A721"/>
    </row>
    <row r="722" spans="1:1">
      <c r="A722"/>
    </row>
    <row r="723" spans="1:1">
      <c r="A723"/>
    </row>
    <row r="724" spans="1:1">
      <c r="A724"/>
    </row>
    <row r="725" spans="1:1">
      <c r="A725"/>
    </row>
    <row r="726" spans="1:1">
      <c r="A726"/>
    </row>
    <row r="727" spans="1:1">
      <c r="A727"/>
    </row>
    <row r="728" spans="1:1">
      <c r="A728"/>
    </row>
    <row r="729" spans="1:1">
      <c r="A729"/>
    </row>
    <row r="730" spans="1:1">
      <c r="A730"/>
    </row>
    <row r="731" spans="1:1">
      <c r="A731"/>
    </row>
    <row r="732" spans="1:1">
      <c r="A732"/>
    </row>
    <row r="733" spans="1:1">
      <c r="A733"/>
    </row>
    <row r="734" spans="1:1">
      <c r="A734"/>
    </row>
    <row r="735" spans="1:1">
      <c r="A735"/>
    </row>
    <row r="736" spans="1:1">
      <c r="A736"/>
    </row>
    <row r="737" spans="1:1">
      <c r="A737"/>
    </row>
    <row r="738" spans="1:1">
      <c r="A738"/>
    </row>
    <row r="739" spans="1:1">
      <c r="A739"/>
    </row>
    <row r="740" spans="1:1">
      <c r="A740"/>
    </row>
    <row r="741" spans="1:1">
      <c r="A741"/>
    </row>
    <row r="742" spans="1:1">
      <c r="A742"/>
    </row>
    <row r="743" spans="1:1">
      <c r="A743"/>
    </row>
    <row r="744" spans="1:1">
      <c r="A744"/>
    </row>
    <row r="745" spans="1:1">
      <c r="A745"/>
    </row>
    <row r="746" spans="1:1">
      <c r="A746"/>
    </row>
    <row r="747" spans="1:1">
      <c r="A747"/>
    </row>
    <row r="748" spans="1:1">
      <c r="A748"/>
    </row>
    <row r="749" spans="1:1">
      <c r="A749"/>
    </row>
    <row r="750" spans="1:1">
      <c r="A750"/>
    </row>
    <row r="751" spans="1:1">
      <c r="A751"/>
    </row>
    <row r="752" spans="1:1">
      <c r="A752"/>
    </row>
    <row r="753" spans="1:1">
      <c r="A753"/>
    </row>
    <row r="754" spans="1:1">
      <c r="A754"/>
    </row>
    <row r="755" spans="1:1">
      <c r="A755"/>
    </row>
    <row r="756" spans="1:1">
      <c r="A756"/>
    </row>
    <row r="757" spans="1:1">
      <c r="A757"/>
    </row>
    <row r="758" spans="1:1">
      <c r="A758"/>
    </row>
    <row r="759" spans="1:1">
      <c r="A759"/>
    </row>
    <row r="760" spans="1:1">
      <c r="A760"/>
    </row>
    <row r="761" spans="1:1">
      <c r="A761"/>
    </row>
    <row r="762" spans="1:1">
      <c r="A762"/>
    </row>
    <row r="763" spans="1:1">
      <c r="A763"/>
    </row>
    <row r="764" spans="1:1">
      <c r="A764"/>
    </row>
    <row r="765" spans="1:1">
      <c r="A765"/>
    </row>
    <row r="766" spans="1:1">
      <c r="A766"/>
    </row>
    <row r="767" spans="1:1">
      <c r="A767"/>
    </row>
    <row r="768" spans="1:1">
      <c r="A768"/>
    </row>
    <row r="769" spans="1:1">
      <c r="A769"/>
    </row>
    <row r="770" spans="1:1">
      <c r="A770"/>
    </row>
    <row r="771" spans="1:1">
      <c r="A771"/>
    </row>
    <row r="772" spans="1:1">
      <c r="A772"/>
    </row>
    <row r="773" spans="1:1">
      <c r="A773"/>
    </row>
    <row r="774" spans="1:1">
      <c r="A774"/>
    </row>
    <row r="775" spans="1:1">
      <c r="A775"/>
    </row>
    <row r="776" spans="1:1">
      <c r="A776"/>
    </row>
    <row r="777" spans="1:1">
      <c r="A777"/>
    </row>
    <row r="778" spans="1:1">
      <c r="A778"/>
    </row>
    <row r="779" spans="1:1">
      <c r="A779"/>
    </row>
    <row r="780" spans="1:1">
      <c r="A780"/>
    </row>
    <row r="781" spans="1:1">
      <c r="A781"/>
    </row>
    <row r="782" spans="1:1">
      <c r="A782"/>
    </row>
    <row r="783" spans="1:1">
      <c r="A783"/>
    </row>
    <row r="784" spans="1:1">
      <c r="A784"/>
    </row>
    <row r="785" spans="1:1">
      <c r="A785"/>
    </row>
    <row r="786" spans="1:1">
      <c r="A786"/>
    </row>
    <row r="787" spans="1:1">
      <c r="A787"/>
    </row>
    <row r="788" spans="1:1">
      <c r="A788"/>
    </row>
    <row r="789" spans="1:1">
      <c r="A789"/>
    </row>
    <row r="790" spans="1:1">
      <c r="A790"/>
    </row>
    <row r="791" spans="1:1">
      <c r="A791"/>
    </row>
    <row r="792" spans="1:1">
      <c r="A792"/>
    </row>
    <row r="793" spans="1:1">
      <c r="A793"/>
    </row>
    <row r="794" spans="1:1">
      <c r="A794"/>
    </row>
    <row r="795" spans="1:1">
      <c r="A795"/>
    </row>
    <row r="796" spans="1:1">
      <c r="A796"/>
    </row>
    <row r="797" spans="1:1">
      <c r="A797"/>
    </row>
    <row r="798" spans="1:1">
      <c r="A798"/>
    </row>
    <row r="799" spans="1:1">
      <c r="A799"/>
    </row>
    <row r="800" spans="1:1">
      <c r="A800"/>
    </row>
    <row r="801" spans="1:1">
      <c r="A801"/>
    </row>
    <row r="802" spans="1:1">
      <c r="A802"/>
    </row>
    <row r="803" spans="1:1">
      <c r="A803"/>
    </row>
    <row r="804" spans="1:1">
      <c r="A804"/>
    </row>
    <row r="805" spans="1:1">
      <c r="A805"/>
    </row>
    <row r="806" spans="1:1">
      <c r="A806"/>
    </row>
    <row r="807" spans="1:1">
      <c r="A807"/>
    </row>
    <row r="808" spans="1:1">
      <c r="A808"/>
    </row>
    <row r="809" spans="1:1">
      <c r="A809"/>
    </row>
    <row r="810" spans="1:1">
      <c r="A810"/>
    </row>
    <row r="811" spans="1:1">
      <c r="A811"/>
    </row>
    <row r="812" spans="1:1">
      <c r="A812"/>
    </row>
    <row r="813" spans="1:1">
      <c r="A813"/>
    </row>
    <row r="814" spans="1:1">
      <c r="A814"/>
    </row>
    <row r="815" spans="1:1">
      <c r="A815"/>
    </row>
    <row r="816" spans="1:1">
      <c r="A816"/>
    </row>
    <row r="817" spans="1:1">
      <c r="A817"/>
    </row>
    <row r="818" spans="1:1">
      <c r="A818"/>
    </row>
    <row r="819" spans="1:1">
      <c r="A819"/>
    </row>
    <row r="820" spans="1:1">
      <c r="A820"/>
    </row>
    <row r="821" spans="1:1">
      <c r="A821"/>
    </row>
    <row r="822" spans="1:1">
      <c r="A822"/>
    </row>
    <row r="823" spans="1:1">
      <c r="A823"/>
    </row>
    <row r="824" spans="1:1">
      <c r="A824"/>
    </row>
    <row r="825" spans="1:1">
      <c r="A825"/>
    </row>
    <row r="826" spans="1:1">
      <c r="A826"/>
    </row>
    <row r="827" spans="1:1">
      <c r="A827"/>
    </row>
    <row r="828" spans="1:1">
      <c r="A828"/>
    </row>
    <row r="829" spans="1:1">
      <c r="A829"/>
    </row>
    <row r="830" spans="1:1">
      <c r="A830"/>
    </row>
    <row r="831" spans="1:1">
      <c r="A831"/>
    </row>
    <row r="832" spans="1:1">
      <c r="A832"/>
    </row>
    <row r="833" spans="1:1">
      <c r="A833"/>
    </row>
    <row r="834" spans="1:1">
      <c r="A834"/>
    </row>
    <row r="835" spans="1:1">
      <c r="A835"/>
    </row>
    <row r="836" spans="1:1">
      <c r="A836"/>
    </row>
    <row r="837" spans="1:1">
      <c r="A837"/>
    </row>
    <row r="838" spans="1:1">
      <c r="A838"/>
    </row>
    <row r="839" spans="1:1">
      <c r="A839"/>
    </row>
    <row r="840" spans="1:1">
      <c r="A840"/>
    </row>
    <row r="841" spans="1:1">
      <c r="A841"/>
    </row>
    <row r="842" spans="1:1">
      <c r="A842"/>
    </row>
    <row r="843" spans="1:1">
      <c r="A843"/>
    </row>
    <row r="844" spans="1:1">
      <c r="A844"/>
    </row>
    <row r="845" spans="1:1">
      <c r="A845"/>
    </row>
    <row r="846" spans="1:1">
      <c r="A846"/>
    </row>
    <row r="847" spans="1:1">
      <c r="A847"/>
    </row>
    <row r="848" spans="1:1">
      <c r="A848"/>
    </row>
    <row r="849" spans="1:1">
      <c r="A849"/>
    </row>
    <row r="850" spans="1:1">
      <c r="A850"/>
    </row>
    <row r="851" spans="1:1">
      <c r="A851"/>
    </row>
    <row r="852" spans="1:1">
      <c r="A852"/>
    </row>
    <row r="853" spans="1:1">
      <c r="A853"/>
    </row>
    <row r="854" spans="1:1">
      <c r="A854"/>
    </row>
    <row r="855" spans="1:1">
      <c r="A855"/>
    </row>
    <row r="856" spans="1:1">
      <c r="A856"/>
    </row>
    <row r="857" spans="1:1">
      <c r="A857"/>
    </row>
    <row r="858" spans="1:1">
      <c r="A858"/>
    </row>
    <row r="859" spans="1:1">
      <c r="A859"/>
    </row>
    <row r="860" spans="1:1">
      <c r="A860"/>
    </row>
    <row r="861" spans="1:1">
      <c r="A861"/>
    </row>
    <row r="862" spans="1:1">
      <c r="A862"/>
    </row>
    <row r="863" spans="1:1">
      <c r="A863"/>
    </row>
    <row r="864" spans="1:1">
      <c r="A864"/>
    </row>
    <row r="865" spans="1:1">
      <c r="A865"/>
    </row>
    <row r="866" spans="1:1">
      <c r="A866"/>
    </row>
    <row r="867" spans="1:1">
      <c r="A867"/>
    </row>
    <row r="868" spans="1:1">
      <c r="A868"/>
    </row>
    <row r="869" spans="1:1">
      <c r="A869"/>
    </row>
    <row r="870" spans="1:1">
      <c r="A870"/>
    </row>
    <row r="871" spans="1:1">
      <c r="A871"/>
    </row>
    <row r="872" spans="1:1">
      <c r="A872"/>
    </row>
    <row r="873" spans="1:1">
      <c r="A873"/>
    </row>
    <row r="874" spans="1:1">
      <c r="A874"/>
    </row>
    <row r="875" spans="1:1">
      <c r="A875"/>
    </row>
    <row r="876" spans="1:1">
      <c r="A876"/>
    </row>
    <row r="877" spans="1:1">
      <c r="A877"/>
    </row>
    <row r="878" spans="1:1">
      <c r="A878"/>
    </row>
    <row r="879" spans="1:1">
      <c r="A879"/>
    </row>
    <row r="880" spans="1:1">
      <c r="A880"/>
    </row>
    <row r="881" spans="1:1">
      <c r="A881"/>
    </row>
    <row r="882" spans="1:1">
      <c r="A882"/>
    </row>
    <row r="883" spans="1:1">
      <c r="A883"/>
    </row>
    <row r="884" spans="1:1">
      <c r="A884"/>
    </row>
    <row r="885" spans="1:1">
      <c r="A885"/>
    </row>
    <row r="886" spans="1:1">
      <c r="A886"/>
    </row>
    <row r="887" spans="1:1">
      <c r="A887"/>
    </row>
    <row r="888" spans="1:1">
      <c r="A888"/>
    </row>
    <row r="889" spans="1:1">
      <c r="A889"/>
    </row>
    <row r="890" spans="1:1">
      <c r="A890"/>
    </row>
    <row r="891" spans="1:1">
      <c r="A891"/>
    </row>
    <row r="892" spans="1:1">
      <c r="A892"/>
    </row>
    <row r="893" spans="1:1">
      <c r="A893"/>
    </row>
    <row r="894" spans="1:1">
      <c r="A894"/>
    </row>
    <row r="895" spans="1:1">
      <c r="A895"/>
    </row>
    <row r="896" spans="1:1">
      <c r="A896"/>
    </row>
    <row r="897" spans="1:1">
      <c r="A897"/>
    </row>
    <row r="898" spans="1:1">
      <c r="A898"/>
    </row>
    <row r="899" spans="1:1">
      <c r="A899"/>
    </row>
    <row r="900" spans="1:1">
      <c r="A900"/>
    </row>
    <row r="901" spans="1:1">
      <c r="A901"/>
    </row>
    <row r="902" spans="1:1">
      <c r="A902"/>
    </row>
    <row r="903" spans="1:1">
      <c r="A903"/>
    </row>
    <row r="904" spans="1:1">
      <c r="A904"/>
    </row>
    <row r="905" spans="1:1">
      <c r="A905"/>
    </row>
    <row r="906" spans="1:1">
      <c r="A906"/>
    </row>
    <row r="907" spans="1:1">
      <c r="A907"/>
    </row>
    <row r="908" spans="1:1">
      <c r="A908"/>
    </row>
    <row r="909" spans="1:1">
      <c r="A909"/>
    </row>
    <row r="910" spans="1:1">
      <c r="A910"/>
    </row>
    <row r="911" spans="1:1">
      <c r="A911"/>
    </row>
    <row r="912" spans="1:1">
      <c r="A912"/>
    </row>
    <row r="913" spans="1:1">
      <c r="A913"/>
    </row>
    <row r="914" spans="1:1">
      <c r="A914"/>
    </row>
    <row r="915" spans="1:1">
      <c r="A915"/>
    </row>
    <row r="916" spans="1:1">
      <c r="A916"/>
    </row>
    <row r="917" spans="1:1">
      <c r="A917"/>
    </row>
    <row r="918" spans="1:1">
      <c r="A918"/>
    </row>
    <row r="919" spans="1:1">
      <c r="A919"/>
    </row>
    <row r="920" spans="1:1">
      <c r="A920"/>
    </row>
    <row r="921" spans="1:1">
      <c r="A921"/>
    </row>
    <row r="922" spans="1:1">
      <c r="A922"/>
    </row>
    <row r="923" spans="1:1">
      <c r="A923"/>
    </row>
    <row r="924" spans="1:1">
      <c r="A924"/>
    </row>
    <row r="925" spans="1:1">
      <c r="A925"/>
    </row>
    <row r="926" spans="1:1">
      <c r="A926"/>
    </row>
    <row r="927" spans="1:1">
      <c r="A927"/>
    </row>
    <row r="928" spans="1:1">
      <c r="A928"/>
    </row>
    <row r="929" spans="1:1">
      <c r="A929"/>
    </row>
    <row r="930" spans="1:1">
      <c r="A930"/>
    </row>
    <row r="931" spans="1:1">
      <c r="A931"/>
    </row>
    <row r="932" spans="1:1">
      <c r="A932"/>
    </row>
    <row r="933" spans="1:1">
      <c r="A933"/>
    </row>
    <row r="934" spans="1:1">
      <c r="A934"/>
    </row>
    <row r="935" spans="1:1">
      <c r="A935"/>
    </row>
    <row r="936" spans="1:1">
      <c r="A936"/>
    </row>
    <row r="937" spans="1:1">
      <c r="A937"/>
    </row>
    <row r="938" spans="1:1">
      <c r="A938"/>
    </row>
    <row r="939" spans="1:1">
      <c r="A939"/>
    </row>
    <row r="940" spans="1:1">
      <c r="A940"/>
    </row>
    <row r="941" spans="1:1">
      <c r="A941"/>
    </row>
    <row r="942" spans="1:1">
      <c r="A942"/>
    </row>
    <row r="943" spans="1:1">
      <c r="A943"/>
    </row>
    <row r="944" spans="1:1">
      <c r="A944"/>
    </row>
    <row r="945" spans="1:1">
      <c r="A945"/>
    </row>
    <row r="946" spans="1:1">
      <c r="A946"/>
    </row>
    <row r="947" spans="1:1">
      <c r="A947"/>
    </row>
    <row r="948" spans="1:1">
      <c r="A948"/>
    </row>
    <row r="949" spans="1:1">
      <c r="A949"/>
    </row>
    <row r="950" spans="1:1">
      <c r="A950"/>
    </row>
    <row r="951" spans="1:1">
      <c r="A951"/>
    </row>
    <row r="952" spans="1:1">
      <c r="A952"/>
    </row>
    <row r="953" spans="1:1">
      <c r="A953"/>
    </row>
    <row r="954" spans="1:1">
      <c r="A954"/>
    </row>
    <row r="955" spans="1:1">
      <c r="A955"/>
    </row>
    <row r="956" spans="1:1">
      <c r="A956"/>
    </row>
    <row r="957" spans="1:1">
      <c r="A957"/>
    </row>
    <row r="958" spans="1:1">
      <c r="A958"/>
    </row>
    <row r="959" spans="1:1">
      <c r="A959"/>
    </row>
    <row r="960" spans="1:1">
      <c r="A960"/>
    </row>
    <row r="961" spans="1:1">
      <c r="A961"/>
    </row>
    <row r="962" spans="1:1">
      <c r="A962"/>
    </row>
    <row r="963" spans="1:1">
      <c r="A963"/>
    </row>
    <row r="964" spans="1:1">
      <c r="A964"/>
    </row>
    <row r="965" spans="1:1">
      <c r="A965"/>
    </row>
    <row r="966" spans="1:1">
      <c r="A966"/>
    </row>
    <row r="967" spans="1:1">
      <c r="A967"/>
    </row>
    <row r="968" spans="1:1">
      <c r="A968"/>
    </row>
    <row r="969" spans="1:1">
      <c r="A969"/>
    </row>
    <row r="970" spans="1:1">
      <c r="A970"/>
    </row>
    <row r="971" spans="1:1">
      <c r="A971"/>
    </row>
    <row r="972" spans="1:1">
      <c r="A972"/>
    </row>
    <row r="973" spans="1:1">
      <c r="A973"/>
    </row>
    <row r="974" spans="1:1">
      <c r="A974"/>
    </row>
    <row r="975" spans="1:1">
      <c r="A975"/>
    </row>
    <row r="976" spans="1:1">
      <c r="A976"/>
    </row>
    <row r="977" spans="1:1">
      <c r="A977"/>
    </row>
    <row r="978" spans="1:1">
      <c r="A978"/>
    </row>
    <row r="979" spans="1:1">
      <c r="A979"/>
    </row>
    <row r="980" spans="1:1">
      <c r="A980"/>
    </row>
    <row r="981" spans="1:1">
      <c r="A981"/>
    </row>
    <row r="982" spans="1:1">
      <c r="A982"/>
    </row>
    <row r="983" spans="1:1">
      <c r="A983"/>
    </row>
    <row r="984" spans="1:1">
      <c r="A984"/>
    </row>
    <row r="985" spans="1:1">
      <c r="A985"/>
    </row>
    <row r="986" spans="1:1">
      <c r="A986"/>
    </row>
    <row r="987" spans="1:1">
      <c r="A987"/>
    </row>
    <row r="988" spans="1:1">
      <c r="A988"/>
    </row>
    <row r="989" spans="1:1">
      <c r="A989"/>
    </row>
    <row r="990" spans="1:1">
      <c r="A990"/>
    </row>
    <row r="991" spans="1:1">
      <c r="A991"/>
    </row>
    <row r="992" spans="1:1">
      <c r="A992"/>
    </row>
    <row r="993" spans="1:1">
      <c r="A993"/>
    </row>
    <row r="994" spans="1:1">
      <c r="A994"/>
    </row>
    <row r="995" spans="1:1">
      <c r="A995"/>
    </row>
    <row r="996" spans="1:1">
      <c r="A996"/>
    </row>
    <row r="997" spans="1:1">
      <c r="A997"/>
    </row>
    <row r="998" spans="1:1">
      <c r="A998"/>
    </row>
    <row r="999" spans="1:1">
      <c r="A999"/>
    </row>
    <row r="1000" spans="1:1">
      <c r="A1000"/>
    </row>
    <row r="1001" spans="1:1">
      <c r="A1001"/>
    </row>
    <row r="1002" spans="1:1">
      <c r="A1002"/>
    </row>
    <row r="1003" spans="1:1">
      <c r="A1003"/>
    </row>
    <row r="1004" spans="1:1">
      <c r="A1004"/>
    </row>
    <row r="1005" spans="1:1">
      <c r="A1005"/>
    </row>
    <row r="1006" spans="1:1">
      <c r="A1006"/>
    </row>
    <row r="1007" spans="1:1">
      <c r="A1007"/>
    </row>
    <row r="1008" spans="1:1">
      <c r="A1008"/>
    </row>
    <row r="1009" spans="1:1">
      <c r="A1009"/>
    </row>
    <row r="1010" spans="1:1">
      <c r="A1010"/>
    </row>
    <row r="1011" spans="1:1">
      <c r="A1011"/>
    </row>
    <row r="1012" spans="1:1">
      <c r="A1012"/>
    </row>
    <row r="1013" spans="1:1">
      <c r="A1013"/>
    </row>
    <row r="1014" spans="1:1">
      <c r="A1014"/>
    </row>
    <row r="1015" spans="1:1">
      <c r="A1015"/>
    </row>
  </sheetData>
  <autoFilter ref="A2:F136" xr:uid="{3B175452-2B1A-4461-B635-C388F58109C0}"/>
  <sortState xmlns:xlrd2="http://schemas.microsoft.com/office/spreadsheetml/2017/richdata2" ref="A3:C136">
    <sortCondition ref="A3:A136"/>
  </sortState>
  <conditionalFormatting sqref="D3:D136">
    <cfRule type="containsText" dxfId="15" priority="1" operator="containsText" text="change">
      <formula>NOT(ISERROR(SEARCH("change",D3)))</formula>
    </cfRule>
  </conditionalFormatting>
  <conditionalFormatting sqref="D3:E136">
    <cfRule type="containsText" dxfId="14" priority="2" operator="containsText" text="OK">
      <formula>NOT(ISERROR(SEARCH("OK",D3)))</formula>
    </cfRule>
  </conditionalFormatting>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DCA69-2DC7-473A-9435-80DA0225099E}">
  <sheetPr>
    <tabColor rgb="FF92D050"/>
  </sheetPr>
  <dimension ref="A1:F209"/>
  <sheetViews>
    <sheetView topLeftCell="A161" zoomScaleNormal="100" workbookViewId="0">
      <selection activeCell="A196" sqref="A3:F196"/>
    </sheetView>
  </sheetViews>
  <sheetFormatPr defaultRowHeight="15"/>
  <cols>
    <col min="1" max="1" width="56.28515625" bestFit="1" customWidth="1"/>
    <col min="2" max="2" width="22.28515625" bestFit="1" customWidth="1"/>
    <col min="3" max="3" width="56" bestFit="1" customWidth="1"/>
    <col min="4" max="4" width="11.140625" customWidth="1"/>
    <col min="5" max="5" width="35.7109375" style="6" customWidth="1"/>
    <col min="6" max="6" width="27.7109375" style="6" bestFit="1" customWidth="1"/>
  </cols>
  <sheetData>
    <row r="1" spans="1:6" s="4" customFormat="1" ht="30" customHeight="1" thickBot="1">
      <c r="A1" s="617" t="s">
        <v>1659</v>
      </c>
      <c r="B1" s="617" t="s">
        <v>1494</v>
      </c>
      <c r="C1" s="617" t="s">
        <v>1495</v>
      </c>
      <c r="D1" s="617" t="s">
        <v>1496</v>
      </c>
      <c r="E1" s="617"/>
      <c r="F1" s="617"/>
    </row>
    <row r="2" spans="1:6" ht="30" customHeight="1" thickBot="1">
      <c r="A2" s="144" t="s">
        <v>1485</v>
      </c>
      <c r="B2" s="65" t="s">
        <v>1486</v>
      </c>
      <c r="C2" s="145" t="s">
        <v>1487</v>
      </c>
      <c r="D2" s="65" t="s">
        <v>1497</v>
      </c>
      <c r="E2" s="65" t="s">
        <v>1498</v>
      </c>
      <c r="F2" s="58" t="s">
        <v>1499</v>
      </c>
    </row>
    <row r="3" spans="1:6" ht="15" customHeight="1" thickBot="1">
      <c r="A3" s="502" t="s">
        <v>1049</v>
      </c>
      <c r="B3" s="96" t="s">
        <v>1503</v>
      </c>
      <c r="C3" s="96" t="s">
        <v>1339</v>
      </c>
      <c r="D3" s="101" t="str">
        <f t="shared" ref="D3:D66" si="0">IF(B3=IF(COUNTIF($F$3:$F$150,C3),"Stock","Flow/Sink"),"OK",IF(B3="Stock","Compartment missing in Lifetimes, available as pair?",IF(IF(COUNTIF($F$3:$F$150,C3),"Stock","Flow/Sink")="Stock","Change Type of compartment to Stock","OK")))</f>
        <v>OK</v>
      </c>
      <c r="E3" s="577"/>
      <c r="F3" s="622" t="str">
        <f>Lifetimes!B1</f>
        <v>AgriculturalFilmsIU</v>
      </c>
    </row>
    <row r="4" spans="1:6" ht="15" customHeight="1" thickBot="1">
      <c r="A4" s="330" t="s">
        <v>1047</v>
      </c>
      <c r="B4" s="97" t="s">
        <v>1503</v>
      </c>
      <c r="C4" s="97" t="s">
        <v>1063</v>
      </c>
      <c r="D4" s="101" t="str">
        <f t="shared" si="0"/>
        <v>OK</v>
      </c>
      <c r="E4" s="82"/>
      <c r="F4" s="623" t="str">
        <f>Lifetimes!C1</f>
        <v>AgriculturalFilmsDis</v>
      </c>
    </row>
    <row r="5" spans="1:6" ht="15" customHeight="1" thickBot="1">
      <c r="A5" s="330" t="s">
        <v>1050</v>
      </c>
      <c r="B5" s="97" t="s">
        <v>1500</v>
      </c>
      <c r="C5" s="97" t="s">
        <v>1660</v>
      </c>
      <c r="D5" s="101" t="str">
        <f t="shared" si="0"/>
        <v>OK</v>
      </c>
      <c r="E5" s="82"/>
      <c r="F5" s="623" t="str">
        <f>Lifetimes!D1</f>
        <v>AgriculturalPackagingBottles</v>
      </c>
    </row>
    <row r="6" spans="1:6" ht="15" customHeight="1" thickBot="1">
      <c r="A6" s="330" t="s">
        <v>1043</v>
      </c>
      <c r="B6" s="97" t="s">
        <v>1503</v>
      </c>
      <c r="C6" s="97" t="s">
        <v>1340</v>
      </c>
      <c r="D6" s="101" t="str">
        <f t="shared" si="0"/>
        <v>OK</v>
      </c>
      <c r="E6" s="82"/>
      <c r="F6" s="623" t="str">
        <f>Lifetimes!E1</f>
        <v>AgriculturalPackagingFilms</v>
      </c>
    </row>
    <row r="7" spans="1:6" ht="15" customHeight="1" thickBot="1">
      <c r="A7" s="330" t="s">
        <v>1048</v>
      </c>
      <c r="B7" s="97" t="s">
        <v>1503</v>
      </c>
      <c r="C7" s="97" t="s">
        <v>1058</v>
      </c>
      <c r="D7" s="101" t="str">
        <f t="shared" si="0"/>
        <v>OK</v>
      </c>
      <c r="E7" s="82"/>
      <c r="F7" s="623" t="str">
        <f>Lifetimes!F1</f>
        <v>AgriculturalPipesIU</v>
      </c>
    </row>
    <row r="8" spans="1:6" ht="15" customHeight="1" thickBot="1">
      <c r="A8" s="74" t="s">
        <v>161</v>
      </c>
      <c r="B8" s="97" t="s">
        <v>1503</v>
      </c>
      <c r="C8" s="97" t="s">
        <v>1355</v>
      </c>
      <c r="D8" s="101" t="str">
        <f t="shared" si="0"/>
        <v>OK</v>
      </c>
      <c r="E8" s="82"/>
      <c r="F8" s="623" t="str">
        <f>Lifetimes!G1</f>
        <v>AgriculturalPipesDis</v>
      </c>
    </row>
    <row r="9" spans="1:6" s="16" customFormat="1" ht="15.75" thickBot="1">
      <c r="A9" s="74" t="s">
        <v>170</v>
      </c>
      <c r="B9" s="97" t="s">
        <v>1503</v>
      </c>
      <c r="C9" s="97" t="s">
        <v>1356</v>
      </c>
      <c r="D9" s="101" t="str">
        <f t="shared" si="0"/>
        <v>OK</v>
      </c>
      <c r="E9" s="82"/>
      <c r="F9" s="623" t="str">
        <f>Lifetimes!H1</f>
        <v>AgriculturalPPP</v>
      </c>
    </row>
    <row r="10" spans="1:6" ht="15.75" thickBot="1">
      <c r="A10" s="74" t="s">
        <v>179</v>
      </c>
      <c r="B10" s="97" t="s">
        <v>1503</v>
      </c>
      <c r="C10" s="97" t="s">
        <v>1360</v>
      </c>
      <c r="D10" s="101" t="str">
        <f t="shared" si="0"/>
        <v>OK</v>
      </c>
      <c r="E10" s="82"/>
      <c r="F10" s="623" t="str">
        <f>Lifetimes!I1</f>
        <v>BuildingPackagingFilms</v>
      </c>
    </row>
    <row r="11" spans="1:6" ht="15.75" thickBot="1">
      <c r="A11" s="74" t="s">
        <v>180</v>
      </c>
      <c r="B11" s="97" t="s">
        <v>1503</v>
      </c>
      <c r="C11" s="97" t="s">
        <v>1361</v>
      </c>
      <c r="D11" s="101" t="str">
        <f t="shared" si="0"/>
        <v>OK</v>
      </c>
      <c r="E11" s="82"/>
      <c r="F11" s="623" t="str">
        <f>Lifetimes!J1</f>
        <v>ConsumerBags</v>
      </c>
    </row>
    <row r="12" spans="1:6" ht="15.75" thickBot="1">
      <c r="A12" s="74" t="s">
        <v>202</v>
      </c>
      <c r="B12" s="97" t="s">
        <v>1503</v>
      </c>
      <c r="C12" s="97" t="s">
        <v>1347</v>
      </c>
      <c r="D12" s="101" t="str">
        <f t="shared" si="0"/>
        <v>OK</v>
      </c>
      <c r="E12" s="82"/>
      <c r="F12" s="623" t="str">
        <f>Lifetimes!K1</f>
        <v>ConsumerBottles</v>
      </c>
    </row>
    <row r="13" spans="1:6" ht="15.75" thickBot="1">
      <c r="A13" s="74" t="s">
        <v>205</v>
      </c>
      <c r="B13" s="504" t="s">
        <v>1500</v>
      </c>
      <c r="C13" s="97" t="s">
        <v>1661</v>
      </c>
      <c r="D13" s="101" t="str">
        <f t="shared" si="0"/>
        <v>OK</v>
      </c>
      <c r="E13" s="82"/>
      <c r="F13" s="623" t="str">
        <f>Lifetimes!L1</f>
        <v>ConsumerFilms</v>
      </c>
    </row>
    <row r="14" spans="1:6" ht="15.75" thickBot="1">
      <c r="A14" s="503" t="s">
        <v>208</v>
      </c>
      <c r="B14" s="504" t="s">
        <v>1503</v>
      </c>
      <c r="C14" s="97" t="s">
        <v>1349</v>
      </c>
      <c r="D14" s="101" t="str">
        <f t="shared" si="0"/>
        <v>OK</v>
      </c>
      <c r="E14" s="82"/>
      <c r="F14" s="623" t="str">
        <f>Lifetimes!M1</f>
        <v>ConsumerOther</v>
      </c>
    </row>
    <row r="15" spans="1:6" ht="15.75" thickBot="1">
      <c r="A15" s="503" t="s">
        <v>209</v>
      </c>
      <c r="B15" s="504" t="s">
        <v>1503</v>
      </c>
      <c r="C15" s="97" t="s">
        <v>1348</v>
      </c>
      <c r="D15" s="101" t="str">
        <f t="shared" si="0"/>
        <v>OK</v>
      </c>
      <c r="E15" s="82"/>
      <c r="F15" s="623" t="str">
        <f>Lifetimes!N1</f>
        <v>Cosmetics</v>
      </c>
    </row>
    <row r="16" spans="1:6" ht="15.75" thickBot="1">
      <c r="A16" s="368" t="s">
        <v>175</v>
      </c>
      <c r="B16" s="504" t="s">
        <v>1500</v>
      </c>
      <c r="C16" s="504" t="s">
        <v>1662</v>
      </c>
      <c r="D16" s="101" t="str">
        <f t="shared" si="0"/>
        <v>OK</v>
      </c>
      <c r="E16" s="82"/>
      <c r="F16" s="623" t="str">
        <f>Lifetimes!O1</f>
        <v>Household</v>
      </c>
    </row>
    <row r="17" spans="1:6" ht="15.75" thickBot="1">
      <c r="A17" s="368" t="s">
        <v>219</v>
      </c>
      <c r="B17" s="504" t="s">
        <v>1500</v>
      </c>
      <c r="C17" s="504" t="s">
        <v>1663</v>
      </c>
      <c r="D17" s="101" t="str">
        <f t="shared" si="0"/>
        <v>OK</v>
      </c>
      <c r="E17" s="82"/>
      <c r="F17" s="623" t="str">
        <f>Lifetimes!P1</f>
        <v>NonConsumerBags</v>
      </c>
    </row>
    <row r="18" spans="1:6" ht="15.75" thickBot="1">
      <c r="A18" s="368" t="s">
        <v>220</v>
      </c>
      <c r="B18" s="504" t="s">
        <v>1500</v>
      </c>
      <c r="C18" s="504" t="s">
        <v>1664</v>
      </c>
      <c r="D18" s="101" t="str">
        <f t="shared" si="0"/>
        <v>OK</v>
      </c>
      <c r="E18" s="82"/>
      <c r="F18" s="623" t="str">
        <f>Lifetimes!Q1</f>
        <v>NonConsumerOther</v>
      </c>
    </row>
    <row r="19" spans="1:6" ht="15.75" thickBot="1">
      <c r="A19" s="74" t="s">
        <v>450</v>
      </c>
      <c r="B19" s="97" t="s">
        <v>1500</v>
      </c>
      <c r="C19" s="97" t="s">
        <v>1665</v>
      </c>
      <c r="D19" s="101" t="str">
        <f t="shared" si="0"/>
        <v>OK</v>
      </c>
      <c r="E19" s="82"/>
      <c r="F19" s="623" t="str">
        <f>Lifetimes!R1</f>
        <v>OtherNonConsumerFilms</v>
      </c>
    </row>
    <row r="20" spans="1:6" ht="15.75" thickBot="1">
      <c r="A20" s="330" t="s">
        <v>476</v>
      </c>
      <c r="B20" s="97" t="s">
        <v>1500</v>
      </c>
      <c r="C20" s="97" t="s">
        <v>1666</v>
      </c>
      <c r="D20" s="101" t="str">
        <f t="shared" si="0"/>
        <v>OK</v>
      </c>
      <c r="E20" s="82"/>
      <c r="F20" s="623" t="str">
        <f>Lifetimes!S1</f>
        <v>OtherOther</v>
      </c>
    </row>
    <row r="21" spans="1:6" ht="15.75" thickBot="1">
      <c r="A21" s="330" t="s">
        <v>488</v>
      </c>
      <c r="B21" s="97" t="s">
        <v>1503</v>
      </c>
      <c r="C21" s="97" t="s">
        <v>1365</v>
      </c>
      <c r="D21" s="101" t="str">
        <f t="shared" si="0"/>
        <v>OK</v>
      </c>
      <c r="E21" s="82"/>
      <c r="F21" s="623" t="str">
        <f>Lifetimes!T1</f>
        <v>PipesDucts</v>
      </c>
    </row>
    <row r="22" spans="1:6" ht="15.75" thickBot="1">
      <c r="A22" s="330" t="s">
        <v>486</v>
      </c>
      <c r="B22" s="97" t="s">
        <v>1503</v>
      </c>
      <c r="C22" s="97" t="s">
        <v>1366</v>
      </c>
      <c r="D22" s="101" t="str">
        <f t="shared" si="0"/>
        <v>OK</v>
      </c>
      <c r="E22" s="82"/>
      <c r="F22" s="623" t="str">
        <f>Lifetimes!U1</f>
        <v>OtherOilGas</v>
      </c>
    </row>
    <row r="23" spans="1:6" ht="15.75" thickBot="1">
      <c r="A23" s="330" t="s">
        <v>474</v>
      </c>
      <c r="B23" s="97" t="s">
        <v>1500</v>
      </c>
      <c r="C23" s="97" t="s">
        <v>1667</v>
      </c>
      <c r="D23" s="101" t="str">
        <f t="shared" si="0"/>
        <v>OK</v>
      </c>
      <c r="E23" s="82"/>
      <c r="F23" s="623" t="str">
        <f>Lifetimes!V1</f>
        <v>InfillSportsFieldDis</v>
      </c>
    </row>
    <row r="24" spans="1:6" ht="15.75" thickBot="1">
      <c r="A24" s="330" t="s">
        <v>481</v>
      </c>
      <c r="B24" s="97" t="s">
        <v>1503</v>
      </c>
      <c r="C24" s="97" t="s">
        <v>1367</v>
      </c>
      <c r="D24" s="101" t="str">
        <f t="shared" si="0"/>
        <v>OK</v>
      </c>
      <c r="E24" s="82"/>
      <c r="F24" s="623" t="str">
        <f>Lifetimes!W1</f>
        <v>InfillSportsFieldU</v>
      </c>
    </row>
    <row r="25" spans="1:6" ht="15.75" thickBot="1">
      <c r="A25" s="330" t="s">
        <v>479</v>
      </c>
      <c r="B25" s="97" t="s">
        <v>1503</v>
      </c>
      <c r="C25" s="97" t="s">
        <v>1368</v>
      </c>
      <c r="D25" s="101" t="str">
        <f t="shared" si="0"/>
        <v>OK</v>
      </c>
      <c r="E25" s="82"/>
      <c r="F25" s="623" t="str">
        <f>Lifetimes!X1</f>
        <v>ClothingDis</v>
      </c>
    </row>
    <row r="26" spans="1:6" ht="15.75" thickBot="1">
      <c r="A26" s="74" t="s">
        <v>164</v>
      </c>
      <c r="B26" s="97" t="s">
        <v>1500</v>
      </c>
      <c r="C26" s="97" t="s">
        <v>1668</v>
      </c>
      <c r="D26" s="101" t="str">
        <f t="shared" si="0"/>
        <v>OK</v>
      </c>
      <c r="E26" s="82"/>
      <c r="F26" s="623" t="str">
        <f>Lifetimes!Y1</f>
        <v>ClothingIUWearTear</v>
      </c>
    </row>
    <row r="27" spans="1:6" ht="15.75" thickBot="1">
      <c r="A27" s="74" t="s">
        <v>240</v>
      </c>
      <c r="B27" s="97" t="s">
        <v>1500</v>
      </c>
      <c r="C27" s="97" t="s">
        <v>1669</v>
      </c>
      <c r="D27" s="101" t="str">
        <f t="shared" si="0"/>
        <v>OK</v>
      </c>
      <c r="E27" s="82"/>
      <c r="F27" s="623" t="str">
        <f>Lifetimes!Z1</f>
        <v>ClothingIUWashDry</v>
      </c>
    </row>
    <row r="28" spans="1:6" ht="15.75" thickBot="1">
      <c r="A28" s="74" t="s">
        <v>118</v>
      </c>
      <c r="B28" s="97" t="s">
        <v>1500</v>
      </c>
      <c r="C28" s="97" t="s">
        <v>1670</v>
      </c>
      <c r="D28" s="101" t="str">
        <f t="shared" si="0"/>
        <v>OK</v>
      </c>
      <c r="E28" s="82"/>
      <c r="F28" s="623" t="str">
        <f>Lifetimes!AA1</f>
        <v>HomeTextilesDis</v>
      </c>
    </row>
    <row r="29" spans="1:6" ht="15.75" thickBot="1">
      <c r="A29" s="74" t="s">
        <v>277</v>
      </c>
      <c r="B29" s="97" t="s">
        <v>1506</v>
      </c>
      <c r="C29" s="97" t="s">
        <v>1671</v>
      </c>
      <c r="D29" s="101" t="str">
        <f t="shared" si="0"/>
        <v>OK</v>
      </c>
      <c r="E29" s="82"/>
      <c r="F29" s="623" t="str">
        <f>Lifetimes!AB1</f>
        <v>HomeTextilesIU</v>
      </c>
    </row>
    <row r="30" spans="1:6" ht="15.75" thickBot="1">
      <c r="A30" s="74" t="s">
        <v>167</v>
      </c>
      <c r="B30" s="97" t="s">
        <v>1500</v>
      </c>
      <c r="C30" s="97" t="s">
        <v>1672</v>
      </c>
      <c r="D30" s="101" t="str">
        <f t="shared" si="0"/>
        <v>OK</v>
      </c>
      <c r="E30" s="82"/>
      <c r="F30" s="623" t="str">
        <f>Lifetimes!AC1</f>
        <v>TechHomeTextilesDis</v>
      </c>
    </row>
    <row r="31" spans="1:6" ht="15.75" thickBot="1">
      <c r="A31" s="74" t="s">
        <v>278</v>
      </c>
      <c r="B31" s="97" t="s">
        <v>1500</v>
      </c>
      <c r="C31" s="97" t="s">
        <v>1673</v>
      </c>
      <c r="D31" s="101" t="str">
        <f t="shared" si="0"/>
        <v>OK</v>
      </c>
      <c r="E31" s="82"/>
      <c r="F31" s="623" t="str">
        <f>Lifetimes!AD1</f>
        <v>TechHomeTextilesIU</v>
      </c>
    </row>
    <row r="32" spans="1:6" ht="15.75" thickBot="1">
      <c r="A32" s="74" t="s">
        <v>194</v>
      </c>
      <c r="B32" s="97" t="s">
        <v>1503</v>
      </c>
      <c r="C32" s="97" t="s">
        <v>1358</v>
      </c>
      <c r="D32" s="101" t="str">
        <f t="shared" si="0"/>
        <v>OK</v>
      </c>
      <c r="E32" s="82"/>
      <c r="F32" s="623" t="str">
        <f>Lifetimes!AE1</f>
        <v>MedicalTextiles</v>
      </c>
    </row>
    <row r="33" spans="1:6" ht="15.75" thickBot="1">
      <c r="A33" s="74" t="s">
        <v>195</v>
      </c>
      <c r="B33" s="97" t="s">
        <v>1503</v>
      </c>
      <c r="C33" s="97" t="s">
        <v>1359</v>
      </c>
      <c r="D33" s="101" t="str">
        <f t="shared" si="0"/>
        <v>OK</v>
      </c>
      <c r="E33" s="82"/>
      <c r="F33" s="623" t="str">
        <f>Lifetimes!AF1</f>
        <v>AgrotextilesDis</v>
      </c>
    </row>
    <row r="34" spans="1:6" ht="15.75" thickBot="1">
      <c r="A34" s="330" t="s">
        <v>279</v>
      </c>
      <c r="B34" s="97" t="s">
        <v>1500</v>
      </c>
      <c r="C34" s="97" t="s">
        <v>279</v>
      </c>
      <c r="D34" s="101" t="str">
        <f t="shared" si="0"/>
        <v>OK</v>
      </c>
      <c r="E34" s="82"/>
      <c r="F34" s="623" t="str">
        <f>Lifetimes!AG1</f>
        <v>AgrotextilesIU</v>
      </c>
    </row>
    <row r="35" spans="1:6" ht="15.75" thickBot="1">
      <c r="A35" s="330" t="s">
        <v>280</v>
      </c>
      <c r="B35" s="97" t="s">
        <v>1500</v>
      </c>
      <c r="C35" s="97" t="s">
        <v>1674</v>
      </c>
      <c r="D35" s="101" t="str">
        <f t="shared" si="0"/>
        <v>OK</v>
      </c>
      <c r="E35" s="82"/>
      <c r="F35" s="623" t="str">
        <f>Lifetimes!AH1</f>
        <v>MobilityTextiles</v>
      </c>
    </row>
    <row r="36" spans="1:6" ht="15.75" thickBot="1">
      <c r="A36" s="330" t="s">
        <v>281</v>
      </c>
      <c r="B36" s="97" t="s">
        <v>1500</v>
      </c>
      <c r="C36" s="97" t="s">
        <v>1675</v>
      </c>
      <c r="D36" s="101" t="str">
        <f t="shared" si="0"/>
        <v>OK</v>
      </c>
      <c r="E36" s="82"/>
      <c r="F36" s="623" t="str">
        <f>Lifetimes!AI1</f>
        <v>GeotextilesDis</v>
      </c>
    </row>
    <row r="37" spans="1:6" ht="15.75" thickBot="1">
      <c r="A37" s="330" t="s">
        <v>390</v>
      </c>
      <c r="B37" s="97" t="s">
        <v>1500</v>
      </c>
      <c r="C37" s="97" t="s">
        <v>1676</v>
      </c>
      <c r="D37" s="101" t="str">
        <f t="shared" si="0"/>
        <v>OK</v>
      </c>
      <c r="E37" s="82"/>
      <c r="F37" s="623" t="str">
        <f>Lifetimes!AJ1</f>
        <v>GeotextilesIU</v>
      </c>
    </row>
    <row r="38" spans="1:6" ht="15.75" thickBot="1">
      <c r="A38" s="330" t="s">
        <v>285</v>
      </c>
      <c r="B38" s="97" t="s">
        <v>1500</v>
      </c>
      <c r="C38" s="97" t="s">
        <v>1677</v>
      </c>
      <c r="D38" s="101" t="str">
        <f t="shared" si="0"/>
        <v>OK</v>
      </c>
      <c r="E38" s="82"/>
      <c r="F38" s="623" t="str">
        <f>Lifetimes!AK1</f>
        <v>BuildingTextilesDis</v>
      </c>
    </row>
    <row r="39" spans="1:6" ht="15.75" thickBot="1">
      <c r="A39" s="503" t="s">
        <v>197</v>
      </c>
      <c r="B39" s="97" t="s">
        <v>1500</v>
      </c>
      <c r="C39" s="97" t="s">
        <v>1678</v>
      </c>
      <c r="D39" s="101" t="str">
        <f t="shared" si="0"/>
        <v>OK</v>
      </c>
      <c r="E39" s="82"/>
      <c r="F39" s="623" t="str">
        <f>Lifetimes!AL1</f>
        <v>BuildingTextilesIU</v>
      </c>
    </row>
    <row r="40" spans="1:6" ht="15.75" thickBot="1">
      <c r="A40" s="74" t="s">
        <v>198</v>
      </c>
      <c r="B40" s="97" t="s">
        <v>1503</v>
      </c>
      <c r="C40" s="97" t="s">
        <v>1350</v>
      </c>
      <c r="D40" s="101" t="str">
        <f t="shared" si="0"/>
        <v>OK</v>
      </c>
      <c r="E40" s="82"/>
      <c r="F40" s="623" t="str">
        <f>Lifetimes!AM1</f>
        <v>OtherTechnicalTextiles</v>
      </c>
    </row>
    <row r="41" spans="1:6" ht="15.75" thickBot="1">
      <c r="A41" s="74" t="s">
        <v>199</v>
      </c>
      <c r="B41" s="97" t="s">
        <v>1503</v>
      </c>
      <c r="C41" s="97" t="s">
        <v>1351</v>
      </c>
      <c r="D41" s="101" t="str">
        <f t="shared" si="0"/>
        <v>OK</v>
      </c>
      <c r="E41" s="82"/>
      <c r="F41" s="623" t="str">
        <f>Lifetimes!AN1</f>
        <v>TextileCoatingDis</v>
      </c>
    </row>
    <row r="42" spans="1:6" ht="15.75" thickBot="1">
      <c r="A42" s="74" t="s">
        <v>123</v>
      </c>
      <c r="B42" s="97" t="s">
        <v>1500</v>
      </c>
      <c r="C42" s="97" t="s">
        <v>1679</v>
      </c>
      <c r="D42" s="101" t="str">
        <f t="shared" si="0"/>
        <v>OK</v>
      </c>
      <c r="E42" s="82"/>
      <c r="F42" s="623" t="str">
        <f>Lifetimes!AO1</f>
        <v>TextileCoatingIU</v>
      </c>
    </row>
    <row r="43" spans="1:6" ht="15.75" thickBot="1">
      <c r="A43" s="74" t="s">
        <v>1680</v>
      </c>
      <c r="B43" s="97" t="s">
        <v>1500</v>
      </c>
      <c r="C43" s="97" t="s">
        <v>1681</v>
      </c>
      <c r="D43" s="101" t="str">
        <f t="shared" si="0"/>
        <v>OK</v>
      </c>
      <c r="E43" s="82"/>
      <c r="F43" s="623" t="str">
        <f>Lifetimes!AP1</f>
        <v>ConcreteProfInDis</v>
      </c>
    </row>
    <row r="44" spans="1:6" ht="15.75" thickBot="1">
      <c r="A44" s="74" t="s">
        <v>1682</v>
      </c>
      <c r="B44" s="97" t="s">
        <v>1500</v>
      </c>
      <c r="C44" s="97" t="s">
        <v>1683</v>
      </c>
      <c r="D44" s="101" t="str">
        <f t="shared" si="0"/>
        <v>OK</v>
      </c>
      <c r="E44" s="82"/>
      <c r="F44" s="623" t="str">
        <f>Lifetimes!AQ1</f>
        <v>ConcreteProfInIU</v>
      </c>
    </row>
    <row r="45" spans="1:6" ht="15.75" thickBot="1">
      <c r="A45" s="74" t="s">
        <v>1684</v>
      </c>
      <c r="B45" s="97" t="s">
        <v>1500</v>
      </c>
      <c r="C45" s="97" t="s">
        <v>1685</v>
      </c>
      <c r="D45" s="101" t="str">
        <f t="shared" si="0"/>
        <v>OK</v>
      </c>
      <c r="E45" s="82"/>
      <c r="F45" s="623" t="str">
        <f>Lifetimes!AR1</f>
        <v>ConcreteProfOutDis</v>
      </c>
    </row>
    <row r="46" spans="1:6" ht="15.75" thickBot="1">
      <c r="A46" s="74" t="s">
        <v>1686</v>
      </c>
      <c r="B46" s="97" t="s">
        <v>1500</v>
      </c>
      <c r="C46" s="97" t="s">
        <v>1687</v>
      </c>
      <c r="D46" s="101" t="str">
        <f t="shared" si="0"/>
        <v>OK</v>
      </c>
      <c r="E46" s="82"/>
      <c r="F46" s="623" t="str">
        <f>Lifetimes!AS1</f>
        <v>ConcreteProfOutIU</v>
      </c>
    </row>
    <row r="47" spans="1:6" ht="15.75" thickBot="1">
      <c r="A47" s="74" t="s">
        <v>1688</v>
      </c>
      <c r="B47" s="97" t="s">
        <v>1500</v>
      </c>
      <c r="C47" s="97" t="s">
        <v>1689</v>
      </c>
      <c r="D47" s="101" t="str">
        <f t="shared" si="0"/>
        <v>OK</v>
      </c>
      <c r="E47" s="82"/>
      <c r="F47" s="623" t="str">
        <f>Lifetimes!AT1</f>
        <v>LacquerDiyInDis</v>
      </c>
    </row>
    <row r="48" spans="1:6" ht="15.75" thickBot="1">
      <c r="A48" s="74" t="s">
        <v>1690</v>
      </c>
      <c r="B48" s="97" t="s">
        <v>1500</v>
      </c>
      <c r="C48" s="97" t="s">
        <v>1691</v>
      </c>
      <c r="D48" s="101" t="str">
        <f t="shared" si="0"/>
        <v>OK</v>
      </c>
      <c r="E48" s="82"/>
      <c r="F48" s="623" t="str">
        <f>Lifetimes!AU1</f>
        <v>LacquerDiyInIU</v>
      </c>
    </row>
    <row r="49" spans="1:6" ht="15.75" thickBot="1">
      <c r="A49" s="74" t="s">
        <v>1692</v>
      </c>
      <c r="B49" s="97" t="s">
        <v>1500</v>
      </c>
      <c r="C49" s="97" t="s">
        <v>1693</v>
      </c>
      <c r="D49" s="101" t="str">
        <f t="shared" si="0"/>
        <v>OK</v>
      </c>
      <c r="E49" s="82"/>
      <c r="F49" s="623" t="str">
        <f>Lifetimes!AV1</f>
        <v>LacquerDiyOutDis</v>
      </c>
    </row>
    <row r="50" spans="1:6" ht="15.75" thickBot="1">
      <c r="A50" s="74" t="s">
        <v>1694</v>
      </c>
      <c r="B50" s="97" t="s">
        <v>1500</v>
      </c>
      <c r="C50" s="97" t="s">
        <v>1695</v>
      </c>
      <c r="D50" s="101" t="str">
        <f t="shared" si="0"/>
        <v>OK</v>
      </c>
      <c r="E50" s="82"/>
      <c r="F50" s="623" t="str">
        <f>Lifetimes!AW1</f>
        <v>LacquerDiyOutIU</v>
      </c>
    </row>
    <row r="51" spans="1:6" ht="15.75" thickBot="1">
      <c r="A51" s="74" t="s">
        <v>1696</v>
      </c>
      <c r="B51" s="97" t="s">
        <v>1500</v>
      </c>
      <c r="C51" s="97" t="s">
        <v>1697</v>
      </c>
      <c r="D51" s="101" t="str">
        <f t="shared" si="0"/>
        <v>OK</v>
      </c>
      <c r="E51" s="82"/>
      <c r="F51" s="623" t="str">
        <f>Lifetimes!AX1</f>
        <v>LacquerProfInDis</v>
      </c>
    </row>
    <row r="52" spans="1:6" ht="15.75" thickBot="1">
      <c r="A52" s="74" t="s">
        <v>1698</v>
      </c>
      <c r="B52" s="97" t="s">
        <v>1500</v>
      </c>
      <c r="C52" s="97" t="s">
        <v>1699</v>
      </c>
      <c r="D52" s="101" t="str">
        <f t="shared" si="0"/>
        <v>OK</v>
      </c>
      <c r="E52" s="82"/>
      <c r="F52" s="623" t="str">
        <f>Lifetimes!AY1</f>
        <v>LacquerProfInIU</v>
      </c>
    </row>
    <row r="53" spans="1:6" ht="15.75" thickBot="1">
      <c r="A53" s="74" t="s">
        <v>1700</v>
      </c>
      <c r="B53" s="97" t="s">
        <v>1500</v>
      </c>
      <c r="C53" s="97" t="s">
        <v>1701</v>
      </c>
      <c r="D53" s="101" t="str">
        <f t="shared" si="0"/>
        <v>OK</v>
      </c>
      <c r="E53" s="82"/>
      <c r="F53" s="623" t="str">
        <f>Lifetimes!AZ1</f>
        <v>LacquerProfOutDis</v>
      </c>
    </row>
    <row r="54" spans="1:6" ht="15.75" thickBot="1">
      <c r="A54" s="74" t="s">
        <v>267</v>
      </c>
      <c r="B54" s="97" t="s">
        <v>1506</v>
      </c>
      <c r="C54" s="97" t="s">
        <v>1702</v>
      </c>
      <c r="D54" s="101" t="str">
        <f t="shared" si="0"/>
        <v>OK</v>
      </c>
      <c r="E54" s="82"/>
      <c r="F54" s="623" t="str">
        <f>Lifetimes!BA1</f>
        <v>LacquerProfOutIU</v>
      </c>
    </row>
    <row r="55" spans="1:6" ht="15.75" thickBot="1">
      <c r="A55" s="74" t="s">
        <v>319</v>
      </c>
      <c r="B55" s="97" t="s">
        <v>1500</v>
      </c>
      <c r="C55" s="97" t="s">
        <v>1703</v>
      </c>
      <c r="D55" s="101" t="str">
        <f t="shared" si="0"/>
        <v>OK</v>
      </c>
      <c r="E55" s="82"/>
      <c r="F55" s="623" t="str">
        <f>Lifetimes!BB1</f>
        <v>OtherPaintUsesDiyInDis</v>
      </c>
    </row>
    <row r="56" spans="1:6" ht="15.75" thickBot="1">
      <c r="A56" s="74" t="s">
        <v>321</v>
      </c>
      <c r="B56" s="97" t="s">
        <v>1503</v>
      </c>
      <c r="C56" s="97" t="s">
        <v>1345</v>
      </c>
      <c r="D56" s="101" t="str">
        <f t="shared" si="0"/>
        <v>OK</v>
      </c>
      <c r="E56" s="82"/>
      <c r="F56" s="623" t="str">
        <f>Lifetimes!BC1</f>
        <v>OtherPaintUsesDiyInIU</v>
      </c>
    </row>
    <row r="57" spans="1:6" ht="15.75" thickBot="1">
      <c r="A57" s="74" t="s">
        <v>322</v>
      </c>
      <c r="B57" s="97" t="s">
        <v>1503</v>
      </c>
      <c r="C57" s="97" t="s">
        <v>1346</v>
      </c>
      <c r="D57" s="101" t="str">
        <f t="shared" si="0"/>
        <v>OK</v>
      </c>
      <c r="E57" s="82"/>
      <c r="F57" s="623" t="str">
        <f>Lifetimes!BD1</f>
        <v>OtherPaintUsesDiyOutDis</v>
      </c>
    </row>
    <row r="58" spans="1:6" ht="15.75" thickBot="1">
      <c r="A58" s="74" t="s">
        <v>37</v>
      </c>
      <c r="B58" s="97" t="s">
        <v>1500</v>
      </c>
      <c r="C58" s="97" t="s">
        <v>1704</v>
      </c>
      <c r="D58" s="101" t="str">
        <f t="shared" si="0"/>
        <v>OK</v>
      </c>
      <c r="E58" s="82"/>
      <c r="F58" s="623" t="str">
        <f>Lifetimes!BE1</f>
        <v>OtherPaintUsesDiyOutIU</v>
      </c>
    </row>
    <row r="59" spans="1:6" ht="15.75" thickBot="1">
      <c r="A59" s="74" t="s">
        <v>1705</v>
      </c>
      <c r="B59" s="97" t="s">
        <v>1500</v>
      </c>
      <c r="C59" s="97" t="s">
        <v>1706</v>
      </c>
      <c r="D59" s="101" t="str">
        <f t="shared" si="0"/>
        <v>OK</v>
      </c>
      <c r="E59" s="82"/>
      <c r="F59" s="623" t="str">
        <f>Lifetimes!BF1</f>
        <v>OtherPaintUsesProfInDis</v>
      </c>
    </row>
    <row r="60" spans="1:6" ht="15.75" thickBot="1">
      <c r="A60" s="74" t="s">
        <v>1707</v>
      </c>
      <c r="B60" s="97" t="s">
        <v>1500</v>
      </c>
      <c r="C60" s="97" t="s">
        <v>1708</v>
      </c>
      <c r="D60" s="101" t="str">
        <f t="shared" si="0"/>
        <v>OK</v>
      </c>
      <c r="E60" s="82"/>
      <c r="F60" s="623" t="str">
        <f>Lifetimes!BG1</f>
        <v>OtherPaintUsesProfInIU</v>
      </c>
    </row>
    <row r="61" spans="1:6" ht="15.75" thickBot="1">
      <c r="A61" s="74" t="s">
        <v>1709</v>
      </c>
      <c r="B61" s="97" t="s">
        <v>1500</v>
      </c>
      <c r="C61" s="97" t="s">
        <v>1710</v>
      </c>
      <c r="D61" s="101" t="str">
        <f t="shared" si="0"/>
        <v>OK</v>
      </c>
      <c r="E61" s="82"/>
      <c r="F61" s="623" t="str">
        <f>Lifetimes!BH1</f>
        <v>OtherPaintUsesProfOutDis</v>
      </c>
    </row>
    <row r="62" spans="1:6" ht="15.75" thickBot="1">
      <c r="A62" s="74" t="s">
        <v>1711</v>
      </c>
      <c r="B62" s="97" t="s">
        <v>1500</v>
      </c>
      <c r="C62" s="97" t="s">
        <v>1712</v>
      </c>
      <c r="D62" s="101" t="str">
        <f t="shared" si="0"/>
        <v>OK</v>
      </c>
      <c r="E62" s="82"/>
      <c r="F62" s="623" t="str">
        <f>Lifetimes!BI1</f>
        <v>OtherPaintUsesProfOutIU</v>
      </c>
    </row>
    <row r="63" spans="1:6" ht="15.75" thickBot="1">
      <c r="A63" s="74" t="s">
        <v>324</v>
      </c>
      <c r="B63" s="97" t="s">
        <v>1500</v>
      </c>
      <c r="C63" s="97" t="s">
        <v>1713</v>
      </c>
      <c r="D63" s="101" t="str">
        <f t="shared" si="0"/>
        <v>OK</v>
      </c>
      <c r="E63" s="82"/>
      <c r="F63" s="623" t="str">
        <f>Lifetimes!BJ1</f>
        <v>PaintsPreMadeWoodInDis</v>
      </c>
    </row>
    <row r="64" spans="1:6" ht="15.75" thickBot="1">
      <c r="A64" s="74" t="s">
        <v>458</v>
      </c>
      <c r="B64" s="97" t="s">
        <v>1500</v>
      </c>
      <c r="C64" s="97" t="s">
        <v>1714</v>
      </c>
      <c r="D64" s="101" t="str">
        <f t="shared" si="0"/>
        <v>OK</v>
      </c>
      <c r="E64" s="82"/>
      <c r="F64" s="623" t="str">
        <f>Lifetimes!BK1</f>
        <v>PaintsPreMadeWoodInIU</v>
      </c>
    </row>
    <row r="65" spans="1:6" ht="15.75" thickBot="1">
      <c r="A65" s="330" t="s">
        <v>571</v>
      </c>
      <c r="B65" s="97" t="s">
        <v>1500</v>
      </c>
      <c r="C65" s="97" t="s">
        <v>1715</v>
      </c>
      <c r="D65" s="101" t="str">
        <f t="shared" si="0"/>
        <v>OK</v>
      </c>
      <c r="E65" s="82"/>
      <c r="F65" s="623" t="str">
        <f>Lifetimes!BL1</f>
        <v>PaintsPreMadeWoodOutDis</v>
      </c>
    </row>
    <row r="66" spans="1:6" ht="15.75" thickBot="1">
      <c r="A66" s="330" t="s">
        <v>578</v>
      </c>
      <c r="B66" s="97" t="s">
        <v>1503</v>
      </c>
      <c r="C66" s="97" t="s">
        <v>1369</v>
      </c>
      <c r="D66" s="101" t="str">
        <f t="shared" si="0"/>
        <v>OK</v>
      </c>
      <c r="E66" s="82"/>
      <c r="F66" s="623" t="str">
        <f>Lifetimes!BM1</f>
        <v>PaintsPreMadeWoodOutIU</v>
      </c>
    </row>
    <row r="67" spans="1:6" ht="15.75" thickBot="1">
      <c r="A67" s="330" t="s">
        <v>577</v>
      </c>
      <c r="B67" s="97" t="s">
        <v>1503</v>
      </c>
      <c r="C67" s="97" t="s">
        <v>1370</v>
      </c>
      <c r="D67" s="101" t="str">
        <f t="shared" ref="D67:D130" si="1">IF(B67=IF(COUNTIF($F$3:$F$150,C67),"Stock","Flow/Sink"),"OK",IF(B67="Stock","Compartment missing in Lifetimes, available as pair?",IF(IF(COUNTIF($F$3:$F$150,C67),"Stock","Flow/Sink")="Stock","Change Type of compartment to Stock","OK")))</f>
        <v>OK</v>
      </c>
      <c r="E67" s="82"/>
      <c r="F67" s="623" t="str">
        <f>Lifetimes!BN1</f>
        <v>PlasterDiyInDis</v>
      </c>
    </row>
    <row r="68" spans="1:6" ht="15.75" thickBot="1">
      <c r="A68" s="330" t="s">
        <v>569</v>
      </c>
      <c r="B68" s="97" t="s">
        <v>1500</v>
      </c>
      <c r="C68" s="97" t="s">
        <v>1716</v>
      </c>
      <c r="D68" s="101" t="str">
        <f t="shared" si="1"/>
        <v>OK</v>
      </c>
      <c r="E68" s="82"/>
      <c r="F68" s="623" t="str">
        <f>Lifetimes!BO1</f>
        <v>PlasterDiyInIU</v>
      </c>
    </row>
    <row r="69" spans="1:6" ht="15.75" thickBot="1">
      <c r="A69" s="330" t="s">
        <v>575</v>
      </c>
      <c r="B69" s="97" t="s">
        <v>1503</v>
      </c>
      <c r="C69" s="97" t="s">
        <v>1371</v>
      </c>
      <c r="D69" s="101" t="str">
        <f t="shared" si="1"/>
        <v>OK</v>
      </c>
      <c r="E69" s="82"/>
      <c r="F69" s="623" t="str">
        <f>Lifetimes!BP1</f>
        <v>PlasterDiyOutDis</v>
      </c>
    </row>
    <row r="70" spans="1:6" ht="15.75" thickBot="1">
      <c r="A70" s="330" t="s">
        <v>574</v>
      </c>
      <c r="B70" s="97" t="s">
        <v>1503</v>
      </c>
      <c r="C70" s="97" t="s">
        <v>1372</v>
      </c>
      <c r="D70" s="101" t="str">
        <f t="shared" si="1"/>
        <v>OK</v>
      </c>
      <c r="E70" s="82"/>
      <c r="F70" s="623" t="str">
        <f>Lifetimes!BQ1</f>
        <v>PlasterDiyOutIU</v>
      </c>
    </row>
    <row r="71" spans="1:6" ht="15.75" thickBot="1">
      <c r="A71" s="74" t="s">
        <v>452</v>
      </c>
      <c r="B71" s="97" t="s">
        <v>1500</v>
      </c>
      <c r="C71" s="97" t="s">
        <v>1717</v>
      </c>
      <c r="D71" s="101" t="str">
        <f t="shared" si="1"/>
        <v>OK</v>
      </c>
      <c r="E71" s="82"/>
      <c r="F71" s="623" t="str">
        <f>Lifetimes!BR1</f>
        <v>PlasterProfInDis</v>
      </c>
    </row>
    <row r="72" spans="1:6" ht="15.75" thickBot="1">
      <c r="A72" s="330" t="s">
        <v>496</v>
      </c>
      <c r="B72" s="97" t="s">
        <v>1500</v>
      </c>
      <c r="C72" s="97" t="s">
        <v>1718</v>
      </c>
      <c r="D72" s="101" t="str">
        <f t="shared" si="1"/>
        <v>OK</v>
      </c>
      <c r="E72" s="82"/>
      <c r="F72" s="623" t="str">
        <f>Lifetimes!BS1</f>
        <v>PlasterProfInIU</v>
      </c>
    </row>
    <row r="73" spans="1:6" ht="15.75" thickBot="1">
      <c r="A73" s="330" t="s">
        <v>502</v>
      </c>
      <c r="B73" s="97" t="s">
        <v>1503</v>
      </c>
      <c r="C73" s="97" t="s">
        <v>1373</v>
      </c>
      <c r="D73" s="101" t="str">
        <f t="shared" si="1"/>
        <v>OK</v>
      </c>
      <c r="E73" s="82"/>
      <c r="F73" s="623" t="str">
        <f>Lifetimes!BT1</f>
        <v>PlasterProfOutDis</v>
      </c>
    </row>
    <row r="74" spans="1:6" ht="15.75" thickBot="1">
      <c r="A74" s="330" t="s">
        <v>501</v>
      </c>
      <c r="B74" s="97" t="s">
        <v>1503</v>
      </c>
      <c r="C74" s="97" t="s">
        <v>1374</v>
      </c>
      <c r="D74" s="101" t="str">
        <f t="shared" si="1"/>
        <v>OK</v>
      </c>
      <c r="E74" s="82"/>
      <c r="F74" s="623" t="str">
        <f>Lifetimes!BU1</f>
        <v>PlasterProfOutIU</v>
      </c>
    </row>
    <row r="75" spans="1:6" ht="15.75" thickBot="1">
      <c r="A75" s="330" t="s">
        <v>494</v>
      </c>
      <c r="B75" s="97" t="s">
        <v>1500</v>
      </c>
      <c r="C75" s="97" t="s">
        <v>1719</v>
      </c>
      <c r="D75" s="101" t="str">
        <f t="shared" si="1"/>
        <v>OK</v>
      </c>
      <c r="E75" s="82"/>
      <c r="F75" s="623" t="str">
        <f>Lifetimes!BV1</f>
        <v>ShipProfDis</v>
      </c>
    </row>
    <row r="76" spans="1:6" ht="15.75" thickBot="1">
      <c r="A76" s="330" t="s">
        <v>499</v>
      </c>
      <c r="B76" s="97" t="s">
        <v>1503</v>
      </c>
      <c r="C76" s="97" t="s">
        <v>1375</v>
      </c>
      <c r="D76" s="101" t="str">
        <f t="shared" si="1"/>
        <v>OK</v>
      </c>
      <c r="E76" s="82"/>
      <c r="F76" s="623" t="str">
        <f>Lifetimes!BW1</f>
        <v>ShipProfIU</v>
      </c>
    </row>
    <row r="77" spans="1:6" ht="15.75" thickBot="1">
      <c r="A77" s="330" t="s">
        <v>498</v>
      </c>
      <c r="B77" s="97" t="s">
        <v>1503</v>
      </c>
      <c r="C77" s="97" t="s">
        <v>1376</v>
      </c>
      <c r="D77" s="101" t="str">
        <f t="shared" si="1"/>
        <v>OK</v>
      </c>
      <c r="E77" s="82"/>
      <c r="F77" s="623" t="str">
        <f>Lifetimes!BX1</f>
        <v>ShipDiyDis</v>
      </c>
    </row>
    <row r="78" spans="1:6" ht="15.75" thickBot="1">
      <c r="A78" s="74" t="s">
        <v>1720</v>
      </c>
      <c r="B78" s="97" t="s">
        <v>1500</v>
      </c>
      <c r="C78" s="97" t="s">
        <v>1721</v>
      </c>
      <c r="D78" s="101" t="str">
        <f t="shared" si="1"/>
        <v>OK</v>
      </c>
      <c r="E78" s="82"/>
      <c r="F78" s="623" t="str">
        <f>Lifetimes!BY1</f>
        <v>ShipDiyIU</v>
      </c>
    </row>
    <row r="79" spans="1:6" ht="15.75" thickBot="1">
      <c r="A79" s="74" t="s">
        <v>1722</v>
      </c>
      <c r="B79" s="97" t="s">
        <v>1500</v>
      </c>
      <c r="C79" s="97" t="s">
        <v>1723</v>
      </c>
      <c r="D79" s="101" t="str">
        <f t="shared" si="1"/>
        <v>OK</v>
      </c>
      <c r="E79" s="82"/>
      <c r="F79" s="623" t="str">
        <f>Lifetimes!BZ1</f>
        <v>WallPaintDiyIndoorAppliedDis</v>
      </c>
    </row>
    <row r="80" spans="1:6" ht="15.75" thickBot="1">
      <c r="A80" s="74" t="s">
        <v>1724</v>
      </c>
      <c r="B80" s="97" t="s">
        <v>1500</v>
      </c>
      <c r="C80" s="97" t="s">
        <v>1725</v>
      </c>
      <c r="D80" s="101" t="str">
        <f t="shared" si="1"/>
        <v>OK</v>
      </c>
      <c r="E80" s="82"/>
      <c r="F80" s="624" t="str">
        <f>Lifetimes!CA1</f>
        <v>WallPaintDiyIndoorAppliedIU</v>
      </c>
    </row>
    <row r="81" spans="1:6" ht="15.75" thickBot="1">
      <c r="A81" s="74" t="s">
        <v>1726</v>
      </c>
      <c r="B81" s="97" t="s">
        <v>1500</v>
      </c>
      <c r="C81" s="97" t="s">
        <v>1727</v>
      </c>
      <c r="D81" s="101" t="str">
        <f t="shared" si="1"/>
        <v>OK</v>
      </c>
      <c r="E81" s="82"/>
      <c r="F81" s="624" t="str">
        <f>Lifetimes!CB1</f>
        <v>WallPaintDiyOutDis</v>
      </c>
    </row>
    <row r="82" spans="1:6" ht="15.75" thickBot="1">
      <c r="A82" s="74" t="s">
        <v>356</v>
      </c>
      <c r="B82" s="97" t="s">
        <v>1503</v>
      </c>
      <c r="C82" s="97" t="s">
        <v>1354</v>
      </c>
      <c r="D82" s="101" t="str">
        <f t="shared" si="1"/>
        <v>OK</v>
      </c>
      <c r="E82" s="82"/>
      <c r="F82" s="624" t="str">
        <f>Lifetimes!CC1</f>
        <v>WallPaintDiyOutIU</v>
      </c>
    </row>
    <row r="83" spans="1:6" ht="15.75" thickBot="1">
      <c r="A83" s="74" t="s">
        <v>348</v>
      </c>
      <c r="B83" s="97" t="s">
        <v>1500</v>
      </c>
      <c r="C83" s="97" t="s">
        <v>1728</v>
      </c>
      <c r="D83" s="101" t="str">
        <f t="shared" si="1"/>
        <v>OK</v>
      </c>
      <c r="E83" s="82"/>
      <c r="F83" s="624" t="str">
        <f>Lifetimes!CD1</f>
        <v>WallPaintProfInDis</v>
      </c>
    </row>
    <row r="84" spans="1:6" ht="15.75" thickBot="1">
      <c r="A84" s="74" t="s">
        <v>344</v>
      </c>
      <c r="B84" s="97" t="s">
        <v>1500</v>
      </c>
      <c r="C84" s="97" t="s">
        <v>1729</v>
      </c>
      <c r="D84" s="101" t="str">
        <f t="shared" si="1"/>
        <v>OK</v>
      </c>
      <c r="E84" s="82"/>
      <c r="F84" s="624" t="str">
        <f>Lifetimes!CE1</f>
        <v>WallPaintProfInIU</v>
      </c>
    </row>
    <row r="85" spans="1:6" ht="15.75" thickBot="1">
      <c r="A85" s="74" t="s">
        <v>372</v>
      </c>
      <c r="B85" s="97" t="s">
        <v>1500</v>
      </c>
      <c r="C85" s="97" t="s">
        <v>1730</v>
      </c>
      <c r="D85" s="101" t="str">
        <f t="shared" si="1"/>
        <v>OK</v>
      </c>
      <c r="E85" s="82"/>
      <c r="F85" s="624" t="str">
        <f>Lifetimes!CF1</f>
        <v>WallPaintProfOutDis</v>
      </c>
    </row>
    <row r="86" spans="1:6" ht="15.75" thickBot="1">
      <c r="A86" s="74" t="s">
        <v>462</v>
      </c>
      <c r="B86" s="97" t="s">
        <v>1500</v>
      </c>
      <c r="C86" s="97" t="s">
        <v>1731</v>
      </c>
      <c r="D86" s="101" t="str">
        <f t="shared" si="1"/>
        <v>OK</v>
      </c>
      <c r="E86" s="82"/>
      <c r="F86" s="624" t="str">
        <f>Lifetimes!CG1</f>
        <v>WallPaintProfOutIU</v>
      </c>
    </row>
    <row r="87" spans="1:6" ht="15.75" thickBot="1">
      <c r="A87" s="330" t="s">
        <v>622</v>
      </c>
      <c r="B87" s="97" t="s">
        <v>1500</v>
      </c>
      <c r="C87" s="97" t="s">
        <v>1732</v>
      </c>
      <c r="D87" s="101" t="str">
        <f t="shared" si="1"/>
        <v>OK</v>
      </c>
      <c r="E87" s="82"/>
      <c r="F87" s="624" t="str">
        <f>Lifetimes!CH1</f>
        <v>WoodStainDiyInDis</v>
      </c>
    </row>
    <row r="88" spans="1:6" ht="15.75" thickBot="1">
      <c r="A88" s="330" t="s">
        <v>627</v>
      </c>
      <c r="B88" s="97" t="s">
        <v>1503</v>
      </c>
      <c r="C88" s="97" t="s">
        <v>1377</v>
      </c>
      <c r="D88" s="101" t="str">
        <f t="shared" si="1"/>
        <v>OK</v>
      </c>
      <c r="E88" s="82"/>
      <c r="F88" s="624" t="str">
        <f>Lifetimes!CI1</f>
        <v>WoodStainDiyInIU</v>
      </c>
    </row>
    <row r="89" spans="1:6" ht="15.75" thickBot="1">
      <c r="A89" s="330" t="s">
        <v>626</v>
      </c>
      <c r="B89" s="97" t="s">
        <v>1503</v>
      </c>
      <c r="C89" s="97" t="s">
        <v>1378</v>
      </c>
      <c r="D89" s="101" t="str">
        <f t="shared" si="1"/>
        <v>OK</v>
      </c>
      <c r="E89" s="82"/>
      <c r="F89" s="624" t="str">
        <f>Lifetimes!CJ1</f>
        <v>WoodStainDiyOutDis</v>
      </c>
    </row>
    <row r="90" spans="1:6" ht="15.75" thickBot="1">
      <c r="A90" s="330" t="s">
        <v>621</v>
      </c>
      <c r="B90" s="97" t="s">
        <v>1500</v>
      </c>
      <c r="C90" s="97" t="s">
        <v>1733</v>
      </c>
      <c r="D90" s="101" t="str">
        <f t="shared" si="1"/>
        <v>OK</v>
      </c>
      <c r="E90" s="82"/>
      <c r="F90" s="624" t="str">
        <f>Lifetimes!CK1</f>
        <v>WoodStainDiyOutIU</v>
      </c>
    </row>
    <row r="91" spans="1:6" ht="15.75" thickBot="1">
      <c r="A91" s="330" t="s">
        <v>624</v>
      </c>
      <c r="B91" s="97" t="s">
        <v>1503</v>
      </c>
      <c r="C91" s="97" t="s">
        <v>1379</v>
      </c>
      <c r="D91" s="101" t="str">
        <f t="shared" si="1"/>
        <v>OK</v>
      </c>
      <c r="E91" s="82"/>
      <c r="F91" s="624" t="str">
        <f>Lifetimes!CL1</f>
        <v>WoodStainProfInDis</v>
      </c>
    </row>
    <row r="92" spans="1:6" ht="15.75" thickBot="1">
      <c r="A92" s="330" t="s">
        <v>623</v>
      </c>
      <c r="B92" s="97" t="s">
        <v>1503</v>
      </c>
      <c r="C92" s="97" t="s">
        <v>1380</v>
      </c>
      <c r="D92" s="101" t="str">
        <f t="shared" si="1"/>
        <v>OK</v>
      </c>
      <c r="E92" s="82"/>
      <c r="F92" s="624" t="str">
        <f>Lifetimes!CM1</f>
        <v>WoodStainProfInIU</v>
      </c>
    </row>
    <row r="93" spans="1:6" ht="15.75" thickBot="1">
      <c r="A93" s="74" t="s">
        <v>456</v>
      </c>
      <c r="B93" s="97" t="s">
        <v>1500</v>
      </c>
      <c r="C93" s="97" t="s">
        <v>1734</v>
      </c>
      <c r="D93" s="101" t="str">
        <f t="shared" si="1"/>
        <v>OK</v>
      </c>
      <c r="E93" s="82"/>
      <c r="F93" s="624" t="str">
        <f>Lifetimes!CN1</f>
        <v>WoodStainProfOutDis</v>
      </c>
    </row>
    <row r="94" spans="1:6" ht="15.75" thickBot="1">
      <c r="A94" s="330" t="s">
        <v>548</v>
      </c>
      <c r="B94" s="97" t="s">
        <v>1500</v>
      </c>
      <c r="C94" s="97" t="s">
        <v>1735</v>
      </c>
      <c r="D94" s="101" t="str">
        <f t="shared" si="1"/>
        <v>OK</v>
      </c>
      <c r="E94" s="82"/>
      <c r="F94" s="625" t="str">
        <f>Lifetimes!CO1</f>
        <v>WoodStainProfOutIU</v>
      </c>
    </row>
    <row r="95" spans="1:6" ht="15.75" thickBot="1">
      <c r="A95" s="330" t="s">
        <v>554</v>
      </c>
      <c r="B95" s="97" t="s">
        <v>1503</v>
      </c>
      <c r="C95" s="97" t="s">
        <v>1381</v>
      </c>
      <c r="D95" s="101" t="str">
        <f t="shared" si="1"/>
        <v>OK</v>
      </c>
      <c r="E95" s="82"/>
      <c r="F95">
        <f>Lifetimes!CP1</f>
        <v>0</v>
      </c>
    </row>
    <row r="96" spans="1:6" ht="15.75" thickBot="1">
      <c r="A96" s="330" t="s">
        <v>553</v>
      </c>
      <c r="B96" s="97" t="s">
        <v>1503</v>
      </c>
      <c r="C96" s="97" t="s">
        <v>1382</v>
      </c>
      <c r="D96" s="101" t="str">
        <f t="shared" si="1"/>
        <v>OK</v>
      </c>
      <c r="E96" s="82"/>
      <c r="F96">
        <f>Lifetimes!CQ1</f>
        <v>0</v>
      </c>
    </row>
    <row r="97" spans="1:6" ht="15.75" thickBot="1">
      <c r="A97" s="330" t="s">
        <v>546</v>
      </c>
      <c r="B97" s="97" t="s">
        <v>1500</v>
      </c>
      <c r="C97" s="97" t="s">
        <v>1736</v>
      </c>
      <c r="D97" s="101" t="str">
        <f t="shared" si="1"/>
        <v>OK</v>
      </c>
      <c r="E97" s="82"/>
      <c r="F97">
        <f>Lifetimes!CR1</f>
        <v>0</v>
      </c>
    </row>
    <row r="98" spans="1:6" ht="15.75" thickBot="1">
      <c r="A98" s="330" t="s">
        <v>551</v>
      </c>
      <c r="B98" s="97" t="s">
        <v>1503</v>
      </c>
      <c r="C98" s="97" t="s">
        <v>1383</v>
      </c>
      <c r="D98" s="101" t="str">
        <f t="shared" si="1"/>
        <v>OK</v>
      </c>
      <c r="E98" s="82"/>
      <c r="F98">
        <f>Lifetimes!CS1</f>
        <v>0</v>
      </c>
    </row>
    <row r="99" spans="1:6" ht="15.75" thickBot="1">
      <c r="A99" s="330" t="s">
        <v>550</v>
      </c>
      <c r="B99" s="97" t="s">
        <v>1503</v>
      </c>
      <c r="C99" s="97" t="s">
        <v>1384</v>
      </c>
      <c r="D99" s="101" t="str">
        <f t="shared" si="1"/>
        <v>OK</v>
      </c>
      <c r="E99" s="82"/>
      <c r="F99">
        <f>Lifetimes!CT1</f>
        <v>0</v>
      </c>
    </row>
    <row r="100" spans="1:6" ht="15.75" thickBot="1">
      <c r="A100" s="74" t="s">
        <v>1737</v>
      </c>
      <c r="B100" s="97" t="s">
        <v>1500</v>
      </c>
      <c r="C100" s="97" t="s">
        <v>1738</v>
      </c>
      <c r="D100" s="101" t="str">
        <f t="shared" si="1"/>
        <v>OK</v>
      </c>
      <c r="E100" s="82"/>
      <c r="F100">
        <f>Lifetimes!CU1</f>
        <v>0</v>
      </c>
    </row>
    <row r="101" spans="1:6" ht="15.75" thickBot="1">
      <c r="A101" s="74" t="s">
        <v>1739</v>
      </c>
      <c r="B101" s="97" t="s">
        <v>1500</v>
      </c>
      <c r="C101" s="97" t="s">
        <v>1740</v>
      </c>
      <c r="D101" s="101" t="str">
        <f t="shared" si="1"/>
        <v>OK</v>
      </c>
      <c r="E101" s="82"/>
      <c r="F101">
        <f>Lifetimes!CV1</f>
        <v>0</v>
      </c>
    </row>
    <row r="102" spans="1:6" ht="15.75" thickBot="1">
      <c r="A102" s="74" t="s">
        <v>1741</v>
      </c>
      <c r="B102" s="97" t="s">
        <v>1500</v>
      </c>
      <c r="C102" s="97" t="s">
        <v>1742</v>
      </c>
      <c r="D102" s="101" t="str">
        <f t="shared" si="1"/>
        <v>OK</v>
      </c>
      <c r="E102" s="82"/>
      <c r="F102">
        <f>Lifetimes!CW1</f>
        <v>0</v>
      </c>
    </row>
    <row r="103" spans="1:6" ht="15.75" thickBot="1">
      <c r="A103" s="74" t="s">
        <v>1743</v>
      </c>
      <c r="B103" s="97" t="s">
        <v>1500</v>
      </c>
      <c r="C103" s="97" t="s">
        <v>1744</v>
      </c>
      <c r="D103" s="101" t="str">
        <f t="shared" si="1"/>
        <v>OK</v>
      </c>
      <c r="E103" s="82"/>
      <c r="F103">
        <f>Lifetimes!CX1</f>
        <v>0</v>
      </c>
    </row>
    <row r="104" spans="1:6" ht="15.75" thickBot="1">
      <c r="A104" s="74" t="s">
        <v>1745</v>
      </c>
      <c r="B104" s="97" t="s">
        <v>1500</v>
      </c>
      <c r="C104" s="97" t="s">
        <v>1746</v>
      </c>
      <c r="D104" s="101" t="str">
        <f t="shared" si="1"/>
        <v>OK</v>
      </c>
      <c r="E104" s="82"/>
      <c r="F104">
        <f>Lifetimes!CY1</f>
        <v>0</v>
      </c>
    </row>
    <row r="105" spans="1:6" ht="15.75" thickBot="1">
      <c r="A105" s="74" t="s">
        <v>1747</v>
      </c>
      <c r="B105" s="97" t="s">
        <v>1500</v>
      </c>
      <c r="C105" s="97" t="s">
        <v>1748</v>
      </c>
      <c r="D105" s="101" t="str">
        <f t="shared" si="1"/>
        <v>OK</v>
      </c>
      <c r="E105" s="82"/>
      <c r="F105">
        <f>Lifetimes!CZ1</f>
        <v>0</v>
      </c>
    </row>
    <row r="106" spans="1:6" ht="15.75" thickBot="1">
      <c r="A106" s="74" t="s">
        <v>1749</v>
      </c>
      <c r="B106" s="97" t="s">
        <v>1500</v>
      </c>
      <c r="C106" s="97" t="s">
        <v>1750</v>
      </c>
      <c r="D106" s="101" t="str">
        <f t="shared" si="1"/>
        <v>OK</v>
      </c>
      <c r="E106" s="82"/>
      <c r="F106">
        <f>Lifetimes!DA1</f>
        <v>0</v>
      </c>
    </row>
    <row r="107" spans="1:6" ht="15.75" thickBot="1">
      <c r="A107" s="74" t="s">
        <v>1751</v>
      </c>
      <c r="B107" s="97" t="s">
        <v>1500</v>
      </c>
      <c r="C107" s="97" t="s">
        <v>1752</v>
      </c>
      <c r="D107" s="101" t="str">
        <f t="shared" si="1"/>
        <v>OK</v>
      </c>
      <c r="E107" s="82"/>
      <c r="F107">
        <f>Lifetimes!DB1</f>
        <v>0</v>
      </c>
    </row>
    <row r="108" spans="1:6" ht="15.75" thickBot="1">
      <c r="A108" s="74" t="s">
        <v>1753</v>
      </c>
      <c r="B108" s="97" t="s">
        <v>1500</v>
      </c>
      <c r="C108" s="97" t="s">
        <v>1754</v>
      </c>
      <c r="D108" s="101" t="str">
        <f t="shared" si="1"/>
        <v>OK</v>
      </c>
      <c r="E108" s="82"/>
      <c r="F108">
        <f>Lifetimes!DC1</f>
        <v>0</v>
      </c>
    </row>
    <row r="109" spans="1:6" ht="15.75" thickBot="1">
      <c r="A109" s="74" t="s">
        <v>1755</v>
      </c>
      <c r="B109" s="97" t="s">
        <v>1500</v>
      </c>
      <c r="C109" s="97" t="s">
        <v>1756</v>
      </c>
      <c r="D109" s="101" t="str">
        <f t="shared" si="1"/>
        <v>OK</v>
      </c>
      <c r="E109" s="82"/>
      <c r="F109">
        <f>Lifetimes!DD1</f>
        <v>0</v>
      </c>
    </row>
    <row r="110" spans="1:6" ht="15.75" thickBot="1">
      <c r="A110" s="74" t="s">
        <v>1757</v>
      </c>
      <c r="B110" s="97" t="s">
        <v>1500</v>
      </c>
      <c r="C110" s="97" t="s">
        <v>1758</v>
      </c>
      <c r="D110" s="101" t="str">
        <f t="shared" si="1"/>
        <v>OK</v>
      </c>
      <c r="E110" s="82"/>
      <c r="F110">
        <f>Lifetimes!DE1</f>
        <v>0</v>
      </c>
    </row>
    <row r="111" spans="1:6" ht="15.75" thickBot="1">
      <c r="A111" s="74" t="s">
        <v>127</v>
      </c>
      <c r="B111" s="97" t="s">
        <v>1500</v>
      </c>
      <c r="C111" s="97" t="s">
        <v>127</v>
      </c>
      <c r="D111" s="101" t="str">
        <f t="shared" si="1"/>
        <v>OK</v>
      </c>
      <c r="E111" s="82"/>
      <c r="F111">
        <f>Lifetimes!DF1</f>
        <v>0</v>
      </c>
    </row>
    <row r="112" spans="1:6" ht="15.75" thickBot="1">
      <c r="A112" s="330" t="s">
        <v>457</v>
      </c>
      <c r="B112" s="97" t="s">
        <v>1500</v>
      </c>
      <c r="C112" s="97" t="s">
        <v>1759</v>
      </c>
      <c r="D112" s="101" t="str">
        <f t="shared" si="1"/>
        <v>OK</v>
      </c>
      <c r="E112" s="82"/>
      <c r="F112">
        <f>Lifetimes!DG1</f>
        <v>0</v>
      </c>
    </row>
    <row r="113" spans="1:6" ht="15.75" thickBot="1">
      <c r="A113" s="330" t="s">
        <v>558</v>
      </c>
      <c r="B113" s="97" t="s">
        <v>1500</v>
      </c>
      <c r="C113" s="97" t="s">
        <v>1760</v>
      </c>
      <c r="D113" s="101" t="str">
        <f t="shared" si="1"/>
        <v>OK</v>
      </c>
      <c r="E113" s="82"/>
      <c r="F113">
        <f>Lifetimes!DH1</f>
        <v>0</v>
      </c>
    </row>
    <row r="114" spans="1:6" ht="15.75" thickBot="1">
      <c r="A114" s="330" t="s">
        <v>563</v>
      </c>
      <c r="B114" s="97" t="s">
        <v>1503</v>
      </c>
      <c r="C114" s="97" t="s">
        <v>1385</v>
      </c>
      <c r="D114" s="101" t="str">
        <f t="shared" si="1"/>
        <v>OK</v>
      </c>
      <c r="E114" s="82"/>
      <c r="F114">
        <f>Lifetimes!DI1</f>
        <v>0</v>
      </c>
    </row>
    <row r="115" spans="1:6" ht="15.75" thickBot="1">
      <c r="A115" s="330" t="s">
        <v>562</v>
      </c>
      <c r="B115" s="97" t="s">
        <v>1503</v>
      </c>
      <c r="C115" s="97" t="s">
        <v>1386</v>
      </c>
      <c r="D115" s="101" t="str">
        <f t="shared" si="1"/>
        <v>OK</v>
      </c>
      <c r="E115" s="82"/>
      <c r="F115">
        <f>Lifetimes!DJ1</f>
        <v>0</v>
      </c>
    </row>
    <row r="116" spans="1:6" ht="15.75" thickBot="1">
      <c r="A116" s="330" t="s">
        <v>557</v>
      </c>
      <c r="B116" s="97" t="s">
        <v>1500</v>
      </c>
      <c r="C116" s="97" t="s">
        <v>1761</v>
      </c>
      <c r="D116" s="101" t="str">
        <f t="shared" si="1"/>
        <v>OK</v>
      </c>
      <c r="E116" s="82"/>
      <c r="F116">
        <f>Lifetimes!DK1</f>
        <v>0</v>
      </c>
    </row>
    <row r="117" spans="1:6" ht="15.75" thickBot="1">
      <c r="A117" s="330" t="s">
        <v>560</v>
      </c>
      <c r="B117" s="97" t="s">
        <v>1503</v>
      </c>
      <c r="C117" s="97" t="s">
        <v>1387</v>
      </c>
      <c r="D117" s="101" t="str">
        <f t="shared" si="1"/>
        <v>OK</v>
      </c>
      <c r="E117" s="82"/>
      <c r="F117">
        <f>Lifetimes!DL1</f>
        <v>0</v>
      </c>
    </row>
    <row r="118" spans="1:6" ht="15.75" thickBot="1">
      <c r="A118" s="330" t="s">
        <v>559</v>
      </c>
      <c r="B118" s="97" t="s">
        <v>1503</v>
      </c>
      <c r="C118" s="97" t="s">
        <v>1388</v>
      </c>
      <c r="D118" s="101" t="str">
        <f t="shared" si="1"/>
        <v>OK</v>
      </c>
      <c r="E118" s="82"/>
      <c r="F118">
        <f>Lifetimes!DM1</f>
        <v>0</v>
      </c>
    </row>
    <row r="119" spans="1:6" ht="15.75" thickBot="1">
      <c r="A119" s="74" t="s">
        <v>272</v>
      </c>
      <c r="B119" s="97" t="s">
        <v>1500</v>
      </c>
      <c r="C119" s="97" t="s">
        <v>1762</v>
      </c>
      <c r="D119" s="101" t="str">
        <f t="shared" si="1"/>
        <v>OK</v>
      </c>
      <c r="E119" s="82"/>
      <c r="F119">
        <f>Lifetimes!DN1</f>
        <v>0</v>
      </c>
    </row>
    <row r="120" spans="1:6" ht="15.75" thickBot="1">
      <c r="A120" s="74" t="s">
        <v>448</v>
      </c>
      <c r="B120" s="97" t="s">
        <v>1500</v>
      </c>
      <c r="C120" s="97" t="s">
        <v>1763</v>
      </c>
      <c r="D120" s="101" t="str">
        <f t="shared" si="1"/>
        <v>OK</v>
      </c>
      <c r="E120" s="82"/>
      <c r="F120">
        <f>Lifetimes!DO1</f>
        <v>0</v>
      </c>
    </row>
    <row r="121" spans="1:6" ht="15.75" thickBot="1">
      <c r="A121" s="74" t="s">
        <v>442</v>
      </c>
      <c r="B121" s="97" t="s">
        <v>1500</v>
      </c>
      <c r="C121" s="97" t="s">
        <v>1764</v>
      </c>
      <c r="D121" s="101" t="str">
        <f t="shared" si="1"/>
        <v>OK</v>
      </c>
      <c r="E121" s="82"/>
      <c r="F121">
        <f>Lifetimes!DP1</f>
        <v>0</v>
      </c>
    </row>
    <row r="122" spans="1:6" ht="15.75" thickBot="1">
      <c r="A122" s="74" t="s">
        <v>168</v>
      </c>
      <c r="B122" s="97" t="s">
        <v>1500</v>
      </c>
      <c r="C122" s="97" t="s">
        <v>1765</v>
      </c>
      <c r="D122" s="101" t="str">
        <f t="shared" si="1"/>
        <v>OK</v>
      </c>
      <c r="E122" s="82"/>
      <c r="F122">
        <f>Lifetimes!DQ1</f>
        <v>0</v>
      </c>
    </row>
    <row r="123" spans="1:6" ht="15.75" thickBot="1">
      <c r="A123" s="74" t="s">
        <v>461</v>
      </c>
      <c r="B123" s="97" t="s">
        <v>1500</v>
      </c>
      <c r="C123" s="97" t="s">
        <v>1766</v>
      </c>
      <c r="D123" s="101" t="str">
        <f t="shared" si="1"/>
        <v>OK</v>
      </c>
      <c r="E123" s="82"/>
      <c r="F123">
        <f>Lifetimes!DR1</f>
        <v>0</v>
      </c>
    </row>
    <row r="124" spans="1:6" ht="15.75" thickBot="1">
      <c r="A124" s="330" t="s">
        <v>614</v>
      </c>
      <c r="B124" s="97" t="s">
        <v>1500</v>
      </c>
      <c r="C124" s="97" t="s">
        <v>1767</v>
      </c>
      <c r="D124" s="101" t="str">
        <f t="shared" si="1"/>
        <v>OK</v>
      </c>
      <c r="E124" s="82"/>
      <c r="F124">
        <f>Lifetimes!DS1</f>
        <v>0</v>
      </c>
    </row>
    <row r="125" spans="1:6" ht="15.75" thickBot="1">
      <c r="A125" s="330" t="s">
        <v>618</v>
      </c>
      <c r="B125" s="97" t="s">
        <v>1503</v>
      </c>
      <c r="C125" s="97" t="s">
        <v>1389</v>
      </c>
      <c r="D125" s="101" t="str">
        <f t="shared" si="1"/>
        <v>OK</v>
      </c>
      <c r="E125" s="82"/>
      <c r="F125">
        <f>Lifetimes!DT1</f>
        <v>0</v>
      </c>
    </row>
    <row r="126" spans="1:6" ht="15.75" thickBot="1">
      <c r="A126" s="330" t="s">
        <v>617</v>
      </c>
      <c r="B126" s="97" t="s">
        <v>1503</v>
      </c>
      <c r="C126" s="97" t="s">
        <v>1390</v>
      </c>
      <c r="D126" s="101" t="str">
        <f t="shared" si="1"/>
        <v>OK</v>
      </c>
      <c r="E126" s="82"/>
      <c r="F126">
        <f>Lifetimes!DU1</f>
        <v>0</v>
      </c>
    </row>
    <row r="127" spans="1:6" ht="15.75" thickBot="1">
      <c r="A127" s="330" t="s">
        <v>613</v>
      </c>
      <c r="B127" s="97" t="s">
        <v>1500</v>
      </c>
      <c r="C127" s="97" t="s">
        <v>1768</v>
      </c>
      <c r="D127" s="101" t="str">
        <f t="shared" si="1"/>
        <v>OK</v>
      </c>
      <c r="E127" s="82"/>
      <c r="F127">
        <f>Lifetimes!DV1</f>
        <v>0</v>
      </c>
    </row>
    <row r="128" spans="1:6" ht="15.75" thickBot="1">
      <c r="A128" s="330" t="s">
        <v>616</v>
      </c>
      <c r="B128" s="97" t="s">
        <v>1503</v>
      </c>
      <c r="C128" s="97" t="s">
        <v>1391</v>
      </c>
      <c r="D128" s="101" t="str">
        <f t="shared" si="1"/>
        <v>OK</v>
      </c>
      <c r="E128" s="82"/>
      <c r="F128">
        <f>Lifetimes!DW1</f>
        <v>0</v>
      </c>
    </row>
    <row r="129" spans="1:6" ht="15.75" thickBot="1">
      <c r="A129" s="330" t="s">
        <v>615</v>
      </c>
      <c r="B129" s="97" t="s">
        <v>1503</v>
      </c>
      <c r="C129" s="97" t="s">
        <v>1392</v>
      </c>
      <c r="D129" s="101" t="str">
        <f t="shared" si="1"/>
        <v>OK</v>
      </c>
      <c r="E129" s="82"/>
      <c r="F129">
        <f>Lifetimes!DX1</f>
        <v>0</v>
      </c>
    </row>
    <row r="130" spans="1:6" ht="15.75" thickBot="1">
      <c r="A130" s="74" t="s">
        <v>455</v>
      </c>
      <c r="B130" s="97" t="s">
        <v>1500</v>
      </c>
      <c r="C130" s="97" t="s">
        <v>1769</v>
      </c>
      <c r="D130" s="101" t="str">
        <f t="shared" si="1"/>
        <v>OK</v>
      </c>
      <c r="E130" s="82"/>
      <c r="F130">
        <f>Lifetimes!DY1</f>
        <v>0</v>
      </c>
    </row>
    <row r="131" spans="1:6" ht="15.75" thickBot="1">
      <c r="A131" s="330" t="s">
        <v>537</v>
      </c>
      <c r="B131" s="97" t="s">
        <v>1500</v>
      </c>
      <c r="C131" s="97" t="s">
        <v>1770</v>
      </c>
      <c r="D131" s="101" t="str">
        <f t="shared" ref="D131:D194" si="2">IF(B131=IF(COUNTIF($F$3:$F$150,C131),"Stock","Flow/Sink"),"OK",IF(B131="Stock","Compartment missing in Lifetimes, available as pair?",IF(IF(COUNTIF($F$3:$F$150,C131),"Stock","Flow/Sink")="Stock","Change Type of compartment to Stock","OK")))</f>
        <v>OK</v>
      </c>
      <c r="E131" s="82"/>
      <c r="F131">
        <f>Lifetimes!DZ1</f>
        <v>0</v>
      </c>
    </row>
    <row r="132" spans="1:6" ht="15.75" thickBot="1">
      <c r="A132" s="330" t="s">
        <v>543</v>
      </c>
      <c r="B132" s="97" t="s">
        <v>1503</v>
      </c>
      <c r="C132" s="97" t="s">
        <v>1393</v>
      </c>
      <c r="D132" s="101" t="str">
        <f t="shared" si="2"/>
        <v>OK</v>
      </c>
      <c r="E132" s="82"/>
      <c r="F132">
        <f>Lifetimes!EA1</f>
        <v>0</v>
      </c>
    </row>
    <row r="133" spans="1:6" ht="15.75" thickBot="1">
      <c r="A133" s="330" t="s">
        <v>542</v>
      </c>
      <c r="B133" s="97" t="s">
        <v>1503</v>
      </c>
      <c r="C133" s="97" t="s">
        <v>1394</v>
      </c>
      <c r="D133" s="101" t="str">
        <f t="shared" si="2"/>
        <v>OK</v>
      </c>
      <c r="E133" s="82"/>
      <c r="F133">
        <f>Lifetimes!EB1</f>
        <v>0</v>
      </c>
    </row>
    <row r="134" spans="1:6" ht="15.75" thickBot="1">
      <c r="A134" s="330" t="s">
        <v>535</v>
      </c>
      <c r="B134" s="97" t="s">
        <v>1500</v>
      </c>
      <c r="C134" s="97" t="s">
        <v>1771</v>
      </c>
      <c r="D134" s="101" t="str">
        <f t="shared" si="2"/>
        <v>OK</v>
      </c>
      <c r="E134" s="82"/>
      <c r="F134">
        <f>Lifetimes!EC1</f>
        <v>0</v>
      </c>
    </row>
    <row r="135" spans="1:6" ht="15.75" thickBot="1">
      <c r="A135" s="330" t="s">
        <v>540</v>
      </c>
      <c r="B135" s="97" t="s">
        <v>1503</v>
      </c>
      <c r="C135" s="97" t="s">
        <v>1395</v>
      </c>
      <c r="D135" s="101" t="str">
        <f t="shared" si="2"/>
        <v>OK</v>
      </c>
      <c r="E135" s="82"/>
      <c r="F135">
        <f>Lifetimes!ED1</f>
        <v>0</v>
      </c>
    </row>
    <row r="136" spans="1:6" ht="15.75" thickBot="1">
      <c r="A136" s="330" t="s">
        <v>539</v>
      </c>
      <c r="B136" s="97" t="s">
        <v>1503</v>
      </c>
      <c r="C136" s="97" t="s">
        <v>1396</v>
      </c>
      <c r="D136" s="101" t="str">
        <f t="shared" si="2"/>
        <v>OK</v>
      </c>
      <c r="E136" s="82"/>
      <c r="F136">
        <f>Lifetimes!EE1</f>
        <v>0</v>
      </c>
    </row>
    <row r="137" spans="1:6" ht="15.75" thickBot="1">
      <c r="A137" s="74" t="s">
        <v>273</v>
      </c>
      <c r="B137" s="97" t="s">
        <v>1506</v>
      </c>
      <c r="C137" s="97" t="s">
        <v>1772</v>
      </c>
      <c r="D137" s="101" t="str">
        <f t="shared" si="2"/>
        <v>OK</v>
      </c>
      <c r="E137" s="83"/>
      <c r="F137">
        <f>Lifetimes!EF1</f>
        <v>0</v>
      </c>
    </row>
    <row r="138" spans="1:6" ht="15.75" thickBot="1">
      <c r="A138" s="74" t="s">
        <v>1773</v>
      </c>
      <c r="B138" s="97" t="s">
        <v>1500</v>
      </c>
      <c r="C138" s="97" t="s">
        <v>1774</v>
      </c>
      <c r="D138" s="101" t="str">
        <f t="shared" si="2"/>
        <v>OK</v>
      </c>
      <c r="F138">
        <f>Lifetimes!EG1</f>
        <v>0</v>
      </c>
    </row>
    <row r="139" spans="1:6" ht="15.75" thickBot="1">
      <c r="A139" s="330" t="s">
        <v>311</v>
      </c>
      <c r="B139" s="97" t="s">
        <v>1500</v>
      </c>
      <c r="C139" s="97" t="s">
        <v>1775</v>
      </c>
      <c r="D139" s="101" t="str">
        <f t="shared" si="2"/>
        <v>OK</v>
      </c>
      <c r="F139">
        <f>Lifetimes!EH1</f>
        <v>0</v>
      </c>
    </row>
    <row r="140" spans="1:6" ht="15.75" thickBot="1">
      <c r="A140" s="330" t="s">
        <v>405</v>
      </c>
      <c r="B140" s="97" t="s">
        <v>1500</v>
      </c>
      <c r="C140" s="97" t="s">
        <v>1776</v>
      </c>
      <c r="D140" s="101" t="str">
        <f t="shared" si="2"/>
        <v>OK</v>
      </c>
      <c r="F140">
        <f>Lifetimes!EI1</f>
        <v>0</v>
      </c>
    </row>
    <row r="141" spans="1:6" ht="15.75" thickBot="1">
      <c r="A141" s="330" t="s">
        <v>388</v>
      </c>
      <c r="B141" s="97" t="s">
        <v>1506</v>
      </c>
      <c r="C141" s="97" t="s">
        <v>1777</v>
      </c>
      <c r="D141" s="101" t="str">
        <f t="shared" si="2"/>
        <v>OK</v>
      </c>
      <c r="F141">
        <f>Lifetimes!EJ1</f>
        <v>0</v>
      </c>
    </row>
    <row r="142" spans="1:6" ht="15.75" thickBot="1">
      <c r="A142" s="330" t="s">
        <v>406</v>
      </c>
      <c r="B142" s="97" t="s">
        <v>1500</v>
      </c>
      <c r="C142" s="97" t="s">
        <v>1778</v>
      </c>
      <c r="D142" s="101" t="str">
        <f t="shared" si="2"/>
        <v>OK</v>
      </c>
      <c r="F142">
        <f>Lifetimes!EK1</f>
        <v>0</v>
      </c>
    </row>
    <row r="143" spans="1:6" ht="15.75" thickBot="1">
      <c r="A143" s="74" t="s">
        <v>253</v>
      </c>
      <c r="B143" s="97" t="s">
        <v>1500</v>
      </c>
      <c r="C143" s="97" t="s">
        <v>1779</v>
      </c>
      <c r="D143" s="101" t="str">
        <f t="shared" si="2"/>
        <v>OK</v>
      </c>
      <c r="F143">
        <f>Lifetimes!EL1</f>
        <v>0</v>
      </c>
    </row>
    <row r="144" spans="1:6" ht="15.75" thickBot="1">
      <c r="A144" s="330" t="s">
        <v>444</v>
      </c>
      <c r="B144" s="97" t="s">
        <v>1506</v>
      </c>
      <c r="C144" s="97" t="s">
        <v>1780</v>
      </c>
      <c r="D144" s="101" t="str">
        <f t="shared" si="2"/>
        <v>OK</v>
      </c>
      <c r="F144">
        <f>Lifetimes!EM1</f>
        <v>0</v>
      </c>
    </row>
    <row r="145" spans="1:6" ht="15.75" thickBot="1">
      <c r="A145" s="74" t="s">
        <v>169</v>
      </c>
      <c r="B145" s="97" t="s">
        <v>1500</v>
      </c>
      <c r="C145" s="97" t="s">
        <v>1781</v>
      </c>
      <c r="D145" s="101" t="str">
        <f t="shared" si="2"/>
        <v>OK</v>
      </c>
      <c r="F145">
        <f>Lifetimes!EN1</f>
        <v>0</v>
      </c>
    </row>
    <row r="146" spans="1:6" ht="15.75" thickBot="1">
      <c r="A146" s="74" t="s">
        <v>463</v>
      </c>
      <c r="B146" s="97" t="s">
        <v>1500</v>
      </c>
      <c r="C146" s="97" t="s">
        <v>1782</v>
      </c>
      <c r="D146" s="101" t="str">
        <f t="shared" si="2"/>
        <v>OK</v>
      </c>
      <c r="F146">
        <f>Lifetimes!EO1</f>
        <v>0</v>
      </c>
    </row>
    <row r="147" spans="1:6" ht="15.75" thickBot="1">
      <c r="A147" s="74" t="s">
        <v>467</v>
      </c>
      <c r="B147" s="97" t="s">
        <v>1503</v>
      </c>
      <c r="C147" s="97" t="s">
        <v>1397</v>
      </c>
      <c r="D147" s="101" t="str">
        <f t="shared" si="2"/>
        <v>OK</v>
      </c>
      <c r="F147">
        <f>Lifetimes!EP1</f>
        <v>0</v>
      </c>
    </row>
    <row r="148" spans="1:6" ht="15.75" thickBot="1">
      <c r="A148" s="368" t="s">
        <v>465</v>
      </c>
      <c r="B148" s="97" t="s">
        <v>1503</v>
      </c>
      <c r="C148" s="504" t="s">
        <v>1398</v>
      </c>
      <c r="D148" s="101" t="str">
        <f t="shared" si="2"/>
        <v>OK</v>
      </c>
      <c r="F148">
        <f>Lifetimes!EQ1</f>
        <v>0</v>
      </c>
    </row>
    <row r="149" spans="1:6" ht="15.75" thickBot="1">
      <c r="A149" s="74" t="s">
        <v>464</v>
      </c>
      <c r="B149" s="97" t="s">
        <v>1500</v>
      </c>
      <c r="C149" s="97" t="s">
        <v>1783</v>
      </c>
      <c r="D149" s="101" t="str">
        <f t="shared" si="2"/>
        <v>OK</v>
      </c>
      <c r="F149">
        <f>Lifetimes!ER1</f>
        <v>0</v>
      </c>
    </row>
    <row r="150" spans="1:6" ht="15.75" thickBot="1">
      <c r="A150" s="74" t="s">
        <v>471</v>
      </c>
      <c r="B150" s="97" t="s">
        <v>1503</v>
      </c>
      <c r="C150" s="97" t="s">
        <v>1399</v>
      </c>
      <c r="D150" s="101" t="str">
        <f t="shared" si="2"/>
        <v>OK</v>
      </c>
      <c r="F150">
        <f>Lifetimes!ES1</f>
        <v>0</v>
      </c>
    </row>
    <row r="151" spans="1:6" ht="15.75" thickBot="1">
      <c r="A151" s="368" t="s">
        <v>469</v>
      </c>
      <c r="B151" s="97" t="s">
        <v>1503</v>
      </c>
      <c r="C151" s="97" t="s">
        <v>1400</v>
      </c>
      <c r="D151" s="101" t="str">
        <f t="shared" si="2"/>
        <v>OK</v>
      </c>
      <c r="F151">
        <f>Lifetimes!ET1</f>
        <v>0</v>
      </c>
    </row>
    <row r="152" spans="1:6" ht="15.75" thickBot="1">
      <c r="A152" s="503" t="s">
        <v>365</v>
      </c>
      <c r="B152" s="97" t="s">
        <v>1500</v>
      </c>
      <c r="C152" s="97" t="s">
        <v>1784</v>
      </c>
      <c r="D152" s="101" t="str">
        <f t="shared" si="2"/>
        <v>OK</v>
      </c>
      <c r="F152">
        <f>Lifetimes!EU1</f>
        <v>0</v>
      </c>
    </row>
    <row r="153" spans="1:6" ht="15.75" thickBot="1">
      <c r="A153" s="74" t="s">
        <v>255</v>
      </c>
      <c r="B153" s="97" t="s">
        <v>1503</v>
      </c>
      <c r="C153" s="97" t="s">
        <v>1352</v>
      </c>
      <c r="D153" s="101" t="str">
        <f t="shared" si="2"/>
        <v>OK</v>
      </c>
      <c r="F153">
        <f>Lifetimes!EV1</f>
        <v>0</v>
      </c>
    </row>
    <row r="154" spans="1:6" ht="15.75" thickBot="1">
      <c r="A154" s="74" t="s">
        <v>366</v>
      </c>
      <c r="B154" s="97" t="s">
        <v>1503</v>
      </c>
      <c r="C154" s="97" t="s">
        <v>1353</v>
      </c>
      <c r="D154" s="101" t="str">
        <f t="shared" si="2"/>
        <v>OK</v>
      </c>
      <c r="F154">
        <f>Lifetimes!EW1</f>
        <v>0</v>
      </c>
    </row>
    <row r="155" spans="1:6" ht="15.75" thickBot="1">
      <c r="A155" s="503" t="s">
        <v>433</v>
      </c>
      <c r="B155" s="97" t="s">
        <v>1500</v>
      </c>
      <c r="C155" s="97" t="s">
        <v>1785</v>
      </c>
      <c r="D155" s="101" t="str">
        <f t="shared" si="2"/>
        <v>OK</v>
      </c>
      <c r="F155">
        <f>Lifetimes!EX1</f>
        <v>0</v>
      </c>
    </row>
    <row r="156" spans="1:6" ht="15.75" thickBot="1">
      <c r="A156" s="74" t="s">
        <v>360</v>
      </c>
      <c r="B156" s="97" t="s">
        <v>1503</v>
      </c>
      <c r="C156" s="97" t="s">
        <v>1363</v>
      </c>
      <c r="D156" s="101" t="str">
        <f t="shared" si="2"/>
        <v>OK</v>
      </c>
      <c r="F156">
        <f>Lifetimes!EY1</f>
        <v>0</v>
      </c>
    </row>
    <row r="157" spans="1:6" ht="15.75" thickBot="1">
      <c r="A157" s="74" t="s">
        <v>370</v>
      </c>
      <c r="B157" s="97" t="s">
        <v>1503</v>
      </c>
      <c r="C157" s="97" t="s">
        <v>1364</v>
      </c>
      <c r="D157" s="101" t="str">
        <f t="shared" si="2"/>
        <v>OK</v>
      </c>
      <c r="F157">
        <f>Lifetimes!EZ1</f>
        <v>0</v>
      </c>
    </row>
    <row r="158" spans="1:6" ht="15.75" thickBot="1">
      <c r="A158" s="74" t="s">
        <v>269</v>
      </c>
      <c r="B158" s="97" t="s">
        <v>1500</v>
      </c>
      <c r="C158" s="97" t="s">
        <v>1786</v>
      </c>
      <c r="D158" s="101" t="str">
        <f t="shared" si="2"/>
        <v>OK</v>
      </c>
      <c r="F158">
        <f>Lifetimes!FA1</f>
        <v>0</v>
      </c>
    </row>
    <row r="159" spans="1:6" ht="15.75" thickBot="1">
      <c r="A159" s="330" t="s">
        <v>407</v>
      </c>
      <c r="B159" s="97" t="s">
        <v>1500</v>
      </c>
      <c r="C159" s="97" t="s">
        <v>1787</v>
      </c>
      <c r="D159" s="101" t="str">
        <f t="shared" si="2"/>
        <v>OK</v>
      </c>
      <c r="F159">
        <f>Lifetimes!FB1</f>
        <v>0</v>
      </c>
    </row>
    <row r="160" spans="1:6" ht="15.75" thickBot="1">
      <c r="A160" s="330" t="s">
        <v>409</v>
      </c>
      <c r="B160" s="97" t="s">
        <v>1500</v>
      </c>
      <c r="C160" s="97" t="s">
        <v>1788</v>
      </c>
      <c r="D160" s="101" t="str">
        <f t="shared" si="2"/>
        <v>OK</v>
      </c>
      <c r="F160">
        <f>Lifetimes!FC1</f>
        <v>0</v>
      </c>
    </row>
    <row r="161" spans="1:6" ht="15.75" thickBot="1">
      <c r="A161" s="74" t="s">
        <v>460</v>
      </c>
      <c r="B161" s="97" t="s">
        <v>1500</v>
      </c>
      <c r="C161" s="97" t="s">
        <v>1789</v>
      </c>
      <c r="D161" s="101" t="str">
        <f t="shared" si="2"/>
        <v>OK</v>
      </c>
      <c r="F161">
        <f>Lifetimes!FD1</f>
        <v>0</v>
      </c>
    </row>
    <row r="162" spans="1:6" ht="15.75" thickBot="1">
      <c r="A162" s="330" t="s">
        <v>599</v>
      </c>
      <c r="B162" s="97" t="s">
        <v>1500</v>
      </c>
      <c r="C162" s="97" t="s">
        <v>1790</v>
      </c>
      <c r="D162" s="101" t="str">
        <f t="shared" si="2"/>
        <v>OK</v>
      </c>
      <c r="F162">
        <f>Lifetimes!FE1</f>
        <v>0</v>
      </c>
    </row>
    <row r="163" spans="1:6" ht="15.75" thickBot="1">
      <c r="A163" s="74" t="s">
        <v>604</v>
      </c>
      <c r="B163" s="97" t="s">
        <v>1500</v>
      </c>
      <c r="C163" s="97" t="s">
        <v>1791</v>
      </c>
      <c r="D163" s="101" t="str">
        <f t="shared" si="2"/>
        <v>OK</v>
      </c>
      <c r="F163">
        <f>Lifetimes!FF1</f>
        <v>0</v>
      </c>
    </row>
    <row r="164" spans="1:6" ht="15.75" thickBot="1">
      <c r="A164" s="330" t="s">
        <v>609</v>
      </c>
      <c r="B164" s="97" t="s">
        <v>1503</v>
      </c>
      <c r="C164" s="97" t="s">
        <v>1401</v>
      </c>
      <c r="D164" s="101" t="str">
        <f t="shared" si="2"/>
        <v>OK</v>
      </c>
      <c r="F164">
        <f>Lifetimes!FG1</f>
        <v>0</v>
      </c>
    </row>
    <row r="165" spans="1:6" ht="15.75" thickBot="1">
      <c r="A165" s="330" t="s">
        <v>608</v>
      </c>
      <c r="B165" s="97" t="s">
        <v>1503</v>
      </c>
      <c r="C165" s="97" t="s">
        <v>1402</v>
      </c>
      <c r="D165" s="101" t="str">
        <f t="shared" si="2"/>
        <v>OK</v>
      </c>
      <c r="F165">
        <f>Lifetimes!FH1</f>
        <v>0</v>
      </c>
    </row>
    <row r="166" spans="1:6" ht="15.75" thickBot="1">
      <c r="A166" s="74" t="s">
        <v>606</v>
      </c>
      <c r="B166" s="97" t="s">
        <v>1500</v>
      </c>
      <c r="C166" s="97" t="s">
        <v>1792</v>
      </c>
      <c r="D166" s="101" t="str">
        <f t="shared" si="2"/>
        <v>OK</v>
      </c>
      <c r="F166">
        <f>Lifetimes!FI1</f>
        <v>0</v>
      </c>
    </row>
    <row r="167" spans="1:6" ht="15.75" thickBot="1">
      <c r="A167" s="330" t="s">
        <v>597</v>
      </c>
      <c r="B167" s="97" t="s">
        <v>1500</v>
      </c>
      <c r="C167" s="97" t="s">
        <v>1793</v>
      </c>
      <c r="D167" s="101" t="str">
        <f t="shared" si="2"/>
        <v>OK</v>
      </c>
      <c r="F167">
        <f>Lifetimes!FJ1</f>
        <v>0</v>
      </c>
    </row>
    <row r="168" spans="1:6" ht="15.75" thickBot="1">
      <c r="A168" s="330" t="s">
        <v>602</v>
      </c>
      <c r="B168" s="97" t="s">
        <v>1503</v>
      </c>
      <c r="C168" s="97" t="s">
        <v>1403</v>
      </c>
      <c r="D168" s="101" t="str">
        <f t="shared" si="2"/>
        <v>OK</v>
      </c>
      <c r="F168">
        <f>Lifetimes!FK1</f>
        <v>0</v>
      </c>
    </row>
    <row r="169" spans="1:6" ht="15.75" thickBot="1">
      <c r="A169" s="330" t="s">
        <v>601</v>
      </c>
      <c r="B169" s="97" t="s">
        <v>1503</v>
      </c>
      <c r="C169" s="97" t="s">
        <v>1404</v>
      </c>
      <c r="D169" s="101" t="str">
        <f t="shared" si="2"/>
        <v>OK</v>
      </c>
      <c r="F169">
        <f>Lifetimes!FL1</f>
        <v>0</v>
      </c>
    </row>
    <row r="170" spans="1:6" ht="15.75" thickBot="1">
      <c r="A170" s="74" t="s">
        <v>454</v>
      </c>
      <c r="B170" s="97" t="s">
        <v>1500</v>
      </c>
      <c r="C170" s="97" t="s">
        <v>1794</v>
      </c>
      <c r="D170" s="101" t="str">
        <f t="shared" si="2"/>
        <v>OK</v>
      </c>
      <c r="F170">
        <f>Lifetimes!FM1</f>
        <v>0</v>
      </c>
    </row>
    <row r="171" spans="1:6" ht="15.75" thickBot="1">
      <c r="A171" s="330" t="s">
        <v>526</v>
      </c>
      <c r="B171" s="97" t="s">
        <v>1500</v>
      </c>
      <c r="C171" s="97" t="s">
        <v>1795</v>
      </c>
      <c r="D171" s="101" t="str">
        <f t="shared" si="2"/>
        <v>OK</v>
      </c>
      <c r="F171">
        <f>Lifetimes!FN1</f>
        <v>0</v>
      </c>
    </row>
    <row r="172" spans="1:6" ht="15.75" thickBot="1">
      <c r="A172" s="330" t="s">
        <v>532</v>
      </c>
      <c r="B172" s="97" t="s">
        <v>1503</v>
      </c>
      <c r="C172" s="97" t="s">
        <v>1405</v>
      </c>
      <c r="D172" s="101" t="str">
        <f t="shared" si="2"/>
        <v>OK</v>
      </c>
      <c r="F172">
        <f>Lifetimes!FO1</f>
        <v>0</v>
      </c>
    </row>
    <row r="173" spans="1:6" ht="15.75" thickBot="1">
      <c r="A173" s="330" t="s">
        <v>531</v>
      </c>
      <c r="B173" s="97" t="s">
        <v>1503</v>
      </c>
      <c r="C173" s="97" t="s">
        <v>1406</v>
      </c>
      <c r="D173" s="101" t="str">
        <f t="shared" si="2"/>
        <v>OK</v>
      </c>
      <c r="F173">
        <f>Lifetimes!FP1</f>
        <v>0</v>
      </c>
    </row>
    <row r="174" spans="1:6" ht="15.75" thickBot="1">
      <c r="A174" s="330" t="s">
        <v>524</v>
      </c>
      <c r="B174" s="97" t="s">
        <v>1500</v>
      </c>
      <c r="C174" s="97" t="s">
        <v>1796</v>
      </c>
      <c r="D174" s="101" t="str">
        <f t="shared" si="2"/>
        <v>OK</v>
      </c>
      <c r="F174">
        <f>Lifetimes!FQ1</f>
        <v>0</v>
      </c>
    </row>
    <row r="175" spans="1:6" ht="15.75" thickBot="1">
      <c r="A175" s="330" t="s">
        <v>529</v>
      </c>
      <c r="B175" s="97" t="s">
        <v>1503</v>
      </c>
      <c r="C175" s="97" t="s">
        <v>1407</v>
      </c>
      <c r="D175" s="101" t="str">
        <f t="shared" si="2"/>
        <v>OK</v>
      </c>
      <c r="F175">
        <f>Lifetimes!FR1</f>
        <v>0</v>
      </c>
    </row>
    <row r="176" spans="1:6" ht="15.75" thickBot="1">
      <c r="A176" s="330" t="s">
        <v>528</v>
      </c>
      <c r="B176" s="97" t="s">
        <v>1503</v>
      </c>
      <c r="C176" s="97" t="s">
        <v>1408</v>
      </c>
      <c r="D176" s="101" t="str">
        <f t="shared" si="2"/>
        <v>OK</v>
      </c>
      <c r="F176">
        <f>Lifetimes!FS1</f>
        <v>0</v>
      </c>
    </row>
    <row r="177" spans="1:6" ht="15.75" thickBot="1">
      <c r="A177" s="74" t="s">
        <v>1797</v>
      </c>
      <c r="B177" s="97" t="s">
        <v>1500</v>
      </c>
      <c r="C177" s="97" t="s">
        <v>1798</v>
      </c>
      <c r="D177" s="101" t="str">
        <f t="shared" si="2"/>
        <v>OK</v>
      </c>
      <c r="F177">
        <f>Lifetimes!FT1</f>
        <v>0</v>
      </c>
    </row>
    <row r="178" spans="1:6" ht="15.75" thickBot="1">
      <c r="A178" s="74" t="s">
        <v>1799</v>
      </c>
      <c r="B178" s="97" t="s">
        <v>1500</v>
      </c>
      <c r="C178" s="97" t="s">
        <v>1800</v>
      </c>
      <c r="D178" s="101" t="str">
        <f t="shared" si="2"/>
        <v>OK</v>
      </c>
      <c r="F178">
        <f>Lifetimes!FU1</f>
        <v>0</v>
      </c>
    </row>
    <row r="179" spans="1:6" ht="15.75" thickBot="1">
      <c r="A179" s="74" t="s">
        <v>1801</v>
      </c>
      <c r="B179" s="97" t="s">
        <v>1500</v>
      </c>
      <c r="C179" s="97" t="s">
        <v>1802</v>
      </c>
      <c r="D179" s="101" t="str">
        <f t="shared" si="2"/>
        <v>OK</v>
      </c>
      <c r="F179">
        <f>Lifetimes!FV1</f>
        <v>0</v>
      </c>
    </row>
    <row r="180" spans="1:6" ht="15.75" thickBot="1">
      <c r="A180" s="74" t="s">
        <v>1803</v>
      </c>
      <c r="B180" s="97" t="s">
        <v>1500</v>
      </c>
      <c r="C180" s="97" t="s">
        <v>1804</v>
      </c>
      <c r="D180" s="101" t="str">
        <f t="shared" si="2"/>
        <v>OK</v>
      </c>
      <c r="F180">
        <f>Lifetimes!FW1</f>
        <v>0</v>
      </c>
    </row>
    <row r="181" spans="1:6" ht="15.75" thickBot="1">
      <c r="A181" s="74" t="s">
        <v>459</v>
      </c>
      <c r="B181" s="97" t="s">
        <v>1500</v>
      </c>
      <c r="C181" s="97" t="s">
        <v>1805</v>
      </c>
      <c r="D181" s="101" t="str">
        <f t="shared" si="2"/>
        <v>OK</v>
      </c>
      <c r="F181">
        <f>Lifetimes!FX1</f>
        <v>0</v>
      </c>
    </row>
    <row r="182" spans="1:6" ht="15.75" thickBot="1">
      <c r="A182" s="330" t="s">
        <v>587</v>
      </c>
      <c r="B182" s="97" t="s">
        <v>1500</v>
      </c>
      <c r="C182" s="97" t="s">
        <v>1806</v>
      </c>
      <c r="D182" s="101" t="str">
        <f t="shared" si="2"/>
        <v>OK</v>
      </c>
      <c r="F182">
        <f>Lifetimes!FY1</f>
        <v>0</v>
      </c>
    </row>
    <row r="183" spans="1:6" ht="15.75" thickBot="1">
      <c r="A183" s="330" t="s">
        <v>594</v>
      </c>
      <c r="B183" s="97" t="s">
        <v>1503</v>
      </c>
      <c r="C183" s="97" t="s">
        <v>1409</v>
      </c>
      <c r="D183" s="101" t="str">
        <f t="shared" si="2"/>
        <v>OK</v>
      </c>
      <c r="F183">
        <f>Lifetimes!FZ1</f>
        <v>0</v>
      </c>
    </row>
    <row r="184" spans="1:6" ht="15.75" thickBot="1">
      <c r="A184" s="330" t="s">
        <v>593</v>
      </c>
      <c r="B184" s="97" t="s">
        <v>1503</v>
      </c>
      <c r="C184" s="97" t="s">
        <v>1410</v>
      </c>
      <c r="D184" s="101" t="str">
        <f t="shared" si="2"/>
        <v>OK</v>
      </c>
      <c r="F184">
        <f>Lifetimes!GA1</f>
        <v>0</v>
      </c>
    </row>
    <row r="185" spans="1:6" ht="15.75" thickBot="1">
      <c r="A185" s="330" t="s">
        <v>585</v>
      </c>
      <c r="B185" s="97" t="s">
        <v>1500</v>
      </c>
      <c r="C185" s="97" t="s">
        <v>1807</v>
      </c>
      <c r="D185" s="101" t="str">
        <f t="shared" si="2"/>
        <v>OK</v>
      </c>
      <c r="F185">
        <f>Lifetimes!GB1</f>
        <v>0</v>
      </c>
    </row>
    <row r="186" spans="1:6" ht="15.75" thickBot="1">
      <c r="A186" s="330" t="s">
        <v>591</v>
      </c>
      <c r="B186" s="97" t="s">
        <v>1503</v>
      </c>
      <c r="C186" s="97" t="s">
        <v>1411</v>
      </c>
      <c r="D186" s="101" t="str">
        <f t="shared" si="2"/>
        <v>OK</v>
      </c>
      <c r="F186">
        <f>Lifetimes!GC1</f>
        <v>0</v>
      </c>
    </row>
    <row r="187" spans="1:6" ht="15.75" thickBot="1">
      <c r="A187" s="330" t="s">
        <v>589</v>
      </c>
      <c r="B187" s="97" t="s">
        <v>1503</v>
      </c>
      <c r="C187" s="97" t="s">
        <v>1412</v>
      </c>
      <c r="D187" s="101" t="str">
        <f t="shared" si="2"/>
        <v>OK</v>
      </c>
      <c r="F187">
        <f>Lifetimes!GD1</f>
        <v>0</v>
      </c>
    </row>
    <row r="188" spans="1:6" ht="15.75" thickBot="1">
      <c r="A188" s="74" t="s">
        <v>453</v>
      </c>
      <c r="B188" s="97" t="s">
        <v>1500</v>
      </c>
      <c r="C188" s="97" t="s">
        <v>1808</v>
      </c>
      <c r="D188" s="101" t="str">
        <f t="shared" si="2"/>
        <v>OK</v>
      </c>
      <c r="F188">
        <f>Lifetimes!GE1</f>
        <v>0</v>
      </c>
    </row>
    <row r="189" spans="1:6" ht="15.75" thickBot="1">
      <c r="A189" s="330" t="s">
        <v>512</v>
      </c>
      <c r="B189" s="97" t="s">
        <v>1500</v>
      </c>
      <c r="C189" s="97" t="s">
        <v>1809</v>
      </c>
      <c r="D189" s="101" t="str">
        <f t="shared" si="2"/>
        <v>OK</v>
      </c>
      <c r="F189">
        <f>Lifetimes!GF1</f>
        <v>0</v>
      </c>
    </row>
    <row r="190" spans="1:6" ht="15.75" thickBot="1">
      <c r="A190" s="330" t="s">
        <v>518</v>
      </c>
      <c r="B190" s="97" t="s">
        <v>1503</v>
      </c>
      <c r="C190" s="97" t="s">
        <v>1413</v>
      </c>
      <c r="D190" s="101" t="str">
        <f t="shared" si="2"/>
        <v>OK</v>
      </c>
      <c r="F190">
        <f>Lifetimes!GG1</f>
        <v>0</v>
      </c>
    </row>
    <row r="191" spans="1:6" ht="15.75" thickBot="1">
      <c r="A191" s="330" t="s">
        <v>517</v>
      </c>
      <c r="B191" s="97" t="s">
        <v>1503</v>
      </c>
      <c r="C191" s="97" t="s">
        <v>1414</v>
      </c>
      <c r="D191" s="101" t="str">
        <f t="shared" si="2"/>
        <v>OK</v>
      </c>
      <c r="F191">
        <f>Lifetimes!GH1</f>
        <v>0</v>
      </c>
    </row>
    <row r="192" spans="1:6" ht="15.75" thickBot="1">
      <c r="A192" s="330" t="s">
        <v>510</v>
      </c>
      <c r="B192" s="97" t="s">
        <v>1500</v>
      </c>
      <c r="C192" s="97" t="s">
        <v>1810</v>
      </c>
      <c r="D192" s="101" t="str">
        <f t="shared" si="2"/>
        <v>OK</v>
      </c>
      <c r="F192">
        <f>Lifetimes!GI1</f>
        <v>0</v>
      </c>
    </row>
    <row r="193" spans="1:6" ht="15.75" thickBot="1">
      <c r="A193" s="330" t="s">
        <v>515</v>
      </c>
      <c r="B193" s="97" t="s">
        <v>1503</v>
      </c>
      <c r="C193" s="97" t="s">
        <v>1415</v>
      </c>
      <c r="D193" s="101" t="str">
        <f t="shared" si="2"/>
        <v>OK</v>
      </c>
      <c r="F193">
        <f>Lifetimes!GJ1</f>
        <v>0</v>
      </c>
    </row>
    <row r="194" spans="1:6" ht="15.75" thickBot="1">
      <c r="A194" s="330" t="s">
        <v>514</v>
      </c>
      <c r="B194" s="97" t="s">
        <v>1503</v>
      </c>
      <c r="C194" s="68" t="s">
        <v>1416</v>
      </c>
      <c r="D194" s="101" t="str">
        <f t="shared" si="2"/>
        <v>OK</v>
      </c>
      <c r="F194">
        <f>Lifetimes!GK1</f>
        <v>0</v>
      </c>
    </row>
    <row r="195" spans="1:6" ht="15.75" thickBot="1">
      <c r="A195" s="915" t="s">
        <v>151</v>
      </c>
      <c r="B195" s="627" t="s">
        <v>1500</v>
      </c>
      <c r="C195" s="233" t="s">
        <v>1811</v>
      </c>
      <c r="D195" s="101" t="str">
        <f t="shared" ref="D195:D196" si="3">IF(B195=IF(COUNTIF($F$3:$F$150,C195),"Stock","Flow/Sink"),"OK",IF(B195="Stock","Compartment missing in Lifetimes, available as pair?",IF(IF(COUNTIF($F$3:$F$150,C195),"Stock","Flow/Sink")="Stock","Change Type of compartment to Stock","OK")))</f>
        <v>OK</v>
      </c>
      <c r="F195">
        <f>Lifetimes!GL1</f>
        <v>0</v>
      </c>
    </row>
    <row r="196" spans="1:6">
      <c r="A196" s="916" t="s">
        <v>428</v>
      </c>
      <c r="B196" s="627" t="s">
        <v>1500</v>
      </c>
      <c r="C196" s="627" t="s">
        <v>1812</v>
      </c>
      <c r="D196" s="101" t="str">
        <f t="shared" si="3"/>
        <v>OK</v>
      </c>
      <c r="F196">
        <f>Lifetimes!GM1</f>
        <v>0</v>
      </c>
    </row>
    <row r="197" spans="1:6">
      <c r="E197"/>
      <c r="F197"/>
    </row>
    <row r="198" spans="1:6">
      <c r="E198"/>
      <c r="F198"/>
    </row>
    <row r="199" spans="1:6">
      <c r="E199"/>
      <c r="F199"/>
    </row>
    <row r="200" spans="1:6">
      <c r="E200"/>
      <c r="F200"/>
    </row>
    <row r="201" spans="1:6">
      <c r="E201"/>
      <c r="F201"/>
    </row>
    <row r="202" spans="1:6">
      <c r="E202"/>
      <c r="F202"/>
    </row>
    <row r="203" spans="1:6">
      <c r="E203"/>
      <c r="F203"/>
    </row>
    <row r="204" spans="1:6">
      <c r="E204"/>
      <c r="F204"/>
    </row>
    <row r="205" spans="1:6">
      <c r="E205"/>
      <c r="F205"/>
    </row>
    <row r="206" spans="1:6">
      <c r="E206"/>
      <c r="F206"/>
    </row>
    <row r="207" spans="1:6">
      <c r="E207"/>
      <c r="F207"/>
    </row>
    <row r="208" spans="1:6">
      <c r="E208"/>
      <c r="F208"/>
    </row>
    <row r="209" spans="5:6">
      <c r="E209"/>
      <c r="F209"/>
    </row>
  </sheetData>
  <autoFilter ref="A2:C197" xr:uid="{5B2DCA69-2DC7-473A-9435-80DA0225099E}">
    <sortState xmlns:xlrd2="http://schemas.microsoft.com/office/spreadsheetml/2017/richdata2" ref="A3:C197">
      <sortCondition ref="A2:A197"/>
    </sortState>
  </autoFilter>
  <sortState xmlns:xlrd2="http://schemas.microsoft.com/office/spreadsheetml/2017/richdata2" ref="B9:C64">
    <sortCondition ref="B9:B64"/>
  </sortState>
  <conditionalFormatting sqref="D3:E3 D4:D209">
    <cfRule type="containsText" dxfId="13" priority="3" operator="containsText" text="OK">
      <formula>NOT(ISERROR(SEARCH("OK",D3)))</formula>
    </cfRule>
  </conditionalFormatting>
  <conditionalFormatting sqref="E4:E137">
    <cfRule type="containsText" dxfId="12" priority="1" operator="containsText" text="OK">
      <formula>NOT(ISERROR(SEARCH("OK",E4)))</formula>
    </cfRule>
  </conditionalFormatting>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28055-9BB1-4954-8166-2676409C811E}">
  <sheetPr>
    <tabColor rgb="FF92D050"/>
  </sheetPr>
  <dimension ref="A1:AA271"/>
  <sheetViews>
    <sheetView zoomScale="90" zoomScaleNormal="90" workbookViewId="0">
      <pane ySplit="2" topLeftCell="A3" activePane="bottomLeft" state="frozen"/>
      <selection pane="bottomLeft" activeCell="S24" sqref="S24"/>
    </sheetView>
  </sheetViews>
  <sheetFormatPr defaultRowHeight="15"/>
  <cols>
    <col min="1" max="1" width="9.140625" style="6" bestFit="1" customWidth="1"/>
    <col min="2" max="3" width="9" style="6" bestFit="1" customWidth="1"/>
    <col min="4" max="4" width="5.7109375" customWidth="1"/>
    <col min="5" max="5" width="35.28515625" bestFit="1" customWidth="1"/>
    <col min="6" max="6" width="16.85546875" bestFit="1" customWidth="1"/>
    <col min="7" max="7" width="35.28515625" bestFit="1" customWidth="1"/>
    <col min="8" max="8" width="16.140625" bestFit="1" customWidth="1"/>
    <col min="9" max="9" width="8.7109375" customWidth="1"/>
    <col min="10" max="10" width="36.42578125" style="16" customWidth="1"/>
    <col min="11" max="11" width="22.28515625" style="4" customWidth="1"/>
    <col min="12" max="12" width="32.42578125" customWidth="1"/>
    <col min="13" max="13" width="18.42578125" customWidth="1"/>
    <col min="14" max="14" width="9" customWidth="1"/>
    <col min="15" max="15" width="55.7109375" bestFit="1" customWidth="1"/>
    <col min="16" max="16" width="30.85546875" customWidth="1"/>
    <col min="17" max="17" width="29.28515625" customWidth="1"/>
    <col min="18" max="18" width="20.7109375" customWidth="1"/>
    <col min="27" max="27" width="80.7109375" style="16" customWidth="1"/>
  </cols>
  <sheetData>
    <row r="1" spans="1:27" ht="30" customHeight="1" thickBot="1">
      <c r="A1" s="1099" t="s">
        <v>7</v>
      </c>
      <c r="B1" s="1100"/>
      <c r="C1" s="1101"/>
      <c r="E1" s="1099" t="s">
        <v>1813</v>
      </c>
      <c r="F1" s="1100"/>
      <c r="G1" s="1100"/>
      <c r="H1" s="1101"/>
      <c r="J1" s="1102" t="s">
        <v>1814</v>
      </c>
      <c r="K1" s="1103"/>
      <c r="L1" s="1103"/>
      <c r="M1" s="1104"/>
      <c r="N1" s="93"/>
      <c r="O1" s="93"/>
      <c r="P1" s="93"/>
    </row>
    <row r="2" spans="1:27" s="6" customFormat="1" ht="61.9" customHeight="1" thickBot="1">
      <c r="A2" s="48" t="s">
        <v>9</v>
      </c>
      <c r="B2" s="48" t="s">
        <v>12</v>
      </c>
      <c r="C2" s="84" t="s">
        <v>1233</v>
      </c>
      <c r="E2" s="48" t="s">
        <v>9</v>
      </c>
      <c r="F2" s="48" t="s">
        <v>1815</v>
      </c>
      <c r="G2" s="48" t="s">
        <v>12</v>
      </c>
      <c r="H2" s="91" t="s">
        <v>1816</v>
      </c>
      <c r="J2" s="86" t="s">
        <v>1817</v>
      </c>
      <c r="K2" s="94" t="s">
        <v>1818</v>
      </c>
      <c r="L2" s="86" t="s">
        <v>1819</v>
      </c>
      <c r="M2" s="94" t="s">
        <v>1820</v>
      </c>
      <c r="N2" s="86"/>
      <c r="O2" s="86" t="s">
        <v>1421</v>
      </c>
      <c r="P2" s="86" t="s">
        <v>1821</v>
      </c>
      <c r="Q2" s="628" t="s">
        <v>1822</v>
      </c>
      <c r="R2" s="628" t="s">
        <v>1823</v>
      </c>
      <c r="AA2" s="464" t="s">
        <v>1824</v>
      </c>
    </row>
    <row r="3" spans="1:27" ht="15.75" thickBot="1">
      <c r="A3" s="79" t="str" cm="1">
        <f t="array" ref="A3:A19">_xlfn.UNIQUE(Input_EU!C:C)</f>
        <v>Material</v>
      </c>
      <c r="B3" s="79" t="str" cm="1">
        <f t="array" ref="B3:B19">_xlfn.UNIQUE(Input_NL!C:C)</f>
        <v>Material</v>
      </c>
      <c r="C3" s="80" t="str" cm="1">
        <f t="array" ref="C3:C20">_xlfn.UNIQUE('Transfer coefficients'!D:D)</f>
        <v>Material</v>
      </c>
      <c r="E3" s="87" t="str" cm="1">
        <f t="array" ref="E3:E14">_xlfn.UNIQUE(Input_EU!A:A)</f>
        <v>Compartment</v>
      </c>
      <c r="F3" s="90"/>
      <c r="G3" s="87" t="str" cm="1">
        <f t="array" ref="G3:G15">_xlfn.UNIQUE(Input_NL!A:A)</f>
        <v>Compartment</v>
      </c>
      <c r="H3" s="92"/>
      <c r="J3" s="310" t="str" cm="1">
        <f t="array" ref="J3:J225">_xlfn.UNIQUE('Transfer coefficients'!A:A)</f>
        <v>From</v>
      </c>
      <c r="K3" s="308"/>
      <c r="L3" s="310" t="str" cm="1">
        <f t="array" ref="L3:L234">_xlfn.UNIQUE('Transfer coefficients'!B:B)</f>
        <v>To</v>
      </c>
      <c r="M3" s="85"/>
      <c r="N3" s="6"/>
      <c r="O3" s="6"/>
      <c r="P3" s="6"/>
      <c r="AA3" s="465" t="s">
        <v>1825</v>
      </c>
    </row>
    <row r="4" spans="1:27">
      <c r="A4" s="67" t="str">
        <v>PS</v>
      </c>
      <c r="B4" s="67" t="str">
        <v>LDPE</v>
      </c>
      <c r="C4" s="81" t="str">
        <v>PVC</v>
      </c>
      <c r="E4" s="88" t="str">
        <v>Agriculture</v>
      </c>
      <c r="F4" s="101" t="str">
        <f t="shared" ref="F4:F8" si="0">IF(COUNTIF(G:G,E4), "OK", "Missing")</f>
        <v>OK</v>
      </c>
      <c r="G4" s="88" t="str">
        <v>Agriculture</v>
      </c>
      <c r="H4" s="101" t="str">
        <f>IF(COUNTIF(E:E,G4), "OK", "Missing")</f>
        <v>OK</v>
      </c>
      <c r="J4" s="307" t="str">
        <v>Agriculture</v>
      </c>
      <c r="K4" s="311" t="str">
        <f>IF(ISBLANK(J4),"",IF(COUNTIF(L:L,J4),IF(_xlfn.XLOOKUP(J4,'Compartments_Kawecki&amp;Nowack19'!A:A,'Compartments_Kawecki&amp;Nowack19'!B:B,_xlfn.XLOOKUP(J4,Compartments_Added!A:A,Compartments_Added!B:B))="Stock","OK stock","OK flow"),IF(COUNTIF($G$4:$G$18,J4),IF(COUNTIF($E$4:$E$18,J4),"OK input","Missing"),"Missing")))</f>
        <v>OK input</v>
      </c>
      <c r="L4" s="307" t="str">
        <v>Agricultural greenhouse films (discarded)</v>
      </c>
      <c r="M4" s="311" t="str">
        <f>IF(COUNTIF(J:J,L4),IF(_xlfn.XLOOKUP(L4,'Compartments_Kawecki&amp;Nowack19'!A:A,'Compartments_Kawecki&amp;Nowack19'!B:B,_xlfn.XLOOKUP(L4,Compartments_Added!A:A,Compartments_Added!B:B))="Stock","OK stock","OK flow"),IF(_xlfn.XLOOKUP(L4,'Compartments_Kawecki&amp;Nowack19'!A:A,'Compartments_Kawecki&amp;Nowack19'!B:B,_xlfn.XLOOKUP(L4,Compartments_Added!A:A,Compartments_Added!B:B))="Sink","OK, Sink","Missing"))</f>
        <v>OK stock</v>
      </c>
      <c r="N4" s="6"/>
      <c r="O4" s="6" t="str">
        <f>Lifetimes_pairs!A2</f>
        <v>Agricultural packaging bottles</v>
      </c>
      <c r="P4" s="6" t="str">
        <f>Lifetimes_pairs!B2</f>
        <v>AgriculturalPackagingBottles</v>
      </c>
      <c r="Q4" t="str">
        <f>Lifetimes!B1</f>
        <v>AgriculturalFilmsIU</v>
      </c>
      <c r="R4" t="str">
        <f>IF(COUNTIF(P:P,Q4), "OK", "Missing")</f>
        <v>OK</v>
      </c>
      <c r="AA4" s="465" t="s">
        <v>1826</v>
      </c>
    </row>
    <row r="5" spans="1:27">
      <c r="A5" s="37" t="str">
        <v>PP</v>
      </c>
      <c r="B5" s="37" t="str">
        <v>PVC</v>
      </c>
      <c r="C5" s="82" t="str">
        <v>PS</v>
      </c>
      <c r="E5" s="69" t="str">
        <v>Clothing (product sector)</v>
      </c>
      <c r="F5" s="69" t="str">
        <f t="shared" si="0"/>
        <v>OK</v>
      </c>
      <c r="G5" s="69" t="str">
        <v>Clothing (product sector)</v>
      </c>
      <c r="H5" s="69" t="str">
        <f t="shared" ref="H5:H15" si="1">IF(COUNTIF(E:E,G5), "OK", "Missing")</f>
        <v>OK</v>
      </c>
      <c r="J5" s="306" t="str">
        <v>Packaging</v>
      </c>
      <c r="K5" s="311" t="str">
        <f>IF(ISBLANK(J5),"",IF(COUNTIF(L:L,J5),IF(_xlfn.XLOOKUP(J5,'Compartments_Kawecki&amp;Nowack19'!A:A,'Compartments_Kawecki&amp;Nowack19'!B:B,_xlfn.XLOOKUP(J5,Compartments_Added!A:A,Compartments_Added!B:B))="Stock","OK stock","OK flow"),IF(COUNTIF($G$4:$G$18,J5),IF(COUNTIF($E$4:$E$18,J5),"OK input","Missing"),"Missing")))</f>
        <v>OK input</v>
      </c>
      <c r="L5" s="306" t="str">
        <v>Agricultural greenhouse films (in use)</v>
      </c>
      <c r="M5" s="311" t="str">
        <f>IF(COUNTIF(J:J,L5),IF(_xlfn.XLOOKUP(L5,'Compartments_Kawecki&amp;Nowack19'!A:A,'Compartments_Kawecki&amp;Nowack19'!B:B,_xlfn.XLOOKUP(L5,Compartments_Added!A:A,Compartments_Added!B:B))="Stock","OK stock","OK flow"),IF(_xlfn.XLOOKUP(L5,'Compartments_Kawecki&amp;Nowack19'!A:A,'Compartments_Kawecki&amp;Nowack19'!B:B,_xlfn.XLOOKUP(L5,Compartments_Added!A:A,Compartments_Added!B:B))="Sink","OK, Sink","Missing"))</f>
        <v>OK stock</v>
      </c>
      <c r="N5" s="6"/>
      <c r="O5" s="6" t="str">
        <f>Lifetimes_pairs!A3</f>
        <v>Ship paint (prof) (in use)</v>
      </c>
      <c r="P5" s="6" t="str">
        <f>Lifetimes_pairs!B3</f>
        <v>ShipProfIU</v>
      </c>
      <c r="Q5" t="str">
        <f>Lifetimes!C1</f>
        <v>AgriculturalFilmsDis</v>
      </c>
      <c r="R5" t="str">
        <f t="shared" ref="R5:R68" si="2">IF(COUNTIF(P:P,Q5), "OK", "Missing")</f>
        <v>OK</v>
      </c>
      <c r="AA5" s="465" t="s">
        <v>1827</v>
      </c>
    </row>
    <row r="6" spans="1:27">
      <c r="A6" s="37" t="str">
        <v>HDPE</v>
      </c>
      <c r="B6" s="37" t="str">
        <v>HDPE</v>
      </c>
      <c r="C6" s="82" t="str">
        <v>PP</v>
      </c>
      <c r="E6" s="69" t="str">
        <v>Domestic primary plastic production</v>
      </c>
      <c r="F6" s="69" t="str">
        <f t="shared" si="0"/>
        <v>OK</v>
      </c>
      <c r="G6" s="69" t="str">
        <v>Domestic primary plastic production</v>
      </c>
      <c r="H6" s="69" t="str">
        <f t="shared" si="1"/>
        <v>OK</v>
      </c>
      <c r="J6" s="306" t="str">
        <v>Agricultural waste collection</v>
      </c>
      <c r="K6" s="311" t="str">
        <f>IF(ISBLANK(J6),"",IF(COUNTIF(L:L,J6),IF(_xlfn.XLOOKUP(J6,'Compartments_Kawecki&amp;Nowack19'!A:A,'Compartments_Kawecki&amp;Nowack19'!B:B,_xlfn.XLOOKUP(J6,Compartments_Added!A:A,Compartments_Added!B:B))="Stock","OK stock","OK flow"),IF(COUNTIF($G$4:$G$18,J6),IF(COUNTIF($E$4:$E$18,J6),"OK input","Missing"),"Missing")))</f>
        <v>OK flow</v>
      </c>
      <c r="L6" s="306" t="str">
        <v>Agricultural mulching films</v>
      </c>
      <c r="M6" s="311" t="str">
        <f>IF(COUNTIF(J:J,L6),IF(_xlfn.XLOOKUP(L6,'Compartments_Kawecki&amp;Nowack19'!A:A,'Compartments_Kawecki&amp;Nowack19'!B:B,_xlfn.XLOOKUP(L6,Compartments_Added!A:A,Compartments_Added!B:B))="Stock","OK stock","OK flow"),IF(_xlfn.XLOOKUP(L6,'Compartments_Kawecki&amp;Nowack19'!A:A,'Compartments_Kawecki&amp;Nowack19'!B:B,_xlfn.XLOOKUP(L6,Compartments_Added!A:A,Compartments_Added!B:B))="Sink","OK, Sink","Missing"))</f>
        <v>OK flow</v>
      </c>
      <c r="N6" s="6"/>
      <c r="O6" s="6" t="str">
        <f>Lifetimes_pairs!A4</f>
        <v>Ship paint (recr) (in use)</v>
      </c>
      <c r="P6" s="6" t="str">
        <f>Lifetimes_pairs!B4</f>
        <v>ShipDiyIU</v>
      </c>
      <c r="Q6" t="str">
        <f>Lifetimes!D1</f>
        <v>AgriculturalPackagingBottles</v>
      </c>
      <c r="R6" t="str">
        <f t="shared" si="2"/>
        <v>OK</v>
      </c>
      <c r="AA6" s="465" t="s">
        <v>1828</v>
      </c>
    </row>
    <row r="7" spans="1:27">
      <c r="A7" s="37" t="str">
        <v>PVC</v>
      </c>
      <c r="B7" s="37" t="str">
        <v>PS</v>
      </c>
      <c r="C7" s="82" t="str">
        <v>LDPE</v>
      </c>
      <c r="E7" s="69" t="str">
        <v>Household textiles (product sector)</v>
      </c>
      <c r="F7" s="69" t="str">
        <f t="shared" si="0"/>
        <v>OK</v>
      </c>
      <c r="G7" s="69" t="str">
        <v>Household textiles (product sector)</v>
      </c>
      <c r="H7" s="69" t="str">
        <f t="shared" si="1"/>
        <v>OK</v>
      </c>
      <c r="J7" s="306" t="str">
        <v>Agricultural waste collection (micro)</v>
      </c>
      <c r="K7" s="311" t="str">
        <f>IF(ISBLANK(J7),"",IF(COUNTIF(L:L,J7),IF(_xlfn.XLOOKUP(J7,'Compartments_Kawecki&amp;Nowack19'!A:A,'Compartments_Kawecki&amp;Nowack19'!B:B,_xlfn.XLOOKUP(J7,Compartments_Added!A:A,Compartments_Added!B:B))="Stock","OK stock","OK flow"),IF(COUNTIF($G$4:$G$18,J7),IF(COUNTIF($E$4:$E$18,J7),"OK input","Missing"),"Missing")))</f>
        <v>OK flow</v>
      </c>
      <c r="L7" s="306" t="str">
        <v>Agricultural other</v>
      </c>
      <c r="M7" s="311" t="str">
        <f>IF(COUNTIF(J:J,L7),IF(_xlfn.XLOOKUP(L7,'Compartments_Kawecki&amp;Nowack19'!A:A,'Compartments_Kawecki&amp;Nowack19'!B:B,_xlfn.XLOOKUP(L7,Compartments_Added!A:A,Compartments_Added!B:B))="Stock","OK stock","OK flow"),IF(_xlfn.XLOOKUP(L7,'Compartments_Kawecki&amp;Nowack19'!A:A,'Compartments_Kawecki&amp;Nowack19'!B:B,_xlfn.XLOOKUP(L7,Compartments_Added!A:A,Compartments_Added!B:B))="Sink","OK, Sink","Missing"))</f>
        <v>OK flow</v>
      </c>
      <c r="N7" s="6"/>
      <c r="O7" s="6" t="str">
        <f>Lifetimes_pairs!A5</f>
        <v>Ship paint (prof) (discarded)</v>
      </c>
      <c r="P7" s="6" t="str">
        <f>Lifetimes_pairs!B5</f>
        <v>ShipProfDis</v>
      </c>
      <c r="Q7" t="str">
        <f>Lifetimes!E1</f>
        <v>AgriculturalPackagingFilms</v>
      </c>
      <c r="R7" t="str">
        <f t="shared" si="2"/>
        <v>OK</v>
      </c>
      <c r="AA7" s="465" t="s">
        <v>1829</v>
      </c>
    </row>
    <row r="8" spans="1:27">
      <c r="A8" s="37" t="str">
        <v>LDPE</v>
      </c>
      <c r="B8" s="37" t="str">
        <v>PP</v>
      </c>
      <c r="C8" s="82" t="str">
        <v>HDPE</v>
      </c>
      <c r="E8" s="69" t="str">
        <v>Import of primary plastics</v>
      </c>
      <c r="F8" s="69" t="str">
        <f t="shared" si="0"/>
        <v>OK</v>
      </c>
      <c r="G8" s="69" t="str">
        <v>Import of primary plastics</v>
      </c>
      <c r="H8" s="69" t="str">
        <f t="shared" si="1"/>
        <v>OK</v>
      </c>
      <c r="J8" s="306" t="str">
        <v>Agricultural packaging bottles</v>
      </c>
      <c r="K8" s="311" t="str">
        <f>IF(ISBLANK(J8),"",IF(COUNTIF(L:L,J8),IF(_xlfn.XLOOKUP(J8,'Compartments_Kawecki&amp;Nowack19'!A:A,'Compartments_Kawecki&amp;Nowack19'!B:B,_xlfn.XLOOKUP(J8,Compartments_Added!A:A,Compartments_Added!B:B))="Stock","OK stock","OK flow"),IF(COUNTIF($G$4:$G$18,J8),IF(COUNTIF($E$4:$E$18,J8),"OK input","Missing"),"Missing")))</f>
        <v>OK stock</v>
      </c>
      <c r="L8" s="306" t="str">
        <v>Agricultural packaging bottles</v>
      </c>
      <c r="M8" s="311" t="str">
        <f>IF(COUNTIF(J:J,L8),IF(_xlfn.XLOOKUP(L8,'Compartments_Kawecki&amp;Nowack19'!A:A,'Compartments_Kawecki&amp;Nowack19'!B:B,_xlfn.XLOOKUP(L8,Compartments_Added!A:A,Compartments_Added!B:B))="Stock","OK stock","OK flow"),IF(_xlfn.XLOOKUP(L8,'Compartments_Kawecki&amp;Nowack19'!A:A,'Compartments_Kawecki&amp;Nowack19'!B:B,_xlfn.XLOOKUP(L8,Compartments_Added!A:A,Compartments_Added!B:B))="Sink","OK, Sink","Missing"))</f>
        <v>OK stock</v>
      </c>
      <c r="N8" s="6"/>
      <c r="O8" s="6" t="str">
        <f>Lifetimes_pairs!A6</f>
        <v>Ship paint (recr) (discarded)</v>
      </c>
      <c r="P8" s="6" t="str">
        <f>Lifetimes_pairs!B6</f>
        <v>ShipDiyDis</v>
      </c>
      <c r="Q8" t="str">
        <f>Lifetimes!F1</f>
        <v>AgriculturalPipesIU</v>
      </c>
      <c r="R8" t="str">
        <f t="shared" si="2"/>
        <v>OK</v>
      </c>
      <c r="AA8" s="465" t="s">
        <v>1830</v>
      </c>
    </row>
    <row r="9" spans="1:27">
      <c r="A9" s="37" t="str">
        <v>EPS</v>
      </c>
      <c r="B9" s="37" t="str">
        <v>PET</v>
      </c>
      <c r="C9" s="82" t="str">
        <v>EPS</v>
      </c>
      <c r="E9" s="69" t="str">
        <v>Intentionally produced microparticles</v>
      </c>
      <c r="F9" s="69" t="str">
        <f>IF(COUNTIF(G:G,E9), "OK", "Missing")</f>
        <v>OK</v>
      </c>
      <c r="G9" s="69" t="str">
        <v>Intentionally produced microparticles</v>
      </c>
      <c r="H9" s="69" t="str">
        <f t="shared" si="1"/>
        <v>OK</v>
      </c>
      <c r="J9" s="306" t="str">
        <v>Agricultural packaging films</v>
      </c>
      <c r="K9" s="311" t="str">
        <f>IF(ISBLANK(J9),"",IF(COUNTIF(L:L,J9),IF(_xlfn.XLOOKUP(J9,'Compartments_Kawecki&amp;Nowack19'!A:A,'Compartments_Kawecki&amp;Nowack19'!B:B,_xlfn.XLOOKUP(J9,Compartments_Added!A:A,Compartments_Added!B:B))="Stock","OK stock","OK flow"),IF(COUNTIF($G$4:$G$18,J9),IF(COUNTIF($E$4:$E$18,J9),"OK input","Missing"),"Missing")))</f>
        <v>OK stock</v>
      </c>
      <c r="L9" s="306" t="str">
        <v>Agricultural packaging films</v>
      </c>
      <c r="M9" s="311" t="str">
        <f>IF(COUNTIF(J:J,L9),IF(_xlfn.XLOOKUP(L9,'Compartments_Kawecki&amp;Nowack19'!A:A,'Compartments_Kawecki&amp;Nowack19'!B:B,_xlfn.XLOOKUP(L9,Compartments_Added!A:A,Compartments_Added!B:B))="Stock","OK stock","OK flow"),IF(_xlfn.XLOOKUP(L9,'Compartments_Kawecki&amp;Nowack19'!A:A,'Compartments_Kawecki&amp;Nowack19'!B:B,_xlfn.XLOOKUP(L9,Compartments_Added!A:A,Compartments_Added!B:B))="Sink","OK, Sink","Missing"))</f>
        <v>OK stock</v>
      </c>
      <c r="N9" s="6"/>
      <c r="O9" s="6" t="str">
        <f>Lifetimes_pairs!A7</f>
        <v>Concrete paint (prof) outdoor (in use)</v>
      </c>
      <c r="P9" s="6" t="str">
        <f>Lifetimes_pairs!B7</f>
        <v>ConcreteProfOutIU</v>
      </c>
      <c r="Q9" t="str">
        <f>Lifetimes!G1</f>
        <v>AgriculturalPipesDis</v>
      </c>
      <c r="R9" t="str">
        <f t="shared" si="2"/>
        <v>OK</v>
      </c>
      <c r="AA9" s="465" t="s">
        <v>1831</v>
      </c>
    </row>
    <row r="10" spans="1:27">
      <c r="A10" s="37" t="str">
        <v>PET</v>
      </c>
      <c r="B10" s="37" t="str">
        <v>PA</v>
      </c>
      <c r="C10" s="82" t="str">
        <v>PET</v>
      </c>
      <c r="E10" s="69" t="str">
        <v>Packaging</v>
      </c>
      <c r="F10" s="69" t="str">
        <f>IF(COUNTIF(G:G,E10), "OK", "Missing")</f>
        <v>OK</v>
      </c>
      <c r="G10" s="69" t="str">
        <v>Packaging</v>
      </c>
      <c r="H10" s="69" t="str">
        <f t="shared" si="1"/>
        <v>OK</v>
      </c>
      <c r="J10" s="306" t="str">
        <v>Compost (macro)</v>
      </c>
      <c r="K10" s="311" t="str">
        <f>IF(ISBLANK(J10),"",IF(COUNTIF(L:L,J10),IF(_xlfn.XLOOKUP(J10,'Compartments_Kawecki&amp;Nowack19'!A:A,'Compartments_Kawecki&amp;Nowack19'!B:B,_xlfn.XLOOKUP(J10,Compartments_Added!A:A,Compartments_Added!B:B))="Stock","OK stock","OK flow"),IF(COUNTIF($G$4:$G$18,J10),IF(COUNTIF($E$4:$E$18,J10),"OK input","Missing"),"Missing")))</f>
        <v>OK flow</v>
      </c>
      <c r="L10" s="306" t="str">
        <v>Agricultural pipes (discarded)</v>
      </c>
      <c r="M10" s="311" t="str">
        <f>IF(COUNTIF(J:J,L10),IF(_xlfn.XLOOKUP(L10,'Compartments_Kawecki&amp;Nowack19'!A:A,'Compartments_Kawecki&amp;Nowack19'!B:B,_xlfn.XLOOKUP(L10,Compartments_Added!A:A,Compartments_Added!B:B))="Stock","OK stock","OK flow"),IF(_xlfn.XLOOKUP(L10,'Compartments_Kawecki&amp;Nowack19'!A:A,'Compartments_Kawecki&amp;Nowack19'!B:B,_xlfn.XLOOKUP(L10,Compartments_Added!A:A,Compartments_Added!B:B))="Sink","OK, Sink","Missing"))</f>
        <v>OK stock</v>
      </c>
      <c r="N10" s="6"/>
      <c r="O10" s="6" t="str">
        <f>Lifetimes_pairs!A8</f>
        <v>Concrete paint (prof) indoor (in use)</v>
      </c>
      <c r="P10" s="6" t="str">
        <f>Lifetimes_pairs!B8</f>
        <v>ConcreteProfInIU</v>
      </c>
      <c r="Q10" t="str">
        <f>Lifetimes!H1</f>
        <v>AgriculturalPPP</v>
      </c>
      <c r="R10" t="str">
        <f t="shared" si="2"/>
        <v>Missing</v>
      </c>
      <c r="AA10" s="465" t="s">
        <v>1832</v>
      </c>
    </row>
    <row r="11" spans="1:27">
      <c r="A11" s="37" t="str">
        <v>PA</v>
      </c>
      <c r="B11" s="37" t="str">
        <v>Acryl</v>
      </c>
      <c r="C11" s="82" t="str">
        <v>OTHER</v>
      </c>
      <c r="E11" s="69" t="str">
        <v>Paint</v>
      </c>
      <c r="F11" s="69" t="str">
        <f t="shared" ref="F11:F18" si="3">IF(COUNTIF(G:G,E11), "OK", "Missing")</f>
        <v>OK</v>
      </c>
      <c r="G11" s="69" t="str">
        <v>Paint</v>
      </c>
      <c r="H11" s="69" t="str">
        <f t="shared" si="1"/>
        <v>OK</v>
      </c>
      <c r="J11" s="306" t="str">
        <v>Agrotextiles</v>
      </c>
      <c r="K11" s="311" t="str">
        <f>IF(ISBLANK(J11),"",IF(COUNTIF(L:L,J11),IF(_xlfn.XLOOKUP(J11,'Compartments_Kawecki&amp;Nowack19'!A:A,'Compartments_Kawecki&amp;Nowack19'!B:B,_xlfn.XLOOKUP(J11,Compartments_Added!A:A,Compartments_Added!B:B))="Stock","OK stock","OK flow"),IF(COUNTIF($G$4:$G$18,J11),IF(COUNTIF($E$4:$E$18,J11),"OK input","Missing"),"Missing")))</f>
        <v>OK flow</v>
      </c>
      <c r="L11" s="306" t="str">
        <v>Agricultural pipes (in use)</v>
      </c>
      <c r="M11" s="311" t="str">
        <f>IF(COUNTIF(J:J,L11),IF(_xlfn.XLOOKUP(L11,'Compartments_Kawecki&amp;Nowack19'!A:A,'Compartments_Kawecki&amp;Nowack19'!B:B,_xlfn.XLOOKUP(L11,Compartments_Added!A:A,Compartments_Added!B:B))="Stock","OK stock","OK flow"),IF(_xlfn.XLOOKUP(L11,'Compartments_Kawecki&amp;Nowack19'!A:A,'Compartments_Kawecki&amp;Nowack19'!B:B,_xlfn.XLOOKUP(L11,Compartments_Added!A:A,Compartments_Added!B:B))="Sink","OK, Sink","Missing"))</f>
        <v>OK stock</v>
      </c>
      <c r="N11" s="6"/>
      <c r="O11" s="6" t="str">
        <f>Lifetimes_pairs!A9</f>
        <v>Concrete paint (prof) outdoor (discarded)</v>
      </c>
      <c r="P11" s="6" t="str">
        <f>Lifetimes_pairs!B9</f>
        <v>ConcreteProfOutDis</v>
      </c>
      <c r="Q11" t="str">
        <f>Lifetimes!I1</f>
        <v>BuildingPackagingFilms</v>
      </c>
      <c r="R11" t="str">
        <f t="shared" si="2"/>
        <v>Missing</v>
      </c>
      <c r="AA11" s="465" t="s">
        <v>1833</v>
      </c>
    </row>
    <row r="12" spans="1:27">
      <c r="A12" s="37" t="str">
        <v>Acryl</v>
      </c>
      <c r="B12" s="37" t="str">
        <v>EPS</v>
      </c>
      <c r="C12" s="82" t="str">
        <v>any</v>
      </c>
      <c r="E12" s="69" t="str">
        <v>Technical textiles</v>
      </c>
      <c r="F12" s="69" t="str">
        <f t="shared" si="3"/>
        <v>OK</v>
      </c>
      <c r="G12" s="69" t="str">
        <v>Technical textiles</v>
      </c>
      <c r="H12" s="69" t="str">
        <f t="shared" si="1"/>
        <v>OK</v>
      </c>
      <c r="J12" s="306" t="str">
        <v>Agricultural mulching films</v>
      </c>
      <c r="K12" s="311" t="str">
        <f>IF(ISBLANK(J12),"",IF(COUNTIF(L:L,J12),IF(_xlfn.XLOOKUP(J12,'Compartments_Kawecki&amp;Nowack19'!A:A,'Compartments_Kawecki&amp;Nowack19'!B:B,_xlfn.XLOOKUP(J12,Compartments_Added!A:A,Compartments_Added!B:B))="Stock","OK stock","OK flow"),IF(COUNTIF($G$4:$G$18,J12),IF(COUNTIF($E$4:$E$18,J12),"OK input","Missing"),"Missing")))</f>
        <v>OK flow</v>
      </c>
      <c r="L12" s="306" t="str">
        <v>Agricultural plastic recycling</v>
      </c>
      <c r="M12" s="311" t="str">
        <f>IF(COUNTIF(J:J,L12),IF(_xlfn.XLOOKUP(L12,'Compartments_Kawecki&amp;Nowack19'!A:A,'Compartments_Kawecki&amp;Nowack19'!B:B,_xlfn.XLOOKUP(L12,Compartments_Added!A:A,Compartments_Added!B:B))="Stock","OK stock","OK flow"),IF(_xlfn.XLOOKUP(L12,'Compartments_Kawecki&amp;Nowack19'!A:A,'Compartments_Kawecki&amp;Nowack19'!B:B,_xlfn.XLOOKUP(L12,Compartments_Added!A:A,Compartments_Added!B:B))="Sink","OK, Sink","Missing"))</f>
        <v>OK flow</v>
      </c>
      <c r="N12" s="6"/>
      <c r="O12" s="6" t="str">
        <f>Lifetimes_pairs!A10</f>
        <v>Concrete paint (prof) indoor (discarded)</v>
      </c>
      <c r="P12" s="6" t="str">
        <f>Lifetimes_pairs!B10</f>
        <v>ConcreteProfInDis</v>
      </c>
      <c r="Q12" t="str">
        <f>Lifetimes!J1</f>
        <v>ConsumerBags</v>
      </c>
      <c r="R12" t="str">
        <f t="shared" si="2"/>
        <v>OK</v>
      </c>
      <c r="AA12" s="465" t="s">
        <v>1834</v>
      </c>
    </row>
    <row r="13" spans="1:27">
      <c r="A13" s="37" t="str">
        <v>ABS</v>
      </c>
      <c r="B13" s="37" t="str">
        <v>ABS</v>
      </c>
      <c r="C13" s="82" t="str">
        <v>PA</v>
      </c>
      <c r="E13" s="69" t="str">
        <v>Tyre wear</v>
      </c>
      <c r="F13" s="69" t="str">
        <f>IF(COUNTIF(G:G,E13), "OK", "Missing")</f>
        <v>OK</v>
      </c>
      <c r="G13" s="69" t="str">
        <v>Tyre wear</v>
      </c>
      <c r="H13" s="69" t="str">
        <f t="shared" si="1"/>
        <v>OK</v>
      </c>
      <c r="J13" s="306" t="str">
        <v>Agricultural other</v>
      </c>
      <c r="K13" s="311" t="str">
        <f>IF(ISBLANK(J13),"",IF(COUNTIF(L:L,J13),IF(_xlfn.XLOOKUP(J13,'Compartments_Kawecki&amp;Nowack19'!A:A,'Compartments_Kawecki&amp;Nowack19'!B:B,_xlfn.XLOOKUP(J13,Compartments_Added!A:A,Compartments_Added!B:B))="Stock","OK stock","OK flow"),IF(COUNTIF($G$4:$G$18,J13),IF(COUNTIF($E$4:$E$18,J13),"OK input","Missing"),"Missing")))</f>
        <v>OK flow</v>
      </c>
      <c r="L13" s="306" t="str">
        <v>Incineration</v>
      </c>
      <c r="M13" s="311" t="str">
        <f>IF(COUNTIF(J:J,L13),IF(_xlfn.XLOOKUP(L13,'Compartments_Kawecki&amp;Nowack19'!A:A,'Compartments_Kawecki&amp;Nowack19'!B:B,_xlfn.XLOOKUP(L13,Compartments_Added!A:A,Compartments_Added!B:B))="Stock","OK stock","OK flow"),IF(_xlfn.XLOOKUP(L13,'Compartments_Kawecki&amp;Nowack19'!A:A,'Compartments_Kawecki&amp;Nowack19'!B:B,_xlfn.XLOOKUP(L13,Compartments_Added!A:A,Compartments_Added!B:B))="Sink","OK, Sink","Missing"))</f>
        <v>OK flow</v>
      </c>
      <c r="N13" s="6"/>
      <c r="O13" s="6" t="str">
        <f>Lifetimes_pairs!A11</f>
        <v>Lacquer (prof) outdoor (in use)</v>
      </c>
      <c r="P13" s="6" t="str">
        <f>Lifetimes_pairs!B11</f>
        <v>LacquerProfOutIU</v>
      </c>
      <c r="Q13" t="str">
        <f>Lifetimes!K1</f>
        <v>ConsumerBottles</v>
      </c>
      <c r="R13" t="str">
        <f t="shared" si="2"/>
        <v>OK</v>
      </c>
      <c r="AA13" s="465" t="s">
        <v>1835</v>
      </c>
    </row>
    <row r="14" spans="1:27">
      <c r="A14" s="37" t="str">
        <v>PC</v>
      </c>
      <c r="B14" s="37" t="str">
        <v>PC</v>
      </c>
      <c r="C14" s="82" t="str">
        <v>Acryl</v>
      </c>
      <c r="E14" s="69">
        <v>0</v>
      </c>
      <c r="F14" s="69" t="str">
        <f t="shared" si="3"/>
        <v>OK</v>
      </c>
      <c r="G14" s="69" t="str">
        <v>Transport of primary plastics</v>
      </c>
      <c r="H14" s="69" t="str">
        <f t="shared" si="1"/>
        <v>Missing</v>
      </c>
      <c r="J14" s="306" t="str">
        <v>Agricultural pipes (in use)</v>
      </c>
      <c r="K14" s="311" t="str">
        <f>IF(ISBLANK(J14),"",IF(COUNTIF(L:L,J14),IF(_xlfn.XLOOKUP(J14,'Compartments_Kawecki&amp;Nowack19'!A:A,'Compartments_Kawecki&amp;Nowack19'!B:B,_xlfn.XLOOKUP(J14,Compartments_Added!A:A,Compartments_Added!B:B))="Stock","OK stock","OK flow"),IF(COUNTIF($G$4:$G$18,J14),IF(COUNTIF($E$4:$E$18,J14),"OK input","Missing"),"Missing")))</f>
        <v>OK stock</v>
      </c>
      <c r="L14" s="306" t="str">
        <v>Landfill</v>
      </c>
      <c r="M14" s="311" t="str">
        <f>IF(COUNTIF(J:J,L14),IF(_xlfn.XLOOKUP(L14,'Compartments_Kawecki&amp;Nowack19'!A:A,'Compartments_Kawecki&amp;Nowack19'!B:B,_xlfn.XLOOKUP(L14,Compartments_Added!A:A,Compartments_Added!B:B))="Stock","OK stock","OK flow"),IF(_xlfn.XLOOKUP(L14,'Compartments_Kawecki&amp;Nowack19'!A:A,'Compartments_Kawecki&amp;Nowack19'!B:B,_xlfn.XLOOKUP(L14,Compartments_Added!A:A,Compartments_Added!B:B))="Sink","OK, Sink","Missing"))</f>
        <v>OK, Sink</v>
      </c>
      <c r="N14" s="6"/>
      <c r="O14" s="6" t="str">
        <f>Lifetimes_pairs!A12</f>
        <v>Lacquer (prof) indoor (in use)</v>
      </c>
      <c r="P14" s="6" t="str">
        <f>Lifetimes_pairs!B12</f>
        <v>LacquerProfInIU</v>
      </c>
      <c r="Q14" t="str">
        <f>Lifetimes!L1</f>
        <v>ConsumerFilms</v>
      </c>
      <c r="R14" t="str">
        <f t="shared" si="2"/>
        <v>OK</v>
      </c>
      <c r="AA14" s="465" t="s">
        <v>1836</v>
      </c>
    </row>
    <row r="15" spans="1:27">
      <c r="A15" s="37" t="str">
        <v>PMMA</v>
      </c>
      <c r="B15" s="37" t="str">
        <v>PMMA</v>
      </c>
      <c r="C15" s="82" t="str">
        <v>RUBBER</v>
      </c>
      <c r="E15" s="69"/>
      <c r="F15" s="69" t="str">
        <f t="shared" si="3"/>
        <v>OK</v>
      </c>
      <c r="G15" s="69">
        <v>0</v>
      </c>
      <c r="H15" s="69" t="str">
        <f t="shared" si="1"/>
        <v>OK</v>
      </c>
      <c r="J15" s="306" t="str">
        <v>Agricultural greenhouse films (in use)</v>
      </c>
      <c r="K15" s="311" t="str">
        <f>IF(ISBLANK(J15),"",IF(COUNTIF(L:L,J15),IF(_xlfn.XLOOKUP(J15,'Compartments_Kawecki&amp;Nowack19'!A:A,'Compartments_Kawecki&amp;Nowack19'!B:B,_xlfn.XLOOKUP(J15,Compartments_Added!A:A,Compartments_Added!B:B))="Stock","OK stock","OK flow"),IF(COUNTIF($G$4:$G$18,J15),IF(COUNTIF($E$4:$E$18,J15),"OK input","Missing"),"Missing")))</f>
        <v>OK stock</v>
      </c>
      <c r="L15" s="306" t="str">
        <v>Residential soil (macro)</v>
      </c>
      <c r="M15" s="311" t="str">
        <f>IF(COUNTIF(J:J,L15),IF(_xlfn.XLOOKUP(L15,'Compartments_Kawecki&amp;Nowack19'!A:A,'Compartments_Kawecki&amp;Nowack19'!B:B,_xlfn.XLOOKUP(L15,Compartments_Added!A:A,Compartments_Added!B:B))="Stock","OK stock","OK flow"),IF(_xlfn.XLOOKUP(L15,'Compartments_Kawecki&amp;Nowack19'!A:A,'Compartments_Kawecki&amp;Nowack19'!B:B,_xlfn.XLOOKUP(L15,Compartments_Added!A:A,Compartments_Added!B:B))="Sink","OK, Sink","Missing"))</f>
        <v>OK, Sink</v>
      </c>
      <c r="N15" s="6"/>
      <c r="O15" s="6" t="str">
        <f>Lifetimes_pairs!A13</f>
        <v>Lacquer (prof) outdoor (discarded)</v>
      </c>
      <c r="P15" s="6" t="str">
        <f>Lifetimes_pairs!B13</f>
        <v>LacquerProfOutDis</v>
      </c>
      <c r="Q15" t="str">
        <f>Lifetimes!M1</f>
        <v>ConsumerOther</v>
      </c>
      <c r="R15" t="str">
        <f t="shared" si="2"/>
        <v>OK</v>
      </c>
      <c r="AA15" s="465" t="s">
        <v>1837</v>
      </c>
    </row>
    <row r="16" spans="1:27">
      <c r="A16" s="37" t="str">
        <v>PUR</v>
      </c>
      <c r="B16" s="37" t="str">
        <v>PUR</v>
      </c>
      <c r="C16" s="82" t="str">
        <v>PUR</v>
      </c>
      <c r="E16" s="69"/>
      <c r="F16" s="69" t="str">
        <f t="shared" si="3"/>
        <v>OK</v>
      </c>
      <c r="G16" s="69"/>
      <c r="H16" s="69" t="str">
        <f>IF(COUNTIF(E:E,G16), "OK", "Missing")</f>
        <v>OK</v>
      </c>
      <c r="J16" s="306" t="str">
        <v>Compost (micro)</v>
      </c>
      <c r="K16" s="311" t="str">
        <f>IF(ISBLANK(J16),"",IF(COUNTIF(L:L,J16),IF(_xlfn.XLOOKUP(J16,'Compartments_Kawecki&amp;Nowack19'!A:A,'Compartments_Kawecki&amp;Nowack19'!B:B,_xlfn.XLOOKUP(J16,Compartments_Added!A:A,Compartments_Added!B:B))="Stock","OK stock","OK flow"),IF(COUNTIF($G$4:$G$18,J16),IF(COUNTIF($E$4:$E$18,J16),"OK input","Missing"),"Missing")))</f>
        <v>OK flow</v>
      </c>
      <c r="L16" s="306" t="str">
        <v>Agricultural soil (macro)</v>
      </c>
      <c r="M16" s="311" t="str">
        <f>IF(COUNTIF(J:J,L16),IF(_xlfn.XLOOKUP(L16,'Compartments_Kawecki&amp;Nowack19'!A:A,'Compartments_Kawecki&amp;Nowack19'!B:B,_xlfn.XLOOKUP(L16,Compartments_Added!A:A,Compartments_Added!B:B))="Stock","OK stock","OK flow"),IF(_xlfn.XLOOKUP(L16,'Compartments_Kawecki&amp;Nowack19'!A:A,'Compartments_Kawecki&amp;Nowack19'!B:B,_xlfn.XLOOKUP(L16,Compartments_Added!A:A,Compartments_Added!B:B))="Sink","OK, Sink","Missing"))</f>
        <v>OK, Sink</v>
      </c>
      <c r="N16" s="6"/>
      <c r="O16" s="6" t="str">
        <f>Lifetimes_pairs!A14</f>
        <v>Lacquer (prof) indoor (discarded)</v>
      </c>
      <c r="P16" s="6" t="str">
        <f>Lifetimes_pairs!B14</f>
        <v>LacquerProfInDis</v>
      </c>
      <c r="Q16" t="str">
        <f>Lifetimes!N1</f>
        <v>Cosmetics</v>
      </c>
      <c r="R16" t="str">
        <f t="shared" si="2"/>
        <v>Missing</v>
      </c>
      <c r="AA16" s="465" t="s">
        <v>1838</v>
      </c>
    </row>
    <row r="17" spans="1:27">
      <c r="A17" s="37" t="str">
        <v>OTHER</v>
      </c>
      <c r="B17" s="37" t="str">
        <v>OTHER</v>
      </c>
      <c r="C17" s="82" t="str">
        <v>ABS</v>
      </c>
      <c r="E17" s="69"/>
      <c r="F17" s="69" t="str">
        <f t="shared" si="3"/>
        <v>OK</v>
      </c>
      <c r="G17" s="69"/>
      <c r="H17" s="69" t="str">
        <f t="shared" ref="H17:H18" si="4">IF(COUNTIF(E:E,G17), "OK", "Missing")</f>
        <v>OK</v>
      </c>
      <c r="J17" s="306" t="str">
        <v>Controlled release fertilizer</v>
      </c>
      <c r="K17" s="311" t="str">
        <f>IF(ISBLANK(J17),"",IF(COUNTIF(L:L,J17),IF(_xlfn.XLOOKUP(J17,'Compartments_Kawecki&amp;Nowack19'!A:A,'Compartments_Kawecki&amp;Nowack19'!B:B,_xlfn.XLOOKUP(J17,Compartments_Added!A:A,Compartments_Added!B:B))="Stock","OK stock","OK flow"),IF(COUNTIF($G$4:$G$18,J17),IF(COUNTIF($E$4:$E$18,J17),"OK input","Missing"),"Missing")))</f>
        <v>OK flow</v>
      </c>
      <c r="L17" s="306" t="str">
        <v>Agrotextiles (discarded)</v>
      </c>
      <c r="M17" s="311" t="str">
        <f>IF(COUNTIF(J:J,L17),IF(_xlfn.XLOOKUP(L17,'Compartments_Kawecki&amp;Nowack19'!A:A,'Compartments_Kawecki&amp;Nowack19'!B:B,_xlfn.XLOOKUP(L17,Compartments_Added!A:A,Compartments_Added!B:B))="Stock","OK stock","OK flow"),IF(_xlfn.XLOOKUP(L17,'Compartments_Kawecki&amp;Nowack19'!A:A,'Compartments_Kawecki&amp;Nowack19'!B:B,_xlfn.XLOOKUP(L17,Compartments_Added!A:A,Compartments_Added!B:B))="Sink","OK, Sink","Missing"))</f>
        <v>OK stock</v>
      </c>
      <c r="N17" s="6"/>
      <c r="O17" s="6" t="str">
        <f>Lifetimes_pairs!A15</f>
        <v>Wood stain (prof) outdoor (in use)</v>
      </c>
      <c r="P17" s="6" t="str">
        <f>Lifetimes_pairs!B15</f>
        <v>WoodStainProfOutIU</v>
      </c>
      <c r="Q17" t="str">
        <f>Lifetimes!O1</f>
        <v>Household</v>
      </c>
      <c r="R17" t="str">
        <f t="shared" si="2"/>
        <v>Missing</v>
      </c>
      <c r="AA17" s="465" t="s">
        <v>1839</v>
      </c>
    </row>
    <row r="18" spans="1:27" ht="15.75" thickBot="1">
      <c r="A18" s="37" t="str">
        <v>RUBBER</v>
      </c>
      <c r="B18" s="37" t="str">
        <v>RUBBER</v>
      </c>
      <c r="C18" s="82" t="str">
        <v>PC</v>
      </c>
      <c r="E18" s="89"/>
      <c r="F18" s="89" t="str">
        <f t="shared" si="3"/>
        <v>OK</v>
      </c>
      <c r="G18" s="89"/>
      <c r="H18" s="89" t="str">
        <f t="shared" si="4"/>
        <v>OK</v>
      </c>
      <c r="J18" s="306" t="str">
        <v>Fertilizer additives</v>
      </c>
      <c r="K18" s="311" t="str">
        <f>IF(ISBLANK(J18),"",IF(COUNTIF(L:L,J18),IF(_xlfn.XLOOKUP(J18,'Compartments_Kawecki&amp;Nowack19'!A:A,'Compartments_Kawecki&amp;Nowack19'!B:B,_xlfn.XLOOKUP(J18,Compartments_Added!A:A,Compartments_Added!B:B))="Stock","OK stock","OK flow"),IF(COUNTIF($G$4:$G$18,J18),IF(COUNTIF($E$4:$E$18,J18),"OK input","Missing"),"Missing")))</f>
        <v>OK flow</v>
      </c>
      <c r="L18" s="306" t="str">
        <v>Agricultural soil (micro)</v>
      </c>
      <c r="M18" s="311" t="str">
        <f>IF(COUNTIF(J:J,L18),IF(_xlfn.XLOOKUP(L18,'Compartments_Kawecki&amp;Nowack19'!A:A,'Compartments_Kawecki&amp;Nowack19'!B:B,_xlfn.XLOOKUP(L18,Compartments_Added!A:A,Compartments_Added!B:B))="Stock","OK stock","OK flow"),IF(_xlfn.XLOOKUP(L18,'Compartments_Kawecki&amp;Nowack19'!A:A,'Compartments_Kawecki&amp;Nowack19'!B:B,_xlfn.XLOOKUP(L18,Compartments_Added!A:A,Compartments_Added!B:B))="Sink","OK, Sink","Missing"))</f>
        <v>OK, Sink</v>
      </c>
      <c r="N18" s="6"/>
      <c r="O18" s="6" t="str">
        <f>Lifetimes_pairs!A16</f>
        <v>Wood stain (prof) indoor (in use)</v>
      </c>
      <c r="P18" s="6" t="str">
        <f>Lifetimes_pairs!B16</f>
        <v>WoodStainProfInIU</v>
      </c>
      <c r="Q18" t="str">
        <f>Lifetimes!P1</f>
        <v>NonConsumerBags</v>
      </c>
      <c r="R18" t="str">
        <f t="shared" si="2"/>
        <v>OK</v>
      </c>
      <c r="AA18" s="465" t="s">
        <v>1840</v>
      </c>
    </row>
    <row r="19" spans="1:27">
      <c r="A19" s="37">
        <v>0</v>
      </c>
      <c r="B19" s="37">
        <v>0</v>
      </c>
      <c r="C19" s="82" t="str">
        <v>PMMA</v>
      </c>
      <c r="J19" s="306" t="str">
        <v>Plant protection products</v>
      </c>
      <c r="K19" s="311" t="str">
        <f>IF(ISBLANK(J19),"",IF(COUNTIF(L:L,J19),IF(_xlfn.XLOOKUP(J19,'Compartments_Kawecki&amp;Nowack19'!A:A,'Compartments_Kawecki&amp;Nowack19'!B:B,_xlfn.XLOOKUP(J19,Compartments_Added!A:A,Compartments_Added!B:B))="Stock","OK stock","OK flow"),IF(COUNTIF($G$4:$G$18,J19),IF(COUNTIF($E$4:$E$18,J19),"OK input","Missing"),"Missing")))</f>
        <v>OK flow</v>
      </c>
      <c r="L19" s="306" t="str">
        <v>Agrotextiles (in use)</v>
      </c>
      <c r="M19" s="311" t="str">
        <f>IF(COUNTIF(J:J,L19),IF(_xlfn.XLOOKUP(L19,'Compartments_Kawecki&amp;Nowack19'!A:A,'Compartments_Kawecki&amp;Nowack19'!B:B,_xlfn.XLOOKUP(L19,Compartments_Added!A:A,Compartments_Added!B:B))="Stock","OK stock","OK flow"),IF(_xlfn.XLOOKUP(L19,'Compartments_Kawecki&amp;Nowack19'!A:A,'Compartments_Kawecki&amp;Nowack19'!B:B,_xlfn.XLOOKUP(L19,Compartments_Added!A:A,Compartments_Added!B:B))="Sink","OK, Sink","Missing"))</f>
        <v>OK stock</v>
      </c>
      <c r="N19" s="6"/>
      <c r="O19" s="6" t="str">
        <f>Lifetimes_pairs!A17</f>
        <v>Wood stain (prof) outdoor (discarded)</v>
      </c>
      <c r="P19" s="6" t="str">
        <f>Lifetimes_pairs!B17</f>
        <v>WoodStainProfOutDis</v>
      </c>
      <c r="Q19" t="str">
        <f>Lifetimes!Q1</f>
        <v>NonConsumerOther</v>
      </c>
      <c r="R19" t="str">
        <f t="shared" si="2"/>
        <v>OK</v>
      </c>
      <c r="AA19" s="465" t="s">
        <v>1841</v>
      </c>
    </row>
    <row r="20" spans="1:27" ht="15.75" thickBot="1">
      <c r="A20" s="38"/>
      <c r="B20" s="38"/>
      <c r="C20" s="83">
        <v>0</v>
      </c>
      <c r="J20" s="306" t="str">
        <v>Seed coating</v>
      </c>
      <c r="K20" s="311" t="str">
        <f>IF(ISBLANK(J20),"",IF(COUNTIF(L:L,J20),IF(_xlfn.XLOOKUP(J20,'Compartments_Kawecki&amp;Nowack19'!A:A,'Compartments_Kawecki&amp;Nowack19'!B:B,_xlfn.XLOOKUP(J20,Compartments_Added!A:A,Compartments_Added!B:B))="Stock","OK stock","OK flow"),IF(COUNTIF($G$4:$G$18,J20),IF(COUNTIF($E$4:$E$18,J20),"OK input","Missing"),"Missing")))</f>
        <v>OK flow</v>
      </c>
      <c r="L20" s="306" t="str">
        <v>Agricultural waste collection</v>
      </c>
      <c r="M20" s="311" t="str">
        <f>IF(COUNTIF(J:J,L20),IF(_xlfn.XLOOKUP(L20,'Compartments_Kawecki&amp;Nowack19'!A:A,'Compartments_Kawecki&amp;Nowack19'!B:B,_xlfn.XLOOKUP(L20,Compartments_Added!A:A,Compartments_Added!B:B))="Stock","OK stock","OK flow"),IF(_xlfn.XLOOKUP(L20,'Compartments_Kawecki&amp;Nowack19'!A:A,'Compartments_Kawecki&amp;Nowack19'!B:B,_xlfn.XLOOKUP(L20,Compartments_Added!A:A,Compartments_Added!B:B))="Sink","OK, Sink","Missing"))</f>
        <v>OK flow</v>
      </c>
      <c r="N20" s="6"/>
      <c r="O20" s="6" t="str">
        <f>Lifetimes_pairs!A18</f>
        <v>Wood stain (prof) indoor (discarded)</v>
      </c>
      <c r="P20" s="6" t="str">
        <f>Lifetimes_pairs!B18</f>
        <v>WoodStainProfInDis</v>
      </c>
      <c r="Q20" t="str">
        <f>Lifetimes!R1</f>
        <v>OtherNonConsumerFilms</v>
      </c>
      <c r="R20" t="str">
        <f t="shared" si="2"/>
        <v>OK</v>
      </c>
      <c r="AA20" s="465" t="s">
        <v>1842</v>
      </c>
    </row>
    <row r="21" spans="1:27">
      <c r="J21" s="306" t="str">
        <v>Agricultural pipes (discarded)</v>
      </c>
      <c r="K21" s="311" t="str">
        <f>IF(ISBLANK(J21),"",IF(COUNTIF(L:L,J21),IF(_xlfn.XLOOKUP(J21,'Compartments_Kawecki&amp;Nowack19'!A:A,'Compartments_Kawecki&amp;Nowack19'!B:B,_xlfn.XLOOKUP(J21,Compartments_Added!A:A,Compartments_Added!B:B))="Stock","OK stock","OK flow"),IF(COUNTIF($G$4:$G$18,J21),IF(COUNTIF($E$4:$E$18,J21),"OK input","Missing"),"Missing")))</f>
        <v>OK stock</v>
      </c>
      <c r="L21" s="306" t="str">
        <v>Agricultural waste collection (micro)</v>
      </c>
      <c r="M21" s="311" t="str">
        <f>IF(COUNTIF(J:J,L21),IF(_xlfn.XLOOKUP(L21,'Compartments_Kawecki&amp;Nowack19'!A:A,'Compartments_Kawecki&amp;Nowack19'!B:B,_xlfn.XLOOKUP(L21,Compartments_Added!A:A,Compartments_Added!B:B))="Stock","OK stock","OK flow"),IF(_xlfn.XLOOKUP(L21,'Compartments_Kawecki&amp;Nowack19'!A:A,'Compartments_Kawecki&amp;Nowack19'!B:B,_xlfn.XLOOKUP(L21,Compartments_Added!A:A,Compartments_Added!B:B))="Sink","OK, Sink","Missing"))</f>
        <v>OK flow</v>
      </c>
      <c r="N21" s="6"/>
      <c r="O21" s="6" t="str">
        <f>Lifetimes_pairs!A19</f>
        <v>Wall paint (prof) outdoor (in use)</v>
      </c>
      <c r="P21" s="6" t="str">
        <f>Lifetimes_pairs!B19</f>
        <v>WallPaintProfOutIU</v>
      </c>
      <c r="Q21" t="str">
        <f>Lifetimes!S1</f>
        <v>OtherOther</v>
      </c>
      <c r="R21" t="str">
        <f t="shared" si="2"/>
        <v>Missing</v>
      </c>
      <c r="AA21" s="465" t="s">
        <v>1843</v>
      </c>
    </row>
    <row r="22" spans="1:27">
      <c r="J22" s="306" t="str">
        <v>Agricultural greenhouse films (discarded)</v>
      </c>
      <c r="K22" s="311" t="str">
        <f>IF(ISBLANK(J22),"",IF(COUNTIF(L:L,J22),IF(_xlfn.XLOOKUP(J22,'Compartments_Kawecki&amp;Nowack19'!A:A,'Compartments_Kawecki&amp;Nowack19'!B:B,_xlfn.XLOOKUP(J22,Compartments_Added!A:A,Compartments_Added!B:B))="Stock","OK stock","OK flow"),IF(COUNTIF($G$4:$G$18,J22),IF(COUNTIF($E$4:$E$18,J22),"OK input","Missing"),"Missing")))</f>
        <v>OK stock</v>
      </c>
      <c r="L22" s="306" t="str">
        <v>Collected organic waste</v>
      </c>
      <c r="M22" s="311" t="str">
        <f>IF(COUNTIF(J:J,L22),IF(_xlfn.XLOOKUP(L22,'Compartments_Kawecki&amp;Nowack19'!A:A,'Compartments_Kawecki&amp;Nowack19'!B:B,_xlfn.XLOOKUP(L22,Compartments_Added!A:A,Compartments_Added!B:B))="Stock","OK stock","OK flow"),IF(_xlfn.XLOOKUP(L22,'Compartments_Kawecki&amp;Nowack19'!A:A,'Compartments_Kawecki&amp;Nowack19'!B:B,_xlfn.XLOOKUP(L22,Compartments_Added!A:A,Compartments_Added!B:B))="Sink","OK, Sink","Missing"))</f>
        <v>OK flow</v>
      </c>
      <c r="N22" s="6"/>
      <c r="O22" s="6" t="str">
        <f>Lifetimes_pairs!A20</f>
        <v>Wall paint (prof) indoor (in use)</v>
      </c>
      <c r="P22" s="6" t="str">
        <f>Lifetimes_pairs!B20</f>
        <v>WallPaintProfInIU</v>
      </c>
      <c r="Q22" t="str">
        <f>Lifetimes!T1</f>
        <v>PipesDucts</v>
      </c>
      <c r="R22" t="str">
        <f t="shared" si="2"/>
        <v>Missing</v>
      </c>
      <c r="AA22" s="465" t="s">
        <v>1844</v>
      </c>
    </row>
    <row r="23" spans="1:27">
      <c r="J23" s="306" t="str">
        <v>Agrotextiles (discarded)</v>
      </c>
      <c r="K23" s="311" t="str">
        <f>IF(ISBLANK(J23),"",IF(COUNTIF(L:L,J23),IF(_xlfn.XLOOKUP(J23,'Compartments_Kawecki&amp;Nowack19'!A:A,'Compartments_Kawecki&amp;Nowack19'!B:B,_xlfn.XLOOKUP(J23,Compartments_Added!A:A,Compartments_Added!B:B))="Stock","OK stock","OK flow"),IF(COUNTIF($G$4:$G$18,J23),IF(COUNTIF($E$4:$E$18,J23),"OK input","Missing"),"Missing")))</f>
        <v>OK stock</v>
      </c>
      <c r="L23" s="306" t="str">
        <v>Dumping</v>
      </c>
      <c r="M23" s="311" t="str">
        <f>IF(COUNTIF(J:J,L23),IF(_xlfn.XLOOKUP(L23,'Compartments_Kawecki&amp;Nowack19'!A:A,'Compartments_Kawecki&amp;Nowack19'!B:B,_xlfn.XLOOKUP(L23,Compartments_Added!A:A,Compartments_Added!B:B))="Stock","OK stock","OK flow"),IF(_xlfn.XLOOKUP(L23,'Compartments_Kawecki&amp;Nowack19'!A:A,'Compartments_Kawecki&amp;Nowack19'!B:B,_xlfn.XLOOKUP(L23,Compartments_Added!A:A,Compartments_Added!B:B))="Sink","OK, Sink","Missing"))</f>
        <v>OK flow</v>
      </c>
      <c r="N23" s="6"/>
      <c r="O23" s="6" t="str">
        <f>Lifetimes_pairs!A21</f>
        <v>Wall paint (prof) outdoor (discarded)</v>
      </c>
      <c r="P23" s="6" t="str">
        <f>Lifetimes_pairs!B21</f>
        <v>WallPaintProfOutDis</v>
      </c>
      <c r="Q23" t="str">
        <f>Lifetimes!U1</f>
        <v>OtherOilGas</v>
      </c>
      <c r="R23" t="str">
        <f t="shared" si="2"/>
        <v>Missing</v>
      </c>
      <c r="AA23" s="465" t="s">
        <v>1845</v>
      </c>
    </row>
    <row r="24" spans="1:27">
      <c r="J24" s="306" t="str">
        <v>Agrotextiles (in use)</v>
      </c>
      <c r="K24" s="311" t="str">
        <f>IF(ISBLANK(J24),"",IF(COUNTIF(L:L,J24),IF(_xlfn.XLOOKUP(J24,'Compartments_Kawecki&amp;Nowack19'!A:A,'Compartments_Kawecki&amp;Nowack19'!B:B,_xlfn.XLOOKUP(J24,Compartments_Added!A:A,Compartments_Added!B:B))="Stock","OK stock","OK flow"),IF(COUNTIF($G$4:$G$18,J24),IF(COUNTIF($E$4:$E$18,J24),"OK input","Missing"),"Missing")))</f>
        <v>OK stock</v>
      </c>
      <c r="L24" s="306" t="str">
        <v>Building textiles (discarded)</v>
      </c>
      <c r="M24" s="311" t="str">
        <f>IF(COUNTIF(J:J,L24),IF(_xlfn.XLOOKUP(L24,'Compartments_Kawecki&amp;Nowack19'!A:A,'Compartments_Kawecki&amp;Nowack19'!B:B,_xlfn.XLOOKUP(L24,Compartments_Added!A:A,Compartments_Added!B:B))="Stock","OK stock","OK flow"),IF(_xlfn.XLOOKUP(L24,'Compartments_Kawecki&amp;Nowack19'!A:A,'Compartments_Kawecki&amp;Nowack19'!B:B,_xlfn.XLOOKUP(L24,Compartments_Added!A:A,Compartments_Added!B:B))="Sink","OK, Sink","Missing"))</f>
        <v>OK stock</v>
      </c>
      <c r="N24" s="6"/>
      <c r="O24" s="6" t="str">
        <f>Lifetimes_pairs!A22</f>
        <v>Wall paint (prof) indoor (discarded)</v>
      </c>
      <c r="P24" s="6" t="str">
        <f>Lifetimes_pairs!B22</f>
        <v>WallPaintProfInDis</v>
      </c>
      <c r="Q24" t="str">
        <f>Lifetimes!V1</f>
        <v>InfillSportsFieldDis</v>
      </c>
      <c r="R24" t="str">
        <f t="shared" si="2"/>
        <v>OK</v>
      </c>
      <c r="S24" t="s">
        <v>1846</v>
      </c>
      <c r="AA24" s="465" t="s">
        <v>1847</v>
      </c>
    </row>
    <row r="25" spans="1:27">
      <c r="J25" s="306" t="str">
        <v>Building textiles</v>
      </c>
      <c r="K25" s="311" t="str">
        <f>IF(ISBLANK(J25),"",IF(COUNTIF(L:L,J25),IF(_xlfn.XLOOKUP(J25,'Compartments_Kawecki&amp;Nowack19'!A:A,'Compartments_Kawecki&amp;Nowack19'!B:B,_xlfn.XLOOKUP(J25,Compartments_Added!A:A,Compartments_Added!B:B))="Stock","OK stock","OK flow"),IF(COUNTIF($G$4:$G$18,J25),IF(COUNTIF($E$4:$E$18,J25),"OK input","Missing"),"Missing")))</f>
        <v>OK flow</v>
      </c>
      <c r="L25" s="306" t="str">
        <v>Building textiles (in use)</v>
      </c>
      <c r="M25" s="311" t="str">
        <f>IF(COUNTIF(J:J,L25),IF(_xlfn.XLOOKUP(L25,'Compartments_Kawecki&amp;Nowack19'!A:A,'Compartments_Kawecki&amp;Nowack19'!B:B,_xlfn.XLOOKUP(L25,Compartments_Added!A:A,Compartments_Added!B:B))="Stock","OK stock","OK flow"),IF(_xlfn.XLOOKUP(L25,'Compartments_Kawecki&amp;Nowack19'!A:A,'Compartments_Kawecki&amp;Nowack19'!B:B,_xlfn.XLOOKUP(L25,Compartments_Added!A:A,Compartments_Added!B:B))="Sink","OK, Sink","Missing"))</f>
        <v>OK stock</v>
      </c>
      <c r="N25" s="6"/>
      <c r="O25" s="6" t="str">
        <f>Lifetimes_pairs!A23</f>
        <v>Plaster (prof) outdoor (in use)</v>
      </c>
      <c r="P25" s="6" t="str">
        <f>Lifetimes_pairs!B23</f>
        <v>PlasterProfOutIU</v>
      </c>
      <c r="Q25" t="str">
        <f>Lifetimes!W1</f>
        <v>InfillSportsFieldU</v>
      </c>
      <c r="R25" t="str">
        <f t="shared" si="2"/>
        <v>OK</v>
      </c>
      <c r="AA25" s="465" t="s">
        <v>1848</v>
      </c>
    </row>
    <row r="26" spans="1:27">
      <c r="J26" s="306" t="str">
        <v>Building textiles (discarded)</v>
      </c>
      <c r="K26" s="311" t="str">
        <f>IF(ISBLANK(J26),"",IF(COUNTIF(L:L,J26),IF(_xlfn.XLOOKUP(J26,'Compartments_Kawecki&amp;Nowack19'!A:A,'Compartments_Kawecki&amp;Nowack19'!B:B,_xlfn.XLOOKUP(J26,Compartments_Added!A:A,Compartments_Added!B:B))="Stock","OK stock","OK flow"),IF(COUNTIF($G$4:$G$18,J26),IF(COUNTIF($E$4:$E$18,J26),"OK input","Missing"),"Missing")))</f>
        <v>OK stock</v>
      </c>
      <c r="L26" s="306" t="str">
        <v>Construction and demolition incinerable waste collection</v>
      </c>
      <c r="M26" s="311" t="str">
        <f>IF(COUNTIF(J:J,L26),IF(_xlfn.XLOOKUP(L26,'Compartments_Kawecki&amp;Nowack19'!A:A,'Compartments_Kawecki&amp;Nowack19'!B:B,_xlfn.XLOOKUP(L26,Compartments_Added!A:A,Compartments_Added!B:B))="Stock","OK stock","OK flow"),IF(_xlfn.XLOOKUP(L26,'Compartments_Kawecki&amp;Nowack19'!A:A,'Compartments_Kawecki&amp;Nowack19'!B:B,_xlfn.XLOOKUP(L26,Compartments_Added!A:A,Compartments_Added!B:B))="Sink","OK, Sink","Missing"))</f>
        <v>OK flow</v>
      </c>
      <c r="N26" s="6"/>
      <c r="O26" s="6" t="str">
        <f>Lifetimes_pairs!A24</f>
        <v>Plaster (prof) indoor (in use)</v>
      </c>
      <c r="P26" s="6" t="str">
        <f>Lifetimes_pairs!B24</f>
        <v>PlasterProfInIU</v>
      </c>
      <c r="Q26" t="str">
        <f>Lifetimes!X1</f>
        <v>ClothingDis</v>
      </c>
      <c r="R26" t="str">
        <f t="shared" si="2"/>
        <v>OK</v>
      </c>
      <c r="AA26" s="465" t="s">
        <v>1849</v>
      </c>
    </row>
    <row r="27" spans="1:27">
      <c r="J27" s="306" t="str">
        <v>Building textiles (in use)</v>
      </c>
      <c r="K27" s="311" t="str">
        <f>IF(ISBLANK(J27),"",IF(COUNTIF(L:L,J27),IF(_xlfn.XLOOKUP(J27,'Compartments_Kawecki&amp;Nowack19'!A:A,'Compartments_Kawecki&amp;Nowack19'!B:B,_xlfn.XLOOKUP(J27,Compartments_Added!A:A,Compartments_Added!B:B))="Stock","OK stock","OK flow"),IF(COUNTIF($G$4:$G$18,J27),IF(COUNTIF($E$4:$E$18,J27),"OK input","Missing"),"Missing")))</f>
        <v>OK stock</v>
      </c>
      <c r="L27" s="306" t="str">
        <v>Building packaging films</v>
      </c>
      <c r="M27" s="311" t="str">
        <f>IF(COUNTIF(J:J,L27),IF(_xlfn.XLOOKUP(L27,'Compartments_Kawecki&amp;Nowack19'!A:A,'Compartments_Kawecki&amp;Nowack19'!B:B,_xlfn.XLOOKUP(L27,Compartments_Added!A:A,Compartments_Added!B:B))="Stock","OK stock","OK flow"),IF(_xlfn.XLOOKUP(L27,'Compartments_Kawecki&amp;Nowack19'!A:A,'Compartments_Kawecki&amp;Nowack19'!B:B,_xlfn.XLOOKUP(L27,Compartments_Added!A:A,Compartments_Added!B:B))="Sink","OK, Sink","Missing"))</f>
        <v>OK flow</v>
      </c>
      <c r="N27" s="6"/>
      <c r="O27" s="6" t="str">
        <f>Lifetimes_pairs!A25</f>
        <v>Plaster (prof) outdoor (discarded)</v>
      </c>
      <c r="P27" s="6" t="str">
        <f>Lifetimes_pairs!B25</f>
        <v>PlasterProfOutDis</v>
      </c>
      <c r="Q27" t="str">
        <f>Lifetimes!Y1</f>
        <v>ClothingIUWearTear</v>
      </c>
      <c r="R27" t="str">
        <f t="shared" si="2"/>
        <v>OK</v>
      </c>
      <c r="AA27" s="465" t="s">
        <v>1850</v>
      </c>
    </row>
    <row r="28" spans="1:27">
      <c r="J28" s="306" t="str">
        <v>ELV textiles collection</v>
      </c>
      <c r="K28" s="311" t="str">
        <f>IF(ISBLANK(J28),"",IF(COUNTIF(L:L,J28),IF(_xlfn.XLOOKUP(J28,'Compartments_Kawecki&amp;Nowack19'!A:A,'Compartments_Kawecki&amp;Nowack19'!B:B,_xlfn.XLOOKUP(J28,Compartments_Added!A:A,Compartments_Added!B:B))="Stock","OK stock","OK flow"),IF(COUNTIF($G$4:$G$18,J28),IF(COUNTIF($E$4:$E$18,J28),"OK input","Missing"),"Missing")))</f>
        <v>OK flow</v>
      </c>
      <c r="L28" s="306" t="str">
        <v>Geotextiles (discarded)</v>
      </c>
      <c r="M28" s="311" t="str">
        <f>IF(COUNTIF(J:J,L28),IF(_xlfn.XLOOKUP(L28,'Compartments_Kawecki&amp;Nowack19'!A:A,'Compartments_Kawecki&amp;Nowack19'!B:B,_xlfn.XLOOKUP(L28,Compartments_Added!A:A,Compartments_Added!B:B))="Stock","OK stock","OK flow"),IF(_xlfn.XLOOKUP(L28,'Compartments_Kawecki&amp;Nowack19'!A:A,'Compartments_Kawecki&amp;Nowack19'!B:B,_xlfn.XLOOKUP(L28,Compartments_Added!A:A,Compartments_Added!B:B))="Sink","OK, Sink","Missing"))</f>
        <v>OK stock</v>
      </c>
      <c r="N28" s="6"/>
      <c r="O28" s="6" t="str">
        <f>Lifetimes_pairs!A26</f>
        <v>Plaster (prof) indoor (discarded)</v>
      </c>
      <c r="P28" s="6" t="str">
        <f>Lifetimes_pairs!B26</f>
        <v>PlasterProfInDis</v>
      </c>
      <c r="Q28" t="str">
        <f>Lifetimes!Z1</f>
        <v>ClothingIUWashDry</v>
      </c>
      <c r="R28" t="str">
        <f t="shared" si="2"/>
        <v>OK</v>
      </c>
      <c r="AA28" s="465" t="s">
        <v>1851</v>
      </c>
    </row>
    <row r="29" spans="1:27">
      <c r="J29" s="306" t="str">
        <v>Geotextiles</v>
      </c>
      <c r="K29" s="311" t="str">
        <f>IF(ISBLANK(J29),"",IF(COUNTIF(L:L,J29),IF(_xlfn.XLOOKUP(J29,'Compartments_Kawecki&amp;Nowack19'!A:A,'Compartments_Kawecki&amp;Nowack19'!B:B,_xlfn.XLOOKUP(J29,Compartments_Added!A:A,Compartments_Added!B:B))="Stock","OK stock","OK flow"),IF(COUNTIF($G$4:$G$18,J29),IF(COUNTIF($E$4:$E$18,J29),"OK input","Missing"),"Missing")))</f>
        <v>OK flow</v>
      </c>
      <c r="L29" s="306" t="str">
        <v>Geotextiles (in use)</v>
      </c>
      <c r="M29" s="311" t="str">
        <f>IF(COUNTIF(J:J,L29),IF(_xlfn.XLOOKUP(L29,'Compartments_Kawecki&amp;Nowack19'!A:A,'Compartments_Kawecki&amp;Nowack19'!B:B,_xlfn.XLOOKUP(L29,Compartments_Added!A:A,Compartments_Added!B:B))="Stock","OK stock","OK flow"),IF(_xlfn.XLOOKUP(L29,'Compartments_Kawecki&amp;Nowack19'!A:A,'Compartments_Kawecki&amp;Nowack19'!B:B,_xlfn.XLOOKUP(L29,Compartments_Added!A:A,Compartments_Added!B:B))="Sink","OK, Sink","Missing"))</f>
        <v>OK stock</v>
      </c>
      <c r="N29" s="6"/>
      <c r="O29" s="6" t="str">
        <f>Lifetimes_pairs!A27</f>
        <v>Other paint uses (prof) outdoor (in use)</v>
      </c>
      <c r="P29" s="6" t="str">
        <f>Lifetimes_pairs!B27</f>
        <v>OtherPaintUsesProfOutIU</v>
      </c>
      <c r="Q29" t="str">
        <f>Lifetimes!AA1</f>
        <v>HomeTextilesDis</v>
      </c>
      <c r="R29" t="str">
        <f t="shared" si="2"/>
        <v>OK</v>
      </c>
      <c r="AA29" s="465" t="s">
        <v>1852</v>
      </c>
    </row>
    <row r="30" spans="1:27">
      <c r="J30" s="306" t="str">
        <v>Geotextiles (discarded)</v>
      </c>
      <c r="K30" s="311" t="str">
        <f>IF(ISBLANK(J30),"",IF(COUNTIF(L:L,J30),IF(_xlfn.XLOOKUP(J30,'Compartments_Kawecki&amp;Nowack19'!A:A,'Compartments_Kawecki&amp;Nowack19'!B:B,_xlfn.XLOOKUP(J30,Compartments_Added!A:A,Compartments_Added!B:B))="Stock","OK stock","OK flow"),IF(COUNTIF($G$4:$G$18,J30),IF(COUNTIF($E$4:$E$18,J30),"OK input","Missing"),"Missing")))</f>
        <v>OK stock</v>
      </c>
      <c r="L30" s="306" t="str">
        <v>Sub-surface soil (micro)</v>
      </c>
      <c r="M30" s="311" t="str">
        <f>IF(COUNTIF(J:J,L30),IF(_xlfn.XLOOKUP(L30,'Compartments_Kawecki&amp;Nowack19'!A:A,'Compartments_Kawecki&amp;Nowack19'!B:B,_xlfn.XLOOKUP(L30,Compartments_Added!A:A,Compartments_Added!B:B))="Stock","OK stock","OK flow"),IF(_xlfn.XLOOKUP(L30,'Compartments_Kawecki&amp;Nowack19'!A:A,'Compartments_Kawecki&amp;Nowack19'!B:B,_xlfn.XLOOKUP(L30,Compartments_Added!A:A,Compartments_Added!B:B))="Sink","OK, Sink","Missing"))</f>
        <v>OK, Sink</v>
      </c>
      <c r="N30" s="6"/>
      <c r="O30" s="6" t="str">
        <f>Lifetimes_pairs!A28</f>
        <v>Other paint uses (prof) indoor (in use)</v>
      </c>
      <c r="P30" s="6" t="str">
        <f>Lifetimes_pairs!B28</f>
        <v>OtherPaintUsesProfInIU</v>
      </c>
      <c r="Q30" t="str">
        <f>Lifetimes!AB1</f>
        <v>HomeTextilesIU</v>
      </c>
      <c r="R30" t="str">
        <f t="shared" si="2"/>
        <v>OK</v>
      </c>
      <c r="AA30" s="465" t="s">
        <v>1853</v>
      </c>
    </row>
    <row r="31" spans="1:27">
      <c r="J31" s="306" t="str">
        <v>Geotextiles (in use)</v>
      </c>
      <c r="K31" s="311" t="str">
        <f>IF(ISBLANK(J31),"",IF(COUNTIF(L:L,J31),IF(_xlfn.XLOOKUP(J31,'Compartments_Kawecki&amp;Nowack19'!A:A,'Compartments_Kawecki&amp;Nowack19'!B:B,_xlfn.XLOOKUP(J31,Compartments_Added!A:A,Compartments_Added!B:B))="Stock","OK stock","OK flow"),IF(COUNTIF($G$4:$G$18,J31),IF(COUNTIF($E$4:$E$18,J31),"OK input","Missing"),"Missing")))</f>
        <v>OK stock</v>
      </c>
      <c r="L31" s="306" t="str">
        <v>Home textiles (discarded)</v>
      </c>
      <c r="M31" s="311" t="str">
        <f>IF(COUNTIF(J:J,L31),IF(_xlfn.XLOOKUP(L31,'Compartments_Kawecki&amp;Nowack19'!A:A,'Compartments_Kawecki&amp;Nowack19'!B:B,_xlfn.XLOOKUP(L31,Compartments_Added!A:A,Compartments_Added!B:B))="Stock","OK stock","OK flow"),IF(_xlfn.XLOOKUP(L31,'Compartments_Kawecki&amp;Nowack19'!A:A,'Compartments_Kawecki&amp;Nowack19'!B:B,_xlfn.XLOOKUP(L31,Compartments_Added!A:A,Compartments_Added!B:B))="Sink","OK, Sink","Missing"))</f>
        <v>OK stock</v>
      </c>
      <c r="N31" s="6"/>
      <c r="O31" s="6" t="str">
        <f>Lifetimes_pairs!A29</f>
        <v>Other paint uses (prof) outdoor (discarded)</v>
      </c>
      <c r="P31" s="6" t="str">
        <f>Lifetimes_pairs!B29</f>
        <v>OtherPaintUsesProfOutDis</v>
      </c>
      <c r="Q31" t="str">
        <f>Lifetimes!AC1</f>
        <v>TechHomeTextilesDis</v>
      </c>
      <c r="R31" t="str">
        <f t="shared" si="2"/>
        <v>OK</v>
      </c>
      <c r="AA31" s="465" t="s">
        <v>1854</v>
      </c>
    </row>
    <row r="32" spans="1:27">
      <c r="J32" s="306" t="str">
        <v>Home textiles</v>
      </c>
      <c r="K32" s="311" t="str">
        <f>IF(ISBLANK(J32),"",IF(COUNTIF(L:L,J32),IF(_xlfn.XLOOKUP(J32,'Compartments_Kawecki&amp;Nowack19'!A:A,'Compartments_Kawecki&amp;Nowack19'!B:B,_xlfn.XLOOKUP(J32,Compartments_Added!A:A,Compartments_Added!B:B))="Stock","OK stock","OK flow"),IF(COUNTIF($G$4:$G$18,J32),IF(COUNTIF($E$4:$E$18,J32),"OK input","Missing"),"Missing")))</f>
        <v>OK flow</v>
      </c>
      <c r="L32" s="306" t="str">
        <v>Home textiles (in use)</v>
      </c>
      <c r="M32" s="311" t="str">
        <f>IF(COUNTIF(J:J,L32),IF(_xlfn.XLOOKUP(L32,'Compartments_Kawecki&amp;Nowack19'!A:A,'Compartments_Kawecki&amp;Nowack19'!B:B,_xlfn.XLOOKUP(L32,Compartments_Added!A:A,Compartments_Added!B:B))="Stock","OK stock","OK flow"),IF(_xlfn.XLOOKUP(L32,'Compartments_Kawecki&amp;Nowack19'!A:A,'Compartments_Kawecki&amp;Nowack19'!B:B,_xlfn.XLOOKUP(L32,Compartments_Added!A:A,Compartments_Added!B:B))="Sink","OK, Sink","Missing"))</f>
        <v>OK stock</v>
      </c>
      <c r="N32" s="6"/>
      <c r="O32" s="6" t="str">
        <f>Lifetimes_pairs!A30</f>
        <v>Other paint uses (prof) indoor (discarded)</v>
      </c>
      <c r="P32" s="6" t="str">
        <f>Lifetimes_pairs!B30</f>
        <v>OtherPaintUsesProfInDis</v>
      </c>
      <c r="Q32" t="str">
        <f>Lifetimes!AD1</f>
        <v>TechHomeTextilesIU</v>
      </c>
      <c r="R32" t="str">
        <f t="shared" si="2"/>
        <v>OK</v>
      </c>
      <c r="AA32" s="465" t="s">
        <v>1855</v>
      </c>
    </row>
    <row r="33" spans="10:27">
      <c r="J33" s="306" t="str">
        <v>Clothing (product sector)</v>
      </c>
      <c r="K33" s="311" t="str">
        <f>IF(ISBLANK(J33),"",IF(COUNTIF(L:L,J33),IF(_xlfn.XLOOKUP(J33,'Compartments_Kawecki&amp;Nowack19'!A:A,'Compartments_Kawecki&amp;Nowack19'!B:B,_xlfn.XLOOKUP(J33,Compartments_Added!A:A,Compartments_Added!B:B))="Stock","OK stock","OK flow"),IF(COUNTIF($G$4:$G$18,J33),IF(COUNTIF($E$4:$E$18,J33),"OK input","Missing"),"Missing")))</f>
        <v>OK input</v>
      </c>
      <c r="L33" s="306" t="str">
        <v>Clothing (discarded)</v>
      </c>
      <c r="M33" s="311" t="str">
        <f>IF(COUNTIF(J:J,L33),IF(_xlfn.XLOOKUP(L33,'Compartments_Kawecki&amp;Nowack19'!A:A,'Compartments_Kawecki&amp;Nowack19'!B:B,_xlfn.XLOOKUP(L33,Compartments_Added!A:A,Compartments_Added!B:B))="Stock","OK stock","OK flow"),IF(_xlfn.XLOOKUP(L33,'Compartments_Kawecki&amp;Nowack19'!A:A,'Compartments_Kawecki&amp;Nowack19'!B:B,_xlfn.XLOOKUP(L33,Compartments_Added!A:A,Compartments_Added!B:B))="Sink","OK, Sink","Missing"))</f>
        <v>OK stock</v>
      </c>
      <c r="N33" s="6"/>
      <c r="O33" s="6" t="str">
        <f>Lifetimes_pairs!A31</f>
        <v>Paints used in pre-made wooden products outdoor (in use)</v>
      </c>
      <c r="P33" s="6" t="str">
        <f>Lifetimes_pairs!B31</f>
        <v>PaintsPreMadeWoodOutIU</v>
      </c>
      <c r="Q33" t="str">
        <f>Lifetimes!AE1</f>
        <v>MedicalTextiles</v>
      </c>
      <c r="R33" t="str">
        <f t="shared" si="2"/>
        <v>OK</v>
      </c>
      <c r="AA33" s="465" t="s">
        <v>1856</v>
      </c>
    </row>
    <row r="34" spans="10:27">
      <c r="J34" s="306" t="str">
        <v>Clothing (in use)</v>
      </c>
      <c r="K34" s="311" t="str">
        <f>IF(ISBLANK(J34),"",IF(COUNTIF(L:L,J34),IF(_xlfn.XLOOKUP(J34,'Compartments_Kawecki&amp;Nowack19'!A:A,'Compartments_Kawecki&amp;Nowack19'!B:B,_xlfn.XLOOKUP(J34,Compartments_Added!A:A,Compartments_Added!B:B))="Stock","OK stock","OK flow"),IF(COUNTIF($G$4:$G$18,J34),IF(COUNTIF($E$4:$E$18,J34),"OK input","Missing"),"Missing")))</f>
        <v>OK flow</v>
      </c>
      <c r="L34" s="306" t="str">
        <v>Clothing (in use)</v>
      </c>
      <c r="M34" s="311" t="str">
        <f>IF(COUNTIF(J:J,L34),IF(_xlfn.XLOOKUP(L34,'Compartments_Kawecki&amp;Nowack19'!A:A,'Compartments_Kawecki&amp;Nowack19'!B:B,_xlfn.XLOOKUP(L34,Compartments_Added!A:A,Compartments_Added!B:B))="Stock","OK stock","OK flow"),IF(_xlfn.XLOOKUP(L34,'Compartments_Kawecki&amp;Nowack19'!A:A,'Compartments_Kawecki&amp;Nowack19'!B:B,_xlfn.XLOOKUP(L34,Compartments_Added!A:A,Compartments_Added!B:B))="Sink","OK, Sink","Missing"))</f>
        <v>OK flow</v>
      </c>
      <c r="N34" s="6"/>
      <c r="O34" s="6" t="str">
        <f>Lifetimes_pairs!A32</f>
        <v>Paints used in pre-made wooden products indoor (in use)</v>
      </c>
      <c r="P34" s="6" t="str">
        <f>Lifetimes_pairs!B32</f>
        <v>PaintsPreMadeWoodInIU</v>
      </c>
      <c r="Q34" t="str">
        <f>Lifetimes!AF1</f>
        <v>AgrotextilesDis</v>
      </c>
      <c r="R34" t="str">
        <f t="shared" si="2"/>
        <v>OK</v>
      </c>
      <c r="AA34" s="465" t="s">
        <v>1857</v>
      </c>
    </row>
    <row r="35" spans="10:27">
      <c r="J35" s="306" t="str">
        <v>Consumer bags</v>
      </c>
      <c r="K35" s="311" t="str">
        <f>IF(ISBLANK(J35),"",IF(COUNTIF(L:L,J35),IF(_xlfn.XLOOKUP(J35,'Compartments_Kawecki&amp;Nowack19'!A:A,'Compartments_Kawecki&amp;Nowack19'!B:B,_xlfn.XLOOKUP(J35,Compartments_Added!A:A,Compartments_Added!B:B))="Stock","OK stock","OK flow"),IF(COUNTIF($G$4:$G$18,J35),IF(COUNTIF($E$4:$E$18,J35),"OK input","Missing"),"Missing")))</f>
        <v>OK stock</v>
      </c>
      <c r="L35" s="306" t="str">
        <v>Clothing (in use) wash &amp; dry</v>
      </c>
      <c r="M35" s="311" t="str">
        <f>IF(COUNTIF(J:J,L35),IF(_xlfn.XLOOKUP(L35,'Compartments_Kawecki&amp;Nowack19'!A:A,'Compartments_Kawecki&amp;Nowack19'!B:B,_xlfn.XLOOKUP(L35,Compartments_Added!A:A,Compartments_Added!B:B))="Stock","OK stock","OK flow"),IF(_xlfn.XLOOKUP(L35,'Compartments_Kawecki&amp;Nowack19'!A:A,'Compartments_Kawecki&amp;Nowack19'!B:B,_xlfn.XLOOKUP(L35,Compartments_Added!A:A,Compartments_Added!B:B))="Sink","OK, Sink","Missing"))</f>
        <v>OK stock</v>
      </c>
      <c r="N35" s="6"/>
      <c r="O35" s="6" t="str">
        <f>Lifetimes_pairs!A33</f>
        <v>Paints used in pre-made wooden products outdoor (discarded)</v>
      </c>
      <c r="P35" s="6" t="str">
        <f>Lifetimes_pairs!B33</f>
        <v>PaintsPreMadeWoodOutDis</v>
      </c>
      <c r="Q35" t="str">
        <f>Lifetimes!AG1</f>
        <v>AgrotextilesIU</v>
      </c>
      <c r="R35" t="str">
        <f t="shared" si="2"/>
        <v>OK</v>
      </c>
      <c r="AA35" s="465" t="s">
        <v>1858</v>
      </c>
    </row>
    <row r="36" spans="10:27">
      <c r="J36" s="306" t="str">
        <v>Consumer bottles</v>
      </c>
      <c r="K36" s="311" t="str">
        <f>IF(ISBLANK(J36),"",IF(COUNTIF(L:L,J36),IF(_xlfn.XLOOKUP(J36,'Compartments_Kawecki&amp;Nowack19'!A:A,'Compartments_Kawecki&amp;Nowack19'!B:B,_xlfn.XLOOKUP(J36,Compartments_Added!A:A,Compartments_Added!B:B))="Stock","OK stock","OK flow"),IF(COUNTIF($G$4:$G$18,J36),IF(COUNTIF($E$4:$E$18,J36),"OK input","Missing"),"Missing")))</f>
        <v>OK stock</v>
      </c>
      <c r="L36" s="306" t="str">
        <v>Clothing (in use) wear &amp; tear</v>
      </c>
      <c r="M36" s="311" t="str">
        <f>IF(COUNTIF(J:J,L36),IF(_xlfn.XLOOKUP(L36,'Compartments_Kawecki&amp;Nowack19'!A:A,'Compartments_Kawecki&amp;Nowack19'!B:B,_xlfn.XLOOKUP(L36,Compartments_Added!A:A,Compartments_Added!B:B))="Stock","OK stock","OK flow"),IF(_xlfn.XLOOKUP(L36,'Compartments_Kawecki&amp;Nowack19'!A:A,'Compartments_Kawecki&amp;Nowack19'!B:B,_xlfn.XLOOKUP(L36,Compartments_Added!A:A,Compartments_Added!B:B))="Sink","OK, Sink","Missing"))</f>
        <v>OK stock</v>
      </c>
      <c r="N36" s="6"/>
      <c r="O36" s="6" t="str">
        <f>Lifetimes_pairs!A34</f>
        <v>Paints used in pre-made wooden products indoor (discarded)</v>
      </c>
      <c r="P36" s="6" t="str">
        <f>Lifetimes_pairs!B34</f>
        <v>PaintsPreMadeWoodInDis</v>
      </c>
      <c r="Q36" t="str">
        <f>Lifetimes!AH1</f>
        <v>MobilityTextiles</v>
      </c>
      <c r="R36" t="str">
        <f t="shared" si="2"/>
        <v>OK</v>
      </c>
      <c r="AA36" s="465" t="s">
        <v>1859</v>
      </c>
    </row>
    <row r="37" spans="10:27">
      <c r="J37" s="306" t="str">
        <v>Consumer films</v>
      </c>
      <c r="K37" s="311" t="str">
        <f>IF(ISBLANK(J37),"",IF(COUNTIF(L:L,J37),IF(_xlfn.XLOOKUP(J37,'Compartments_Kawecki&amp;Nowack19'!A:A,'Compartments_Kawecki&amp;Nowack19'!B:B,_xlfn.XLOOKUP(J37,Compartments_Added!A:A,Compartments_Added!B:B))="Stock","OK stock","OK flow"),IF(COUNTIF($G$4:$G$18,J37),IF(COUNTIF($E$4:$E$18,J37),"OK input","Missing"),"Missing")))</f>
        <v>OK stock</v>
      </c>
      <c r="L37" s="306" t="str">
        <v>Collected organic waste (larger than 1 mm)</v>
      </c>
      <c r="M37" s="311" t="str">
        <f>IF(COUNTIF(J:J,L37),IF(_xlfn.XLOOKUP(L37,'Compartments_Kawecki&amp;Nowack19'!A:A,'Compartments_Kawecki&amp;Nowack19'!B:B,_xlfn.XLOOKUP(L37,Compartments_Added!A:A,Compartments_Added!B:B))="Stock","OK stock","OK flow"),IF(_xlfn.XLOOKUP(L37,'Compartments_Kawecki&amp;Nowack19'!A:A,'Compartments_Kawecki&amp;Nowack19'!B:B,_xlfn.XLOOKUP(L37,Compartments_Added!A:A,Compartments_Added!B:B))="Sink","OK, Sink","Missing"))</f>
        <v>OK flow</v>
      </c>
      <c r="N37" s="6"/>
      <c r="O37" s="6" t="str">
        <f>Lifetimes_pairs!A35</f>
        <v>Lacquer (DIY) outdoor (in use)</v>
      </c>
      <c r="P37" s="6" t="str">
        <f>Lifetimes_pairs!B35</f>
        <v>LacquerDiyOutIU</v>
      </c>
      <c r="Q37" t="str">
        <f>Lifetimes!AI1</f>
        <v>GeotextilesDis</v>
      </c>
      <c r="R37" t="str">
        <f t="shared" si="2"/>
        <v>OK</v>
      </c>
      <c r="AA37" s="465" t="s">
        <v>1860</v>
      </c>
    </row>
    <row r="38" spans="10:27">
      <c r="J38" s="306" t="str">
        <v>Other consumer packaging</v>
      </c>
      <c r="K38" s="311" t="str">
        <f>IF(ISBLANK(J38),"",IF(COUNTIF(L:L,J38),IF(_xlfn.XLOOKUP(J38,'Compartments_Kawecki&amp;Nowack19'!A:A,'Compartments_Kawecki&amp;Nowack19'!B:B,_xlfn.XLOOKUP(J38,Compartments_Added!A:A,Compartments_Added!B:B))="Stock","OK stock","OK flow"),IF(COUNTIF($G$4:$G$18,J38),IF(COUNTIF($E$4:$E$18,J38),"OK input","Missing"),"Missing")))</f>
        <v>OK stock</v>
      </c>
      <c r="L38" s="306" t="str">
        <v>Collected organic waste (smaller than 1 mm)</v>
      </c>
      <c r="M38" s="311" t="str">
        <f>IF(COUNTIF(J:J,L38),IF(_xlfn.XLOOKUP(L38,'Compartments_Kawecki&amp;Nowack19'!A:A,'Compartments_Kawecki&amp;Nowack19'!B:B,_xlfn.XLOOKUP(L38,Compartments_Added!A:A,Compartments_Added!B:B))="Stock","OK stock","OK flow"),IF(_xlfn.XLOOKUP(L38,'Compartments_Kawecki&amp;Nowack19'!A:A,'Compartments_Kawecki&amp;Nowack19'!B:B,_xlfn.XLOOKUP(L38,Compartments_Added!A:A,Compartments_Added!B:B))="Sink","OK, Sink","Missing"))</f>
        <v>OK flow</v>
      </c>
      <c r="N38" s="6"/>
      <c r="O38" s="6" t="str">
        <f>Lifetimes_pairs!A36</f>
        <v>Lacquer (DIY) indoor (in use)</v>
      </c>
      <c r="P38" s="6" t="str">
        <f>Lifetimes_pairs!B36</f>
        <v>LacquerDiyInIU</v>
      </c>
      <c r="Q38" t="str">
        <f>Lifetimes!AJ1</f>
        <v>GeotextilesIU</v>
      </c>
      <c r="R38" t="str">
        <f t="shared" si="2"/>
        <v>OK</v>
      </c>
      <c r="AA38" s="465" t="s">
        <v>1861</v>
      </c>
    </row>
    <row r="39" spans="10:27">
      <c r="J39" s="306" t="str">
        <v>Collected organic waste</v>
      </c>
      <c r="K39" s="311" t="str">
        <f>IF(ISBLANK(J39),"",IF(COUNTIF(L:L,J39),IF(_xlfn.XLOOKUP(J39,'Compartments_Kawecki&amp;Nowack19'!A:A,'Compartments_Kawecki&amp;Nowack19'!B:B,_xlfn.XLOOKUP(J39,Compartments_Added!A:A,Compartments_Added!B:B))="Stock","OK stock","OK flow"),IF(COUNTIF($G$4:$G$18,J39),IF(COUNTIF($E$4:$E$18,J39),"OK input","Missing"),"Missing")))</f>
        <v>OK flow</v>
      </c>
      <c r="L39" s="306" t="str">
        <v>Combined sewer overflow (macro)</v>
      </c>
      <c r="M39" s="311" t="str">
        <f>IF(COUNTIF(J:J,L39),IF(_xlfn.XLOOKUP(L39,'Compartments_Kawecki&amp;Nowack19'!A:A,'Compartments_Kawecki&amp;Nowack19'!B:B,_xlfn.XLOOKUP(L39,Compartments_Added!A:A,Compartments_Added!B:B))="Stock","OK stock","OK flow"),IF(_xlfn.XLOOKUP(L39,'Compartments_Kawecki&amp;Nowack19'!A:A,'Compartments_Kawecki&amp;Nowack19'!B:B,_xlfn.XLOOKUP(L39,Compartments_Added!A:A,Compartments_Added!B:B))="Sink","OK, Sink","Missing"))</f>
        <v>OK flow</v>
      </c>
      <c r="N39" s="6"/>
      <c r="O39" s="6" t="str">
        <f>Lifetimes_pairs!A37</f>
        <v>Lacquer (DIY) outdoor (discarded)</v>
      </c>
      <c r="P39" s="6" t="str">
        <f>Lifetimes_pairs!B37</f>
        <v>LacquerDiyOutDis</v>
      </c>
      <c r="Q39" t="str">
        <f>Lifetimes!AK1</f>
        <v>BuildingTextilesDis</v>
      </c>
      <c r="R39" t="str">
        <f t="shared" si="2"/>
        <v>OK</v>
      </c>
      <c r="AA39" s="465" t="s">
        <v>1862</v>
      </c>
    </row>
    <row r="40" spans="10:27">
      <c r="J40" s="306" t="str">
        <v>Wastewater treatment plant (macro)</v>
      </c>
      <c r="K40" s="311" t="str">
        <f>IF(ISBLANK(J40),"",IF(COUNTIF(L:L,J40),IF(_xlfn.XLOOKUP(J40,'Compartments_Kawecki&amp;Nowack19'!A:A,'Compartments_Kawecki&amp;Nowack19'!B:B,_xlfn.XLOOKUP(J40,Compartments_Added!A:A,Compartments_Added!B:B))="Stock","OK stock","OK flow"),IF(COUNTIF($G$4:$G$18,J40),IF(COUNTIF($E$4:$E$18,J40),"OK input","Missing"),"Missing")))</f>
        <v>OK flow</v>
      </c>
      <c r="L40" s="306" t="str">
        <v>Combined sewer overflow (micro)</v>
      </c>
      <c r="M40" s="311" t="str">
        <f>IF(COUNTIF(J:J,L40),IF(_xlfn.XLOOKUP(L40,'Compartments_Kawecki&amp;Nowack19'!A:A,'Compartments_Kawecki&amp;Nowack19'!B:B,_xlfn.XLOOKUP(L40,Compartments_Added!A:A,Compartments_Added!B:B))="Stock","OK stock","OK flow"),IF(_xlfn.XLOOKUP(L40,'Compartments_Kawecki&amp;Nowack19'!A:A,'Compartments_Kawecki&amp;Nowack19'!B:B,_xlfn.XLOOKUP(L40,Compartments_Added!A:A,Compartments_Added!B:B))="Sink","OK, Sink","Missing"))</f>
        <v>OK flow</v>
      </c>
      <c r="N40" s="6"/>
      <c r="O40" s="6" t="str">
        <f>Lifetimes_pairs!A38</f>
        <v>Lacquer (DIY) indoor (discarded)</v>
      </c>
      <c r="P40" s="6" t="str">
        <f>Lifetimes_pairs!B38</f>
        <v>LacquerDiyInDis</v>
      </c>
      <c r="Q40" t="str">
        <f>Lifetimes!AL1</f>
        <v>BuildingTextilesIU</v>
      </c>
      <c r="R40" t="str">
        <f t="shared" si="2"/>
        <v>OK</v>
      </c>
      <c r="AA40" s="465" t="s">
        <v>1863</v>
      </c>
    </row>
    <row r="41" spans="10:27">
      <c r="J41" s="306" t="str">
        <v>Wastewater treatment plant (micro)</v>
      </c>
      <c r="K41" s="311" t="str">
        <f>IF(ISBLANK(J41),"",IF(COUNTIF(L:L,J41),IF(_xlfn.XLOOKUP(J41,'Compartments_Kawecki&amp;Nowack19'!A:A,'Compartments_Kawecki&amp;Nowack19'!B:B,_xlfn.XLOOKUP(J41,Compartments_Added!A:A,Compartments_Added!B:B))="Stock","OK stock","OK flow"),IF(COUNTIF($G$4:$G$18,J41),IF(COUNTIF($E$4:$E$18,J41),"OK input","Missing"),"Missing")))</f>
        <v>OK flow</v>
      </c>
      <c r="L41" s="306" t="str">
        <v>Compost (macro)</v>
      </c>
      <c r="M41" s="311" t="str">
        <f>IF(COUNTIF(J:J,L41),IF(_xlfn.XLOOKUP(L41,'Compartments_Kawecki&amp;Nowack19'!A:A,'Compartments_Kawecki&amp;Nowack19'!B:B,_xlfn.XLOOKUP(L41,Compartments_Added!A:A,Compartments_Added!B:B))="Stock","OK stock","OK flow"),IF(_xlfn.XLOOKUP(L41,'Compartments_Kawecki&amp;Nowack19'!A:A,'Compartments_Kawecki&amp;Nowack19'!B:B,_xlfn.XLOOKUP(L41,Compartments_Added!A:A,Compartments_Added!B:B))="Sink","OK, Sink","Missing"))</f>
        <v>OK flow</v>
      </c>
      <c r="N41" s="6"/>
      <c r="O41" s="6" t="str">
        <f>Lifetimes_pairs!A39</f>
        <v>Wood stain (DIY) outdoor (in use)</v>
      </c>
      <c r="P41" s="6" t="str">
        <f>Lifetimes_pairs!B39</f>
        <v>WoodStainDiyOutIU</v>
      </c>
      <c r="Q41" t="str">
        <f>Lifetimes!AM1</f>
        <v>OtherTechnicalTextiles</v>
      </c>
      <c r="R41" t="str">
        <f t="shared" si="2"/>
        <v>OK</v>
      </c>
      <c r="AA41" s="519" t="s">
        <v>1864</v>
      </c>
    </row>
    <row r="42" spans="10:27">
      <c r="J42" s="306" t="str">
        <v>Compost size separation (fictional process)</v>
      </c>
      <c r="K42" s="311" t="str">
        <f>IF(ISBLANK(J42),"",IF(COUNTIF(L:L,J42),IF(_xlfn.XLOOKUP(J42,'Compartments_Kawecki&amp;Nowack19'!A:A,'Compartments_Kawecki&amp;Nowack19'!B:B,_xlfn.XLOOKUP(J42,Compartments_Added!A:A,Compartments_Added!B:B))="Stock","OK stock","OK flow"),IF(COUNTIF($G$4:$G$18,J42),IF(COUNTIF($E$4:$E$18,J42),"OK input","Missing"),"Missing")))</f>
        <v>OK flow</v>
      </c>
      <c r="L42" s="306" t="str">
        <v>Compost (micro)</v>
      </c>
      <c r="M42" s="311" t="str">
        <f>IF(COUNTIF(J:J,L42),IF(_xlfn.XLOOKUP(L42,'Compartments_Kawecki&amp;Nowack19'!A:A,'Compartments_Kawecki&amp;Nowack19'!B:B,_xlfn.XLOOKUP(L42,Compartments_Added!A:A,Compartments_Added!B:B))="Stock","OK stock","OK flow"),IF(_xlfn.XLOOKUP(L42,'Compartments_Kawecki&amp;Nowack19'!A:A,'Compartments_Kawecki&amp;Nowack19'!B:B,_xlfn.XLOOKUP(L42,Compartments_Added!A:A,Compartments_Added!B:B))="Sink","OK, Sink","Missing"))</f>
        <v>OK flow</v>
      </c>
      <c r="N42" s="6"/>
      <c r="O42" s="6" t="str">
        <f>Lifetimes_pairs!A40</f>
        <v>Wood stain (DIY) indoor (in use)</v>
      </c>
      <c r="P42" s="6" t="str">
        <f>Lifetimes_pairs!B40</f>
        <v>WoodStainDiyInIU</v>
      </c>
      <c r="Q42" t="str">
        <f>Lifetimes!AN1</f>
        <v>TextileCoatingDis</v>
      </c>
      <c r="R42" t="str">
        <f t="shared" si="2"/>
        <v>OK</v>
      </c>
      <c r="AA42" s="519" t="s">
        <v>1865</v>
      </c>
    </row>
    <row r="43" spans="10:27">
      <c r="J43" s="306" t="str">
        <v>Collected organic waste (smaller than 1 mm)</v>
      </c>
      <c r="K43" s="311" t="str">
        <f>IF(ISBLANK(J43),"",IF(COUNTIF(L:L,J43),IF(_xlfn.XLOOKUP(J43,'Compartments_Kawecki&amp;Nowack19'!A:A,'Compartments_Kawecki&amp;Nowack19'!B:B,_xlfn.XLOOKUP(J43,Compartments_Added!A:A,Compartments_Added!B:B))="Stock","OK stock","OK flow"),IF(COUNTIF($G$4:$G$18,J43),IF(COUNTIF($E$4:$E$18,J43),"OK input","Missing"),"Missing")))</f>
        <v>OK flow</v>
      </c>
      <c r="L43" s="306" t="str">
        <v>Compost size separation (fictional process)</v>
      </c>
      <c r="M43" s="311" t="str">
        <f>IF(COUNTIF(J:J,L43),IF(_xlfn.XLOOKUP(L43,'Compartments_Kawecki&amp;Nowack19'!A:A,'Compartments_Kawecki&amp;Nowack19'!B:B,_xlfn.XLOOKUP(L43,Compartments_Added!A:A,Compartments_Added!B:B))="Stock","OK stock","OK flow"),IF(_xlfn.XLOOKUP(L43,'Compartments_Kawecki&amp;Nowack19'!A:A,'Compartments_Kawecki&amp;Nowack19'!B:B,_xlfn.XLOOKUP(L43,Compartments_Added!A:A,Compartments_Added!B:B))="Sink","OK, Sink","Missing"))</f>
        <v>OK flow</v>
      </c>
      <c r="N43" s="6"/>
      <c r="O43" s="6" t="str">
        <f>Lifetimes_pairs!A41</f>
        <v>Wood stain (DIY) outdoor (discarded)</v>
      </c>
      <c r="P43" s="6" t="str">
        <f>Lifetimes_pairs!B41</f>
        <v>WoodStainDiyOutDis</v>
      </c>
      <c r="Q43" t="str">
        <f>Lifetimes!AO1</f>
        <v>TextileCoatingIU</v>
      </c>
      <c r="R43" t="str">
        <f t="shared" si="2"/>
        <v>OK</v>
      </c>
      <c r="AA43" s="519" t="s">
        <v>1866</v>
      </c>
    </row>
    <row r="44" spans="10:27">
      <c r="J44" s="306" t="str">
        <v>Collected organic waste (larger than 1 mm)</v>
      </c>
      <c r="K44" s="311" t="str">
        <f>IF(ISBLANK(J44),"",IF(COUNTIF(L:L,J44),IF(_xlfn.XLOOKUP(J44,'Compartments_Kawecki&amp;Nowack19'!A:A,'Compartments_Kawecki&amp;Nowack19'!B:B,_xlfn.XLOOKUP(J44,Compartments_Added!A:A,Compartments_Added!B:B))="Stock","OK stock","OK flow"),IF(COUNTIF($G$4:$G$18,J44),IF(COUNTIF($E$4:$E$18,J44),"OK input","Missing"),"Missing")))</f>
        <v>OK flow</v>
      </c>
      <c r="L44" s="306" t="str">
        <v>Mixed waste collection</v>
      </c>
      <c r="M44" s="311" t="str">
        <f>IF(COUNTIF(J:J,L44),IF(_xlfn.XLOOKUP(L44,'Compartments_Kawecki&amp;Nowack19'!A:A,'Compartments_Kawecki&amp;Nowack19'!B:B,_xlfn.XLOOKUP(L44,Compartments_Added!A:A,Compartments_Added!B:B))="Stock","OK stock","OK flow"),IF(_xlfn.XLOOKUP(L44,'Compartments_Kawecki&amp;Nowack19'!A:A,'Compartments_Kawecki&amp;Nowack19'!B:B,_xlfn.XLOOKUP(L44,Compartments_Added!A:A,Compartments_Added!B:B))="Sink","OK, Sink","Missing"))</f>
        <v>OK flow</v>
      </c>
      <c r="N44" s="6"/>
      <c r="O44" s="6" t="str">
        <f>Lifetimes_pairs!A42</f>
        <v>Wood stain (DIY) indoor (discarded)</v>
      </c>
      <c r="P44" s="6" t="str">
        <f>Lifetimes_pairs!B42</f>
        <v>WoodStainDiyInDis</v>
      </c>
      <c r="Q44" t="str">
        <f>Lifetimes!AP1</f>
        <v>ConcreteProfInDis</v>
      </c>
      <c r="R44" t="str">
        <f t="shared" si="2"/>
        <v>OK</v>
      </c>
      <c r="AA44" s="519" t="s">
        <v>1867</v>
      </c>
    </row>
    <row r="45" spans="10:27">
      <c r="J45" s="306" t="str">
        <v>Home textiles (discarded)</v>
      </c>
      <c r="K45" s="311" t="str">
        <f>IF(ISBLANK(J45),"",IF(COUNTIF(L:L,J45),IF(_xlfn.XLOOKUP(J45,'Compartments_Kawecki&amp;Nowack19'!A:A,'Compartments_Kawecki&amp;Nowack19'!B:B,_xlfn.XLOOKUP(J45,Compartments_Added!A:A,Compartments_Added!B:B))="Stock","OK stock","OK flow"),IF(COUNTIF($G$4:$G$18,J45),IF(COUNTIF($E$4:$E$18,J45),"OK input","Missing"),"Missing")))</f>
        <v>OK stock</v>
      </c>
      <c r="L45" s="306" t="str">
        <v>Textile waste collection</v>
      </c>
      <c r="M45" s="311" t="str">
        <f>IF(COUNTIF(J:J,L45),IF(_xlfn.XLOOKUP(L45,'Compartments_Kawecki&amp;Nowack19'!A:A,'Compartments_Kawecki&amp;Nowack19'!B:B,_xlfn.XLOOKUP(L45,Compartments_Added!A:A,Compartments_Added!B:B))="Stock","OK stock","OK flow"),IF(_xlfn.XLOOKUP(L45,'Compartments_Kawecki&amp;Nowack19'!A:A,'Compartments_Kawecki&amp;Nowack19'!B:B,_xlfn.XLOOKUP(L45,Compartments_Added!A:A,Compartments_Added!B:B))="Sink","OK, Sink","Missing"))</f>
        <v>OK flow</v>
      </c>
      <c r="N45" s="6"/>
      <c r="O45" s="6" t="str">
        <f>Lifetimes_pairs!A43</f>
        <v>Wall paint (DIY) outdoor (in use)</v>
      </c>
      <c r="P45" s="6" t="str">
        <f>Lifetimes_pairs!B43</f>
        <v>WallPaintDiyOutIU</v>
      </c>
      <c r="Q45" t="str">
        <f>Lifetimes!AQ1</f>
        <v>ConcreteProfInIU</v>
      </c>
      <c r="R45" t="str">
        <f t="shared" si="2"/>
        <v>OK</v>
      </c>
      <c r="AA45" s="519" t="s">
        <v>1868</v>
      </c>
    </row>
    <row r="46" spans="10:27">
      <c r="J46" s="306" t="str">
        <v>Building packaging films</v>
      </c>
      <c r="K46" s="311" t="str">
        <f>IF(ISBLANK(J46),"",IF(COUNTIF(L:L,J46),IF(_xlfn.XLOOKUP(J46,'Compartments_Kawecki&amp;Nowack19'!A:A,'Compartments_Kawecki&amp;Nowack19'!B:B,_xlfn.XLOOKUP(J46,Compartments_Added!A:A,Compartments_Added!B:B))="Stock","OK stock","OK flow"),IF(COUNTIF($G$4:$G$18,J46),IF(COUNTIF($E$4:$E$18,J46),"OK input","Missing"),"Missing")))</f>
        <v>OK flow</v>
      </c>
      <c r="L46" s="306" t="str">
        <v>Consumer bags</v>
      </c>
      <c r="M46" s="311" t="str">
        <f>IF(COUNTIF(J:J,L46),IF(_xlfn.XLOOKUP(L46,'Compartments_Kawecki&amp;Nowack19'!A:A,'Compartments_Kawecki&amp;Nowack19'!B:B,_xlfn.XLOOKUP(L46,Compartments_Added!A:A,Compartments_Added!B:B))="Stock","OK stock","OK flow"),IF(_xlfn.XLOOKUP(L46,'Compartments_Kawecki&amp;Nowack19'!A:A,'Compartments_Kawecki&amp;Nowack19'!B:B,_xlfn.XLOOKUP(L46,Compartments_Added!A:A,Compartments_Added!B:B))="Sink","OK, Sink","Missing"))</f>
        <v>OK stock</v>
      </c>
      <c r="N46" s="6"/>
      <c r="O46" s="6" t="str">
        <f>Lifetimes_pairs!A44</f>
        <v>Wall paint (DIY) indoor applied (in use)</v>
      </c>
      <c r="P46" s="6" t="str">
        <f>Lifetimes_pairs!B44</f>
        <v>WallPaintDiyIndoorAppliedIU</v>
      </c>
      <c r="Q46" t="str">
        <f>Lifetimes!AR1</f>
        <v>ConcreteProfOutDis</v>
      </c>
      <c r="R46" t="str">
        <f t="shared" si="2"/>
        <v>OK</v>
      </c>
      <c r="AA46" s="519" t="s">
        <v>1869</v>
      </c>
    </row>
    <row r="47" spans="10:27">
      <c r="J47" s="306" t="str">
        <v>Intentionally produced microparticles</v>
      </c>
      <c r="K47" s="311" t="str">
        <f>IF(ISBLANK(J47),"",IF(COUNTIF(L:L,J47),IF(_xlfn.XLOOKUP(J47,'Compartments_Kawecki&amp;Nowack19'!A:A,'Compartments_Kawecki&amp;Nowack19'!B:B,_xlfn.XLOOKUP(J47,Compartments_Added!A:A,Compartments_Added!B:B))="Stock","OK stock","OK flow"),IF(COUNTIF($G$4:$G$18,J47),IF(COUNTIF($E$4:$E$18,J47),"OK input","Missing"),"Missing")))</f>
        <v>OK input</v>
      </c>
      <c r="L47" s="306" t="str">
        <v>Consumer bottles</v>
      </c>
      <c r="M47" s="311" t="str">
        <f>IF(COUNTIF(J:J,L47),IF(_xlfn.XLOOKUP(L47,'Compartments_Kawecki&amp;Nowack19'!A:A,'Compartments_Kawecki&amp;Nowack19'!B:B,_xlfn.XLOOKUP(L47,Compartments_Added!A:A,Compartments_Added!B:B))="Stock","OK stock","OK flow"),IF(_xlfn.XLOOKUP(L47,'Compartments_Kawecki&amp;Nowack19'!A:A,'Compartments_Kawecki&amp;Nowack19'!B:B,_xlfn.XLOOKUP(L47,Compartments_Added!A:A,Compartments_Added!B:B))="Sink","OK, Sink","Missing"))</f>
        <v>OK stock</v>
      </c>
      <c r="N47" s="6"/>
      <c r="O47" s="6" t="str">
        <f>Lifetimes_pairs!A45</f>
        <v>Wall paint (DIY) outdoor (discarded)</v>
      </c>
      <c r="P47" s="6" t="str">
        <f>Lifetimes_pairs!B45</f>
        <v>WallPaintDiyOutDis</v>
      </c>
      <c r="Q47" t="str">
        <f>Lifetimes!AS1</f>
        <v>ConcreteProfOutIU</v>
      </c>
      <c r="R47" t="str">
        <f t="shared" si="2"/>
        <v>OK</v>
      </c>
      <c r="AA47" s="519" t="s">
        <v>1870</v>
      </c>
    </row>
    <row r="48" spans="10:27">
      <c r="J48" s="306" t="str">
        <v>Home textiles (in use)</v>
      </c>
      <c r="K48" s="311" t="str">
        <f>IF(ISBLANK(J48),"",IF(COUNTIF(L:L,J48),IF(_xlfn.XLOOKUP(J48,'Compartments_Kawecki&amp;Nowack19'!A:A,'Compartments_Kawecki&amp;Nowack19'!B:B,_xlfn.XLOOKUP(J48,Compartments_Added!A:A,Compartments_Added!B:B))="Stock","OK stock","OK flow"),IF(COUNTIF($G$4:$G$18,J48),IF(COUNTIF($E$4:$E$18,J48),"OK input","Missing"),"Missing")))</f>
        <v>OK stock</v>
      </c>
      <c r="L48" s="306" t="str">
        <v>Consumer films</v>
      </c>
      <c r="M48" s="311" t="str">
        <f>IF(COUNTIF(J:J,L48),IF(_xlfn.XLOOKUP(L48,'Compartments_Kawecki&amp;Nowack19'!A:A,'Compartments_Kawecki&amp;Nowack19'!B:B,_xlfn.XLOOKUP(L48,Compartments_Added!A:A,Compartments_Added!B:B))="Stock","OK stock","OK flow"),IF(_xlfn.XLOOKUP(L48,'Compartments_Kawecki&amp;Nowack19'!A:A,'Compartments_Kawecki&amp;Nowack19'!B:B,_xlfn.XLOOKUP(L48,Compartments_Added!A:A,Compartments_Added!B:B))="Sink","OK, Sink","Missing"))</f>
        <v>OK stock</v>
      </c>
      <c r="N48" s="6"/>
      <c r="O48" s="6" t="str">
        <f>Lifetimes_pairs!A46</f>
        <v>Wall paint (DIY) indoor applied (discarded)</v>
      </c>
      <c r="P48" s="6" t="str">
        <f>Lifetimes_pairs!B46</f>
        <v>WallPaintDiyIndoorAppliedDis</v>
      </c>
      <c r="Q48" t="str">
        <f>Lifetimes!AT1</f>
        <v>LacquerDiyInDis</v>
      </c>
      <c r="R48" t="str">
        <f t="shared" si="2"/>
        <v>OK</v>
      </c>
      <c r="AA48" s="519" t="s">
        <v>1871</v>
      </c>
    </row>
    <row r="49" spans="10:27">
      <c r="J49" s="306" t="str">
        <v>Household textiles (product sector)</v>
      </c>
      <c r="K49" s="311" t="str">
        <f>IF(ISBLANK(J49),"",IF(COUNTIF(L:L,J49),IF(_xlfn.XLOOKUP(J49,'Compartments_Kawecki&amp;Nowack19'!A:A,'Compartments_Kawecki&amp;Nowack19'!B:B,_xlfn.XLOOKUP(J49,Compartments_Added!A:A,Compartments_Added!B:B))="Stock","OK stock","OK flow"),IF(COUNTIF($G$4:$G$18,J49),IF(COUNTIF($E$4:$E$18,J49),"OK input","Missing"),"Missing")))</f>
        <v>OK input</v>
      </c>
      <c r="L49" s="306" t="str">
        <v>Controlled release fertilizer</v>
      </c>
      <c r="M49" s="311" t="str">
        <f>IF(COUNTIF(J:J,L49),IF(_xlfn.XLOOKUP(L49,'Compartments_Kawecki&amp;Nowack19'!A:A,'Compartments_Kawecki&amp;Nowack19'!B:B,_xlfn.XLOOKUP(L49,Compartments_Added!A:A,Compartments_Added!B:B))="Stock","OK stock","OK flow"),IF(_xlfn.XLOOKUP(L49,'Compartments_Kawecki&amp;Nowack19'!A:A,'Compartments_Kawecki&amp;Nowack19'!B:B,_xlfn.XLOOKUP(L49,Compartments_Added!A:A,Compartments_Added!B:B))="Sink","OK, Sink","Missing"))</f>
        <v>OK flow</v>
      </c>
      <c r="N49" s="6"/>
      <c r="O49" s="6" t="str">
        <f>Lifetimes_pairs!A47</f>
        <v>Plaster (DIY) outdoor (in use)</v>
      </c>
      <c r="P49" s="6" t="str">
        <f>Lifetimes_pairs!B47</f>
        <v>PlasterDiyOutIU</v>
      </c>
      <c r="Q49" t="str">
        <f>Lifetimes!AU1</f>
        <v>LacquerDiyInIU</v>
      </c>
      <c r="R49" t="str">
        <f t="shared" si="2"/>
        <v>OK</v>
      </c>
      <c r="AA49" s="519" t="s">
        <v>1872</v>
      </c>
    </row>
    <row r="50" spans="10:27">
      <c r="J50" s="306" t="str">
        <v>Clothing (discarded)</v>
      </c>
      <c r="K50" s="311" t="str">
        <f>IF(ISBLANK(J50),"",IF(COUNTIF(L:L,J50),IF(_xlfn.XLOOKUP(J50,'Compartments_Kawecki&amp;Nowack19'!A:A,'Compartments_Kawecki&amp;Nowack19'!B:B,_xlfn.XLOOKUP(J50,Compartments_Added!A:A,Compartments_Added!B:B))="Stock","OK stock","OK flow"),IF(COUNTIF($G$4:$G$18,J50),IF(COUNTIF($E$4:$E$18,J50),"OK input","Missing"),"Missing")))</f>
        <v>OK stock</v>
      </c>
      <c r="L50" s="306" t="str">
        <v>Detergents and maintenance products</v>
      </c>
      <c r="M50" s="311" t="str">
        <f>IF(COUNTIF(J:J,L50),IF(_xlfn.XLOOKUP(L50,'Compartments_Kawecki&amp;Nowack19'!A:A,'Compartments_Kawecki&amp;Nowack19'!B:B,_xlfn.XLOOKUP(L50,Compartments_Added!A:A,Compartments_Added!B:B))="Stock","OK stock","OK flow"),IF(_xlfn.XLOOKUP(L50,'Compartments_Kawecki&amp;Nowack19'!A:A,'Compartments_Kawecki&amp;Nowack19'!B:B,_xlfn.XLOOKUP(L50,Compartments_Added!A:A,Compartments_Added!B:B))="Sink","OK, Sink","Missing"))</f>
        <v>OK flow</v>
      </c>
      <c r="N50" s="6"/>
      <c r="O50" s="6" t="str">
        <f>Lifetimes_pairs!A48</f>
        <v>Plaster (DIY) indoor (in use)</v>
      </c>
      <c r="P50" s="6" t="str">
        <f>Lifetimes_pairs!B48</f>
        <v>PlasterDiyInIU</v>
      </c>
      <c r="Q50" t="str">
        <f>Lifetimes!AV1</f>
        <v>LacquerDiyOutDis</v>
      </c>
      <c r="R50" t="str">
        <f t="shared" si="2"/>
        <v>OK</v>
      </c>
      <c r="AA50" s="519" t="s">
        <v>1873</v>
      </c>
    </row>
    <row r="51" spans="10:27">
      <c r="J51" s="306" t="str">
        <v>Disposable cleaning cloths</v>
      </c>
      <c r="K51" s="311" t="str">
        <f>IF(ISBLANK(J51),"",IF(COUNTIF(L:L,J51),IF(_xlfn.XLOOKUP(J51,'Compartments_Kawecki&amp;Nowack19'!A:A,'Compartments_Kawecki&amp;Nowack19'!B:B,_xlfn.XLOOKUP(J51,Compartments_Added!A:A,Compartments_Added!B:B))="Stock","OK stock","OK flow"),IF(COUNTIF($G$4:$G$18,J51),IF(COUNTIF($E$4:$E$18,J51),"OK input","Missing"),"Missing")))</f>
        <v>OK flow</v>
      </c>
      <c r="L51" s="306" t="str">
        <v>Indoor air (micro)</v>
      </c>
      <c r="M51" s="311" t="str">
        <f>IF(COUNTIF(J:J,L51),IF(_xlfn.XLOOKUP(L51,'Compartments_Kawecki&amp;Nowack19'!A:A,'Compartments_Kawecki&amp;Nowack19'!B:B,_xlfn.XLOOKUP(L51,Compartments_Added!A:A,Compartments_Added!B:B))="Stock","OK stock","OK flow"),IF(_xlfn.XLOOKUP(L51,'Compartments_Kawecki&amp;Nowack19'!A:A,'Compartments_Kawecki&amp;Nowack19'!B:B,_xlfn.XLOOKUP(L51,Compartments_Added!A:A,Compartments_Added!B:B))="Sink","OK, Sink","Missing"))</f>
        <v>OK flow</v>
      </c>
      <c r="N51" s="6"/>
      <c r="O51" s="6" t="str">
        <f>Lifetimes_pairs!A49</f>
        <v>Plaster (DIY) outdoor (discarded)</v>
      </c>
      <c r="P51" s="6" t="str">
        <f>Lifetimes_pairs!B49</f>
        <v>PlasterDiyOutDis</v>
      </c>
      <c r="Q51" t="str">
        <f>Lifetimes!AW1</f>
        <v>LacquerDiyOutIU</v>
      </c>
      <c r="R51" t="str">
        <f t="shared" si="2"/>
        <v>OK</v>
      </c>
      <c r="AA51" s="519" t="s">
        <v>1874</v>
      </c>
    </row>
    <row r="52" spans="10:27">
      <c r="J52" s="306" t="str">
        <v>Non-consumer bags</v>
      </c>
      <c r="K52" s="311" t="str">
        <f>IF(ISBLANK(J52),"",IF(COUNTIF(L:L,J52),IF(_xlfn.XLOOKUP(J52,'Compartments_Kawecki&amp;Nowack19'!A:A,'Compartments_Kawecki&amp;Nowack19'!B:B,_xlfn.XLOOKUP(J52,Compartments_Added!A:A,Compartments_Added!B:B))="Stock","OK stock","OK flow"),IF(COUNTIF($G$4:$G$18,J52),IF(COUNTIF($E$4:$E$18,J52),"OK input","Missing"),"Missing")))</f>
        <v>OK stock</v>
      </c>
      <c r="L52" s="306" t="str">
        <v>Outdoor air (micro)</v>
      </c>
      <c r="M52" s="311" t="str">
        <f>IF(COUNTIF(J:J,L52),IF(_xlfn.XLOOKUP(L52,'Compartments_Kawecki&amp;Nowack19'!A:A,'Compartments_Kawecki&amp;Nowack19'!B:B,_xlfn.XLOOKUP(L52,Compartments_Added!A:A,Compartments_Added!B:B))="Stock","OK stock","OK flow"),IF(_xlfn.XLOOKUP(L52,'Compartments_Kawecki&amp;Nowack19'!A:A,'Compartments_Kawecki&amp;Nowack19'!B:B,_xlfn.XLOOKUP(L52,Compartments_Added!A:A,Compartments_Added!B:B))="Sink","OK, Sink","Missing"))</f>
        <v>OK, Sink</v>
      </c>
      <c r="N52" s="6"/>
      <c r="O52" s="6" t="str">
        <f>Lifetimes_pairs!A50</f>
        <v>Plaster (DIY) indoor (discarded)</v>
      </c>
      <c r="P52" s="6" t="str">
        <f>Lifetimes_pairs!B50</f>
        <v>PlasterDiyInDis</v>
      </c>
      <c r="Q52" t="str">
        <f>Lifetimes!AX1</f>
        <v>LacquerProfInDis</v>
      </c>
      <c r="R52" t="str">
        <f t="shared" si="2"/>
        <v>OK</v>
      </c>
      <c r="AA52" s="519" t="s">
        <v>1875</v>
      </c>
    </row>
    <row r="53" spans="10:27">
      <c r="J53" s="306" t="str">
        <v>Other non-consumer films</v>
      </c>
      <c r="K53" s="311" t="str">
        <f>IF(ISBLANK(J53),"",IF(COUNTIF(L:L,J53),IF(_xlfn.XLOOKUP(J53,'Compartments_Kawecki&amp;Nowack19'!A:A,'Compartments_Kawecki&amp;Nowack19'!B:B,_xlfn.XLOOKUP(J53,Compartments_Added!A:A,Compartments_Added!B:B))="Stock","OK stock","OK flow"),IF(COUNTIF($G$4:$G$18,J53),IF(COUNTIF($E$4:$E$18,J53),"OK input","Missing"),"Missing")))</f>
        <v>OK stock</v>
      </c>
      <c r="L53" s="306" t="str">
        <v>Wastewater (micro)</v>
      </c>
      <c r="M53" s="311" t="str">
        <f>IF(COUNTIF(J:J,L53),IF(_xlfn.XLOOKUP(L53,'Compartments_Kawecki&amp;Nowack19'!A:A,'Compartments_Kawecki&amp;Nowack19'!B:B,_xlfn.XLOOKUP(L53,Compartments_Added!A:A,Compartments_Added!B:B))="Stock","OK stock","OK flow"),IF(_xlfn.XLOOKUP(L53,'Compartments_Kawecki&amp;Nowack19'!A:A,'Compartments_Kawecki&amp;Nowack19'!B:B,_xlfn.XLOOKUP(L53,Compartments_Added!A:A,Compartments_Added!B:B))="Sink","OK, Sink","Missing"))</f>
        <v>OK flow</v>
      </c>
      <c r="N53" s="6"/>
      <c r="O53" s="6" t="str">
        <f>Lifetimes_pairs!A51</f>
        <v>Other paint uses (DIY) outdoor (in use)</v>
      </c>
      <c r="P53" s="6" t="str">
        <f>Lifetimes_pairs!B51</f>
        <v>OtherPaintUsesDiyOutIU</v>
      </c>
      <c r="Q53" t="str">
        <f>Lifetimes!AY1</f>
        <v>LacquerProfInIU</v>
      </c>
      <c r="R53" t="str">
        <f t="shared" si="2"/>
        <v>OK</v>
      </c>
      <c r="AA53" s="519" t="s">
        <v>1876</v>
      </c>
    </row>
    <row r="54" spans="10:27">
      <c r="J54" s="306" t="str">
        <v>Other non-consumer packaging</v>
      </c>
      <c r="K54" s="311" t="str">
        <f>IF(ISBLANK(J54),"",IF(COUNTIF(L:L,J54),IF(_xlfn.XLOOKUP(J54,'Compartments_Kawecki&amp;Nowack19'!A:A,'Compartments_Kawecki&amp;Nowack19'!B:B,_xlfn.XLOOKUP(J54,Compartments_Added!A:A,Compartments_Added!B:B))="Stock","OK stock","OK flow"),IF(COUNTIF($G$4:$G$18,J54),IF(COUNTIF($E$4:$E$18,J54),"OK input","Missing"),"Missing")))</f>
        <v>OK stock</v>
      </c>
      <c r="L54" s="306" t="str">
        <v>Disposable cleaning cloths</v>
      </c>
      <c r="M54" s="311" t="str">
        <f>IF(COUNTIF(J:J,L54),IF(_xlfn.XLOOKUP(L54,'Compartments_Kawecki&amp;Nowack19'!A:A,'Compartments_Kawecki&amp;Nowack19'!B:B,_xlfn.XLOOKUP(L54,Compartments_Added!A:A,Compartments_Added!B:B))="Stock","OK stock","OK flow"),IF(_xlfn.XLOOKUP(L54,'Compartments_Kawecki&amp;Nowack19'!A:A,'Compartments_Kawecki&amp;Nowack19'!B:B,_xlfn.XLOOKUP(L54,Compartments_Added!A:A,Compartments_Added!B:B))="Sink","OK, Sink","Missing"))</f>
        <v>OK flow</v>
      </c>
      <c r="N54" s="6"/>
      <c r="O54" s="6" t="str">
        <f>Lifetimes_pairs!A52</f>
        <v>Other paint uses (DIY) indoor (in use)</v>
      </c>
      <c r="P54" s="6" t="str">
        <f>Lifetimes_pairs!B52</f>
        <v>OtherPaintUsesDiyInIU</v>
      </c>
      <c r="Q54" t="str">
        <f>Lifetimes!AZ1</f>
        <v>LacquerProfOutDis</v>
      </c>
      <c r="R54" t="str">
        <f t="shared" si="2"/>
        <v>OK</v>
      </c>
      <c r="AA54" s="519" t="s">
        <v>1877</v>
      </c>
    </row>
    <row r="55" spans="10:27">
      <c r="J55" s="306" t="str">
        <v>Other technical textiles</v>
      </c>
      <c r="K55" s="311" t="str">
        <f>IF(ISBLANK(J55),"",IF(COUNTIF(L:L,J55),IF(_xlfn.XLOOKUP(J55,'Compartments_Kawecki&amp;Nowack19'!A:A,'Compartments_Kawecki&amp;Nowack19'!B:B,_xlfn.XLOOKUP(J55,Compartments_Added!A:A,Compartments_Added!B:B))="Stock","OK stock","OK flow"),IF(COUNTIF($G$4:$G$18,J55),IF(COUNTIF($E$4:$E$18,J55),"OK input","Missing"),"Missing")))</f>
        <v>OK stock</v>
      </c>
      <c r="L55" s="306" t="str">
        <v>Home textiles</v>
      </c>
      <c r="M55" s="311" t="str">
        <f>IF(COUNTIF(J:J,L55),IF(_xlfn.XLOOKUP(L55,'Compartments_Kawecki&amp;Nowack19'!A:A,'Compartments_Kawecki&amp;Nowack19'!B:B,_xlfn.XLOOKUP(L55,Compartments_Added!A:A,Compartments_Added!B:B))="Stock","OK stock","OK flow"),IF(_xlfn.XLOOKUP(L55,'Compartments_Kawecki&amp;Nowack19'!A:A,'Compartments_Kawecki&amp;Nowack19'!B:B,_xlfn.XLOOKUP(L55,Compartments_Added!A:A,Compartments_Added!B:B))="Sink","OK, Sink","Missing"))</f>
        <v>OK flow</v>
      </c>
      <c r="N55" s="6"/>
      <c r="O55" s="6" t="str">
        <f>Lifetimes_pairs!A53</f>
        <v>Other paint uses (DIY) outdoor (discarded)</v>
      </c>
      <c r="P55" s="6" t="str">
        <f>Lifetimes_pairs!B53</f>
        <v>OtherPaintUsesDiyOutDis</v>
      </c>
      <c r="Q55" t="str">
        <f>Lifetimes!BA1</f>
        <v>LacquerProfOutIU</v>
      </c>
      <c r="R55" t="str">
        <f t="shared" si="2"/>
        <v>OK</v>
      </c>
      <c r="AA55" s="519" t="s">
        <v>1878</v>
      </c>
    </row>
    <row r="56" spans="10:27">
      <c r="J56" s="306" t="str">
        <v>Panty liners</v>
      </c>
      <c r="K56" s="311" t="str">
        <f>IF(ISBLANK(J56),"",IF(COUNTIF(L:L,J56),IF(_xlfn.XLOOKUP(J56,'Compartments_Kawecki&amp;Nowack19'!A:A,'Compartments_Kawecki&amp;Nowack19'!B:B,_xlfn.XLOOKUP(J56,Compartments_Added!A:A,Compartments_Added!B:B))="Stock","OK stock","OK flow"),IF(COUNTIF($G$4:$G$18,J56),IF(COUNTIF($E$4:$E$18,J56),"OK input","Missing"),"Missing")))</f>
        <v>OK flow</v>
      </c>
      <c r="L56" s="306" t="str">
        <v>Elimination</v>
      </c>
      <c r="M56" s="311" t="str">
        <f>IF(COUNTIF(J:J,L56),IF(_xlfn.XLOOKUP(L56,'Compartments_Kawecki&amp;Nowack19'!A:A,'Compartments_Kawecki&amp;Nowack19'!B:B,_xlfn.XLOOKUP(L56,Compartments_Added!A:A,Compartments_Added!B:B))="Stock","OK stock","OK flow"),IF(_xlfn.XLOOKUP(L56,'Compartments_Kawecki&amp;Nowack19'!A:A,'Compartments_Kawecki&amp;Nowack19'!B:B,_xlfn.XLOOKUP(L56,Compartments_Added!A:A,Compartments_Added!B:B))="Sink","OK, Sink","Missing"))</f>
        <v>OK, Sink</v>
      </c>
      <c r="N56" s="6"/>
      <c r="O56" s="6" t="str">
        <f>Lifetimes_pairs!A54</f>
        <v>Other paint uses (DIY) indoor (discarded)</v>
      </c>
      <c r="P56" s="6" t="str">
        <f>Lifetimes_pairs!B54</f>
        <v>OtherPaintUsesDiyInDis</v>
      </c>
      <c r="Q56" t="str">
        <f>Lifetimes!BB1</f>
        <v>OtherPaintUsesDiyInDis</v>
      </c>
      <c r="R56" t="str">
        <f t="shared" si="2"/>
        <v>OK</v>
      </c>
      <c r="AA56" s="519" t="s">
        <v>1879</v>
      </c>
    </row>
    <row r="57" spans="10:27">
      <c r="J57" s="306" t="str">
        <v>Sanitary pads</v>
      </c>
      <c r="K57" s="311" t="str">
        <f>IF(ISBLANK(J57),"",IF(COUNTIF(L:L,J57),IF(_xlfn.XLOOKUP(J57,'Compartments_Kawecki&amp;Nowack19'!A:A,'Compartments_Kawecki&amp;Nowack19'!B:B,_xlfn.XLOOKUP(J57,Compartments_Added!A:A,Compartments_Added!B:B))="Stock","OK stock","OK flow"),IF(COUNTIF($G$4:$G$18,J57),IF(COUNTIF($E$4:$E$18,J57),"OK input","Missing"),"Missing")))</f>
        <v>OK flow</v>
      </c>
      <c r="L57" s="306" t="str">
        <v>Export</v>
      </c>
      <c r="M57" s="311" t="str">
        <f>IF(COUNTIF(J:J,L57),IF(_xlfn.XLOOKUP(L57,'Compartments_Kawecki&amp;Nowack19'!A:A,'Compartments_Kawecki&amp;Nowack19'!B:B,_xlfn.XLOOKUP(L57,Compartments_Added!A:A,Compartments_Added!B:B))="Stock","OK stock","OK flow"),IF(_xlfn.XLOOKUP(L57,'Compartments_Kawecki&amp;Nowack19'!A:A,'Compartments_Kawecki&amp;Nowack19'!B:B,_xlfn.XLOOKUP(L57,Compartments_Added!A:A,Compartments_Added!B:B))="Sink","OK, Sink","Missing"))</f>
        <v>OK, Sink</v>
      </c>
      <c r="N57" s="6"/>
      <c r="O57" s="6" t="str">
        <f>Lifetimes_pairs!A55</f>
        <v>Agricultural pipes (in use)</v>
      </c>
      <c r="P57" s="6" t="str">
        <f>Lifetimes_pairs!B55</f>
        <v>AgriculturalPipesIU</v>
      </c>
      <c r="Q57" t="str">
        <f>Lifetimes!BC1</f>
        <v>OtherPaintUsesDiyInIU</v>
      </c>
      <c r="R57" t="str">
        <f t="shared" si="2"/>
        <v>OK</v>
      </c>
      <c r="AA57" s="519" t="s">
        <v>1880</v>
      </c>
    </row>
    <row r="58" spans="10:27">
      <c r="J58" s="306" t="str">
        <v>Tampons</v>
      </c>
      <c r="K58" s="311" t="str">
        <f>IF(ISBLANK(J58),"",IF(COUNTIF(L:L,J58),IF(_xlfn.XLOOKUP(J58,'Compartments_Kawecki&amp;Nowack19'!A:A,'Compartments_Kawecki&amp;Nowack19'!B:B,_xlfn.XLOOKUP(J58,Compartments_Added!A:A,Compartments_Added!B:B))="Stock","OK stock","OK flow"),IF(COUNTIF($G$4:$G$18,J58),IF(COUNTIF($E$4:$E$18,J58),"OK input","Missing"),"Missing")))</f>
        <v>OK flow</v>
      </c>
      <c r="L58" s="306" t="str">
        <v>Secondary material reuse</v>
      </c>
      <c r="M58" s="311" t="str">
        <f>IF(COUNTIF(J:J,L58),IF(_xlfn.XLOOKUP(L58,'Compartments_Kawecki&amp;Nowack19'!A:A,'Compartments_Kawecki&amp;Nowack19'!B:B,_xlfn.XLOOKUP(L58,Compartments_Added!A:A,Compartments_Added!B:B))="Stock","OK stock","OK flow"),IF(_xlfn.XLOOKUP(L58,'Compartments_Kawecki&amp;Nowack19'!A:A,'Compartments_Kawecki&amp;Nowack19'!B:B,_xlfn.XLOOKUP(L58,Compartments_Added!A:A,Compartments_Added!B:B))="Sink","OK, Sink","Missing"))</f>
        <v>OK, Sink</v>
      </c>
      <c r="N58" s="6"/>
      <c r="O58" s="6" t="str">
        <f>Lifetimes_pairs!A56</f>
        <v>Agricultural greenhouse films (in use)</v>
      </c>
      <c r="P58" s="6" t="str">
        <f>Lifetimes_pairs!B56</f>
        <v>AgriculturalFilmsIU</v>
      </c>
      <c r="Q58" t="str">
        <f>Lifetimes!BD1</f>
        <v>OtherPaintUsesDiyOutDis</v>
      </c>
      <c r="R58" t="str">
        <f t="shared" si="2"/>
        <v>OK</v>
      </c>
      <c r="AA58" s="519" t="s">
        <v>1881</v>
      </c>
    </row>
    <row r="59" spans="10:27">
      <c r="J59" s="306" t="str">
        <v>Technical home textiles (discarded)</v>
      </c>
      <c r="K59" s="311" t="str">
        <f>IF(ISBLANK(J59),"",IF(COUNTIF(L:L,J59),IF(_xlfn.XLOOKUP(J59,'Compartments_Kawecki&amp;Nowack19'!A:A,'Compartments_Kawecki&amp;Nowack19'!B:B,_xlfn.XLOOKUP(J59,Compartments_Added!A:A,Compartments_Added!B:B))="Stock","OK stock","OK flow"),IF(COUNTIF($G$4:$G$18,J59),IF(COUNTIF($E$4:$E$18,J59),"OK input","Missing"),"Missing")))</f>
        <v>OK stock</v>
      </c>
      <c r="L59" s="306" t="str">
        <v>Residential soil (micro)</v>
      </c>
      <c r="M59" s="311" t="str">
        <f>IF(COUNTIF(J:J,L59),IF(_xlfn.XLOOKUP(L59,'Compartments_Kawecki&amp;Nowack19'!A:A,'Compartments_Kawecki&amp;Nowack19'!B:B,_xlfn.XLOOKUP(L59,Compartments_Added!A:A,Compartments_Added!B:B))="Stock","OK stock","OK flow"),IF(_xlfn.XLOOKUP(L59,'Compartments_Kawecki&amp;Nowack19'!A:A,'Compartments_Kawecki&amp;Nowack19'!B:B,_xlfn.XLOOKUP(L59,Compartments_Added!A:A,Compartments_Added!B:B))="Sink","OK, Sink","Missing"))</f>
        <v>OK, Sink</v>
      </c>
      <c r="N59" s="6"/>
      <c r="O59" s="6" t="str">
        <f>Lifetimes_pairs!A57</f>
        <v>Agricultural pipes (discarded)</v>
      </c>
      <c r="P59" s="6" t="str">
        <f>Lifetimes_pairs!B57</f>
        <v>AgriculturalPipesDis</v>
      </c>
      <c r="Q59" t="str">
        <f>Lifetimes!BE1</f>
        <v>OtherPaintUsesDiyOutIU</v>
      </c>
      <c r="R59" t="str">
        <f t="shared" si="2"/>
        <v>OK</v>
      </c>
      <c r="AA59" s="519" t="s">
        <v>1882</v>
      </c>
    </row>
    <row r="60" spans="10:27">
      <c r="J60" s="306" t="str">
        <v>Incineration</v>
      </c>
      <c r="K60" s="311" t="str">
        <f>IF(ISBLANK(J60),"",IF(COUNTIF(L:L,J60),IF(_xlfn.XLOOKUP(J60,'Compartments_Kawecki&amp;Nowack19'!A:A,'Compartments_Kawecki&amp;Nowack19'!B:B,_xlfn.XLOOKUP(J60,Compartments_Added!A:A,Compartments_Added!B:B))="Stock","OK stock","OK flow"),IF(COUNTIF($G$4:$G$18,J60),IF(COUNTIF($E$4:$E$18,J60),"OK input","Missing"),"Missing")))</f>
        <v>OK flow</v>
      </c>
      <c r="L60" s="306" t="str">
        <v>Industrial stormwater (micro)</v>
      </c>
      <c r="M60" s="311" t="str">
        <f>IF(COUNTIF(J:J,L60),IF(_xlfn.XLOOKUP(L60,'Compartments_Kawecki&amp;Nowack19'!A:A,'Compartments_Kawecki&amp;Nowack19'!B:B,_xlfn.XLOOKUP(L60,Compartments_Added!A:A,Compartments_Added!B:B))="Stock","OK stock","OK flow"),IF(_xlfn.XLOOKUP(L60,'Compartments_Kawecki&amp;Nowack19'!A:A,'Compartments_Kawecki&amp;Nowack19'!B:B,_xlfn.XLOOKUP(L60,Compartments_Added!A:A,Compartments_Added!B:B))="Sink","OK, Sink","Missing"))</f>
        <v>OK flow</v>
      </c>
      <c r="N60" s="6"/>
      <c r="O60" s="6" t="str">
        <f>Lifetimes_pairs!A58</f>
        <v>Agricultural greenhouse films (discarded)</v>
      </c>
      <c r="P60" s="6" t="str">
        <f>Lifetimes_pairs!B58</f>
        <v>AgriculturalFilmsDis</v>
      </c>
      <c r="Q60" t="str">
        <f>Lifetimes!BF1</f>
        <v>OtherPaintUsesProfInDis</v>
      </c>
      <c r="R60" t="str">
        <f t="shared" si="2"/>
        <v>OK</v>
      </c>
      <c r="AA60" s="519" t="s">
        <v>1883</v>
      </c>
    </row>
    <row r="61" spans="10:27">
      <c r="J61" s="306" t="str">
        <v>Packaging collection</v>
      </c>
      <c r="K61" s="311" t="str">
        <f>IF(ISBLANK(J61),"",IF(COUNTIF(L:L,J61),IF(_xlfn.XLOOKUP(J61,'Compartments_Kawecki&amp;Nowack19'!A:A,'Compartments_Kawecki&amp;Nowack19'!B:B,_xlfn.XLOOKUP(J61,Compartments_Added!A:A,Compartments_Added!B:B))="Stock","OK stock","OK flow"),IF(COUNTIF($G$4:$G$18,J61),IF(COUNTIF($E$4:$E$18,J61),"OK input","Missing"),"Missing")))</f>
        <v>OK flow</v>
      </c>
      <c r="L61" s="306" t="str">
        <v>Transport of primary plastics</v>
      </c>
      <c r="M61" s="311" t="str">
        <f>IF(COUNTIF(J:J,L61),IF(_xlfn.XLOOKUP(L61,'Compartments_Kawecki&amp;Nowack19'!A:A,'Compartments_Kawecki&amp;Nowack19'!B:B,_xlfn.XLOOKUP(L61,Compartments_Added!A:A,Compartments_Added!B:B))="Stock","OK stock","OK flow"),IF(_xlfn.XLOOKUP(L61,'Compartments_Kawecki&amp;Nowack19'!A:A,'Compartments_Kawecki&amp;Nowack19'!B:B,_xlfn.XLOOKUP(L61,Compartments_Added!A:A,Compartments_Added!B:B))="Sink","OK, Sink","Missing"))</f>
        <v>OK flow</v>
      </c>
      <c r="N61" s="6"/>
      <c r="O61" s="6" t="str">
        <f>Lifetimes_pairs!A59</f>
        <v>Clothing (discarded)</v>
      </c>
      <c r="P61" s="6" t="str">
        <f>Lifetimes_pairs!B59</f>
        <v>ClothingDis</v>
      </c>
      <c r="Q61" t="str">
        <f>Lifetimes!BG1</f>
        <v>OtherPaintUsesProfInIU</v>
      </c>
      <c r="R61" t="str">
        <f t="shared" si="2"/>
        <v>OK</v>
      </c>
      <c r="AA61" s="519" t="s">
        <v>1884</v>
      </c>
    </row>
    <row r="62" spans="10:27">
      <c r="J62" s="306" t="str">
        <v>Agricultural plastic recycling</v>
      </c>
      <c r="K62" s="311" t="str">
        <f>IF(ISBLANK(J62),"",IF(COUNTIF(L:L,J62),IF(_xlfn.XLOOKUP(J62,'Compartments_Kawecki&amp;Nowack19'!A:A,'Compartments_Kawecki&amp;Nowack19'!B:B,_xlfn.XLOOKUP(J62,Compartments_Added!A:A,Compartments_Added!B:B))="Stock","OK stock","OK flow"),IF(COUNTIF($G$4:$G$18,J62),IF(COUNTIF($E$4:$E$18,J62),"OK input","Missing"),"Missing")))</f>
        <v>OK flow</v>
      </c>
      <c r="L62" s="306" t="str">
        <v>Surface water (micro)</v>
      </c>
      <c r="M62" s="311" t="str">
        <f>IF(COUNTIF(J:J,L62),IF(_xlfn.XLOOKUP(L62,'Compartments_Kawecki&amp;Nowack19'!A:A,'Compartments_Kawecki&amp;Nowack19'!B:B,_xlfn.XLOOKUP(L62,Compartments_Added!A:A,Compartments_Added!B:B))="Stock","OK stock","OK flow"),IF(_xlfn.XLOOKUP(L62,'Compartments_Kawecki&amp;Nowack19'!A:A,'Compartments_Kawecki&amp;Nowack19'!B:B,_xlfn.XLOOKUP(L62,Compartments_Added!A:A,Compartments_Added!B:B))="Sink","OK, Sink","Missing"))</f>
        <v>OK, Sink</v>
      </c>
      <c r="N62" s="6"/>
      <c r="O62" s="6" t="str">
        <f>Lifetimes_pairs!A60</f>
        <v>Home textiles (in use)</v>
      </c>
      <c r="P62" s="6" t="str">
        <f>Lifetimes_pairs!B60</f>
        <v>HomeTextilesIU</v>
      </c>
      <c r="Q62" t="str">
        <f>Lifetimes!BH1</f>
        <v>OtherPaintUsesProfOutDis</v>
      </c>
      <c r="R62" t="str">
        <f t="shared" si="2"/>
        <v>OK</v>
      </c>
      <c r="AA62" s="519" t="s">
        <v>1885</v>
      </c>
    </row>
    <row r="63" spans="10:27">
      <c r="J63" s="306" t="str">
        <v>Domestic primary plastic production</v>
      </c>
      <c r="K63" s="311" t="str">
        <f>IF(ISBLANK(J63),"",IF(COUNTIF(L:L,J63),IF(_xlfn.XLOOKUP(J63,'Compartments_Kawecki&amp;Nowack19'!A:A,'Compartments_Kawecki&amp;Nowack19'!B:B,_xlfn.XLOOKUP(J63,Compartments_Added!A:A,Compartments_Added!B:B))="Stock","OK stock","OK flow"),IF(COUNTIF($G$4:$G$18,J63),IF(COUNTIF($E$4:$E$18,J63),"OK input","Missing"),"Missing")))</f>
        <v>OK input</v>
      </c>
      <c r="L63" s="306" t="str">
        <v>Wastewater treatment plant (micro)</v>
      </c>
      <c r="M63" s="311" t="str">
        <f>IF(COUNTIF(J:J,L63),IF(_xlfn.XLOOKUP(L63,'Compartments_Kawecki&amp;Nowack19'!A:A,'Compartments_Kawecki&amp;Nowack19'!B:B,_xlfn.XLOOKUP(L63,Compartments_Added!A:A,Compartments_Added!B:B))="Stock","OK stock","OK flow"),IF(_xlfn.XLOOKUP(L63,'Compartments_Kawecki&amp;Nowack19'!A:A,'Compartments_Kawecki&amp;Nowack19'!B:B,_xlfn.XLOOKUP(L63,Compartments_Added!A:A,Compartments_Added!B:B))="Sink","OK, Sink","Missing"))</f>
        <v>OK flow</v>
      </c>
      <c r="N63" s="6"/>
      <c r="O63" s="6" t="str">
        <f>Lifetimes_pairs!A61</f>
        <v>Home textiles (discarded)</v>
      </c>
      <c r="P63" s="6" t="str">
        <f>Lifetimes_pairs!B61</f>
        <v>HomeTextilesDis</v>
      </c>
      <c r="Q63" t="str">
        <f>Lifetimes!BI1</f>
        <v>OtherPaintUsesProfOutIU</v>
      </c>
      <c r="R63" t="str">
        <f t="shared" si="2"/>
        <v>OK</v>
      </c>
      <c r="AA63" s="519" t="s">
        <v>1886</v>
      </c>
    </row>
    <row r="64" spans="10:27">
      <c r="J64" s="306" t="str">
        <v>Import of primary plastics</v>
      </c>
      <c r="K64" s="311" t="str">
        <f>IF(ISBLANK(J64),"",IF(COUNTIF(L:L,J64),IF(_xlfn.XLOOKUP(J64,'Compartments_Kawecki&amp;Nowack19'!A:A,'Compartments_Kawecki&amp;Nowack19'!B:B,_xlfn.XLOOKUP(J64,Compartments_Added!A:A,Compartments_Added!B:B))="Stock","OK stock","OK flow"),IF(COUNTIF($G$4:$G$18,J64),IF(COUNTIF($E$4:$E$18,J64),"OK input","Missing"),"Missing")))</f>
        <v>OK input</v>
      </c>
      <c r="L64" s="306" t="str">
        <v>Plastic products</v>
      </c>
      <c r="M64" s="311" t="str">
        <f>IF(COUNTIF(J:J,L64),IF(_xlfn.XLOOKUP(L64,'Compartments_Kawecki&amp;Nowack19'!A:A,'Compartments_Kawecki&amp;Nowack19'!B:B,_xlfn.XLOOKUP(L64,Compartments_Added!A:A,Compartments_Added!B:B))="Stock","OK stock","OK flow"),IF(_xlfn.XLOOKUP(L64,'Compartments_Kawecki&amp;Nowack19'!A:A,'Compartments_Kawecki&amp;Nowack19'!B:B,_xlfn.XLOOKUP(L64,Compartments_Added!A:A,Compartments_Added!B:B))="Sink","OK, Sink","Missing"))</f>
        <v>OK, Sink</v>
      </c>
      <c r="N64" s="6"/>
      <c r="O64" s="6" t="str">
        <f>Lifetimes_pairs!A62</f>
        <v>Technical home textiles (in use)</v>
      </c>
      <c r="P64" s="6" t="str">
        <f>Lifetimes_pairs!B62</f>
        <v>TechHomeTextilesIU</v>
      </c>
      <c r="Q64" t="str">
        <f>Lifetimes!BJ1</f>
        <v>PaintsPreMadeWoodInDis</v>
      </c>
      <c r="R64" t="str">
        <f t="shared" si="2"/>
        <v>OK</v>
      </c>
      <c r="AA64" s="519" t="s">
        <v>1887</v>
      </c>
    </row>
    <row r="65" spans="10:27">
      <c r="J65" s="306" t="str">
        <v>Industrial stormwater (micro)</v>
      </c>
      <c r="K65" s="311" t="str">
        <f>IF(ISBLANK(J65),"",IF(COUNTIF(L:L,J65),IF(_xlfn.XLOOKUP(J65,'Compartments_Kawecki&amp;Nowack19'!A:A,'Compartments_Kawecki&amp;Nowack19'!B:B,_xlfn.XLOOKUP(J65,Compartments_Added!A:A,Compartments_Added!B:B))="Stock","OK stock","OK flow"),IF(COUNTIF($G$4:$G$18,J65),IF(COUNTIF($E$4:$E$18,J65),"OK input","Missing"),"Missing")))</f>
        <v>OK flow</v>
      </c>
      <c r="L65" s="306" t="str">
        <v>Surface water (macro)</v>
      </c>
      <c r="M65" s="311" t="str">
        <f>IF(COUNTIF(J:J,L65),IF(_xlfn.XLOOKUP(L65,'Compartments_Kawecki&amp;Nowack19'!A:A,'Compartments_Kawecki&amp;Nowack19'!B:B,_xlfn.XLOOKUP(L65,Compartments_Added!A:A,Compartments_Added!B:B))="Stock","OK stock","OK flow"),IF(_xlfn.XLOOKUP(L65,'Compartments_Kawecki&amp;Nowack19'!A:A,'Compartments_Kawecki&amp;Nowack19'!B:B,_xlfn.XLOOKUP(L65,Compartments_Added!A:A,Compartments_Added!B:B))="Sink","OK, Sink","Missing"))</f>
        <v>OK, Sink</v>
      </c>
      <c r="N65" s="6"/>
      <c r="O65" s="6" t="str">
        <f>Lifetimes_pairs!A63</f>
        <v>Technical home textiles (discarded)</v>
      </c>
      <c r="P65" s="6" t="str">
        <f>Lifetimes_pairs!B63</f>
        <v>TechHomeTextilesDis</v>
      </c>
      <c r="Q65" t="str">
        <f>Lifetimes!BK1</f>
        <v>PaintsPreMadeWoodInIU</v>
      </c>
      <c r="R65" t="str">
        <f t="shared" si="2"/>
        <v>OK</v>
      </c>
      <c r="AA65" s="519" t="s">
        <v>1888</v>
      </c>
    </row>
    <row r="66" spans="10:27">
      <c r="J66" s="306" t="str">
        <v>Pellet conversion</v>
      </c>
      <c r="K66" s="311" t="str">
        <f>IF(ISBLANK(J66),"",IF(COUNTIF(L:L,J66),IF(_xlfn.XLOOKUP(J66,'Compartments_Kawecki&amp;Nowack19'!A:A,'Compartments_Kawecki&amp;Nowack19'!B:B,_xlfn.XLOOKUP(J66,Compartments_Added!A:A,Compartments_Added!B:B))="Stock","OK stock","OK flow"),IF(COUNTIF($G$4:$G$18,J66),IF(COUNTIF($E$4:$E$18,J66),"OK input","Missing"),"Missing")))</f>
        <v>OK flow</v>
      </c>
      <c r="L66" s="306" t="str">
        <v>Wastewater treatment plant (macro)</v>
      </c>
      <c r="M66" s="311" t="str">
        <f>IF(COUNTIF(J:J,L66),IF(_xlfn.XLOOKUP(L66,'Compartments_Kawecki&amp;Nowack19'!A:A,'Compartments_Kawecki&amp;Nowack19'!B:B,_xlfn.XLOOKUP(L66,Compartments_Added!A:A,Compartments_Added!B:B))="Stock","OK stock","OK flow"),IF(_xlfn.XLOOKUP(L66,'Compartments_Kawecki&amp;Nowack19'!A:A,'Compartments_Kawecki&amp;Nowack19'!B:B,_xlfn.XLOOKUP(L66,Compartments_Added!A:A,Compartments_Added!B:B))="Sink","OK, Sink","Missing"))</f>
        <v>OK flow</v>
      </c>
      <c r="N66" s="6"/>
      <c r="O66" s="6" t="str">
        <f>Lifetimes_pairs!A64</f>
        <v>Building textiles (in use)</v>
      </c>
      <c r="P66" s="6" t="str">
        <f>Lifetimes_pairs!B64</f>
        <v>BuildingTextilesIU</v>
      </c>
      <c r="Q66" t="str">
        <f>Lifetimes!BL1</f>
        <v>PaintsPreMadeWoodOutDis</v>
      </c>
      <c r="R66" t="str">
        <f t="shared" si="2"/>
        <v>OK</v>
      </c>
      <c r="AA66" s="519" t="s">
        <v>1889</v>
      </c>
    </row>
    <row r="67" spans="10:27" ht="15" customHeight="1">
      <c r="J67" s="306" t="str">
        <v>Stormwater (macro)</v>
      </c>
      <c r="K67" s="311" t="str">
        <f>IF(ISBLANK(J67),"",IF(COUNTIF(L:L,J67),IF(_xlfn.XLOOKUP(J67,'Compartments_Kawecki&amp;Nowack19'!A:A,'Compartments_Kawecki&amp;Nowack19'!B:B,_xlfn.XLOOKUP(J67,Compartments_Added!A:A,Compartments_Added!B:B))="Stock","OK stock","OK flow"),IF(COUNTIF($G$4:$G$18,J67),IF(COUNTIF($E$4:$E$18,J67),"OK input","Missing"),"Missing")))</f>
        <v>OK flow</v>
      </c>
      <c r="L67" s="306" t="str">
        <v>Fertilizer additives</v>
      </c>
      <c r="M67" s="311" t="str">
        <f>IF(COUNTIF(J:J,L67),IF(_xlfn.XLOOKUP(L67,'Compartments_Kawecki&amp;Nowack19'!A:A,'Compartments_Kawecki&amp;Nowack19'!B:B,_xlfn.XLOOKUP(L67,Compartments_Added!A:A,Compartments_Added!B:B))="Stock","OK stock","OK flow"),IF(_xlfn.XLOOKUP(L67,'Compartments_Kawecki&amp;Nowack19'!A:A,'Compartments_Kawecki&amp;Nowack19'!B:B,_xlfn.XLOOKUP(L67,Compartments_Added!A:A,Compartments_Added!B:B))="Sink","OK, Sink","Missing"))</f>
        <v>OK flow</v>
      </c>
      <c r="N67" s="6"/>
      <c r="O67" s="6" t="str">
        <f>Lifetimes_pairs!A65</f>
        <v>Building textiles (discarded)</v>
      </c>
      <c r="P67" s="6" t="str">
        <f>Lifetimes_pairs!B65</f>
        <v>BuildingTextilesDis</v>
      </c>
      <c r="Q67" t="str">
        <f>Lifetimes!BM1</f>
        <v>PaintsPreMadeWoodOutIU</v>
      </c>
      <c r="R67" t="str">
        <f t="shared" si="2"/>
        <v>OK</v>
      </c>
      <c r="AA67" s="519" t="s">
        <v>1890</v>
      </c>
    </row>
    <row r="68" spans="10:27" ht="15" customHeight="1">
      <c r="J68" s="306" t="str">
        <v>Stormwater (micro)</v>
      </c>
      <c r="K68" s="311" t="str">
        <f>IF(ISBLANK(J68),"",IF(COUNTIF(L:L,J68),IF(_xlfn.XLOOKUP(J68,'Compartments_Kawecki&amp;Nowack19'!A:A,'Compartments_Kawecki&amp;Nowack19'!B:B,_xlfn.XLOOKUP(J68,Compartments_Added!A:A,Compartments_Added!B:B))="Stock","OK stock","OK flow"),IF(COUNTIF($G$4:$G$18,J68),IF(COUNTIF($E$4:$E$18,J68),"OK input","Missing"),"Missing")))</f>
        <v>OK flow</v>
      </c>
      <c r="L68" s="306" t="str">
        <v>Food additives</v>
      </c>
      <c r="M68" s="311" t="str">
        <f>IF(COUNTIF(J:J,L68),IF(_xlfn.XLOOKUP(L68,'Compartments_Kawecki&amp;Nowack19'!A:A,'Compartments_Kawecki&amp;Nowack19'!B:B,_xlfn.XLOOKUP(L68,Compartments_Added!A:A,Compartments_Added!B:B))="Stock","OK stock","OK flow"),IF(_xlfn.XLOOKUP(L68,'Compartments_Kawecki&amp;Nowack19'!A:A,'Compartments_Kawecki&amp;Nowack19'!B:B,_xlfn.XLOOKUP(L68,Compartments_Added!A:A,Compartments_Added!B:B))="Sink","OK, Sink","Missing"))</f>
        <v>OK flow</v>
      </c>
      <c r="N68" s="6"/>
      <c r="O68" s="6" t="str">
        <f>Lifetimes_pairs!A66</f>
        <v>Agrotextiles (in use)</v>
      </c>
      <c r="P68" s="6" t="str">
        <f>Lifetimes_pairs!B66</f>
        <v>AgrotextilesIU</v>
      </c>
      <c r="Q68" t="str">
        <f>Lifetimes!BN1</f>
        <v>PlasterDiyInDis</v>
      </c>
      <c r="R68" t="str">
        <f t="shared" si="2"/>
        <v>OK</v>
      </c>
      <c r="AA68" s="466" t="s">
        <v>1891</v>
      </c>
    </row>
    <row r="69" spans="10:27">
      <c r="J69" s="306" t="str">
        <v>Transport of primary plastics</v>
      </c>
      <c r="K69" s="311" t="str">
        <f>IF(ISBLANK(J69),"",IF(COUNTIF(L:L,J69),IF(_xlfn.XLOOKUP(J69,'Compartments_Kawecki&amp;Nowack19'!A:A,'Compartments_Kawecki&amp;Nowack19'!B:B,_xlfn.XLOOKUP(J69,Compartments_Added!A:A,Compartments_Added!B:B))="Stock","OK stock","OK flow"),IF(COUNTIF($G$4:$G$18,J69),IF(COUNTIF($E$4:$E$18,J69),"OK input","Missing"),"Missing")))</f>
        <v>OK flow</v>
      </c>
      <c r="L69" s="306" t="str">
        <v>Panty liners</v>
      </c>
      <c r="M69" s="311" t="str">
        <f>IF(COUNTIF(J:J,L69),IF(_xlfn.XLOOKUP(L69,'Compartments_Kawecki&amp;Nowack19'!A:A,'Compartments_Kawecki&amp;Nowack19'!B:B,_xlfn.XLOOKUP(L69,Compartments_Added!A:A,Compartments_Added!B:B))="Stock","OK stock","OK flow"),IF(_xlfn.XLOOKUP(L69,'Compartments_Kawecki&amp;Nowack19'!A:A,'Compartments_Kawecki&amp;Nowack19'!B:B,_xlfn.XLOOKUP(L69,Compartments_Added!A:A,Compartments_Added!B:B))="Sink","OK, Sink","Missing"))</f>
        <v>OK flow</v>
      </c>
      <c r="N69" s="6"/>
      <c r="O69" s="6" t="str">
        <f>Lifetimes_pairs!A67</f>
        <v>Agrotextiles (discarded)</v>
      </c>
      <c r="P69" s="6" t="str">
        <f>Lifetimes_pairs!B67</f>
        <v>AgrotextilesDis</v>
      </c>
      <c r="Q69" t="str">
        <f>Lifetimes!BO1</f>
        <v>PlasterDiyInIU</v>
      </c>
      <c r="R69" t="str">
        <f t="shared" ref="R69:R132" si="5">IF(COUNTIF(P:P,Q69), "OK", "Missing")</f>
        <v>OK</v>
      </c>
      <c r="AA69" s="466" t="s">
        <v>1892</v>
      </c>
    </row>
    <row r="70" spans="10:27">
      <c r="J70" s="306" t="str">
        <v>Highway</v>
      </c>
      <c r="K70" s="311" t="str">
        <f>IF(ISBLANK(J70),"",IF(COUNTIF(L:L,J70),IF(_xlfn.XLOOKUP(J70,'Compartments_Kawecki&amp;Nowack19'!A:A,'Compartments_Kawecki&amp;Nowack19'!B:B,_xlfn.XLOOKUP(J70,Compartments_Added!A:A,Compartments_Added!B:B))="Stock","OK stock","OK flow"),IF(COUNTIF($G$4:$G$18,J70),IF(COUNTIF($E$4:$E$18,J70),"OK input","Missing"),"Missing")))</f>
        <v>OK flow</v>
      </c>
      <c r="L70" s="306" t="str">
        <v>Highway DAB</v>
      </c>
      <c r="M70" s="311" t="str">
        <f>IF(COUNTIF(J:J,L70),IF(_xlfn.XLOOKUP(L70,'Compartments_Kawecki&amp;Nowack19'!A:A,'Compartments_Kawecki&amp;Nowack19'!B:B,_xlfn.XLOOKUP(L70,Compartments_Added!A:A,Compartments_Added!B:B))="Stock","OK stock","OK flow"),IF(_xlfn.XLOOKUP(L70,'Compartments_Kawecki&amp;Nowack19'!A:A,'Compartments_Kawecki&amp;Nowack19'!B:B,_xlfn.XLOOKUP(L70,Compartments_Added!A:A,Compartments_Added!B:B))="Sink","OK, Sink","Missing"))</f>
        <v>OK flow</v>
      </c>
      <c r="N70" s="6"/>
      <c r="O70" s="6" t="str">
        <f>Lifetimes_pairs!A68</f>
        <v>Geotextiles (in use)</v>
      </c>
      <c r="P70" s="6" t="str">
        <f>Lifetimes_pairs!B68</f>
        <v>GeotextilesIU</v>
      </c>
      <c r="Q70" t="str">
        <f>Lifetimes!BP1</f>
        <v>PlasterDiyOutDis</v>
      </c>
      <c r="R70" t="str">
        <f t="shared" si="5"/>
        <v>OK</v>
      </c>
      <c r="AA70" s="466" t="s">
        <v>1893</v>
      </c>
    </row>
    <row r="71" spans="10:27">
      <c r="J71" s="306" t="str">
        <v>Highway DAB</v>
      </c>
      <c r="K71" s="311" t="str">
        <f>IF(ISBLANK(J71),"",IF(COUNTIF(L:L,J71),IF(_xlfn.XLOOKUP(J71,'Compartments_Kawecki&amp;Nowack19'!A:A,'Compartments_Kawecki&amp;Nowack19'!B:B,_xlfn.XLOOKUP(J71,Compartments_Added!A:A,Compartments_Added!B:B))="Stock","OK stock","OK flow"),IF(COUNTIF($G$4:$G$18,J71),IF(COUNTIF($E$4:$E$18,J71),"OK input","Missing"),"Missing")))</f>
        <v>OK flow</v>
      </c>
      <c r="L71" s="306" t="str">
        <v>Highway ZOAB</v>
      </c>
      <c r="M71" s="311" t="str">
        <f>IF(COUNTIF(J:J,L71),IF(_xlfn.XLOOKUP(L71,'Compartments_Kawecki&amp;Nowack19'!A:A,'Compartments_Kawecki&amp;Nowack19'!B:B,_xlfn.XLOOKUP(L71,Compartments_Added!A:A,Compartments_Added!B:B))="Stock","OK stock","OK flow"),IF(_xlfn.XLOOKUP(L71,'Compartments_Kawecki&amp;Nowack19'!A:A,'Compartments_Kawecki&amp;Nowack19'!B:B,_xlfn.XLOOKUP(L71,Compartments_Added!A:A,Compartments_Added!B:B))="Sink","OK, Sink","Missing"))</f>
        <v>OK flow</v>
      </c>
      <c r="N71" s="6"/>
      <c r="O71" s="6" t="str">
        <f>Lifetimes_pairs!A69</f>
        <v>Geotextiles (discarded)</v>
      </c>
      <c r="P71" s="6" t="str">
        <f>Lifetimes_pairs!B69</f>
        <v>GeotextilesDis</v>
      </c>
      <c r="Q71" t="str">
        <f>Lifetimes!BQ1</f>
        <v>PlasterDiyOutIU</v>
      </c>
      <c r="R71" t="str">
        <f t="shared" si="5"/>
        <v>OK</v>
      </c>
      <c r="AA71" s="466" t="s">
        <v>1894</v>
      </c>
    </row>
    <row r="72" spans="10:27">
      <c r="J72" s="306" t="str">
        <v>Combined sewer overflow (macro)</v>
      </c>
      <c r="K72" s="311" t="str">
        <f>IF(ISBLANK(J72),"",IF(COUNTIF(L:L,J72),IF(_xlfn.XLOOKUP(J72,'Compartments_Kawecki&amp;Nowack19'!A:A,'Compartments_Kawecki&amp;Nowack19'!B:B,_xlfn.XLOOKUP(J72,Compartments_Added!A:A,Compartments_Added!B:B))="Stock","OK stock","OK flow"),IF(COUNTIF($G$4:$G$18,J72),IF(COUNTIF($E$4:$E$18,J72),"OK input","Missing"),"Missing")))</f>
        <v>OK flow</v>
      </c>
      <c r="L72" s="306" t="str">
        <v>Highway DAB non cleaned</v>
      </c>
      <c r="M72" s="311" t="str">
        <f>IF(COUNTIF(J:J,L72),IF(_xlfn.XLOOKUP(L72,'Compartments_Kawecki&amp;Nowack19'!A:A,'Compartments_Kawecki&amp;Nowack19'!B:B,_xlfn.XLOOKUP(L72,Compartments_Added!A:A,Compartments_Added!B:B))="Stock","OK stock","OK flow"),IF(_xlfn.XLOOKUP(L72,'Compartments_Kawecki&amp;Nowack19'!A:A,'Compartments_Kawecki&amp;Nowack19'!B:B,_xlfn.XLOOKUP(L72,Compartments_Added!A:A,Compartments_Added!B:B))="Sink","OK, Sink","Missing"))</f>
        <v>OK flow</v>
      </c>
      <c r="N72" s="6"/>
      <c r="O72" s="6" t="str">
        <f>Lifetimes_pairs!A70</f>
        <v>Textile coating (in use)</v>
      </c>
      <c r="P72" s="6" t="str">
        <f>Lifetimes_pairs!B70</f>
        <v>TextileCoatingIU</v>
      </c>
      <c r="Q72" t="str">
        <f>Lifetimes!BR1</f>
        <v>PlasterProfInDis</v>
      </c>
      <c r="R72" t="str">
        <f t="shared" si="5"/>
        <v>OK</v>
      </c>
      <c r="AA72" s="466" t="s">
        <v>1895</v>
      </c>
    </row>
    <row r="73" spans="10:27">
      <c r="J73" s="306" t="str">
        <v>Packaging recycling</v>
      </c>
      <c r="K73" s="311" t="str">
        <f>IF(ISBLANK(J73),"",IF(COUNTIF(L:L,J73),IF(_xlfn.XLOOKUP(J73,'Compartments_Kawecki&amp;Nowack19'!A:A,'Compartments_Kawecki&amp;Nowack19'!B:B,_xlfn.XLOOKUP(J73,Compartments_Added!A:A,Compartments_Added!B:B))="Stock","OK stock","OK flow"),IF(COUNTIF($G$4:$G$18,J73),IF(COUNTIF($E$4:$E$18,J73),"OK input","Missing"),"Missing")))</f>
        <v>OK flow</v>
      </c>
      <c r="L73" s="306" t="str">
        <v>Sanitary pads</v>
      </c>
      <c r="M73" s="311" t="str">
        <f>IF(COUNTIF(J:J,L73),IF(_xlfn.XLOOKUP(L73,'Compartments_Kawecki&amp;Nowack19'!A:A,'Compartments_Kawecki&amp;Nowack19'!B:B,_xlfn.XLOOKUP(L73,Compartments_Added!A:A,Compartments_Added!B:B))="Stock","OK stock","OK flow"),IF(_xlfn.XLOOKUP(L73,'Compartments_Kawecki&amp;Nowack19'!A:A,'Compartments_Kawecki&amp;Nowack19'!B:B,_xlfn.XLOOKUP(L73,Compartments_Added!A:A,Compartments_Added!B:B))="Sink","OK, Sink","Missing"))</f>
        <v>OK flow</v>
      </c>
      <c r="N73" s="6"/>
      <c r="O73" s="6" t="str">
        <f>Lifetimes_pairs!A71</f>
        <v>Textile coating (discarded)</v>
      </c>
      <c r="P73" s="6" t="str">
        <f>Lifetimes_pairs!B71</f>
        <v>TextileCoatingDis</v>
      </c>
      <c r="Q73" t="str">
        <f>Lifetimes!BS1</f>
        <v>PlasterProfInIU</v>
      </c>
      <c r="R73" t="str">
        <f t="shared" si="5"/>
        <v>OK</v>
      </c>
      <c r="AA73" s="466" t="s">
        <v>1896</v>
      </c>
    </row>
    <row r="74" spans="10:27">
      <c r="J74" s="306" t="str">
        <v>Sludge (macro)</v>
      </c>
      <c r="K74" s="311" t="str">
        <f>IF(ISBLANK(J74),"",IF(COUNTIF(L:L,J74),IF(_xlfn.XLOOKUP(J74,'Compartments_Kawecki&amp;Nowack19'!A:A,'Compartments_Kawecki&amp;Nowack19'!B:B,_xlfn.XLOOKUP(J74,Compartments_Added!A:A,Compartments_Added!B:B))="Stock","OK stock","OK flow"),IF(COUNTIF($G$4:$G$18,J74),IF(COUNTIF($E$4:$E$18,J74),"OK input","Missing"),"Missing")))</f>
        <v>OK flow</v>
      </c>
      <c r="L74" s="306" t="str">
        <v>Tampons</v>
      </c>
      <c r="M74" s="311" t="str">
        <f>IF(COUNTIF(J:J,L74),IF(_xlfn.XLOOKUP(L74,'Compartments_Kawecki&amp;Nowack19'!A:A,'Compartments_Kawecki&amp;Nowack19'!B:B,_xlfn.XLOOKUP(L74,Compartments_Added!A:A,Compartments_Added!B:B))="Stock","OK stock","OK flow"),IF(_xlfn.XLOOKUP(L74,'Compartments_Kawecki&amp;Nowack19'!A:A,'Compartments_Kawecki&amp;Nowack19'!B:B,_xlfn.XLOOKUP(L74,Compartments_Added!A:A,Compartments_Added!B:B))="Sink","OK, Sink","Missing"))</f>
        <v>OK flow</v>
      </c>
      <c r="N74" s="6"/>
      <c r="O74" s="6" t="str">
        <f>Lifetimes_pairs!A72</f>
        <v>Infill material sports fields (discarded)</v>
      </c>
      <c r="P74" s="6" t="str">
        <f>Lifetimes_pairs!B72</f>
        <v>InfillSportsFieldDis</v>
      </c>
      <c r="Q74" t="str">
        <f>Lifetimes!BT1</f>
        <v>PlasterProfOutDis</v>
      </c>
      <c r="R74" t="str">
        <f t="shared" si="5"/>
        <v>OK</v>
      </c>
      <c r="AA74" s="466" t="s">
        <v>1897</v>
      </c>
    </row>
    <row r="75" spans="10:27">
      <c r="J75" s="306" t="str">
        <v>Sludge (micro)</v>
      </c>
      <c r="K75" s="311" t="str">
        <f>IF(ISBLANK(J75),"",IF(COUNTIF(L:L,J75),IF(_xlfn.XLOOKUP(J75,'Compartments_Kawecki&amp;Nowack19'!A:A,'Compartments_Kawecki&amp;Nowack19'!B:B,_xlfn.XLOOKUP(J75,Compartments_Added!A:A,Compartments_Added!B:B))="Stock","OK stock","OK flow"),IF(COUNTIF($G$4:$G$18,J75),IF(COUNTIF($E$4:$E$18,J75),"OK input","Missing"),"Missing")))</f>
        <v>OK flow</v>
      </c>
      <c r="L75" s="306" t="str">
        <v>Road cleaning</v>
      </c>
      <c r="M75" s="311" t="str">
        <f>IF(COUNTIF(J:J,L75),IF(_xlfn.XLOOKUP(L75,'Compartments_Kawecki&amp;Nowack19'!A:A,'Compartments_Kawecki&amp;Nowack19'!B:B,_xlfn.XLOOKUP(L75,Compartments_Added!A:A,Compartments_Added!B:B))="Stock","OK stock","OK flow"),IF(_xlfn.XLOOKUP(L75,'Compartments_Kawecki&amp;Nowack19'!A:A,'Compartments_Kawecki&amp;Nowack19'!B:B,_xlfn.XLOOKUP(L75,Compartments_Added!A:A,Compartments_Added!B:B))="Sink","OK, Sink","Missing"))</f>
        <v>OK flow</v>
      </c>
      <c r="N75" s="6"/>
      <c r="O75" s="6" t="str">
        <f>Lifetimes_pairs!A73</f>
        <v>Infill material sports fields (in use)</v>
      </c>
      <c r="P75" s="6" t="str">
        <f>Lifetimes_pairs!B73</f>
        <v>InfillSportsFieldU</v>
      </c>
      <c r="Q75" t="str">
        <f>Lifetimes!BU1</f>
        <v>PlasterProfOutIU</v>
      </c>
      <c r="R75" t="str">
        <f t="shared" si="5"/>
        <v>OK</v>
      </c>
      <c r="AA75" s="466" t="s">
        <v>1898</v>
      </c>
    </row>
    <row r="76" spans="10:27">
      <c r="J76" s="306" t="str">
        <v>Tertiary water treatment (macro)</v>
      </c>
      <c r="K76" s="311" t="str">
        <f>IF(ISBLANK(J76),"",IF(COUNTIF(L:L,J76),IF(_xlfn.XLOOKUP(J76,'Compartments_Kawecki&amp;Nowack19'!A:A,'Compartments_Kawecki&amp;Nowack19'!B:B,_xlfn.XLOOKUP(J76,Compartments_Added!A:A,Compartments_Added!B:B))="Stock","OK stock","OK flow"),IF(COUNTIF($G$4:$G$18,J76),IF(COUNTIF($E$4:$E$18,J76),"OK input","Missing"),"Missing")))</f>
        <v>OK flow</v>
      </c>
      <c r="L76" s="152" t="str">
        <v>Indoor floors (micro)</v>
      </c>
      <c r="M76" s="311" t="str">
        <f>IF(COUNTIF(J:J,L76),IF(_xlfn.XLOOKUP(L76,'Compartments_Kawecki&amp;Nowack19'!A:A,'Compartments_Kawecki&amp;Nowack19'!B:B,_xlfn.XLOOKUP(L76,Compartments_Added!A:A,Compartments_Added!B:B))="Stock","OK stock","OK flow"),IF(_xlfn.XLOOKUP(L76,'Compartments_Kawecki&amp;Nowack19'!A:A,'Compartments_Kawecki&amp;Nowack19'!B:B,_xlfn.XLOOKUP(L76,Compartments_Added!A:A,Compartments_Added!B:B))="Sink","OK, Sink","Missing"))</f>
        <v>OK flow</v>
      </c>
      <c r="N76" s="7"/>
      <c r="O76" s="6" t="str">
        <f>Lifetimes_pairs!A74</f>
        <v>Consumer bags</v>
      </c>
      <c r="P76" s="6" t="str">
        <f>Lifetimes_pairs!B74</f>
        <v>ConsumerBags</v>
      </c>
      <c r="Q76" t="str">
        <f>Lifetimes!BV1</f>
        <v>ShipProfDis</v>
      </c>
      <c r="R76" t="str">
        <f t="shared" si="5"/>
        <v>OK</v>
      </c>
      <c r="AA76" s="466" t="s">
        <v>1899</v>
      </c>
    </row>
    <row r="77" spans="10:27" ht="15" customHeight="1">
      <c r="J77" s="306" t="str">
        <v>Tertiary water treatment (micro)</v>
      </c>
      <c r="K77" s="311" t="str">
        <f>IF(ISBLANK(J77),"",IF(COUNTIF(L:L,J77),IF(_xlfn.XLOOKUP(J77,'Compartments_Kawecki&amp;Nowack19'!A:A,'Compartments_Kawecki&amp;Nowack19'!B:B,_xlfn.XLOOKUP(J77,Compartments_Added!A:A,Compartments_Added!B:B))="Stock","OK stock","OK flow"),IF(COUNTIF($G$4:$G$18,J77),IF(COUNTIF($E$4:$E$18,J77),"OK input","Missing"),"Missing")))</f>
        <v>OK flow</v>
      </c>
      <c r="L77" s="306" t="str">
        <v>Infill material sports fields</v>
      </c>
      <c r="M77" s="311" t="str">
        <f>IF(COUNTIF(J:J,L77),IF(_xlfn.XLOOKUP(L77,'Compartments_Kawecki&amp;Nowack19'!A:A,'Compartments_Kawecki&amp;Nowack19'!B:B,_xlfn.XLOOKUP(L77,Compartments_Added!A:A,Compartments_Added!B:B))="Stock","OK stock","OK flow"),IF(_xlfn.XLOOKUP(L77,'Compartments_Kawecki&amp;Nowack19'!A:A,'Compartments_Kawecki&amp;Nowack19'!B:B,_xlfn.XLOOKUP(L77,Compartments_Added!A:A,Compartments_Added!B:B))="Sink","OK, Sink","Missing"))</f>
        <v>OK flow</v>
      </c>
      <c r="N77" s="6"/>
      <c r="O77" s="6" t="str">
        <f>Lifetimes_pairs!A75</f>
        <v>Consumer bottles</v>
      </c>
      <c r="P77" s="6" t="str">
        <f>Lifetimes_pairs!B75</f>
        <v>ConsumerBottles</v>
      </c>
      <c r="Q77" t="str">
        <f>Lifetimes!BW1</f>
        <v>ShipProfIU</v>
      </c>
      <c r="R77" t="str">
        <f t="shared" si="5"/>
        <v>OK</v>
      </c>
      <c r="AA77" s="466" t="s">
        <v>1900</v>
      </c>
    </row>
    <row r="78" spans="10:27" ht="15" customHeight="1">
      <c r="J78" s="306" t="str">
        <v>Construction and demolition incinerable waste collection</v>
      </c>
      <c r="K78" s="311" t="str">
        <f>IF(ISBLANK(J78),"",IF(COUNTIF(L:L,J78),IF(_xlfn.XLOOKUP(J78,'Compartments_Kawecki&amp;Nowack19'!A:A,'Compartments_Kawecki&amp;Nowack19'!B:B,_xlfn.XLOOKUP(J78,Compartments_Added!A:A,Compartments_Added!B:B))="Stock","OK stock","OK flow"),IF(COUNTIF($G$4:$G$18,J78),IF(COUNTIF($E$4:$E$18,J78),"OK input","Missing"),"Missing")))</f>
        <v>OK flow</v>
      </c>
      <c r="L78" s="306" t="str">
        <v>Infill material sports fields (discarded)</v>
      </c>
      <c r="M78" s="311" t="str">
        <f>IF(COUNTIF(J:J,L78),IF(_xlfn.XLOOKUP(L78,'Compartments_Kawecki&amp;Nowack19'!A:A,'Compartments_Kawecki&amp;Nowack19'!B:B,_xlfn.XLOOKUP(L78,Compartments_Added!A:A,Compartments_Added!B:B))="Stock","OK stock","OK flow"),IF(_xlfn.XLOOKUP(L78,'Compartments_Kawecki&amp;Nowack19'!A:A,'Compartments_Kawecki&amp;Nowack19'!B:B,_xlfn.XLOOKUP(L78,Compartments_Added!A:A,Compartments_Added!B:B))="Sink","OK, Sink","Missing"))</f>
        <v>OK stock</v>
      </c>
      <c r="N78" s="6"/>
      <c r="O78" s="6" t="str">
        <f>Lifetimes_pairs!A76</f>
        <v>Consumer films</v>
      </c>
      <c r="P78" s="6" t="str">
        <f>Lifetimes_pairs!B76</f>
        <v>ConsumerFilms</v>
      </c>
      <c r="Q78" t="str">
        <f>Lifetimes!BX1</f>
        <v>ShipDiyDis</v>
      </c>
      <c r="R78" t="str">
        <f t="shared" si="5"/>
        <v>OK</v>
      </c>
      <c r="AA78" s="466" t="s">
        <v>1901</v>
      </c>
    </row>
    <row r="79" spans="10:27" ht="15" customHeight="1">
      <c r="J79" s="306" t="str">
        <v>Clothing (in use) wear &amp; tear</v>
      </c>
      <c r="K79" s="311" t="str">
        <f>IF(ISBLANK(J79),"",IF(COUNTIF(L:L,J79),IF(_xlfn.XLOOKUP(J79,'Compartments_Kawecki&amp;Nowack19'!A:A,'Compartments_Kawecki&amp;Nowack19'!B:B,_xlfn.XLOOKUP(J79,Compartments_Added!A:A,Compartments_Added!B:B))="Stock","OK stock","OK flow"),IF(COUNTIF($G$4:$G$18,J79),IF(COUNTIF($E$4:$E$18,J79),"OK input","Missing"),"Missing")))</f>
        <v>OK stock</v>
      </c>
      <c r="L79" s="306" t="str">
        <v>Infill material sports fields (in use)</v>
      </c>
      <c r="M79" s="311" t="str">
        <f>IF(COUNTIF(J:J,L79),IF(_xlfn.XLOOKUP(L79,'Compartments_Kawecki&amp;Nowack19'!A:A,'Compartments_Kawecki&amp;Nowack19'!B:B,_xlfn.XLOOKUP(L79,Compartments_Added!A:A,Compartments_Added!B:B))="Stock","OK stock","OK flow"),IF(_xlfn.XLOOKUP(L79,'Compartments_Kawecki&amp;Nowack19'!A:A,'Compartments_Kawecki&amp;Nowack19'!B:B,_xlfn.XLOOKUP(L79,Compartments_Added!A:A,Compartments_Added!B:B))="Sink","OK, Sink","Missing"))</f>
        <v>OK stock</v>
      </c>
      <c r="N79" s="6"/>
      <c r="O79" s="6" t="str">
        <f>Lifetimes_pairs!A77</f>
        <v>Non-consumer bags</v>
      </c>
      <c r="P79" s="6" t="str">
        <f>Lifetimes_pairs!B77</f>
        <v>NonConsumerBags</v>
      </c>
      <c r="Q79" t="str">
        <f>Lifetimes!BY1</f>
        <v>ShipDiyIU</v>
      </c>
      <c r="R79" t="str">
        <f t="shared" si="5"/>
        <v>OK</v>
      </c>
      <c r="AA79" s="466" t="s">
        <v>1902</v>
      </c>
    </row>
    <row r="80" spans="10:27" ht="15" customHeight="1">
      <c r="J80" s="306" t="str">
        <v>Indoor air (micro)</v>
      </c>
      <c r="K80" s="311" t="str">
        <f>IF(ISBLANK(J80),"",IF(COUNTIF(L:L,J80),IF(_xlfn.XLOOKUP(J80,'Compartments_Kawecki&amp;Nowack19'!A:A,'Compartments_Kawecki&amp;Nowack19'!B:B,_xlfn.XLOOKUP(J80,Compartments_Added!A:A,Compartments_Added!B:B))="Stock","OK stock","OK flow"),IF(COUNTIF($G$4:$G$18,J80),IF(COUNTIF($E$4:$E$18,J80),"OK input","Missing"),"Missing")))</f>
        <v>OK flow</v>
      </c>
      <c r="L80" s="306" t="str">
        <v>Invitro diagnostic devices</v>
      </c>
      <c r="M80" s="311" t="str">
        <f>IF(COUNTIF(J:J,L80),IF(_xlfn.XLOOKUP(L80,'Compartments_Kawecki&amp;Nowack19'!A:A,'Compartments_Kawecki&amp;Nowack19'!B:B,_xlfn.XLOOKUP(L80,Compartments_Added!A:A,Compartments_Added!B:B))="Stock","OK stock","OK flow"),IF(_xlfn.XLOOKUP(L80,'Compartments_Kawecki&amp;Nowack19'!A:A,'Compartments_Kawecki&amp;Nowack19'!B:B,_xlfn.XLOOKUP(L80,Compartments_Added!A:A,Compartments_Added!B:B))="Sink","OK, Sink","Missing"))</f>
        <v>OK flow</v>
      </c>
      <c r="N80" s="6"/>
      <c r="O80" s="6" t="str">
        <f>Lifetimes_pairs!A78</f>
        <v>Other consumer packaging</v>
      </c>
      <c r="P80" s="6" t="str">
        <f>Lifetimes_pairs!B78</f>
        <v>ConsumerOther</v>
      </c>
      <c r="Q80" t="str">
        <f>Lifetimes!BZ1</f>
        <v>WallPaintDiyIndoorAppliedDis</v>
      </c>
      <c r="R80" t="str">
        <f t="shared" si="5"/>
        <v>OK</v>
      </c>
      <c r="AA80" t="s">
        <v>1903</v>
      </c>
    </row>
    <row r="81" spans="10:27" ht="15" customHeight="1">
      <c r="J81" s="306" t="str">
        <v>Infill material sports fields</v>
      </c>
      <c r="K81" s="311" t="str">
        <f>IF(ISBLANK(J81),"",IF(COUNTIF(L:L,J81),IF(_xlfn.XLOOKUP(J81,'Compartments_Kawecki&amp;Nowack19'!A:A,'Compartments_Kawecki&amp;Nowack19'!B:B,_xlfn.XLOOKUP(J81,Compartments_Added!A:A,Compartments_Added!B:B))="Stock","OK stock","OK flow"),IF(COUNTIF($G$4:$G$18,J81),IF(COUNTIF($E$4:$E$18,J81),"OK input","Missing"),"Missing")))</f>
        <v>OK flow</v>
      </c>
      <c r="L81" s="306" t="str">
        <v>Litter on road sides</v>
      </c>
      <c r="M81" s="311" t="str">
        <f>IF(COUNTIF(J:J,L81),IF(_xlfn.XLOOKUP(L81,'Compartments_Kawecki&amp;Nowack19'!A:A,'Compartments_Kawecki&amp;Nowack19'!B:B,_xlfn.XLOOKUP(L81,Compartments_Added!A:A,Compartments_Added!B:B))="Stock","OK stock","OK flow"),IF(_xlfn.XLOOKUP(L81,'Compartments_Kawecki&amp;Nowack19'!A:A,'Compartments_Kawecki&amp;Nowack19'!B:B,_xlfn.XLOOKUP(L81,Compartments_Added!A:A,Compartments_Added!B:B))="Sink","OK, Sink","Missing"))</f>
        <v>OK flow</v>
      </c>
      <c r="N81" s="6"/>
      <c r="O81" s="6" t="str">
        <f>Lifetimes_pairs!A79</f>
        <v>Other non-consumer films</v>
      </c>
      <c r="P81" s="6" t="str">
        <f>Lifetimes_pairs!B79</f>
        <v>OtherNonConsumerFilms</v>
      </c>
      <c r="Q81" t="str">
        <f>Lifetimes!CA1</f>
        <v>WallPaintDiyIndoorAppliedIU</v>
      </c>
      <c r="R81" t="str">
        <f t="shared" si="5"/>
        <v>OK</v>
      </c>
      <c r="AA81" t="s">
        <v>1904</v>
      </c>
    </row>
    <row r="82" spans="10:27">
      <c r="J82" s="306" t="str">
        <v>Mixed waste collection</v>
      </c>
      <c r="K82" s="311" t="str">
        <f>IF(ISBLANK(J82),"",IF(COUNTIF(L:L,J82),IF(_xlfn.XLOOKUP(J82,'Compartments_Kawecki&amp;Nowack19'!A:A,'Compartments_Kawecki&amp;Nowack19'!B:B,_xlfn.XLOOKUP(J82,Compartments_Added!A:A,Compartments_Added!B:B))="Stock","OK stock","OK flow"),IF(COUNTIF($G$4:$G$18,J82),IF(COUNTIF($E$4:$E$18,J82),"OK input","Missing"),"Missing")))</f>
        <v>OK flow</v>
      </c>
      <c r="L82" s="306" t="str">
        <v>Litter in natural environments</v>
      </c>
      <c r="M82" s="311" t="str">
        <f>IF(COUNTIF(J:J,L82),IF(_xlfn.XLOOKUP(L82,'Compartments_Kawecki&amp;Nowack19'!A:A,'Compartments_Kawecki&amp;Nowack19'!B:B,_xlfn.XLOOKUP(L82,Compartments_Added!A:A,Compartments_Added!B:B))="Stock","OK stock","OK flow"),IF(_xlfn.XLOOKUP(L82,'Compartments_Kawecki&amp;Nowack19'!A:A,'Compartments_Kawecki&amp;Nowack19'!B:B,_xlfn.XLOOKUP(L82,Compartments_Added!A:A,Compartments_Added!B:B))="Sink","OK, Sink","Missing"))</f>
        <v>OK flow</v>
      </c>
      <c r="N82" s="6"/>
      <c r="O82" s="6" t="str">
        <f>Lifetimes_pairs!A80</f>
        <v>Other non-consumer packaging</v>
      </c>
      <c r="P82" s="6" t="str">
        <f>Lifetimes_pairs!B80</f>
        <v>NonConsumerOther</v>
      </c>
      <c r="Q82" t="str">
        <f>Lifetimes!CB1</f>
        <v>WallPaintDiyOutDis</v>
      </c>
      <c r="R82" t="str">
        <f t="shared" si="5"/>
        <v>OK</v>
      </c>
      <c r="AA82" t="s">
        <v>1905</v>
      </c>
    </row>
    <row r="83" spans="10:27">
      <c r="J83" s="306" t="str">
        <v>Dumping</v>
      </c>
      <c r="K83" s="311" t="str">
        <f>IF(ISBLANK(J83),"",IF(COUNTIF(L:L,J83),IF(_xlfn.XLOOKUP(J83,'Compartments_Kawecki&amp;Nowack19'!A:A,'Compartments_Kawecki&amp;Nowack19'!B:B,_xlfn.XLOOKUP(J83,Compartments_Added!A:A,Compartments_Added!B:B))="Stock","OK stock","OK flow"),IF(COUNTIF($G$4:$G$18,J83),IF(COUNTIF($E$4:$E$18,J83),"OK input","Missing"),"Missing")))</f>
        <v>OK flow</v>
      </c>
      <c r="L83" s="306" t="str">
        <v>Litter in residential environments</v>
      </c>
      <c r="M83" s="311" t="str">
        <f>IF(COUNTIF(J:J,L83),IF(_xlfn.XLOOKUP(L83,'Compartments_Kawecki&amp;Nowack19'!A:A,'Compartments_Kawecki&amp;Nowack19'!B:B,_xlfn.XLOOKUP(L83,Compartments_Added!A:A,Compartments_Added!B:B))="Stock","OK stock","OK flow"),IF(_xlfn.XLOOKUP(L83,'Compartments_Kawecki&amp;Nowack19'!A:A,'Compartments_Kawecki&amp;Nowack19'!B:B,_xlfn.XLOOKUP(L83,Compartments_Added!A:A,Compartments_Added!B:B))="Sink","OK, Sink","Missing"))</f>
        <v>OK flow</v>
      </c>
      <c r="N83" s="6"/>
      <c r="O83" s="6" t="str">
        <f>Lifetimes_pairs!A81</f>
        <v>Agricultural packaging films</v>
      </c>
      <c r="P83" s="6" t="str">
        <f>Lifetimes_pairs!B81</f>
        <v>AgriculturalPackagingFilms</v>
      </c>
      <c r="Q83" t="str">
        <f>Lifetimes!CC1</f>
        <v>WallPaintDiyOutIU</v>
      </c>
      <c r="R83" t="str">
        <f t="shared" si="5"/>
        <v>OK</v>
      </c>
      <c r="AA83" t="s">
        <v>1906</v>
      </c>
    </row>
    <row r="84" spans="10:27">
      <c r="J84" s="306" t="str">
        <v>On-the-go consumption (nature)</v>
      </c>
      <c r="K84" s="311" t="str">
        <f>IF(ISBLANK(J84),"",IF(COUNTIF(L:L,J84),IF(_xlfn.XLOOKUP(J84,'Compartments_Kawecki&amp;Nowack19'!A:A,'Compartments_Kawecki&amp;Nowack19'!B:B,_xlfn.XLOOKUP(J84,Compartments_Added!A:A,Compartments_Added!B:B))="Stock","OK stock","OK flow"),IF(COUNTIF($G$4:$G$18,J84),IF(COUNTIF($E$4:$E$18,J84),"OK input","Missing"),"Missing")))</f>
        <v>OK flow</v>
      </c>
      <c r="L84" s="306" t="str">
        <v>Wet wipes</v>
      </c>
      <c r="M84" s="311" t="str">
        <f>IF(COUNTIF(J:J,L84),IF(_xlfn.XLOOKUP(L84,'Compartments_Kawecki&amp;Nowack19'!A:A,'Compartments_Kawecki&amp;Nowack19'!B:B,_xlfn.XLOOKUP(L84,Compartments_Added!A:A,Compartments_Added!B:B))="Stock","OK stock","OK flow"),IF(_xlfn.XLOOKUP(L84,'Compartments_Kawecki&amp;Nowack19'!A:A,'Compartments_Kawecki&amp;Nowack19'!B:B,_xlfn.XLOOKUP(L84,Compartments_Added!A:A,Compartments_Added!B:B))="Sink","OK, Sink","Missing"))</f>
        <v>OK flow</v>
      </c>
      <c r="N84" s="6"/>
      <c r="O84" s="6" t="str">
        <f>Lifetimes_pairs!A82</f>
        <v>Clothing (in use) wear &amp; tear</v>
      </c>
      <c r="P84" s="6" t="str">
        <f>Lifetimes_pairs!B82</f>
        <v>ClothingIUWearTear</v>
      </c>
      <c r="Q84" t="str">
        <f>Lifetimes!CD1</f>
        <v>WallPaintProfInDis</v>
      </c>
      <c r="R84" t="str">
        <f t="shared" si="5"/>
        <v>OK</v>
      </c>
      <c r="AA84" t="s">
        <v>1907</v>
      </c>
    </row>
    <row r="85" spans="10:27">
      <c r="J85" s="306" t="str">
        <v>On-the-go consumption (residential)</v>
      </c>
      <c r="K85" s="311" t="str">
        <f>IF(ISBLANK(J85),"",IF(COUNTIF(L:L,J85),IF(_xlfn.XLOOKUP(J85,'Compartments_Kawecki&amp;Nowack19'!A:A,'Compartments_Kawecki&amp;Nowack19'!B:B,_xlfn.XLOOKUP(J85,Compartments_Added!A:A,Compartments_Added!B:B))="Stock","OK stock","OK flow"),IF(COUNTIF($G$4:$G$18,J85),IF(COUNTIF($E$4:$E$18,J85),"OK input","Missing"),"Missing")))</f>
        <v>OK flow</v>
      </c>
      <c r="L85" s="306" t="str">
        <v>Medicine diffusion limitation (slow release)</v>
      </c>
      <c r="M85" s="311" t="str">
        <f>IF(COUNTIF(J:J,L85),IF(_xlfn.XLOOKUP(L85,'Compartments_Kawecki&amp;Nowack19'!A:A,'Compartments_Kawecki&amp;Nowack19'!B:B,_xlfn.XLOOKUP(L85,Compartments_Added!A:A,Compartments_Added!B:B))="Stock","OK stock","OK flow"),IF(_xlfn.XLOOKUP(L85,'Compartments_Kawecki&amp;Nowack19'!A:A,'Compartments_Kawecki&amp;Nowack19'!B:B,_xlfn.XLOOKUP(L85,Compartments_Added!A:A,Compartments_Added!B:B))="Sink","OK, Sink","Missing"))</f>
        <v>OK flow</v>
      </c>
      <c r="N85" s="6"/>
      <c r="O85" s="6" t="str">
        <f>Lifetimes_pairs!A83</f>
        <v>Home textiles (discarded)</v>
      </c>
      <c r="P85" s="6" t="str">
        <f>Lifetimes_pairs!B83</f>
        <v>HomeTextilesDis</v>
      </c>
      <c r="Q85" t="str">
        <f>Lifetimes!CE1</f>
        <v>WallPaintProfInIU</v>
      </c>
      <c r="R85" t="str">
        <f t="shared" si="5"/>
        <v>OK</v>
      </c>
      <c r="AA85" t="s">
        <v>1908</v>
      </c>
    </row>
    <row r="86" spans="10:27">
      <c r="J86" s="306" t="str">
        <v>Mixed waste collection (micro)</v>
      </c>
      <c r="K86" s="311" t="str">
        <f>IF(ISBLANK(J86),"",IF(COUNTIF(L:L,J86),IF(_xlfn.XLOOKUP(J86,'Compartments_Kawecki&amp;Nowack19'!A:A,'Compartments_Kawecki&amp;Nowack19'!B:B,_xlfn.XLOOKUP(J86,Compartments_Added!A:A,Compartments_Added!B:B))="Stock","OK stock","OK flow"),IF(COUNTIF($G$4:$G$18,J86),IF(COUNTIF($E$4:$E$18,J86),"OK input","Missing"),"Missing")))</f>
        <v>OK flow</v>
      </c>
      <c r="L86" s="306" t="str">
        <v>Natural soil (macro)</v>
      </c>
      <c r="M86" s="311" t="str">
        <f>IF(COUNTIF(J:J,L86),IF(_xlfn.XLOOKUP(L86,'Compartments_Kawecki&amp;Nowack19'!A:A,'Compartments_Kawecki&amp;Nowack19'!B:B,_xlfn.XLOOKUP(L86,Compartments_Added!A:A,Compartments_Added!B:B))="Stock","OK stock","OK flow"),IF(_xlfn.XLOOKUP(L86,'Compartments_Kawecki&amp;Nowack19'!A:A,'Compartments_Kawecki&amp;Nowack19'!B:B,_xlfn.XLOOKUP(L86,Compartments_Added!A:A,Compartments_Added!B:B))="Sink","OK, Sink","Missing"))</f>
        <v>OK, Sink</v>
      </c>
      <c r="N86" s="6"/>
      <c r="O86" s="6" t="str">
        <f>Lifetimes_pairs!A84</f>
        <v>Medical textiles</v>
      </c>
      <c r="P86" s="6" t="str">
        <f>Lifetimes_pairs!B84</f>
        <v>MedicalTextiles</v>
      </c>
      <c r="Q86" t="str">
        <f>Lifetimes!CF1</f>
        <v>WallPaintProfOutDis</v>
      </c>
      <c r="R86" t="str">
        <f t="shared" si="5"/>
        <v>OK</v>
      </c>
      <c r="AA86" t="s">
        <v>1909</v>
      </c>
    </row>
    <row r="87" spans="10:27">
      <c r="J87" s="306" t="str">
        <v>On-the-go consumption (transport)</v>
      </c>
      <c r="K87" s="311" t="str">
        <f>IF(ISBLANK(J87),"",IF(COUNTIF(L:L,J87),IF(_xlfn.XLOOKUP(J87,'Compartments_Kawecki&amp;Nowack19'!A:A,'Compartments_Kawecki&amp;Nowack19'!B:B,_xlfn.XLOOKUP(J87,Compartments_Added!A:A,Compartments_Added!B:B))="Stock","OK stock","OK flow"),IF(COUNTIF($G$4:$G$18,J87),IF(COUNTIF($E$4:$E$18,J87),"OK input","Missing"),"Missing")))</f>
        <v>OK flow</v>
      </c>
      <c r="L87" s="306" t="str">
        <v>ELV textiles collection</v>
      </c>
      <c r="M87" s="311" t="str">
        <f>IF(COUNTIF(J:J,L87),IF(_xlfn.XLOOKUP(L87,'Compartments_Kawecki&amp;Nowack19'!A:A,'Compartments_Kawecki&amp;Nowack19'!B:B,_xlfn.XLOOKUP(L87,Compartments_Added!A:A,Compartments_Added!B:B))="Stock","OK stock","OK flow"),IF(_xlfn.XLOOKUP(L87,'Compartments_Kawecki&amp;Nowack19'!A:A,'Compartments_Kawecki&amp;Nowack19'!B:B,_xlfn.XLOOKUP(L87,Compartments_Added!A:A,Compartments_Added!B:B))="Sink","OK, Sink","Missing"))</f>
        <v>OK flow</v>
      </c>
      <c r="N87" s="6"/>
      <c r="O87" s="6" t="str">
        <f>Lifetimes_pairs!A85</f>
        <v>Mobility textiles</v>
      </c>
      <c r="P87" s="6" t="str">
        <f>Lifetimes_pairs!B85</f>
        <v>MobilityTextiles</v>
      </c>
      <c r="Q87" t="str">
        <f>Lifetimes!CG1</f>
        <v>WallPaintProfOutIU</v>
      </c>
      <c r="R87" t="str">
        <f t="shared" si="5"/>
        <v>OK</v>
      </c>
      <c r="AA87" t="s">
        <v>1910</v>
      </c>
    </row>
    <row r="88" spans="10:27">
      <c r="J88" s="306" t="str">
        <v>Litter in natural environments</v>
      </c>
      <c r="K88" s="311" t="str">
        <f>IF(ISBLANK(J88),"",IF(COUNTIF(L:L,J88),IF(_xlfn.XLOOKUP(J88,'Compartments_Kawecki&amp;Nowack19'!A:A,'Compartments_Kawecki&amp;Nowack19'!B:B,_xlfn.XLOOKUP(J88,Compartments_Added!A:A,Compartments_Added!B:B))="Stock","OK stock","OK flow"),IF(COUNTIF($G$4:$G$18,J88),IF(COUNTIF($E$4:$E$18,J88),"OK input","Missing"),"Missing")))</f>
        <v>OK flow</v>
      </c>
      <c r="L88" s="306" t="str">
        <v>Mixed waste collection (micro)</v>
      </c>
      <c r="M88" s="311" t="str">
        <f>IF(COUNTIF(J:J,L88),IF(_xlfn.XLOOKUP(L88,'Compartments_Kawecki&amp;Nowack19'!A:A,'Compartments_Kawecki&amp;Nowack19'!B:B,_xlfn.XLOOKUP(L88,Compartments_Added!A:A,Compartments_Added!B:B))="Stock","OK stock","OK flow"),IF(_xlfn.XLOOKUP(L88,'Compartments_Kawecki&amp;Nowack19'!A:A,'Compartments_Kawecki&amp;Nowack19'!B:B,_xlfn.XLOOKUP(L88,Compartments_Added!A:A,Compartments_Added!B:B))="Sink","OK, Sink","Missing"))</f>
        <v>OK flow</v>
      </c>
      <c r="N88" s="6"/>
      <c r="O88" s="6" t="str">
        <f>Lifetimes_pairs!A86</f>
        <v>Other technical textiles</v>
      </c>
      <c r="P88" s="6" t="str">
        <f>Lifetimes_pairs!B86</f>
        <v>OtherTechnicalTextiles</v>
      </c>
      <c r="Q88" t="str">
        <f>Lifetimes!CH1</f>
        <v>WoodStainDiyInDis</v>
      </c>
      <c r="R88" t="str">
        <f t="shared" si="5"/>
        <v>OK</v>
      </c>
      <c r="AA88" t="s">
        <v>1911</v>
      </c>
    </row>
    <row r="89" spans="10:27">
      <c r="J89" s="306" t="str">
        <v>Indoor floors (micro)</v>
      </c>
      <c r="K89" s="311" t="str">
        <f>IF(ISBLANK(J89),"",IF(COUNTIF(L:L,J89),IF(_xlfn.XLOOKUP(J89,'Compartments_Kawecki&amp;Nowack19'!A:A,'Compartments_Kawecki&amp;Nowack19'!B:B,_xlfn.XLOOKUP(J89,Compartments_Added!A:A,Compartments_Added!B:B))="Stock","OK stock","OK flow"),IF(COUNTIF($G$4:$G$18,J89),IF(COUNTIF($E$4:$E$18,J89),"OK input","Missing"),"Missing")))</f>
        <v>OK flow</v>
      </c>
      <c r="L89" s="306" t="str">
        <v>Technical home textiles (discarded)</v>
      </c>
      <c r="M89" s="311" t="str">
        <f>IF(COUNTIF(J:J,L89),IF(_xlfn.XLOOKUP(L89,'Compartments_Kawecki&amp;Nowack19'!A:A,'Compartments_Kawecki&amp;Nowack19'!B:B,_xlfn.XLOOKUP(L89,Compartments_Added!A:A,Compartments_Added!B:B))="Stock","OK stock","OK flow"),IF(_xlfn.XLOOKUP(L89,'Compartments_Kawecki&amp;Nowack19'!A:A,'Compartments_Kawecki&amp;Nowack19'!B:B,_xlfn.XLOOKUP(L89,Compartments_Added!A:A,Compartments_Added!B:B))="Sink","OK, Sink","Missing"))</f>
        <v>OK stock</v>
      </c>
      <c r="N89" s="6"/>
      <c r="O89" s="6" t="str">
        <f>Lifetimes_pairs!A87</f>
        <v>Clothing (in use) wash &amp; dry</v>
      </c>
      <c r="P89" s="6" t="str">
        <f>Lifetimes_pairs!B87</f>
        <v>ClothingIUWashDry</v>
      </c>
      <c r="Q89" t="str">
        <f>Lifetimes!CI1</f>
        <v>WoodStainDiyInIU</v>
      </c>
      <c r="R89" t="str">
        <f t="shared" si="5"/>
        <v>OK</v>
      </c>
      <c r="AA89" t="s">
        <v>1912</v>
      </c>
    </row>
    <row r="90" spans="10:27">
      <c r="J90" s="306" t="str">
        <v>Litter in residential environments</v>
      </c>
      <c r="K90" s="311" t="str">
        <f>IF(ISBLANK(J90),"",IF(COUNTIF(L:L,J90),IF(_xlfn.XLOOKUP(J90,'Compartments_Kawecki&amp;Nowack19'!A:A,'Compartments_Kawecki&amp;Nowack19'!B:B,_xlfn.XLOOKUP(J90,Compartments_Added!A:A,Compartments_Added!B:B))="Stock","OK stock","OK flow"),IF(COUNTIF($G$4:$G$18,J90),IF(COUNTIF($E$4:$E$18,J90),"OK input","Missing"),"Missing")))</f>
        <v>OK flow</v>
      </c>
      <c r="L90" s="306" t="str">
        <v>Technical home textiles (in use)</v>
      </c>
      <c r="M90" s="311" t="str">
        <f>IF(COUNTIF(J:J,L90),IF(_xlfn.XLOOKUP(L90,'Compartments_Kawecki&amp;Nowack19'!A:A,'Compartments_Kawecki&amp;Nowack19'!B:B,_xlfn.XLOOKUP(L90,Compartments_Added!A:A,Compartments_Added!B:B))="Stock","OK stock","OK flow"),IF(_xlfn.XLOOKUP(L90,'Compartments_Kawecki&amp;Nowack19'!A:A,'Compartments_Kawecki&amp;Nowack19'!B:B,_xlfn.XLOOKUP(L90,Compartments_Added!A:A,Compartments_Added!B:B))="Sink","OK, Sink","Missing"))</f>
        <v>OK stock</v>
      </c>
      <c r="N90" s="6"/>
      <c r="O90" s="6">
        <f>Lifetimes_pairs!A88</f>
        <v>0</v>
      </c>
      <c r="P90" s="6">
        <f>Lifetimes_pairs!B88</f>
        <v>0</v>
      </c>
      <c r="Q90" t="str">
        <f>Lifetimes!CJ1</f>
        <v>WoodStainDiyOutDis</v>
      </c>
      <c r="R90" t="str">
        <f t="shared" si="5"/>
        <v>OK</v>
      </c>
      <c r="AA90" t="s">
        <v>1913</v>
      </c>
    </row>
    <row r="91" spans="10:27">
      <c r="J91" s="306" t="str">
        <v>Medical textiles</v>
      </c>
      <c r="K91" s="311" t="str">
        <f>IF(ISBLANK(J91),"",IF(COUNTIF(L:L,J91),IF(_xlfn.XLOOKUP(J91,'Compartments_Kawecki&amp;Nowack19'!A:A,'Compartments_Kawecki&amp;Nowack19'!B:B,_xlfn.XLOOKUP(J91,Compartments_Added!A:A,Compartments_Added!B:B))="Stock","OK stock","OK flow"),IF(COUNTIF($G$4:$G$18,J91),IF(COUNTIF($E$4:$E$18,J91),"OK input","Missing"),"Missing")))</f>
        <v>OK stock</v>
      </c>
      <c r="L91" s="306" t="str">
        <v>Agrotextiles</v>
      </c>
      <c r="M91" s="311" t="str">
        <f>IF(COUNTIF(J:J,L91),IF(_xlfn.XLOOKUP(L91,'Compartments_Kawecki&amp;Nowack19'!A:A,'Compartments_Kawecki&amp;Nowack19'!B:B,_xlfn.XLOOKUP(L91,Compartments_Added!A:A,Compartments_Added!B:B))="Stock","OK stock","OK flow"),IF(_xlfn.XLOOKUP(L91,'Compartments_Kawecki&amp;Nowack19'!A:A,'Compartments_Kawecki&amp;Nowack19'!B:B,_xlfn.XLOOKUP(L91,Compartments_Added!A:A,Compartments_Added!B:B))="Sink","OK, Sink","Missing"))</f>
        <v>OK flow</v>
      </c>
      <c r="N91" s="6"/>
      <c r="O91" s="6">
        <f>Lifetimes_pairs!A89</f>
        <v>0</v>
      </c>
      <c r="P91" s="6">
        <f>Lifetimes_pairs!B89</f>
        <v>0</v>
      </c>
      <c r="Q91" t="str">
        <f>Lifetimes!CK1</f>
        <v>WoodStainDiyOutIU</v>
      </c>
      <c r="R91" t="str">
        <f t="shared" si="5"/>
        <v>OK</v>
      </c>
      <c r="AA91" t="s">
        <v>1914</v>
      </c>
    </row>
    <row r="92" spans="10:27">
      <c r="J92" s="306" t="str">
        <v>Mobility textiles</v>
      </c>
      <c r="K92" s="311" t="str">
        <f>IF(ISBLANK(J92),"",IF(COUNTIF(L:L,J92),IF(_xlfn.XLOOKUP(J92,'Compartments_Kawecki&amp;Nowack19'!A:A,'Compartments_Kawecki&amp;Nowack19'!B:B,_xlfn.XLOOKUP(J92,Compartments_Added!A:A,Compartments_Added!B:B))="Stock","OK stock","OK flow"),IF(COUNTIF($G$4:$G$18,J92),IF(COUNTIF($E$4:$E$18,J92),"OK input","Missing"),"Missing")))</f>
        <v>OK stock</v>
      </c>
      <c r="L92" s="306" t="str">
        <v>Natural soil (micro)</v>
      </c>
      <c r="M92" s="311" t="str">
        <f>IF(COUNTIF(J:J,L92),IF(_xlfn.XLOOKUP(L92,'Compartments_Kawecki&amp;Nowack19'!A:A,'Compartments_Kawecki&amp;Nowack19'!B:B,_xlfn.XLOOKUP(L92,Compartments_Added!A:A,Compartments_Added!B:B))="Stock","OK stock","OK flow"),IF(_xlfn.XLOOKUP(L92,'Compartments_Kawecki&amp;Nowack19'!A:A,'Compartments_Kawecki&amp;Nowack19'!B:B,_xlfn.XLOOKUP(L92,Compartments_Added!A:A,Compartments_Added!B:B))="Sink","OK, Sink","Missing"))</f>
        <v>OK, Sink</v>
      </c>
      <c r="N92" s="6"/>
      <c r="O92" s="6">
        <f>Lifetimes_pairs!A90</f>
        <v>0</v>
      </c>
      <c r="P92" s="6">
        <f>Lifetimes_pairs!B90</f>
        <v>0</v>
      </c>
      <c r="Q92" t="str">
        <f>Lifetimes!CL1</f>
        <v>WoodStainProfInDis</v>
      </c>
      <c r="R92" t="str">
        <f t="shared" si="5"/>
        <v>OK</v>
      </c>
      <c r="AA92" t="s">
        <v>1915</v>
      </c>
    </row>
    <row r="93" spans="10:27">
      <c r="J93" s="306" t="str">
        <v>Textile coating (discarded)</v>
      </c>
      <c r="K93" s="311" t="str">
        <f>IF(ISBLANK(J93),"",IF(COUNTIF(L:L,J93),IF(_xlfn.XLOOKUP(J93,'Compartments_Kawecki&amp;Nowack19'!A:A,'Compartments_Kawecki&amp;Nowack19'!B:B,_xlfn.XLOOKUP(J93,Compartments_Added!A:A,Compartments_Added!B:B))="Stock","OK stock","OK flow"),IF(COUNTIF($G$4:$G$18,J93),IF(COUNTIF($E$4:$E$18,J93),"OK input","Missing"),"Missing")))</f>
        <v>OK stock</v>
      </c>
      <c r="L93" s="306" t="str">
        <v>Non-consumer bags</v>
      </c>
      <c r="M93" s="311" t="str">
        <f>IF(COUNTIF(J:J,L93),IF(_xlfn.XLOOKUP(L93,'Compartments_Kawecki&amp;Nowack19'!A:A,'Compartments_Kawecki&amp;Nowack19'!B:B,_xlfn.XLOOKUP(L93,Compartments_Added!A:A,Compartments_Added!B:B))="Stock","OK stock","OK flow"),IF(_xlfn.XLOOKUP(L93,'Compartments_Kawecki&amp;Nowack19'!A:A,'Compartments_Kawecki&amp;Nowack19'!B:B,_xlfn.XLOOKUP(L93,Compartments_Added!A:A,Compartments_Added!B:B))="Sink","OK, Sink","Missing"))</f>
        <v>OK stock</v>
      </c>
      <c r="N93" s="6"/>
      <c r="O93" s="6">
        <f>Lifetimes_pairs!A91</f>
        <v>0</v>
      </c>
      <c r="P93" s="6">
        <f>Lifetimes_pairs!B91</f>
        <v>0</v>
      </c>
      <c r="Q93" t="str">
        <f>Lifetimes!CM1</f>
        <v>WoodStainProfInIU</v>
      </c>
      <c r="R93" t="str">
        <f t="shared" si="5"/>
        <v>OK</v>
      </c>
      <c r="AA93" t="s">
        <v>1916</v>
      </c>
    </row>
    <row r="94" spans="10:27">
      <c r="J94" s="306" t="str">
        <v>Wet wipes</v>
      </c>
      <c r="K94" s="311" t="str">
        <f>IF(ISBLANK(J94),"",IF(COUNTIF(L:L,J94),IF(_xlfn.XLOOKUP(J94,'Compartments_Kawecki&amp;Nowack19'!A:A,'Compartments_Kawecki&amp;Nowack19'!B:B,_xlfn.XLOOKUP(J94,Compartments_Added!A:A,Compartments_Added!B:B))="Stock","OK stock","OK flow"),IF(COUNTIF($G$4:$G$18,J94),IF(COUNTIF($E$4:$E$18,J94),"OK input","Missing"),"Missing")))</f>
        <v>OK flow</v>
      </c>
      <c r="L94" s="306" t="str">
        <v>Offshore oil &amp; gas applications</v>
      </c>
      <c r="M94" s="311" t="str">
        <f>IF(COUNTIF(J:J,L94),IF(_xlfn.XLOOKUP(L94,'Compartments_Kawecki&amp;Nowack19'!A:A,'Compartments_Kawecki&amp;Nowack19'!B:B,_xlfn.XLOOKUP(L94,Compartments_Added!A:A,Compartments_Added!B:B))="Stock","OK stock","OK flow"),IF(_xlfn.XLOOKUP(L94,'Compartments_Kawecki&amp;Nowack19'!A:A,'Compartments_Kawecki&amp;Nowack19'!B:B,_xlfn.XLOOKUP(L94,Compartments_Added!A:A,Compartments_Added!B:B))="Sink","OK, Sink","Missing"))</f>
        <v>OK flow</v>
      </c>
      <c r="N94" s="6"/>
      <c r="O94" s="6">
        <f>Lifetimes_pairs!A92</f>
        <v>0</v>
      </c>
      <c r="P94" s="6">
        <f>Lifetimes_pairs!B92</f>
        <v>0</v>
      </c>
      <c r="Q94" t="str">
        <f>Lifetimes!CN1</f>
        <v>WoodStainProfOutDis</v>
      </c>
      <c r="R94" t="str">
        <f t="shared" si="5"/>
        <v>OK</v>
      </c>
      <c r="AA94" t="s">
        <v>1917</v>
      </c>
    </row>
    <row r="95" spans="10:27">
      <c r="J95" s="306" t="str">
        <v>Detergents and maintenance products</v>
      </c>
      <c r="K95" s="311" t="str">
        <f>IF(ISBLANK(J95),"",IF(COUNTIF(L:L,J95),IF(_xlfn.XLOOKUP(J95,'Compartments_Kawecki&amp;Nowack19'!A:A,'Compartments_Kawecki&amp;Nowack19'!B:B,_xlfn.XLOOKUP(J95,Compartments_Added!A:A,Compartments_Added!B:B))="Stock","OK stock","OK flow"),IF(COUNTIF($G$4:$G$18,J95),IF(COUNTIF($E$4:$E$18,J95),"OK input","Missing"),"Missing")))</f>
        <v>OK flow</v>
      </c>
      <c r="L95" s="306" t="str">
        <v>On-site sewage facility (macro)</v>
      </c>
      <c r="M95" s="311" t="str">
        <f>IF(COUNTIF(J:J,L95),IF(_xlfn.XLOOKUP(L95,'Compartments_Kawecki&amp;Nowack19'!A:A,'Compartments_Kawecki&amp;Nowack19'!B:B,_xlfn.XLOOKUP(L95,Compartments_Added!A:A,Compartments_Added!B:B))="Stock","OK stock","OK flow"),IF(_xlfn.XLOOKUP(L95,'Compartments_Kawecki&amp;Nowack19'!A:A,'Compartments_Kawecki&amp;Nowack19'!B:B,_xlfn.XLOOKUP(L95,Compartments_Added!A:A,Compartments_Added!B:B))="Sink","OK, Sink","Missing"))</f>
        <v>OK flow</v>
      </c>
      <c r="N95" s="6"/>
      <c r="O95" s="6">
        <f>Lifetimes_pairs!A93</f>
        <v>0</v>
      </c>
      <c r="P95" s="6">
        <f>Lifetimes_pairs!B93</f>
        <v>0</v>
      </c>
      <c r="Q95" t="str">
        <f>Lifetimes!CO1</f>
        <v>WoodStainProfOutIU</v>
      </c>
      <c r="R95" t="str">
        <f t="shared" si="5"/>
        <v>OK</v>
      </c>
      <c r="AA95" t="s">
        <v>1918</v>
      </c>
    </row>
    <row r="96" spans="10:27">
      <c r="J96" s="306" t="str">
        <v>Infill material sports fields (in use)</v>
      </c>
      <c r="K96" s="311" t="str">
        <f>IF(ISBLANK(J96),"",IF(COUNTIF(L:L,J96),IF(_xlfn.XLOOKUP(J96,'Compartments_Kawecki&amp;Nowack19'!A:A,'Compartments_Kawecki&amp;Nowack19'!B:B,_xlfn.XLOOKUP(J96,Compartments_Added!A:A,Compartments_Added!B:B))="Stock","OK stock","OK flow"),IF(COUNTIF($G$4:$G$18,J96),IF(COUNTIF($E$4:$E$18,J96),"OK input","Missing"),"Missing")))</f>
        <v>OK stock</v>
      </c>
      <c r="L96" s="306" t="str">
        <v>On-site sewage facility (micro)</v>
      </c>
      <c r="M96" s="311" t="str">
        <f>IF(COUNTIF(J:J,L96),IF(_xlfn.XLOOKUP(L96,'Compartments_Kawecki&amp;Nowack19'!A:A,'Compartments_Kawecki&amp;Nowack19'!B:B,_xlfn.XLOOKUP(L96,Compartments_Added!A:A,Compartments_Added!B:B))="Stock","OK stock","OK flow"),IF(_xlfn.XLOOKUP(L96,'Compartments_Kawecki&amp;Nowack19'!A:A,'Compartments_Kawecki&amp;Nowack19'!B:B,_xlfn.XLOOKUP(L96,Compartments_Added!A:A,Compartments_Added!B:B))="Sink","OK, Sink","Missing"))</f>
        <v>OK flow</v>
      </c>
      <c r="N96" s="6"/>
      <c r="O96" s="6">
        <f>Lifetimes_pairs!A94</f>
        <v>0</v>
      </c>
      <c r="P96" s="6">
        <f>Lifetimes_pairs!B94</f>
        <v>0</v>
      </c>
      <c r="Q96">
        <f>Lifetimes!CP1</f>
        <v>0</v>
      </c>
      <c r="R96" t="str">
        <f t="shared" si="5"/>
        <v>OK</v>
      </c>
      <c r="AA96" t="s">
        <v>1919</v>
      </c>
    </row>
    <row r="97" spans="10:27">
      <c r="J97" s="306" t="str">
        <v>Infill material sports fields (discarded)</v>
      </c>
      <c r="K97" s="311" t="str">
        <f>IF(ISBLANK(J97),"",IF(COUNTIF(L:L,J97),IF(_xlfn.XLOOKUP(J97,'Compartments_Kawecki&amp;Nowack19'!A:A,'Compartments_Kawecki&amp;Nowack19'!B:B,_xlfn.XLOOKUP(J97,Compartments_Added!A:A,Compartments_Added!B:B))="Stock","OK stock","OK flow"),IF(COUNTIF($G$4:$G$18,J97),IF(COUNTIF($E$4:$E$18,J97),"OK input","Missing"),"Missing")))</f>
        <v>OK stock</v>
      </c>
      <c r="L97" s="306" t="str">
        <v>On-the-go consumption</v>
      </c>
      <c r="M97" s="311" t="str">
        <f>IF(COUNTIF(J:J,L97),IF(_xlfn.XLOOKUP(L97,'Compartments_Kawecki&amp;Nowack19'!A:A,'Compartments_Kawecki&amp;Nowack19'!B:B,_xlfn.XLOOKUP(L97,Compartments_Added!A:A,Compartments_Added!B:B))="Stock","OK stock","OK flow"),IF(_xlfn.XLOOKUP(L97,'Compartments_Kawecki&amp;Nowack19'!A:A,'Compartments_Kawecki&amp;Nowack19'!B:B,_xlfn.XLOOKUP(L97,Compartments_Added!A:A,Compartments_Added!B:B))="Sink","OK, Sink","Missing"))</f>
        <v>OK flow</v>
      </c>
      <c r="N97" s="6"/>
      <c r="O97" s="6">
        <f>Lifetimes_pairs!A95</f>
        <v>0</v>
      </c>
      <c r="P97" s="6">
        <f>Lifetimes_pairs!B95</f>
        <v>0</v>
      </c>
      <c r="Q97">
        <f>Lifetimes!CQ1</f>
        <v>0</v>
      </c>
      <c r="R97" t="str">
        <f t="shared" si="5"/>
        <v>OK</v>
      </c>
      <c r="AA97" t="s">
        <v>1920</v>
      </c>
    </row>
    <row r="98" spans="10:27">
      <c r="J98" s="306" t="str">
        <v>Food additives</v>
      </c>
      <c r="K98" s="311" t="str">
        <f>IF(ISBLANK(J98),"",IF(COUNTIF(L:L,J98),IF(_xlfn.XLOOKUP(J98,'Compartments_Kawecki&amp;Nowack19'!A:A,'Compartments_Kawecki&amp;Nowack19'!B:B,_xlfn.XLOOKUP(J98,Compartments_Added!A:A,Compartments_Added!B:B))="Stock","OK stock","OK flow"),IF(COUNTIF($G$4:$G$18,J98),IF(COUNTIF($E$4:$E$18,J98),"OK input","Missing"),"Missing")))</f>
        <v>OK flow</v>
      </c>
      <c r="L98" s="306" t="str">
        <v>On-the-go consumption (nature)</v>
      </c>
      <c r="M98" s="311" t="str">
        <f>IF(COUNTIF(J:J,L98),IF(_xlfn.XLOOKUP(L98,'Compartments_Kawecki&amp;Nowack19'!A:A,'Compartments_Kawecki&amp;Nowack19'!B:B,_xlfn.XLOOKUP(L98,Compartments_Added!A:A,Compartments_Added!B:B))="Stock","OK stock","OK flow"),IF(_xlfn.XLOOKUP(L98,'Compartments_Kawecki&amp;Nowack19'!A:A,'Compartments_Kawecki&amp;Nowack19'!B:B,_xlfn.XLOOKUP(L98,Compartments_Added!A:A,Compartments_Added!B:B))="Sink","OK, Sink","Missing"))</f>
        <v>OK flow</v>
      </c>
      <c r="N98" s="6"/>
      <c r="O98" s="6">
        <f>Lifetimes_pairs!A96</f>
        <v>0</v>
      </c>
      <c r="P98" s="6">
        <f>Lifetimes_pairs!B96</f>
        <v>0</v>
      </c>
      <c r="Q98">
        <f>Lifetimes!CR1</f>
        <v>0</v>
      </c>
      <c r="R98" t="str">
        <f t="shared" si="5"/>
        <v>OK</v>
      </c>
      <c r="AA98" t="s">
        <v>1921</v>
      </c>
    </row>
    <row r="99" spans="10:27">
      <c r="J99" s="306" t="str">
        <v>Invitro diagnostic devices</v>
      </c>
      <c r="K99" s="311" t="str">
        <f>IF(ISBLANK(J99),"",IF(COUNTIF(L:L,J99),IF(_xlfn.XLOOKUP(J99,'Compartments_Kawecki&amp;Nowack19'!A:A,'Compartments_Kawecki&amp;Nowack19'!B:B,_xlfn.XLOOKUP(J99,Compartments_Added!A:A,Compartments_Added!B:B))="Stock","OK stock","OK flow"),IF(COUNTIF($G$4:$G$18,J99),IF(COUNTIF($E$4:$E$18,J99),"OK input","Missing"),"Missing")))</f>
        <v>OK flow</v>
      </c>
      <c r="L99" s="306" t="str">
        <v>On-the-go consumption (residential)</v>
      </c>
      <c r="M99" s="311" t="str">
        <f>IF(COUNTIF(J:J,L99),IF(_xlfn.XLOOKUP(L99,'Compartments_Kawecki&amp;Nowack19'!A:A,'Compartments_Kawecki&amp;Nowack19'!B:B,_xlfn.XLOOKUP(L99,Compartments_Added!A:A,Compartments_Added!B:B))="Stock","OK stock","OK flow"),IF(_xlfn.XLOOKUP(L99,'Compartments_Kawecki&amp;Nowack19'!A:A,'Compartments_Kawecki&amp;Nowack19'!B:B,_xlfn.XLOOKUP(L99,Compartments_Added!A:A,Compartments_Added!B:B))="Sink","OK, Sink","Missing"))</f>
        <v>OK flow</v>
      </c>
      <c r="N99" s="6"/>
      <c r="O99" s="6">
        <f>Lifetimes_pairs!A97</f>
        <v>0</v>
      </c>
      <c r="P99" s="6">
        <f>Lifetimes_pairs!B97</f>
        <v>0</v>
      </c>
      <c r="Q99">
        <f>Lifetimes!CS1</f>
        <v>0</v>
      </c>
      <c r="R99" t="str">
        <f t="shared" si="5"/>
        <v>OK</v>
      </c>
      <c r="AA99" t="s">
        <v>1922</v>
      </c>
    </row>
    <row r="100" spans="10:27">
      <c r="J100" s="306" t="str">
        <v>Medicine diffusion limitation (slow release)</v>
      </c>
      <c r="K100" s="311" t="str">
        <f>IF(ISBLANK(J100),"",IF(COUNTIF(L:L,J100),IF(_xlfn.XLOOKUP(J100,'Compartments_Kawecki&amp;Nowack19'!A:A,'Compartments_Kawecki&amp;Nowack19'!B:B,_xlfn.XLOOKUP(J100,Compartments_Added!A:A,Compartments_Added!B:B))="Stock","OK stock","OK flow"),IF(COUNTIF($G$4:$G$18,J100),IF(COUNTIF($E$4:$E$18,J100),"OK input","Missing"),"Missing")))</f>
        <v>OK flow</v>
      </c>
      <c r="L100" s="306" t="str">
        <v>On-the-go consumption (transport)</v>
      </c>
      <c r="M100" s="311" t="str">
        <f>IF(COUNTIF(J:J,L100),IF(_xlfn.XLOOKUP(L100,'Compartments_Kawecki&amp;Nowack19'!A:A,'Compartments_Kawecki&amp;Nowack19'!B:B,_xlfn.XLOOKUP(L100,Compartments_Added!A:A,Compartments_Added!B:B))="Stock","OK stock","OK flow"),IF(_xlfn.XLOOKUP(L100,'Compartments_Kawecki&amp;Nowack19'!A:A,'Compartments_Kawecki&amp;Nowack19'!B:B,_xlfn.XLOOKUP(L100,Compartments_Added!A:A,Compartments_Added!B:B))="Sink","OK, Sink","Missing"))</f>
        <v>OK flow</v>
      </c>
      <c r="N100" s="6"/>
      <c r="O100" s="6">
        <f>Lifetimes_pairs!A98</f>
        <v>0</v>
      </c>
      <c r="P100" s="6">
        <f>Lifetimes_pairs!B98</f>
        <v>0</v>
      </c>
      <c r="Q100">
        <f>Lifetimes!CT1</f>
        <v>0</v>
      </c>
      <c r="R100" t="str">
        <f t="shared" si="5"/>
        <v>OK</v>
      </c>
      <c r="AA100" t="s">
        <v>1923</v>
      </c>
    </row>
    <row r="101" spans="10:27">
      <c r="J101" s="306" t="str">
        <v>PCCP</v>
      </c>
      <c r="K101" s="311" t="str">
        <f>IF(ISBLANK(J101),"",IF(COUNTIF(L:L,J101),IF(_xlfn.XLOOKUP(J101,'Compartments_Kawecki&amp;Nowack19'!A:A,'Compartments_Kawecki&amp;Nowack19'!B:B,_xlfn.XLOOKUP(J101,Compartments_Added!A:A,Compartments_Added!B:B))="Stock","OK stock","OK flow"),IF(COUNTIF($G$4:$G$18,J101),IF(COUNTIF($E$4:$E$18,J101),"OK input","Missing"),"Missing")))</f>
        <v>OK flow</v>
      </c>
      <c r="L101" s="306" t="str">
        <v>Other consumer packaging</v>
      </c>
      <c r="M101" s="311" t="str">
        <f>IF(COUNTIF(J:J,L101),IF(_xlfn.XLOOKUP(L101,'Compartments_Kawecki&amp;Nowack19'!A:A,'Compartments_Kawecki&amp;Nowack19'!B:B,_xlfn.XLOOKUP(L101,Compartments_Added!A:A,Compartments_Added!B:B))="Stock","OK stock","OK flow"),IF(_xlfn.XLOOKUP(L101,'Compartments_Kawecki&amp;Nowack19'!A:A,'Compartments_Kawecki&amp;Nowack19'!B:B,_xlfn.XLOOKUP(L101,Compartments_Added!A:A,Compartments_Added!B:B))="Sink","OK, Sink","Missing"))</f>
        <v>OK stock</v>
      </c>
      <c r="N101" s="6"/>
      <c r="O101" s="6">
        <f>Lifetimes_pairs!A99</f>
        <v>0</v>
      </c>
      <c r="P101" s="6">
        <f>Lifetimes_pairs!B99</f>
        <v>0</v>
      </c>
      <c r="Q101">
        <f>Lifetimes!CU1</f>
        <v>0</v>
      </c>
      <c r="R101" t="str">
        <f t="shared" si="5"/>
        <v>OK</v>
      </c>
      <c r="AA101" t="s">
        <v>1924</v>
      </c>
    </row>
    <row r="102" spans="10:27">
      <c r="J102" s="306" t="str">
        <v>Technical home textiles</v>
      </c>
      <c r="K102" s="311" t="str">
        <f>IF(ISBLANK(J102),"",IF(COUNTIF(L:L,J102),IF(_xlfn.XLOOKUP(J102,'Compartments_Kawecki&amp;Nowack19'!A:A,'Compartments_Kawecki&amp;Nowack19'!B:B,_xlfn.XLOOKUP(J102,Compartments_Added!A:A,Compartments_Added!B:B))="Stock","OK stock","OK flow"),IF(COUNTIF($G$4:$G$18,J102),IF(COUNTIF($E$4:$E$18,J102),"OK input","Missing"),"Missing")))</f>
        <v>OK flow</v>
      </c>
      <c r="L102" s="306" t="str">
        <v>Other non-consumer films</v>
      </c>
      <c r="M102" s="311" t="str">
        <f>IF(COUNTIF(J:J,L102),IF(_xlfn.XLOOKUP(L102,'Compartments_Kawecki&amp;Nowack19'!A:A,'Compartments_Kawecki&amp;Nowack19'!B:B,_xlfn.XLOOKUP(L102,Compartments_Added!A:A,Compartments_Added!B:B))="Stock","OK stock","OK flow"),IF(_xlfn.XLOOKUP(L102,'Compartments_Kawecki&amp;Nowack19'!A:A,'Compartments_Kawecki&amp;Nowack19'!B:B,_xlfn.XLOOKUP(L102,Compartments_Added!A:A,Compartments_Added!B:B))="Sink","OK, Sink","Missing"))</f>
        <v>OK stock</v>
      </c>
      <c r="N102" s="6"/>
      <c r="O102" s="6">
        <f>Lifetimes_pairs!A100</f>
        <v>0</v>
      </c>
      <c r="P102" s="6">
        <f>Lifetimes_pairs!B100</f>
        <v>0</v>
      </c>
      <c r="Q102">
        <f>Lifetimes!CV1</f>
        <v>0</v>
      </c>
      <c r="R102" t="str">
        <f t="shared" si="5"/>
        <v>OK</v>
      </c>
      <c r="AA102" t="s">
        <v>1925</v>
      </c>
    </row>
    <row r="103" spans="10:27">
      <c r="J103" s="306" t="str">
        <v>Technical home textiles (in use)</v>
      </c>
      <c r="K103" s="311" t="str">
        <f>IF(ISBLANK(J103),"",IF(COUNTIF(L:L,J103),IF(_xlfn.XLOOKUP(J103,'Compartments_Kawecki&amp;Nowack19'!A:A,'Compartments_Kawecki&amp;Nowack19'!B:B,_xlfn.XLOOKUP(J103,Compartments_Added!A:A,Compartments_Added!B:B))="Stock","OK stock","OK flow"),IF(COUNTIF($G$4:$G$18,J103),IF(COUNTIF($E$4:$E$18,J103),"OK input","Missing"),"Missing")))</f>
        <v>OK stock</v>
      </c>
      <c r="L103" s="306" t="str">
        <v>Other non-consumer packaging</v>
      </c>
      <c r="M103" s="311" t="str">
        <f>IF(COUNTIF(J:J,L103),IF(_xlfn.XLOOKUP(L103,'Compartments_Kawecki&amp;Nowack19'!A:A,'Compartments_Kawecki&amp;Nowack19'!B:B,_xlfn.XLOOKUP(L103,Compartments_Added!A:A,Compartments_Added!B:B))="Stock","OK stock","OK flow"),IF(_xlfn.XLOOKUP(L103,'Compartments_Kawecki&amp;Nowack19'!A:A,'Compartments_Kawecki&amp;Nowack19'!B:B,_xlfn.XLOOKUP(L103,Compartments_Added!A:A,Compartments_Added!B:B))="Sink","OK, Sink","Missing"))</f>
        <v>OK stock</v>
      </c>
      <c r="N103" s="6"/>
      <c r="O103" s="6">
        <f>Lifetimes_pairs!A101</f>
        <v>0</v>
      </c>
      <c r="P103" s="6">
        <f>Lifetimes_pairs!B101</f>
        <v>0</v>
      </c>
      <c r="Q103">
        <f>Lifetimes!CW1</f>
        <v>0</v>
      </c>
      <c r="R103" t="str">
        <f t="shared" si="5"/>
        <v>OK</v>
      </c>
      <c r="AA103" t="s">
        <v>1926</v>
      </c>
    </row>
    <row r="104" spans="10:27">
      <c r="J104" s="306" t="str">
        <v>Technical textiles</v>
      </c>
      <c r="K104" s="311" t="str">
        <f>IF(ISBLANK(J104),"",IF(COUNTIF(L:L,J104),IF(_xlfn.XLOOKUP(J104,'Compartments_Kawecki&amp;Nowack19'!A:A,'Compartments_Kawecki&amp;Nowack19'!B:B,_xlfn.XLOOKUP(J104,Compartments_Added!A:A,Compartments_Added!B:B))="Stock","OK stock","OK flow"),IF(COUNTIF($G$4:$G$18,J104),IF(COUNTIF($E$4:$E$18,J104),"OK input","Missing"),"Missing")))</f>
        <v>OK input</v>
      </c>
      <c r="L104" s="306" t="str">
        <v>Building textiles</v>
      </c>
      <c r="M104" s="311" t="str">
        <f>IF(COUNTIF(J:J,L104),IF(_xlfn.XLOOKUP(L104,'Compartments_Kawecki&amp;Nowack19'!A:A,'Compartments_Kawecki&amp;Nowack19'!B:B,_xlfn.XLOOKUP(L104,Compartments_Added!A:A,Compartments_Added!B:B))="Stock","OK stock","OK flow"),IF(_xlfn.XLOOKUP(L104,'Compartments_Kawecki&amp;Nowack19'!A:A,'Compartments_Kawecki&amp;Nowack19'!B:B,_xlfn.XLOOKUP(L104,Compartments_Added!A:A,Compartments_Added!B:B))="Sink","OK, Sink","Missing"))</f>
        <v>OK flow</v>
      </c>
      <c r="N104" s="6"/>
      <c r="O104" s="6">
        <f>Lifetimes_pairs!A102</f>
        <v>0</v>
      </c>
      <c r="P104" s="6">
        <f>Lifetimes_pairs!B102</f>
        <v>0</v>
      </c>
      <c r="Q104">
        <f>Lifetimes!CX1</f>
        <v>0</v>
      </c>
      <c r="R104" t="str">
        <f t="shared" si="5"/>
        <v>OK</v>
      </c>
      <c r="AA104" t="s">
        <v>1927</v>
      </c>
    </row>
    <row r="105" spans="10:27">
      <c r="J105" s="306" t="str">
        <v>Textile coating (in use)</v>
      </c>
      <c r="K105" s="311" t="str">
        <f>IF(ISBLANK(J105),"",IF(COUNTIF(L:L,J105),IF(_xlfn.XLOOKUP(J105,'Compartments_Kawecki&amp;Nowack19'!A:A,'Compartments_Kawecki&amp;Nowack19'!B:B,_xlfn.XLOOKUP(J105,Compartments_Added!A:A,Compartments_Added!B:B))="Stock","OK stock","OK flow"),IF(COUNTIF($G$4:$G$18,J105),IF(COUNTIF($E$4:$E$18,J105),"OK input","Missing"),"Missing")))</f>
        <v>OK stock</v>
      </c>
      <c r="L105" s="306" t="str">
        <v>Road side soil (micro)</v>
      </c>
      <c r="M105" s="311" t="str">
        <f>IF(COUNTIF(J:J,L105),IF(_xlfn.XLOOKUP(L105,'Compartments_Kawecki&amp;Nowack19'!A:A,'Compartments_Kawecki&amp;Nowack19'!B:B,_xlfn.XLOOKUP(L105,Compartments_Added!A:A,Compartments_Added!B:B))="Stock","OK stock","OK flow"),IF(_xlfn.XLOOKUP(L105,'Compartments_Kawecki&amp;Nowack19'!A:A,'Compartments_Kawecki&amp;Nowack19'!B:B,_xlfn.XLOOKUP(L105,Compartments_Added!A:A,Compartments_Added!B:B))="Sink","OK, Sink","Missing"))</f>
        <v>OK, Sink</v>
      </c>
      <c r="N105" s="6"/>
      <c r="O105" s="6">
        <f>Lifetimes_pairs!A103</f>
        <v>0</v>
      </c>
      <c r="P105" s="6">
        <f>Lifetimes_pairs!B103</f>
        <v>0</v>
      </c>
      <c r="Q105">
        <f>Lifetimes!CY1</f>
        <v>0</v>
      </c>
      <c r="R105" t="str">
        <f t="shared" si="5"/>
        <v>OK</v>
      </c>
      <c r="AA105" t="s">
        <v>1928</v>
      </c>
    </row>
    <row r="106" spans="10:27">
      <c r="J106" s="306" t="str">
        <v>Wastewater (macro)</v>
      </c>
      <c r="K106" s="311" t="str">
        <f>IF(ISBLANK(J106),"",IF(COUNTIF(L:L,J106),IF(_xlfn.XLOOKUP(J106,'Compartments_Kawecki&amp;Nowack19'!A:A,'Compartments_Kawecki&amp;Nowack19'!B:B,_xlfn.XLOOKUP(J106,Compartments_Added!A:A,Compartments_Added!B:B))="Stock","OK stock","OK flow"),IF(COUNTIF($G$4:$G$18,J106),IF(COUNTIF($E$4:$E$18,J106),"OK input","Missing"),"Missing")))</f>
        <v>OK flow</v>
      </c>
      <c r="L106" s="306" t="str">
        <v>Highway ZOAB non cleaned</v>
      </c>
      <c r="M106" s="311" t="str">
        <f>IF(COUNTIF(J:J,L106),IF(_xlfn.XLOOKUP(L106,'Compartments_Kawecki&amp;Nowack19'!A:A,'Compartments_Kawecki&amp;Nowack19'!B:B,_xlfn.XLOOKUP(L106,Compartments_Added!A:A,Compartments_Added!B:B))="Stock","OK stock","OK flow"),IF(_xlfn.XLOOKUP(L106,'Compartments_Kawecki&amp;Nowack19'!A:A,'Compartments_Kawecki&amp;Nowack19'!B:B,_xlfn.XLOOKUP(L106,Compartments_Added!A:A,Compartments_Added!B:B))="Sink","OK, Sink","Missing"))</f>
        <v>OK flow</v>
      </c>
      <c r="N106" s="6"/>
      <c r="O106" s="6">
        <f>Lifetimes_pairs!A104</f>
        <v>0</v>
      </c>
      <c r="P106" s="6">
        <f>Lifetimes_pairs!B104</f>
        <v>0</v>
      </c>
      <c r="Q106">
        <f>Lifetimes!CZ1</f>
        <v>0</v>
      </c>
      <c r="R106" t="str">
        <f t="shared" si="5"/>
        <v>OK</v>
      </c>
      <c r="AA106" t="s">
        <v>1929</v>
      </c>
    </row>
    <row r="107" spans="10:27">
      <c r="J107" s="306" t="str">
        <v>Wastewater (micro)</v>
      </c>
      <c r="K107" s="311" t="str">
        <f>IF(ISBLANK(J107),"",IF(COUNTIF(L:L,J107),IF(_xlfn.XLOOKUP(J107,'Compartments_Kawecki&amp;Nowack19'!A:A,'Compartments_Kawecki&amp;Nowack19'!B:B,_xlfn.XLOOKUP(J107,Compartments_Added!A:A,Compartments_Added!B:B))="Stock","OK stock","OK flow"),IF(COUNTIF($G$4:$G$18,J107),IF(COUNTIF($E$4:$E$18,J107),"OK input","Missing"),"Missing")))</f>
        <v>OK flow</v>
      </c>
      <c r="L107" s="306" t="str">
        <v>Packaging collection</v>
      </c>
      <c r="M107" s="311" t="str">
        <f>IF(COUNTIF(J:J,L107),IF(_xlfn.XLOOKUP(L107,'Compartments_Kawecki&amp;Nowack19'!A:A,'Compartments_Kawecki&amp;Nowack19'!B:B,_xlfn.XLOOKUP(L107,Compartments_Added!A:A,Compartments_Added!B:B))="Stock","OK stock","OK flow"),IF(_xlfn.XLOOKUP(L107,'Compartments_Kawecki&amp;Nowack19'!A:A,'Compartments_Kawecki&amp;Nowack19'!B:B,_xlfn.XLOOKUP(L107,Compartments_Added!A:A,Compartments_Added!B:B))="Sink","OK, Sink","Missing"))</f>
        <v>OK flow</v>
      </c>
      <c r="N107" s="6"/>
      <c r="O107" s="6">
        <f>Lifetimes_pairs!A105</f>
        <v>0</v>
      </c>
      <c r="P107" s="6">
        <f>Lifetimes_pairs!B105</f>
        <v>0</v>
      </c>
      <c r="Q107">
        <f>Lifetimes!DA1</f>
        <v>0</v>
      </c>
      <c r="R107" t="str">
        <f t="shared" si="5"/>
        <v>OK</v>
      </c>
      <c r="AA107" t="s">
        <v>1930</v>
      </c>
    </row>
    <row r="108" spans="10:27">
      <c r="J108" s="306" t="str">
        <v>On-the-go consumption</v>
      </c>
      <c r="K108" s="311" t="str">
        <f>IF(ISBLANK(J108),"",IF(COUNTIF(L:L,J108),IF(_xlfn.XLOOKUP(J108,'Compartments_Kawecki&amp;Nowack19'!A:A,'Compartments_Kawecki&amp;Nowack19'!B:B,_xlfn.XLOOKUP(J108,Compartments_Added!A:A,Compartments_Added!B:B))="Stock","OK stock","OK flow"),IF(COUNTIF($G$4:$G$18,J108),IF(COUNTIF($E$4:$E$18,J108),"OK input","Missing"),"Missing")))</f>
        <v>OK flow</v>
      </c>
      <c r="L108" s="306" t="str">
        <v>Packaging recycling</v>
      </c>
      <c r="M108" s="311" t="str">
        <f>IF(COUNTIF(J:J,L108),IF(_xlfn.XLOOKUP(L108,'Compartments_Kawecki&amp;Nowack19'!A:A,'Compartments_Kawecki&amp;Nowack19'!B:B,_xlfn.XLOOKUP(L108,Compartments_Added!A:A,Compartments_Added!B:B))="Stock","OK stock","OK flow"),IF(_xlfn.XLOOKUP(L108,'Compartments_Kawecki&amp;Nowack19'!A:A,'Compartments_Kawecki&amp;Nowack19'!B:B,_xlfn.XLOOKUP(L108,Compartments_Added!A:A,Compartments_Added!B:B))="Sink","OK, Sink","Missing"))</f>
        <v>OK flow</v>
      </c>
      <c r="N108" s="6"/>
      <c r="O108" s="6">
        <f>Lifetimes_pairs!A106</f>
        <v>0</v>
      </c>
      <c r="P108" s="6">
        <f>Lifetimes_pairs!B106</f>
        <v>0</v>
      </c>
      <c r="Q108">
        <f>Lifetimes!DB1</f>
        <v>0</v>
      </c>
      <c r="R108" t="str">
        <f t="shared" si="5"/>
        <v>OK</v>
      </c>
      <c r="AA108" t="s">
        <v>1931</v>
      </c>
    </row>
    <row r="109" spans="10:27">
      <c r="J109" s="306" t="str">
        <v>Highway DAB non cleaned</v>
      </c>
      <c r="K109" s="311" t="str">
        <f>IF(ISBLANK(J109),"",IF(COUNTIF(L:L,J109),IF(_xlfn.XLOOKUP(J109,'Compartments_Kawecki&amp;Nowack19'!A:A,'Compartments_Kawecki&amp;Nowack19'!B:B,_xlfn.XLOOKUP(J109,Compartments_Added!A:A,Compartments_Added!B:B))="Stock","OK stock","OK flow"),IF(COUNTIF($G$4:$G$18,J109),IF(COUNTIF($E$4:$E$18,J109),"OK input","Missing"),"Missing")))</f>
        <v>OK flow</v>
      </c>
      <c r="L109" s="306" t="str">
        <v>Geotextiles</v>
      </c>
      <c r="M109" s="311" t="str">
        <f>IF(COUNTIF(J:J,L109),IF(_xlfn.XLOOKUP(L109,'Compartments_Kawecki&amp;Nowack19'!A:A,'Compartments_Kawecki&amp;Nowack19'!B:B,_xlfn.XLOOKUP(L109,Compartments_Added!A:A,Compartments_Added!B:B))="Stock","OK stock","OK flow"),IF(_xlfn.XLOOKUP(L109,'Compartments_Kawecki&amp;Nowack19'!A:A,'Compartments_Kawecki&amp;Nowack19'!B:B,_xlfn.XLOOKUP(L109,Compartments_Added!A:A,Compartments_Added!B:B))="Sink","OK, Sink","Missing"))</f>
        <v>OK flow</v>
      </c>
      <c r="N109" s="6"/>
      <c r="O109" s="6">
        <f>Lifetimes_pairs!A107</f>
        <v>0</v>
      </c>
      <c r="P109" s="6">
        <f>Lifetimes_pairs!B107</f>
        <v>0</v>
      </c>
      <c r="Q109">
        <f>Lifetimes!DC1</f>
        <v>0</v>
      </c>
      <c r="R109" t="str">
        <f t="shared" si="5"/>
        <v>OK</v>
      </c>
      <c r="AA109" t="s">
        <v>1932</v>
      </c>
    </row>
    <row r="110" spans="10:27">
      <c r="J110" s="306" t="str">
        <v>Highway ZOAB</v>
      </c>
      <c r="K110" s="311" t="str">
        <f>IF(ISBLANK(J110),"",IF(COUNTIF(L:L,J110),IF(_xlfn.XLOOKUP(J110,'Compartments_Kawecki&amp;Nowack19'!A:A,'Compartments_Kawecki&amp;Nowack19'!B:B,_xlfn.XLOOKUP(J110,Compartments_Added!A:A,Compartments_Added!B:B))="Stock","OK stock","OK flow"),IF(COUNTIF($G$4:$G$18,J110),IF(COUNTIF($E$4:$E$18,J110),"OK input","Missing"),"Missing")))</f>
        <v>OK flow</v>
      </c>
      <c r="L110" s="306" t="str">
        <v>PCCP</v>
      </c>
      <c r="M110" s="311" t="str">
        <f>IF(COUNTIF(J:J,L110),IF(_xlfn.XLOOKUP(L110,'Compartments_Kawecki&amp;Nowack19'!A:A,'Compartments_Kawecki&amp;Nowack19'!B:B,_xlfn.XLOOKUP(L110,Compartments_Added!A:A,Compartments_Added!B:B))="Stock","OK stock","OK flow"),IF(_xlfn.XLOOKUP(L110,'Compartments_Kawecki&amp;Nowack19'!A:A,'Compartments_Kawecki&amp;Nowack19'!B:B,_xlfn.XLOOKUP(L110,Compartments_Added!A:A,Compartments_Added!B:B))="Sink","OK, Sink","Missing"))</f>
        <v>OK flow</v>
      </c>
      <c r="N110" s="6"/>
      <c r="O110" s="6">
        <f>Lifetimes_pairs!A108</f>
        <v>0</v>
      </c>
      <c r="P110" s="6">
        <f>Lifetimes_pairs!B108</f>
        <v>0</v>
      </c>
      <c r="Q110">
        <f>Lifetimes!DD1</f>
        <v>0</v>
      </c>
      <c r="R110" t="str">
        <f t="shared" si="5"/>
        <v>OK</v>
      </c>
      <c r="AA110" t="s">
        <v>1933</v>
      </c>
    </row>
    <row r="111" spans="10:27">
      <c r="J111" s="306" t="str">
        <v>Textile waste collection</v>
      </c>
      <c r="K111" s="311" t="str">
        <f>IF(ISBLANK(J111),"",IF(COUNTIF(L:L,J111),IF(_xlfn.XLOOKUP(J111,'Compartments_Kawecki&amp;Nowack19'!A:A,'Compartments_Kawecki&amp;Nowack19'!B:B,_xlfn.XLOOKUP(J111,Compartments_Added!A:A,Compartments_Added!B:B))="Stock","OK stock","OK flow"),IF(COUNTIF($G$4:$G$18,J111),IF(COUNTIF($E$4:$E$18,J111),"OK input","Missing"),"Missing")))</f>
        <v>OK flow</v>
      </c>
      <c r="L111" s="306" t="str">
        <v>Plant protection products</v>
      </c>
      <c r="M111" s="311" t="str">
        <f>IF(COUNTIF(J:J,L111),IF(_xlfn.XLOOKUP(L111,'Compartments_Kawecki&amp;Nowack19'!A:A,'Compartments_Kawecki&amp;Nowack19'!B:B,_xlfn.XLOOKUP(L111,Compartments_Added!A:A,Compartments_Added!B:B))="Stock","OK stock","OK flow"),IF(_xlfn.XLOOKUP(L111,'Compartments_Kawecki&amp;Nowack19'!A:A,'Compartments_Kawecki&amp;Nowack19'!B:B,_xlfn.XLOOKUP(L111,Compartments_Added!A:A,Compartments_Added!B:B))="Sink","OK, Sink","Missing"))</f>
        <v>OK flow</v>
      </c>
      <c r="N111" s="6"/>
      <c r="O111" s="6">
        <f>Lifetimes_pairs!A109</f>
        <v>0</v>
      </c>
      <c r="P111" s="6">
        <f>Lifetimes_pairs!B109</f>
        <v>0</v>
      </c>
      <c r="Q111">
        <f>Lifetimes!DE1</f>
        <v>0</v>
      </c>
      <c r="R111" t="str">
        <f t="shared" si="5"/>
        <v>OK</v>
      </c>
      <c r="AA111" t="s">
        <v>1934</v>
      </c>
    </row>
    <row r="112" spans="10:27">
      <c r="J112" s="306" t="str">
        <v>Highway ZOAB non cleaned</v>
      </c>
      <c r="K112" s="311" t="str">
        <f>IF(ISBLANK(J112),"",IF(COUNTIF(L:L,J112),IF(_xlfn.XLOOKUP(J112,'Compartments_Kawecki&amp;Nowack19'!A:A,'Compartments_Kawecki&amp;Nowack19'!B:B,_xlfn.XLOOKUP(J112,Compartments_Added!A:A,Compartments_Added!B:B))="Stock","OK stock","OK flow"),IF(COUNTIF($G$4:$G$18,J112),IF(COUNTIF($E$4:$E$18,J112),"OK input","Missing"),"Missing")))</f>
        <v>OK flow</v>
      </c>
      <c r="L112" s="306" t="str">
        <v>Primary water treatment (macro)</v>
      </c>
      <c r="M112" s="311" t="str">
        <f>IF(COUNTIF(J:J,L112),IF(_xlfn.XLOOKUP(L112,'Compartments_Kawecki&amp;Nowack19'!A:A,'Compartments_Kawecki&amp;Nowack19'!B:B,_xlfn.XLOOKUP(L112,Compartments_Added!A:A,Compartments_Added!B:B))="Stock","OK stock","OK flow"),IF(_xlfn.XLOOKUP(L112,'Compartments_Kawecki&amp;Nowack19'!A:A,'Compartments_Kawecki&amp;Nowack19'!B:B,_xlfn.XLOOKUP(L112,Compartments_Added!A:A,Compartments_Added!B:B))="Sink","OK, Sink","Missing"))</f>
        <v>OK flow</v>
      </c>
      <c r="N112" s="6"/>
      <c r="O112" s="6">
        <f>Lifetimes_pairs!A110</f>
        <v>0</v>
      </c>
      <c r="P112" s="6">
        <f>Lifetimes_pairs!B110</f>
        <v>0</v>
      </c>
      <c r="Q112">
        <f>Lifetimes!DF1</f>
        <v>0</v>
      </c>
      <c r="R112" t="str">
        <f t="shared" si="5"/>
        <v>OK</v>
      </c>
      <c r="AA112" t="s">
        <v>1935</v>
      </c>
    </row>
    <row r="113" spans="10:27">
      <c r="J113" s="306" t="str">
        <v>Road cleaning</v>
      </c>
      <c r="K113" s="311" t="str">
        <f>IF(ISBLANK(J113),"",IF(COUNTIF(L:L,J113),IF(_xlfn.XLOOKUP(J113,'Compartments_Kawecki&amp;Nowack19'!A:A,'Compartments_Kawecki&amp;Nowack19'!B:B,_xlfn.XLOOKUP(J113,Compartments_Added!A:A,Compartments_Added!B:B))="Stock","OK stock","OK flow"),IF(COUNTIF($G$4:$G$18,J113),IF(COUNTIF($E$4:$E$18,J113),"OK input","Missing"),"Missing")))</f>
        <v>OK flow</v>
      </c>
      <c r="L113" s="306" t="str">
        <v>Primary water treatment (micro)</v>
      </c>
      <c r="M113" s="311" t="str">
        <f>IF(COUNTIF(J:J,L113),IF(_xlfn.XLOOKUP(L113,'Compartments_Kawecki&amp;Nowack19'!A:A,'Compartments_Kawecki&amp;Nowack19'!B:B,_xlfn.XLOOKUP(L113,Compartments_Added!A:A,Compartments_Added!B:B))="Stock","OK stock","OK flow"),IF(_xlfn.XLOOKUP(L113,'Compartments_Kawecki&amp;Nowack19'!A:A,'Compartments_Kawecki&amp;Nowack19'!B:B,_xlfn.XLOOKUP(L113,Compartments_Added!A:A,Compartments_Added!B:B))="Sink","OK, Sink","Missing"))</f>
        <v>OK flow</v>
      </c>
      <c r="N113" s="6"/>
      <c r="O113" s="6">
        <f>Lifetimes_pairs!A111</f>
        <v>0</v>
      </c>
      <c r="P113" s="6">
        <f>Lifetimes_pairs!B111</f>
        <v>0</v>
      </c>
      <c r="Q113">
        <f>Lifetimes!DG1</f>
        <v>0</v>
      </c>
      <c r="R113" t="str">
        <f t="shared" si="5"/>
        <v>OK</v>
      </c>
      <c r="AA113" t="s">
        <v>1936</v>
      </c>
    </row>
    <row r="114" spans="10:27">
      <c r="J114" s="306" t="str">
        <v>Road runoff</v>
      </c>
      <c r="K114" s="311" t="str">
        <f>IF(ISBLANK(J114),"",IF(COUNTIF(L:L,J114),IF(_xlfn.XLOOKUP(J114,'Compartments_Kawecki&amp;Nowack19'!A:A,'Compartments_Kawecki&amp;Nowack19'!B:B,_xlfn.XLOOKUP(J114,Compartments_Added!A:A,Compartments_Added!B:B))="Stock","OK stock","OK flow"),IF(COUNTIF($G$4:$G$18,J114),IF(COUNTIF($E$4:$E$18,J114),"OK input","Missing"),"Missing")))</f>
        <v>OK flow</v>
      </c>
      <c r="L114" s="306" t="str">
        <v>Stormwater (macro)</v>
      </c>
      <c r="M114" s="311" t="str">
        <f>IF(COUNTIF(J:J,L114),IF(_xlfn.XLOOKUP(L114,'Compartments_Kawecki&amp;Nowack19'!A:A,'Compartments_Kawecki&amp;Nowack19'!B:B,_xlfn.XLOOKUP(L114,Compartments_Added!A:A,Compartments_Added!B:B))="Stock","OK stock","OK flow"),IF(_xlfn.XLOOKUP(L114,'Compartments_Kawecki&amp;Nowack19'!A:A,'Compartments_Kawecki&amp;Nowack19'!B:B,_xlfn.XLOOKUP(L114,Compartments_Added!A:A,Compartments_Added!B:B))="Sink","OK, Sink","Missing"))</f>
        <v>OK flow</v>
      </c>
      <c r="N114" s="6"/>
      <c r="O114" s="6">
        <f>Lifetimes_pairs!A112</f>
        <v>0</v>
      </c>
      <c r="P114" s="6">
        <f>Lifetimes_pairs!B112</f>
        <v>0</v>
      </c>
      <c r="Q114">
        <f>Lifetimes!DH1</f>
        <v>0</v>
      </c>
      <c r="R114" t="str">
        <f t="shared" si="5"/>
        <v>OK</v>
      </c>
      <c r="AA114" t="s">
        <v>1937</v>
      </c>
    </row>
    <row r="115" spans="10:27">
      <c r="J115" s="306" t="str">
        <v>Rural roads</v>
      </c>
      <c r="K115" s="311" t="str">
        <f>IF(ISBLANK(J115),"",IF(COUNTIF(L:L,J115),IF(_xlfn.XLOOKUP(J115,'Compartments_Kawecki&amp;Nowack19'!A:A,'Compartments_Kawecki&amp;Nowack19'!B:B,_xlfn.XLOOKUP(J115,Compartments_Added!A:A,Compartments_Added!B:B))="Stock","OK stock","OK flow"),IF(COUNTIF($G$4:$G$18,J115),IF(COUNTIF($E$4:$E$18,J115),"OK input","Missing"),"Missing")))</f>
        <v>OK flow</v>
      </c>
      <c r="L115" s="306" t="str">
        <v>Stormwater (micro)</v>
      </c>
      <c r="M115" s="311" t="str">
        <f>IF(COUNTIF(J:J,L115),IF(_xlfn.XLOOKUP(L115,'Compartments_Kawecki&amp;Nowack19'!A:A,'Compartments_Kawecki&amp;Nowack19'!B:B,_xlfn.XLOOKUP(L115,Compartments_Added!A:A,Compartments_Added!B:B))="Stock","OK stock","OK flow"),IF(_xlfn.XLOOKUP(L115,'Compartments_Kawecki&amp;Nowack19'!A:A,'Compartments_Kawecki&amp;Nowack19'!B:B,_xlfn.XLOOKUP(L115,Compartments_Added!A:A,Compartments_Added!B:B))="Sink","OK, Sink","Missing"))</f>
        <v>OK flow</v>
      </c>
      <c r="N115" s="6"/>
      <c r="O115" s="6">
        <f>Lifetimes_pairs!A113</f>
        <v>0</v>
      </c>
      <c r="P115" s="6">
        <f>Lifetimes_pairs!B113</f>
        <v>0</v>
      </c>
      <c r="Q115">
        <f>Lifetimes!DI1</f>
        <v>0</v>
      </c>
      <c r="R115" t="str">
        <f t="shared" si="5"/>
        <v>OK</v>
      </c>
      <c r="AA115" t="s">
        <v>1938</v>
      </c>
    </row>
    <row r="116" spans="10:27">
      <c r="J116" s="306" t="str">
        <v>Tyre wear</v>
      </c>
      <c r="K116" s="311" t="str">
        <f>IF(ISBLANK(J116),"",IF(COUNTIF(L:L,J116),IF(_xlfn.XLOOKUP(J116,'Compartments_Kawecki&amp;Nowack19'!A:A,'Compartments_Kawecki&amp;Nowack19'!B:B,_xlfn.XLOOKUP(J116,Compartments_Added!A:A,Compartments_Added!B:B))="Stock","OK stock","OK flow"),IF(COUNTIF($G$4:$G$18,J116),IF(COUNTIF($E$4:$E$18,J116),"OK input","Missing"),"Missing")))</f>
        <v>OK input</v>
      </c>
      <c r="L116" s="306" t="str">
        <v>Highway</v>
      </c>
      <c r="M116" s="311" t="str">
        <f>IF(COUNTIF(J:J,L116),IF(_xlfn.XLOOKUP(L116,'Compartments_Kawecki&amp;Nowack19'!A:A,'Compartments_Kawecki&amp;Nowack19'!B:B,_xlfn.XLOOKUP(L116,Compartments_Added!A:A,Compartments_Added!B:B))="Stock","OK stock","OK flow"),IF(_xlfn.XLOOKUP(L116,'Compartments_Kawecki&amp;Nowack19'!A:A,'Compartments_Kawecki&amp;Nowack19'!B:B,_xlfn.XLOOKUP(L116,Compartments_Added!A:A,Compartments_Added!B:B))="Sink","OK, Sink","Missing"))</f>
        <v>OK flow</v>
      </c>
      <c r="N116" s="6"/>
      <c r="O116" s="6">
        <f>Lifetimes_pairs!A114</f>
        <v>0</v>
      </c>
      <c r="P116" s="6">
        <f>Lifetimes_pairs!B114</f>
        <v>0</v>
      </c>
      <c r="Q116">
        <f>Lifetimes!DJ1</f>
        <v>0</v>
      </c>
      <c r="R116" t="str">
        <f t="shared" si="5"/>
        <v>OK</v>
      </c>
      <c r="AA116" t="s">
        <v>1939</v>
      </c>
    </row>
    <row r="117" spans="10:27">
      <c r="J117" s="306" t="str">
        <v>Primary water treatment (macro)</v>
      </c>
      <c r="K117" s="311" t="str">
        <f>IF(ISBLANK(J117),"",IF(COUNTIF(L:L,J117),IF(_xlfn.XLOOKUP(J117,'Compartments_Kawecki&amp;Nowack19'!A:A,'Compartments_Kawecki&amp;Nowack19'!B:B,_xlfn.XLOOKUP(J117,Compartments_Added!A:A,Compartments_Added!B:B))="Stock","OK stock","OK flow"),IF(COUNTIF($G$4:$G$18,J117),IF(COUNTIF($E$4:$E$18,J117),"OK input","Missing"),"Missing")))</f>
        <v>OK flow</v>
      </c>
      <c r="L117" s="306" t="str">
        <v>Rural roads</v>
      </c>
      <c r="M117" s="311" t="str">
        <f>IF(COUNTIF(J:J,L117),IF(_xlfn.XLOOKUP(L117,'Compartments_Kawecki&amp;Nowack19'!A:A,'Compartments_Kawecki&amp;Nowack19'!B:B,_xlfn.XLOOKUP(L117,Compartments_Added!A:A,Compartments_Added!B:B))="Stock","OK stock","OK flow"),IF(_xlfn.XLOOKUP(L117,'Compartments_Kawecki&amp;Nowack19'!A:A,'Compartments_Kawecki&amp;Nowack19'!B:B,_xlfn.XLOOKUP(L117,Compartments_Added!A:A,Compartments_Added!B:B))="Sink","OK, Sink","Missing"))</f>
        <v>OK flow</v>
      </c>
      <c r="N117" s="6"/>
      <c r="O117" s="6">
        <f>Lifetimes_pairs!A115</f>
        <v>0</v>
      </c>
      <c r="P117" s="6">
        <f>Lifetimes_pairs!B115</f>
        <v>0</v>
      </c>
      <c r="Q117">
        <f>Lifetimes!DK1</f>
        <v>0</v>
      </c>
      <c r="R117" t="str">
        <f t="shared" si="5"/>
        <v>OK</v>
      </c>
      <c r="AA117" t="s">
        <v>1940</v>
      </c>
    </row>
    <row r="118" spans="10:27">
      <c r="J118" s="306" t="str">
        <v>Primary water treatment (micro)</v>
      </c>
      <c r="K118" s="311" t="str">
        <f>IF(ISBLANK(J118),"",IF(COUNTIF(L:L,J118),IF(_xlfn.XLOOKUP(J118,'Compartments_Kawecki&amp;Nowack19'!A:A,'Compartments_Kawecki&amp;Nowack19'!B:B,_xlfn.XLOOKUP(J118,Compartments_Added!A:A,Compartments_Added!B:B))="Stock","OK stock","OK flow"),IF(COUNTIF($G$4:$G$18,J118),IF(COUNTIF($E$4:$E$18,J118),"OK input","Missing"),"Missing")))</f>
        <v>OK flow</v>
      </c>
      <c r="L118" s="306" t="str">
        <v>Urban roads</v>
      </c>
      <c r="M118" s="311" t="str">
        <f>IF(COUNTIF(J:J,L118),IF(_xlfn.XLOOKUP(L118,'Compartments_Kawecki&amp;Nowack19'!A:A,'Compartments_Kawecki&amp;Nowack19'!B:B,_xlfn.XLOOKUP(L118,Compartments_Added!A:A,Compartments_Added!B:B))="Stock","OK stock","OK flow"),IF(_xlfn.XLOOKUP(L118,'Compartments_Kawecki&amp;Nowack19'!A:A,'Compartments_Kawecki&amp;Nowack19'!B:B,_xlfn.XLOOKUP(L118,Compartments_Added!A:A,Compartments_Added!B:B))="Sink","OK, Sink","Missing"))</f>
        <v>OK flow</v>
      </c>
      <c r="N118" s="6"/>
      <c r="O118" s="6">
        <f>Lifetimes_pairs!A116</f>
        <v>0</v>
      </c>
      <c r="P118" s="6">
        <f>Lifetimes_pairs!B116</f>
        <v>0</v>
      </c>
      <c r="Q118">
        <f>Lifetimes!DL1</f>
        <v>0</v>
      </c>
      <c r="R118" t="str">
        <f t="shared" si="5"/>
        <v>OK</v>
      </c>
      <c r="AA118" t="s">
        <v>1941</v>
      </c>
    </row>
    <row r="119" spans="10:27">
      <c r="J119" s="306" t="str">
        <v>On-site sewage facility (macro)</v>
      </c>
      <c r="K119" s="311" t="str">
        <f>IF(ISBLANK(J119),"",IF(COUNTIF(L:L,J119),IF(_xlfn.XLOOKUP(J119,'Compartments_Kawecki&amp;Nowack19'!A:A,'Compartments_Kawecki&amp;Nowack19'!B:B,_xlfn.XLOOKUP(J119,Compartments_Added!A:A,Compartments_Added!B:B))="Stock","OK stock","OK flow"),IF(COUNTIF($G$4:$G$18,J119),IF(COUNTIF($E$4:$E$18,J119),"OK input","Missing"),"Missing")))</f>
        <v>OK flow</v>
      </c>
      <c r="L119" s="306" t="str">
        <v>Medical textiles</v>
      </c>
      <c r="M119" s="311" t="str">
        <f>IF(COUNTIF(J:J,L119),IF(_xlfn.XLOOKUP(L119,'Compartments_Kawecki&amp;Nowack19'!A:A,'Compartments_Kawecki&amp;Nowack19'!B:B,_xlfn.XLOOKUP(L119,Compartments_Added!A:A,Compartments_Added!B:B))="Stock","OK stock","OK flow"),IF(_xlfn.XLOOKUP(L119,'Compartments_Kawecki&amp;Nowack19'!A:A,'Compartments_Kawecki&amp;Nowack19'!B:B,_xlfn.XLOOKUP(L119,Compartments_Added!A:A,Compartments_Added!B:B))="Sink","OK, Sink","Missing"))</f>
        <v>OK stock</v>
      </c>
      <c r="N119" s="6"/>
      <c r="O119" s="6">
        <f>Lifetimes_pairs!A117</f>
        <v>0</v>
      </c>
      <c r="P119" s="6">
        <f>Lifetimes_pairs!B117</f>
        <v>0</v>
      </c>
      <c r="Q119">
        <f>Lifetimes!DM1</f>
        <v>0</v>
      </c>
      <c r="R119" t="str">
        <f t="shared" si="5"/>
        <v>OK</v>
      </c>
      <c r="AA119" t="s">
        <v>1942</v>
      </c>
    </row>
    <row r="120" spans="10:27">
      <c r="J120" s="306" t="str">
        <v>Secondary water treatment (macro)</v>
      </c>
      <c r="K120" s="311" t="str">
        <f>IF(ISBLANK(J120),"",IF(COUNTIF(L:L,J120),IF(_xlfn.XLOOKUP(J120,'Compartments_Kawecki&amp;Nowack19'!A:A,'Compartments_Kawecki&amp;Nowack19'!B:B,_xlfn.XLOOKUP(J120,Compartments_Added!A:A,Compartments_Added!B:B))="Stock","OK stock","OK flow"),IF(COUNTIF($G$4:$G$18,J120),IF(COUNTIF($E$4:$E$18,J120),"OK input","Missing"),"Missing")))</f>
        <v>OK flow</v>
      </c>
      <c r="L120" s="306" t="str">
        <v>Secondary water treatment (macro)</v>
      </c>
      <c r="M120" s="311" t="str">
        <f>IF(COUNTIF(J:J,L120),IF(_xlfn.XLOOKUP(L120,'Compartments_Kawecki&amp;Nowack19'!A:A,'Compartments_Kawecki&amp;Nowack19'!B:B,_xlfn.XLOOKUP(L120,Compartments_Added!A:A,Compartments_Added!B:B))="Stock","OK stock","OK flow"),IF(_xlfn.XLOOKUP(L120,'Compartments_Kawecki&amp;Nowack19'!A:A,'Compartments_Kawecki&amp;Nowack19'!B:B,_xlfn.XLOOKUP(L120,Compartments_Added!A:A,Compartments_Added!B:B))="Sink","OK, Sink","Missing"))</f>
        <v>OK flow</v>
      </c>
      <c r="N120" s="6"/>
      <c r="O120" s="6">
        <f>Lifetimes_pairs!A118</f>
        <v>0</v>
      </c>
      <c r="P120" s="6">
        <f>Lifetimes_pairs!B118</f>
        <v>0</v>
      </c>
      <c r="Q120">
        <f>Lifetimes!DN1</f>
        <v>0</v>
      </c>
      <c r="R120" t="str">
        <f t="shared" si="5"/>
        <v>OK</v>
      </c>
      <c r="AA120" t="s">
        <v>1943</v>
      </c>
    </row>
    <row r="121" spans="10:27">
      <c r="J121" s="306" t="str">
        <v>On-site sewage facility (micro)</v>
      </c>
      <c r="K121" s="311" t="str">
        <f>IF(ISBLANK(J121),"",IF(COUNTIF(L:L,J121),IF(_xlfn.XLOOKUP(J121,'Compartments_Kawecki&amp;Nowack19'!A:A,'Compartments_Kawecki&amp;Nowack19'!B:B,_xlfn.XLOOKUP(J121,Compartments_Added!A:A,Compartments_Added!B:B))="Stock","OK stock","OK flow"),IF(COUNTIF($G$4:$G$18,J121),IF(COUNTIF($E$4:$E$18,J121),"OK input","Missing"),"Missing")))</f>
        <v>OK flow</v>
      </c>
      <c r="L121" s="306" t="str">
        <v>Secondary water treatment (micro)</v>
      </c>
      <c r="M121" s="311" t="str">
        <f>IF(COUNTIF(J:J,L121),IF(_xlfn.XLOOKUP(L121,'Compartments_Kawecki&amp;Nowack19'!A:A,'Compartments_Kawecki&amp;Nowack19'!B:B,_xlfn.XLOOKUP(L121,Compartments_Added!A:A,Compartments_Added!B:B))="Stock","OK stock","OK flow"),IF(_xlfn.XLOOKUP(L121,'Compartments_Kawecki&amp;Nowack19'!A:A,'Compartments_Kawecki&amp;Nowack19'!B:B,_xlfn.XLOOKUP(L121,Compartments_Added!A:A,Compartments_Added!B:B))="Sink","OK, Sink","Missing"))</f>
        <v>OK flow</v>
      </c>
      <c r="N121" s="6"/>
      <c r="O121" s="6">
        <f>Lifetimes_pairs!A119</f>
        <v>0</v>
      </c>
      <c r="P121" s="6">
        <f>Lifetimes_pairs!B119</f>
        <v>0</v>
      </c>
      <c r="Q121">
        <f>Lifetimes!DO1</f>
        <v>0</v>
      </c>
      <c r="R121" t="str">
        <f t="shared" si="5"/>
        <v>OK</v>
      </c>
      <c r="AA121" t="s">
        <v>1944</v>
      </c>
    </row>
    <row r="122" spans="10:27">
      <c r="J122" s="306" t="str">
        <v>Secondary water treatment (micro)</v>
      </c>
      <c r="K122" s="311" t="str">
        <f>IF(ISBLANK(J122),"",IF(COUNTIF(L:L,J122),IF(_xlfn.XLOOKUP(J122,'Compartments_Kawecki&amp;Nowack19'!A:A,'Compartments_Kawecki&amp;Nowack19'!B:B,_xlfn.XLOOKUP(J122,Compartments_Added!A:A,Compartments_Added!B:B))="Stock","OK stock","OK flow"),IF(COUNTIF($G$4:$G$18,J122),IF(COUNTIF($E$4:$E$18,J122),"OK input","Missing"),"Missing")))</f>
        <v>OK flow</v>
      </c>
      <c r="L122" s="306" t="str">
        <v>Seed coating</v>
      </c>
      <c r="M122" s="311" t="str">
        <f>IF(COUNTIF(J:J,L122),IF(_xlfn.XLOOKUP(L122,'Compartments_Kawecki&amp;Nowack19'!A:A,'Compartments_Kawecki&amp;Nowack19'!B:B,_xlfn.XLOOKUP(L122,Compartments_Added!A:A,Compartments_Added!B:B))="Stock","OK stock","OK flow"),IF(_xlfn.XLOOKUP(L122,'Compartments_Kawecki&amp;Nowack19'!A:A,'Compartments_Kawecki&amp;Nowack19'!B:B,_xlfn.XLOOKUP(L122,Compartments_Added!A:A,Compartments_Added!B:B))="Sink","OK, Sink","Missing"))</f>
        <v>OK flow</v>
      </c>
      <c r="N122" s="6"/>
      <c r="O122" s="6">
        <f>Lifetimes_pairs!A120</f>
        <v>0</v>
      </c>
      <c r="P122" s="6">
        <f>Lifetimes_pairs!B120</f>
        <v>0</v>
      </c>
      <c r="Q122">
        <f>Lifetimes!DP1</f>
        <v>0</v>
      </c>
      <c r="R122" t="str">
        <f t="shared" si="5"/>
        <v>OK</v>
      </c>
      <c r="AA122" t="s">
        <v>1945</v>
      </c>
    </row>
    <row r="123" spans="10:27">
      <c r="J123" s="306" t="str">
        <v>Litter on road sides</v>
      </c>
      <c r="K123" s="311" t="str">
        <f>IF(ISBLANK(J123),"",IF(COUNTIF(L:L,J123),IF(_xlfn.XLOOKUP(J123,'Compartments_Kawecki&amp;Nowack19'!A:A,'Compartments_Kawecki&amp;Nowack19'!B:B,_xlfn.XLOOKUP(J123,Compartments_Added!A:A,Compartments_Added!B:B))="Stock","OK stock","OK flow"),IF(COUNTIF($G$4:$G$18,J123),IF(COUNTIF($E$4:$E$18,J123),"OK input","Missing"),"Missing")))</f>
        <v>OK flow</v>
      </c>
      <c r="L123" s="306" t="str">
        <v>Sludge (macro)</v>
      </c>
      <c r="M123" s="311" t="str">
        <f>IF(COUNTIF(J:J,L123),IF(_xlfn.XLOOKUP(L123,'Compartments_Kawecki&amp;Nowack19'!A:A,'Compartments_Kawecki&amp;Nowack19'!B:B,_xlfn.XLOOKUP(L123,Compartments_Added!A:A,Compartments_Added!B:B))="Stock","OK stock","OK flow"),IF(_xlfn.XLOOKUP(L123,'Compartments_Kawecki&amp;Nowack19'!A:A,'Compartments_Kawecki&amp;Nowack19'!B:B,_xlfn.XLOOKUP(L123,Compartments_Added!A:A,Compartments_Added!B:B))="Sink","OK, Sink","Missing"))</f>
        <v>OK flow</v>
      </c>
      <c r="N123" s="6"/>
      <c r="O123" s="6">
        <f>Lifetimes_pairs!A121</f>
        <v>0</v>
      </c>
      <c r="P123" s="6">
        <f>Lifetimes_pairs!B121</f>
        <v>0</v>
      </c>
      <c r="Q123">
        <f>Lifetimes!DQ1</f>
        <v>0</v>
      </c>
      <c r="R123" t="str">
        <f t="shared" si="5"/>
        <v>OK</v>
      </c>
      <c r="AA123" t="s">
        <v>1946</v>
      </c>
    </row>
    <row r="124" spans="10:27">
      <c r="J124" s="306" t="str">
        <v>Combined sewer overflow (micro)</v>
      </c>
      <c r="K124" s="311" t="str">
        <f>IF(ISBLANK(J124),"",IF(COUNTIF(L:L,J124),IF(_xlfn.XLOOKUP(J124,'Compartments_Kawecki&amp;Nowack19'!A:A,'Compartments_Kawecki&amp;Nowack19'!B:B,_xlfn.XLOOKUP(J124,Compartments_Added!A:A,Compartments_Added!B:B))="Stock","OK stock","OK flow"),IF(COUNTIF($G$4:$G$18,J124),IF(COUNTIF($E$4:$E$18,J124),"OK input","Missing"),"Missing")))</f>
        <v>OK flow</v>
      </c>
      <c r="L124" s="306" t="str">
        <v>Sludge (micro)</v>
      </c>
      <c r="M124" s="311" t="str">
        <f>IF(COUNTIF(J:J,L124),IF(_xlfn.XLOOKUP(L124,'Compartments_Kawecki&amp;Nowack19'!A:A,'Compartments_Kawecki&amp;Nowack19'!B:B,_xlfn.XLOOKUP(L124,Compartments_Added!A:A,Compartments_Added!B:B))="Stock","OK stock","OK flow"),IF(_xlfn.XLOOKUP(L124,'Compartments_Kawecki&amp;Nowack19'!A:A,'Compartments_Kawecki&amp;Nowack19'!B:B,_xlfn.XLOOKUP(L124,Compartments_Added!A:A,Compartments_Added!B:B))="Sink","OK, Sink","Missing"))</f>
        <v>OK flow</v>
      </c>
      <c r="N124" s="6"/>
      <c r="O124" s="6">
        <f>Lifetimes_pairs!A122</f>
        <v>0</v>
      </c>
      <c r="P124" s="6">
        <f>Lifetimes_pairs!B122</f>
        <v>0</v>
      </c>
      <c r="Q124">
        <f>Lifetimes!DR1</f>
        <v>0</v>
      </c>
      <c r="R124" t="str">
        <f t="shared" si="5"/>
        <v>OK</v>
      </c>
      <c r="AA124" t="s">
        <v>1947</v>
      </c>
    </row>
    <row r="125" spans="10:27">
      <c r="J125" s="306" t="str">
        <v>Urban roads</v>
      </c>
      <c r="K125" s="311" t="str">
        <f>IF(ISBLANK(J125),"",IF(COUNTIF(L:L,J125),IF(_xlfn.XLOOKUP(J125,'Compartments_Kawecki&amp;Nowack19'!A:A,'Compartments_Kawecki&amp;Nowack19'!B:B,_xlfn.XLOOKUP(J125,Compartments_Added!A:A,Compartments_Added!B:B))="Stock","OK stock","OK flow"),IF(COUNTIF($G$4:$G$18,J125),IF(COUNTIF($E$4:$E$18,J125),"OK input","Missing"),"Missing")))</f>
        <v>OK flow</v>
      </c>
      <c r="L125" s="306" t="str">
        <v>Textile recycling</v>
      </c>
      <c r="M125" s="311" t="str">
        <f>IF(COUNTIF(J:J,L125),IF(_xlfn.XLOOKUP(L125,'Compartments_Kawecki&amp;Nowack19'!A:A,'Compartments_Kawecki&amp;Nowack19'!B:B,_xlfn.XLOOKUP(L125,Compartments_Added!A:A,Compartments_Added!B:B))="Stock","OK stock","OK flow"),IF(_xlfn.XLOOKUP(L125,'Compartments_Kawecki&amp;Nowack19'!A:A,'Compartments_Kawecki&amp;Nowack19'!B:B,_xlfn.XLOOKUP(L125,Compartments_Added!A:A,Compartments_Added!B:B))="Sink","OK, Sink","Missing"))</f>
        <v>OK flow</v>
      </c>
      <c r="N125" s="6"/>
      <c r="O125" s="6">
        <f>Lifetimes_pairs!A123</f>
        <v>0</v>
      </c>
      <c r="P125" s="6">
        <f>Lifetimes_pairs!B123</f>
        <v>0</v>
      </c>
      <c r="Q125">
        <f>Lifetimes!DS1</f>
        <v>0</v>
      </c>
      <c r="R125" t="str">
        <f t="shared" si="5"/>
        <v>OK</v>
      </c>
      <c r="AA125" t="s">
        <v>1948</v>
      </c>
    </row>
    <row r="126" spans="10:27">
      <c r="J126" s="306" t="str">
        <v>Offshore oil &amp; gas applications</v>
      </c>
      <c r="K126" s="311" t="str">
        <f>IF(ISBLANK(J126),"",IF(COUNTIF(L:L,J126),IF(_xlfn.XLOOKUP(J126,'Compartments_Kawecki&amp;Nowack19'!A:A,'Compartments_Kawecki&amp;Nowack19'!B:B,_xlfn.XLOOKUP(J126,Compartments_Added!A:A,Compartments_Added!B:B))="Stock","OK stock","OK flow"),IF(COUNTIF($G$4:$G$18,J126),IF(COUNTIF($E$4:$E$18,J126),"OK input","Missing"),"Missing")))</f>
        <v>OK flow</v>
      </c>
      <c r="L126" s="306" t="str">
        <v>Road side soil (macro)</v>
      </c>
      <c r="M126" s="311" t="str">
        <f>IF(COUNTIF(J:J,L126),IF(_xlfn.XLOOKUP(L126,'Compartments_Kawecki&amp;Nowack19'!A:A,'Compartments_Kawecki&amp;Nowack19'!B:B,_xlfn.XLOOKUP(L126,Compartments_Added!A:A,Compartments_Added!B:B))="Stock","OK stock","OK flow"),IF(_xlfn.XLOOKUP(L126,'Compartments_Kawecki&amp;Nowack19'!A:A,'Compartments_Kawecki&amp;Nowack19'!B:B,_xlfn.XLOOKUP(L126,Compartments_Added!A:A,Compartments_Added!B:B))="Sink","OK, Sink","Missing"))</f>
        <v>OK, Sink</v>
      </c>
      <c r="N126" s="6"/>
      <c r="O126" s="6">
        <f>Lifetimes_pairs!A124</f>
        <v>0</v>
      </c>
      <c r="P126" s="6">
        <f>Lifetimes_pairs!B124</f>
        <v>0</v>
      </c>
      <c r="Q126">
        <f>Lifetimes!DT1</f>
        <v>0</v>
      </c>
      <c r="R126" t="str">
        <f t="shared" si="5"/>
        <v>OK</v>
      </c>
      <c r="AA126" t="s">
        <v>1949</v>
      </c>
    </row>
    <row r="127" spans="10:27">
      <c r="J127" s="306" t="str">
        <v>Textile coating</v>
      </c>
      <c r="K127" s="311" t="str">
        <f>IF(ISBLANK(J127),"",IF(COUNTIF(L:L,J127),IF(_xlfn.XLOOKUP(J127,'Compartments_Kawecki&amp;Nowack19'!A:A,'Compartments_Kawecki&amp;Nowack19'!B:B,_xlfn.XLOOKUP(J127,Compartments_Added!A:A,Compartments_Added!B:B))="Stock","OK stock","OK flow"),IF(COUNTIF($G$4:$G$18,J127),IF(COUNTIF($E$4:$E$18,J127),"OK input","Missing"),"Missing")))</f>
        <v>OK flow</v>
      </c>
      <c r="L127" s="306" t="str">
        <v>Road runoff</v>
      </c>
      <c r="M127" s="311" t="str">
        <f>IF(COUNTIF(J:J,L127),IF(_xlfn.XLOOKUP(L127,'Compartments_Kawecki&amp;Nowack19'!A:A,'Compartments_Kawecki&amp;Nowack19'!B:B,_xlfn.XLOOKUP(L127,Compartments_Added!A:A,Compartments_Added!B:B))="Stock","OK stock","OK flow"),IF(_xlfn.XLOOKUP(L127,'Compartments_Kawecki&amp;Nowack19'!A:A,'Compartments_Kawecki&amp;Nowack19'!B:B,_xlfn.XLOOKUP(L127,Compartments_Added!A:A,Compartments_Added!B:B))="Sink","OK, Sink","Missing"))</f>
        <v>OK flow</v>
      </c>
      <c r="N127" s="6"/>
      <c r="O127" s="6">
        <f>Lifetimes_pairs!A125</f>
        <v>0</v>
      </c>
      <c r="P127" s="6">
        <f>Lifetimes_pairs!B125</f>
        <v>0</v>
      </c>
      <c r="Q127">
        <f>Lifetimes!DU1</f>
        <v>0</v>
      </c>
      <c r="R127" t="str">
        <f t="shared" si="5"/>
        <v>OK</v>
      </c>
      <c r="AA127" t="s">
        <v>1950</v>
      </c>
    </row>
    <row r="128" spans="10:27">
      <c r="J128" s="306" t="str">
        <v>Clothing (in use) wash &amp; dry</v>
      </c>
      <c r="K128" s="311" t="str">
        <f>IF(ISBLANK(J128),"",IF(COUNTIF(L:L,J128),IF(_xlfn.XLOOKUP(J128,'Compartments_Kawecki&amp;Nowack19'!A:A,'Compartments_Kawecki&amp;Nowack19'!B:B,_xlfn.XLOOKUP(J128,Compartments_Added!A:A,Compartments_Added!B:B))="Stock","OK stock","OK flow"),IF(COUNTIF($G$4:$G$18,J128),IF(COUNTIF($E$4:$E$18,J128),"OK input","Missing"),"Missing")))</f>
        <v>OK stock</v>
      </c>
      <c r="L128" s="306" t="str">
        <v>Mobility textiles</v>
      </c>
      <c r="M128" s="311" t="str">
        <f>IF(COUNTIF(J:J,L128),IF(_xlfn.XLOOKUP(L128,'Compartments_Kawecki&amp;Nowack19'!A:A,'Compartments_Kawecki&amp;Nowack19'!B:B,_xlfn.XLOOKUP(L128,Compartments_Added!A:A,Compartments_Added!B:B))="Stock","OK stock","OK flow"),IF(_xlfn.XLOOKUP(L128,'Compartments_Kawecki&amp;Nowack19'!A:A,'Compartments_Kawecki&amp;Nowack19'!B:B,_xlfn.XLOOKUP(L128,Compartments_Added!A:A,Compartments_Added!B:B))="Sink","OK, Sink","Missing"))</f>
        <v>OK stock</v>
      </c>
      <c r="N128" s="6"/>
      <c r="O128" s="6">
        <f>Lifetimes_pairs!A126</f>
        <v>0</v>
      </c>
      <c r="P128" s="6">
        <f>Lifetimes_pairs!B126</f>
        <v>0</v>
      </c>
      <c r="Q128">
        <f>Lifetimes!DV1</f>
        <v>0</v>
      </c>
      <c r="R128" t="str">
        <f t="shared" si="5"/>
        <v>OK</v>
      </c>
      <c r="AA128" t="s">
        <v>1951</v>
      </c>
    </row>
    <row r="129" spans="10:27">
      <c r="J129" s="306" t="str">
        <v>Textile recycling</v>
      </c>
      <c r="K129" s="311" t="str">
        <f>IF(ISBLANK(J129),"",IF(COUNTIF(L:L,J129),IF(_xlfn.XLOOKUP(J129,'Compartments_Kawecki&amp;Nowack19'!A:A,'Compartments_Kawecki&amp;Nowack19'!B:B,_xlfn.XLOOKUP(J129,Compartments_Added!A:A,Compartments_Added!B:B))="Stock","OK stock","OK flow"),IF(COUNTIF($G$4:$G$18,J129),IF(COUNTIF($E$4:$E$18,J129),"OK input","Missing"),"Missing")))</f>
        <v>OK flow</v>
      </c>
      <c r="L129" s="306" t="str">
        <v>Other technical textiles</v>
      </c>
      <c r="M129" s="311" t="str">
        <f>IF(COUNTIF(J:J,L129),IF(_xlfn.XLOOKUP(L129,'Compartments_Kawecki&amp;Nowack19'!A:A,'Compartments_Kawecki&amp;Nowack19'!B:B,_xlfn.XLOOKUP(L129,Compartments_Added!A:A,Compartments_Added!B:B))="Stock","OK stock","OK flow"),IF(_xlfn.XLOOKUP(L129,'Compartments_Kawecki&amp;Nowack19'!A:A,'Compartments_Kawecki&amp;Nowack19'!B:B,_xlfn.XLOOKUP(L129,Compartments_Added!A:A,Compartments_Added!B:B))="Sink","OK, Sink","Missing"))</f>
        <v>OK stock</v>
      </c>
      <c r="N129" s="6"/>
      <c r="O129" s="6">
        <f>Lifetimes_pairs!A127</f>
        <v>0</v>
      </c>
      <c r="P129" s="6">
        <f>Lifetimes_pairs!B127</f>
        <v>0</v>
      </c>
      <c r="Q129">
        <f>Lifetimes!DW1</f>
        <v>0</v>
      </c>
      <c r="R129" t="str">
        <f t="shared" si="5"/>
        <v>OK</v>
      </c>
      <c r="AA129" t="s">
        <v>1952</v>
      </c>
    </row>
    <row r="130" spans="10:27">
      <c r="J130" s="306" t="str">
        <v>Pellet losses transport land</v>
      </c>
      <c r="K130" s="311" t="str">
        <f>IF(ISBLANK(J130),"",IF(COUNTIF(L:L,J130),IF(_xlfn.XLOOKUP(J130,'Compartments_Kawecki&amp;Nowack19'!A:A,'Compartments_Kawecki&amp;Nowack19'!B:B,_xlfn.XLOOKUP(J130,Compartments_Added!A:A,Compartments_Added!B:B))="Stock","OK stock","OK flow"),IF(COUNTIF($G$4:$G$18,J130),IF(COUNTIF($E$4:$E$18,J130),"OK input","Missing"),"Missing")))</f>
        <v>OK flow</v>
      </c>
      <c r="L130" s="306" t="str">
        <v>Tertiary water treatment (macro)</v>
      </c>
      <c r="M130" s="311" t="str">
        <f>IF(COUNTIF(J:J,L130),IF(_xlfn.XLOOKUP(L130,'Compartments_Kawecki&amp;Nowack19'!A:A,'Compartments_Kawecki&amp;Nowack19'!B:B,_xlfn.XLOOKUP(L130,Compartments_Added!A:A,Compartments_Added!B:B))="Stock","OK stock","OK flow"),IF(_xlfn.XLOOKUP(L130,'Compartments_Kawecki&amp;Nowack19'!A:A,'Compartments_Kawecki&amp;Nowack19'!B:B,_xlfn.XLOOKUP(L130,Compartments_Added!A:A,Compartments_Added!B:B))="Sink","OK, Sink","Missing"))</f>
        <v>OK flow</v>
      </c>
      <c r="N130" s="6"/>
      <c r="O130" s="6">
        <f>Lifetimes_pairs!A128</f>
        <v>0</v>
      </c>
      <c r="P130" s="6">
        <f>Lifetimes_pairs!B128</f>
        <v>0</v>
      </c>
      <c r="Q130">
        <f>Lifetimes!DX1</f>
        <v>0</v>
      </c>
      <c r="R130" t="str">
        <f t="shared" si="5"/>
        <v>OK</v>
      </c>
      <c r="AA130" t="s">
        <v>1953</v>
      </c>
    </row>
    <row r="131" spans="10:27">
      <c r="J131" s="306" t="str">
        <v>Pellet losses industrial plants</v>
      </c>
      <c r="K131" s="311" t="str">
        <f>IF(ISBLANK(J131),"",IF(COUNTIF(L:L,J131),IF(_xlfn.XLOOKUP(J131,'Compartments_Kawecki&amp;Nowack19'!A:A,'Compartments_Kawecki&amp;Nowack19'!B:B,_xlfn.XLOOKUP(J131,Compartments_Added!A:A,Compartments_Added!B:B))="Stock","OK stock","OK flow"),IF(COUNTIF($G$4:$G$18,J131),IF(COUNTIF($E$4:$E$18,J131),"OK input","Missing"),"Missing")))</f>
        <v>OK flow</v>
      </c>
      <c r="L131" s="306" t="str">
        <v>Tertiary water treatment (micro)</v>
      </c>
      <c r="M131" s="311" t="str">
        <f>IF(COUNTIF(J:J,L131),IF(_xlfn.XLOOKUP(L131,'Compartments_Kawecki&amp;Nowack19'!A:A,'Compartments_Kawecki&amp;Nowack19'!B:B,_xlfn.XLOOKUP(L131,Compartments_Added!A:A,Compartments_Added!B:B))="Stock","OK stock","OK flow"),IF(_xlfn.XLOOKUP(L131,'Compartments_Kawecki&amp;Nowack19'!A:A,'Compartments_Kawecki&amp;Nowack19'!B:B,_xlfn.XLOOKUP(L131,Compartments_Added!A:A,Compartments_Added!B:B))="Sink","OK, Sink","Missing"))</f>
        <v>OK flow</v>
      </c>
      <c r="N131" s="6"/>
      <c r="O131" s="6">
        <f>Lifetimes_pairs!A129</f>
        <v>0</v>
      </c>
      <c r="P131" s="6">
        <f>Lifetimes_pairs!B129</f>
        <v>0</v>
      </c>
      <c r="Q131">
        <f>Lifetimes!DY1</f>
        <v>0</v>
      </c>
      <c r="R131" t="str">
        <f t="shared" si="5"/>
        <v>OK</v>
      </c>
      <c r="AA131" t="s">
        <v>1954</v>
      </c>
    </row>
    <row r="132" spans="10:27">
      <c r="J132" s="306" t="str">
        <v>Paint</v>
      </c>
      <c r="K132" s="311" t="str">
        <f>IF(ISBLANK(J132),"",IF(COUNTIF(L:L,J132),IF(_xlfn.XLOOKUP(J132,'Compartments_Kawecki&amp;Nowack19'!A:A,'Compartments_Kawecki&amp;Nowack19'!B:B,_xlfn.XLOOKUP(J132,Compartments_Added!A:A,Compartments_Added!B:B))="Stock","OK stock","OK flow"),IF(COUNTIF($G$4:$G$18,J132),IF(COUNTIF($E$4:$E$18,J132),"OK input","Missing"),"Missing")))</f>
        <v>OK input</v>
      </c>
      <c r="L132" s="306" t="str">
        <v>Technical home textiles</v>
      </c>
      <c r="M132" s="311" t="str">
        <f>IF(COUNTIF(J:J,L132),IF(_xlfn.XLOOKUP(L132,'Compartments_Kawecki&amp;Nowack19'!A:A,'Compartments_Kawecki&amp;Nowack19'!B:B,_xlfn.XLOOKUP(L132,Compartments_Added!A:A,Compartments_Added!B:B))="Stock","OK stock","OK flow"),IF(_xlfn.XLOOKUP(L132,'Compartments_Kawecki&amp;Nowack19'!A:A,'Compartments_Kawecki&amp;Nowack19'!B:B,_xlfn.XLOOKUP(L132,Compartments_Added!A:A,Compartments_Added!B:B))="Sink","OK, Sink","Missing"))</f>
        <v>OK flow</v>
      </c>
      <c r="N132" s="6"/>
      <c r="O132" s="6">
        <f>Lifetimes_pairs!A130</f>
        <v>0</v>
      </c>
      <c r="P132" s="6">
        <f>Lifetimes_pairs!B130</f>
        <v>0</v>
      </c>
      <c r="Q132">
        <f>Lifetimes!DZ1</f>
        <v>0</v>
      </c>
      <c r="R132" t="str">
        <f t="shared" si="5"/>
        <v>OK</v>
      </c>
      <c r="AA132" t="s">
        <v>1955</v>
      </c>
    </row>
    <row r="133" spans="10:27">
      <c r="J133" s="306" t="str">
        <v>Ship paint (prof)</v>
      </c>
      <c r="K133" s="311" t="str">
        <f>IF(ISBLANK(J133),"",IF(COUNTIF(L:L,J133),IF(_xlfn.XLOOKUP(J133,'Compartments_Kawecki&amp;Nowack19'!A:A,'Compartments_Kawecki&amp;Nowack19'!B:B,_xlfn.XLOOKUP(J133,Compartments_Added!A:A,Compartments_Added!B:B))="Stock","OK stock","OK flow"),IF(COUNTIF($G$4:$G$18,J133),IF(COUNTIF($E$4:$E$18,J133),"OK input","Missing"),"Missing")))</f>
        <v>OK flow</v>
      </c>
      <c r="L133" s="306" t="str">
        <v>Textile coating (discarded)</v>
      </c>
      <c r="M133" s="311" t="str">
        <f>IF(COUNTIF(J:J,L133),IF(_xlfn.XLOOKUP(L133,'Compartments_Kawecki&amp;Nowack19'!A:A,'Compartments_Kawecki&amp;Nowack19'!B:B,_xlfn.XLOOKUP(L133,Compartments_Added!A:A,Compartments_Added!B:B))="Stock","OK stock","OK flow"),IF(_xlfn.XLOOKUP(L133,'Compartments_Kawecki&amp;Nowack19'!A:A,'Compartments_Kawecki&amp;Nowack19'!B:B,_xlfn.XLOOKUP(L133,Compartments_Added!A:A,Compartments_Added!B:B))="Sink","OK, Sink","Missing"))</f>
        <v>OK stock</v>
      </c>
      <c r="N133" s="6"/>
      <c r="O133" s="6">
        <f>Lifetimes_pairs!A131</f>
        <v>0</v>
      </c>
      <c r="P133" s="6">
        <f>Lifetimes_pairs!B131</f>
        <v>0</v>
      </c>
      <c r="Q133">
        <f>Lifetimes!EA1</f>
        <v>0</v>
      </c>
      <c r="R133" t="str">
        <f t="shared" ref="R133:R196" si="6">IF(COUNTIF(P:P,Q133), "OK", "Missing")</f>
        <v>OK</v>
      </c>
      <c r="AA133" t="s">
        <v>1956</v>
      </c>
    </row>
    <row r="134" spans="10:27">
      <c r="J134" s="306" t="str">
        <v>Ship paint (prof) (in use)</v>
      </c>
      <c r="K134" s="311" t="str">
        <f>IF(ISBLANK(J134),"",IF(COUNTIF(L:L,J134),IF(_xlfn.XLOOKUP(J134,'Compartments_Kawecki&amp;Nowack19'!A:A,'Compartments_Kawecki&amp;Nowack19'!B:B,_xlfn.XLOOKUP(J134,Compartments_Added!A:A,Compartments_Added!B:B))="Stock","OK stock","OK flow"),IF(COUNTIF($G$4:$G$18,J134),IF(COUNTIF($E$4:$E$18,J134),"OK input","Missing"),"Missing")))</f>
        <v>OK stock</v>
      </c>
      <c r="L134" s="306" t="str">
        <v>Textile coating (in use)</v>
      </c>
      <c r="M134" s="311" t="str">
        <f>IF(COUNTIF(J:J,L134),IF(_xlfn.XLOOKUP(L134,'Compartments_Kawecki&amp;Nowack19'!A:A,'Compartments_Kawecki&amp;Nowack19'!B:B,_xlfn.XLOOKUP(L134,Compartments_Added!A:A,Compartments_Added!B:B))="Stock","OK stock","OK flow"),IF(_xlfn.XLOOKUP(L134,'Compartments_Kawecki&amp;Nowack19'!A:A,'Compartments_Kawecki&amp;Nowack19'!B:B,_xlfn.XLOOKUP(L134,Compartments_Added!A:A,Compartments_Added!B:B))="Sink","OK, Sink","Missing"))</f>
        <v>OK stock</v>
      </c>
      <c r="N134" s="6"/>
      <c r="O134" s="6">
        <f>Lifetimes_pairs!A132</f>
        <v>0</v>
      </c>
      <c r="P134" s="6">
        <f>Lifetimes_pairs!B132</f>
        <v>0</v>
      </c>
      <c r="Q134">
        <f>Lifetimes!EB1</f>
        <v>0</v>
      </c>
      <c r="R134" t="str">
        <f t="shared" si="6"/>
        <v>OK</v>
      </c>
      <c r="AA134" t="s">
        <v>1957</v>
      </c>
    </row>
    <row r="135" spans="10:27">
      <c r="J135" s="306" t="str">
        <v>Ship paint (recr)</v>
      </c>
      <c r="K135" s="311" t="str">
        <f>IF(ISBLANK(J135),"",IF(COUNTIF(L:L,J135),IF(_xlfn.XLOOKUP(J135,'Compartments_Kawecki&amp;Nowack19'!A:A,'Compartments_Kawecki&amp;Nowack19'!B:B,_xlfn.XLOOKUP(J135,Compartments_Added!A:A,Compartments_Added!B:B))="Stock","OK stock","OK flow"),IF(COUNTIF($G$4:$G$18,J135),IF(COUNTIF($E$4:$E$18,J135),"OK input","Missing"),"Missing")))</f>
        <v>OK flow</v>
      </c>
      <c r="L135" s="306" t="str">
        <v>Textile reuse</v>
      </c>
      <c r="M135" s="311" t="str">
        <f>IF(COUNTIF(J:J,L135),IF(_xlfn.XLOOKUP(L135,'Compartments_Kawecki&amp;Nowack19'!A:A,'Compartments_Kawecki&amp;Nowack19'!B:B,_xlfn.XLOOKUP(L135,Compartments_Added!A:A,Compartments_Added!B:B))="Stock","OK stock","OK flow"),IF(_xlfn.XLOOKUP(L135,'Compartments_Kawecki&amp;Nowack19'!A:A,'Compartments_Kawecki&amp;Nowack19'!B:B,_xlfn.XLOOKUP(L135,Compartments_Added!A:A,Compartments_Added!B:B))="Sink","OK, Sink","Missing"))</f>
        <v>OK, Sink</v>
      </c>
      <c r="N135" s="6"/>
      <c r="O135" s="6">
        <f>Lifetimes_pairs!A133</f>
        <v>0</v>
      </c>
      <c r="P135" s="6">
        <f>Lifetimes_pairs!B133</f>
        <v>0</v>
      </c>
      <c r="Q135">
        <f>Lifetimes!EC1</f>
        <v>0</v>
      </c>
      <c r="R135" t="str">
        <f t="shared" si="6"/>
        <v>OK</v>
      </c>
      <c r="AA135" t="s">
        <v>1958</v>
      </c>
    </row>
    <row r="136" spans="10:27">
      <c r="J136" s="306" t="str">
        <v>Ship paint (recr) (in use)</v>
      </c>
      <c r="K136" s="311" t="str">
        <f>IF(ISBLANK(J136),"",IF(COUNTIF(L:L,J136),IF(_xlfn.XLOOKUP(J136,'Compartments_Kawecki&amp;Nowack19'!A:A,'Compartments_Kawecki&amp;Nowack19'!B:B,_xlfn.XLOOKUP(J136,Compartments_Added!A:A,Compartments_Added!B:B))="Stock","OK stock","OK flow"),IF(COUNTIF($G$4:$G$18,J136),IF(COUNTIF($E$4:$E$18,J136),"OK input","Missing"),"Missing")))</f>
        <v>OK stock</v>
      </c>
      <c r="L136" s="306" t="str">
        <v>Wastewater (macro)</v>
      </c>
      <c r="M136" s="311" t="str">
        <f>IF(COUNTIF(J:J,L136),IF(_xlfn.XLOOKUP(L136,'Compartments_Kawecki&amp;Nowack19'!A:A,'Compartments_Kawecki&amp;Nowack19'!B:B,_xlfn.XLOOKUP(L136,Compartments_Added!A:A,Compartments_Added!B:B))="Stock","OK stock","OK flow"),IF(_xlfn.XLOOKUP(L136,'Compartments_Kawecki&amp;Nowack19'!A:A,'Compartments_Kawecki&amp;Nowack19'!B:B,_xlfn.XLOOKUP(L136,Compartments_Added!A:A,Compartments_Added!B:B))="Sink","OK, Sink","Missing"))</f>
        <v>OK flow</v>
      </c>
      <c r="N136" s="6"/>
      <c r="O136" s="6">
        <f>Lifetimes_pairs!A134</f>
        <v>0</v>
      </c>
      <c r="P136" s="6">
        <f>Lifetimes_pairs!B134</f>
        <v>0</v>
      </c>
      <c r="Q136">
        <f>Lifetimes!ED1</f>
        <v>0</v>
      </c>
      <c r="R136" t="str">
        <f t="shared" si="6"/>
        <v>OK</v>
      </c>
      <c r="AA136" t="s">
        <v>1959</v>
      </c>
    </row>
    <row r="137" spans="10:27">
      <c r="J137" s="306" t="str">
        <v>Ship paint (prof) (discarded)</v>
      </c>
      <c r="K137" s="311" t="str">
        <f>IF(ISBLANK(J137),"",IF(COUNTIF(L:L,J137),IF(_xlfn.XLOOKUP(J137,'Compartments_Kawecki&amp;Nowack19'!A:A,'Compartments_Kawecki&amp;Nowack19'!B:B,_xlfn.XLOOKUP(J137,Compartments_Added!A:A,Compartments_Added!B:B))="Stock","OK stock","OK flow"),IF(COUNTIF($G$4:$G$18,J137),IF(COUNTIF($E$4:$E$18,J137),"OK input","Missing"),"Missing")))</f>
        <v>OK stock</v>
      </c>
      <c r="L137" s="306" t="str">
        <v>Pellet conversion</v>
      </c>
      <c r="M137" s="311" t="str">
        <f>IF(COUNTIF(J:J,L137),IF(_xlfn.XLOOKUP(L137,'Compartments_Kawecki&amp;Nowack19'!A:A,'Compartments_Kawecki&amp;Nowack19'!B:B,_xlfn.XLOOKUP(L137,Compartments_Added!A:A,Compartments_Added!B:B))="Stock","OK stock","OK flow"),IF(_xlfn.XLOOKUP(L137,'Compartments_Kawecki&amp;Nowack19'!A:A,'Compartments_Kawecki&amp;Nowack19'!B:B,_xlfn.XLOOKUP(L137,Compartments_Added!A:A,Compartments_Added!B:B))="Sink","OK, Sink","Missing"))</f>
        <v>OK flow</v>
      </c>
      <c r="N137" s="6"/>
      <c r="O137" s="6">
        <f>Lifetimes_pairs!A135</f>
        <v>0</v>
      </c>
      <c r="P137" s="6">
        <f>Lifetimes_pairs!B135</f>
        <v>0</v>
      </c>
      <c r="Q137">
        <f>Lifetimes!EE1</f>
        <v>0</v>
      </c>
      <c r="R137" t="str">
        <f t="shared" si="6"/>
        <v>OK</v>
      </c>
      <c r="AA137" t="s">
        <v>1960</v>
      </c>
    </row>
    <row r="138" spans="10:27">
      <c r="J138" s="306" t="str">
        <v>Ship paint (recr) (discarded)</v>
      </c>
      <c r="K138" s="311" t="str">
        <f>IF(ISBLANK(J138),"",IF(COUNTIF(L:L,J138),IF(_xlfn.XLOOKUP(J138,'Compartments_Kawecki&amp;Nowack19'!A:A,'Compartments_Kawecki&amp;Nowack19'!B:B,_xlfn.XLOOKUP(J138,Compartments_Added!A:A,Compartments_Added!B:B))="Stock","OK stock","OK flow"),IF(COUNTIF($G$4:$G$18,J138),IF(COUNTIF($E$4:$E$18,J138),"OK input","Missing"),"Missing")))</f>
        <v>OK stock</v>
      </c>
      <c r="L138" s="306" t="str">
        <v>Textile coating</v>
      </c>
      <c r="M138" s="311" t="str">
        <f>IF(COUNTIF(J:J,L138),IF(_xlfn.XLOOKUP(L138,'Compartments_Kawecki&amp;Nowack19'!A:A,'Compartments_Kawecki&amp;Nowack19'!B:B,_xlfn.XLOOKUP(L138,Compartments_Added!A:A,Compartments_Added!B:B))="Stock","OK stock","OK flow"),IF(_xlfn.XLOOKUP(L138,'Compartments_Kawecki&amp;Nowack19'!A:A,'Compartments_Kawecki&amp;Nowack19'!B:B,_xlfn.XLOOKUP(L138,Compartments_Added!A:A,Compartments_Added!B:B))="Sink","OK, Sink","Missing"))</f>
        <v>OK flow</v>
      </c>
      <c r="N138" s="6"/>
      <c r="O138" s="6">
        <f>Lifetimes_pairs!A136</f>
        <v>0</v>
      </c>
      <c r="P138" s="6">
        <f>Lifetimes_pairs!B136</f>
        <v>0</v>
      </c>
      <c r="Q138">
        <f>Lifetimes!EF1</f>
        <v>0</v>
      </c>
      <c r="R138" t="str">
        <f t="shared" si="6"/>
        <v>OK</v>
      </c>
      <c r="AA138" t="s">
        <v>1961</v>
      </c>
    </row>
    <row r="139" spans="10:27">
      <c r="J139" s="306" t="str">
        <v>Concrete paint (prof)</v>
      </c>
      <c r="K139" s="311" t="str">
        <f>IF(ISBLANK(J139),"",IF(COUNTIF(L:L,J139),IF(_xlfn.XLOOKUP(J139,'Compartments_Kawecki&amp;Nowack19'!A:A,'Compartments_Kawecki&amp;Nowack19'!B:B,_xlfn.XLOOKUP(J139,Compartments_Added!A:A,Compartments_Added!B:B))="Stock","OK stock","OK flow"),IF(COUNTIF($G$4:$G$18,J139),IF(COUNTIF($E$4:$E$18,J139),"OK input","Missing"),"Missing")))</f>
        <v>OK flow</v>
      </c>
      <c r="L139" s="306" t="str">
        <v>Pellet losses transport land</v>
      </c>
      <c r="M139" s="311" t="str">
        <f>IF(COUNTIF(J:J,L139),IF(_xlfn.XLOOKUP(L139,'Compartments_Kawecki&amp;Nowack19'!A:A,'Compartments_Kawecki&amp;Nowack19'!B:B,_xlfn.XLOOKUP(L139,Compartments_Added!A:A,Compartments_Added!B:B))="Stock","OK stock","OK flow"),IF(_xlfn.XLOOKUP(L139,'Compartments_Kawecki&amp;Nowack19'!A:A,'Compartments_Kawecki&amp;Nowack19'!B:B,_xlfn.XLOOKUP(L139,Compartments_Added!A:A,Compartments_Added!B:B))="Sink","OK, Sink","Missing"))</f>
        <v>OK flow</v>
      </c>
      <c r="N139" s="6"/>
      <c r="O139" s="6">
        <f>Lifetimes_pairs!A137</f>
        <v>0</v>
      </c>
      <c r="P139" s="6">
        <f>Lifetimes_pairs!B137</f>
        <v>0</v>
      </c>
      <c r="Q139">
        <f>Lifetimes!EG1</f>
        <v>0</v>
      </c>
      <c r="R139" t="str">
        <f t="shared" si="6"/>
        <v>OK</v>
      </c>
      <c r="AA139" t="s">
        <v>1962</v>
      </c>
    </row>
    <row r="140" spans="10:27">
      <c r="J140" s="306" t="str">
        <v>Concrete paint (prof) outdoor</v>
      </c>
      <c r="K140" s="311" t="str">
        <f>IF(ISBLANK(J140),"",IF(COUNTIF(L:L,J140),IF(_xlfn.XLOOKUP(J140,'Compartments_Kawecki&amp;Nowack19'!A:A,'Compartments_Kawecki&amp;Nowack19'!B:B,_xlfn.XLOOKUP(J140,Compartments_Added!A:A,Compartments_Added!B:B))="Stock","OK stock","OK flow"),IF(COUNTIF($G$4:$G$18,J140),IF(COUNTIF($E$4:$E$18,J140),"OK input","Missing"),"Missing")))</f>
        <v>OK flow</v>
      </c>
      <c r="L140" s="306" t="str">
        <v>Sea water (micro)</v>
      </c>
      <c r="M140" s="311" t="str">
        <f>IF(COUNTIF(J:J,L140),IF(_xlfn.XLOOKUP(L140,'Compartments_Kawecki&amp;Nowack19'!A:A,'Compartments_Kawecki&amp;Nowack19'!B:B,_xlfn.XLOOKUP(L140,Compartments_Added!A:A,Compartments_Added!B:B))="Stock","OK stock","OK flow"),IF(_xlfn.XLOOKUP(L140,'Compartments_Kawecki&amp;Nowack19'!A:A,'Compartments_Kawecki&amp;Nowack19'!B:B,_xlfn.XLOOKUP(L140,Compartments_Added!A:A,Compartments_Added!B:B))="Sink","OK, Sink","Missing"))</f>
        <v>OK, Sink</v>
      </c>
      <c r="N140" s="6"/>
      <c r="O140" s="6">
        <f>Lifetimes_pairs!A138</f>
        <v>0</v>
      </c>
      <c r="P140" s="6">
        <f>Lifetimes_pairs!B138</f>
        <v>0</v>
      </c>
      <c r="Q140">
        <f>Lifetimes!EH1</f>
        <v>0</v>
      </c>
      <c r="R140" t="str">
        <f t="shared" si="6"/>
        <v>OK</v>
      </c>
      <c r="AA140" t="s">
        <v>1963</v>
      </c>
    </row>
    <row r="141" spans="10:27">
      <c r="J141" s="306" t="str">
        <v>Concrete paint (prof) outdoor (in use)</v>
      </c>
      <c r="K141" s="311" t="str">
        <f>IF(ISBLANK(J141),"",IF(COUNTIF(L:L,J141),IF(_xlfn.XLOOKUP(J141,'Compartments_Kawecki&amp;Nowack19'!A:A,'Compartments_Kawecki&amp;Nowack19'!B:B,_xlfn.XLOOKUP(J141,Compartments_Added!A:A,Compartments_Added!B:B))="Stock","OK stock","OK flow"),IF(COUNTIF($G$4:$G$18,J141),IF(COUNTIF($E$4:$E$18,J141),"OK input","Missing"),"Missing")))</f>
        <v>OK stock</v>
      </c>
      <c r="L141" s="306" t="str">
        <v>Pellet losses industrial plants</v>
      </c>
      <c r="M141" s="311" t="str">
        <f>IF(COUNTIF(J:J,L141),IF(_xlfn.XLOOKUP(L141,'Compartments_Kawecki&amp;Nowack19'!A:A,'Compartments_Kawecki&amp;Nowack19'!B:B,_xlfn.XLOOKUP(L141,Compartments_Added!A:A,Compartments_Added!B:B))="Stock","OK stock","OK flow"),IF(_xlfn.XLOOKUP(L141,'Compartments_Kawecki&amp;Nowack19'!A:A,'Compartments_Kawecki&amp;Nowack19'!B:B,_xlfn.XLOOKUP(L141,Compartments_Added!A:A,Compartments_Added!B:B))="Sink","OK, Sink","Missing"))</f>
        <v>OK flow</v>
      </c>
      <c r="N141" s="6"/>
      <c r="O141" s="6">
        <f>Lifetimes_pairs!A139</f>
        <v>0</v>
      </c>
      <c r="P141" s="6">
        <f>Lifetimes_pairs!B139</f>
        <v>0</v>
      </c>
      <c r="Q141">
        <f>Lifetimes!EI1</f>
        <v>0</v>
      </c>
      <c r="R141" t="str">
        <f t="shared" si="6"/>
        <v>OK</v>
      </c>
      <c r="AA141" t="s">
        <v>1964</v>
      </c>
    </row>
    <row r="142" spans="10:27" ht="14.45" customHeight="1">
      <c r="J142" s="306" t="str">
        <v>Concrete paint (prof) indoor</v>
      </c>
      <c r="K142" s="311" t="str">
        <f>IF(ISBLANK(J142),"",IF(COUNTIF(L:L,J142),IF(_xlfn.XLOOKUP(J142,'Compartments_Kawecki&amp;Nowack19'!A:A,'Compartments_Kawecki&amp;Nowack19'!B:B,_xlfn.XLOOKUP(J142,Compartments_Added!A:A,Compartments_Added!B:B))="Stock","OK stock","OK flow"),IF(COUNTIF($G$4:$G$18,J142),IF(COUNTIF($E$4:$E$18,J142),"OK input","Missing"),"Missing")))</f>
        <v>OK flow</v>
      </c>
      <c r="L142" s="306" t="str">
        <v>Concrete paint (prof)</v>
      </c>
      <c r="M142" s="311" t="str">
        <f>IF(COUNTIF(J:J,L142),IF(_xlfn.XLOOKUP(L142,'Compartments_Kawecki&amp;Nowack19'!A:A,'Compartments_Kawecki&amp;Nowack19'!B:B,_xlfn.XLOOKUP(L142,Compartments_Added!A:A,Compartments_Added!B:B))="Stock","OK stock","OK flow"),IF(_xlfn.XLOOKUP(L142,'Compartments_Kawecki&amp;Nowack19'!A:A,'Compartments_Kawecki&amp;Nowack19'!B:B,_xlfn.XLOOKUP(L142,Compartments_Added!A:A,Compartments_Added!B:B))="Sink","OK, Sink","Missing"))</f>
        <v>OK flow</v>
      </c>
      <c r="N142" s="6"/>
      <c r="O142" s="6">
        <f>Lifetimes_pairs!A140</f>
        <v>0</v>
      </c>
      <c r="P142" s="6">
        <f>Lifetimes_pairs!B140</f>
        <v>0</v>
      </c>
      <c r="Q142">
        <f>Lifetimes!EJ1</f>
        <v>0</v>
      </c>
      <c r="R142" t="str">
        <f t="shared" si="6"/>
        <v>OK</v>
      </c>
      <c r="AA142" t="s">
        <v>1965</v>
      </c>
    </row>
    <row r="143" spans="10:27" ht="14.45" customHeight="1">
      <c r="J143" s="306" t="str">
        <v>Concrete paint (prof) indoor (in use)</v>
      </c>
      <c r="K143" s="311" t="str">
        <f>IF(ISBLANK(J143),"",IF(COUNTIF(L:L,J143),IF(_xlfn.XLOOKUP(J143,'Compartments_Kawecki&amp;Nowack19'!A:A,'Compartments_Kawecki&amp;Nowack19'!B:B,_xlfn.XLOOKUP(J143,Compartments_Added!A:A,Compartments_Added!B:B))="Stock","OK stock","OK flow"),IF(COUNTIF($G$4:$G$18,J143),IF(COUNTIF($E$4:$E$18,J143),"OK input","Missing"),"Missing")))</f>
        <v>OK stock</v>
      </c>
      <c r="L143" s="306" t="str">
        <v>Lacquer (prof)</v>
      </c>
      <c r="M143" s="311" t="str">
        <f>IF(COUNTIF(J:J,L143),IF(_xlfn.XLOOKUP(L143,'Compartments_Kawecki&amp;Nowack19'!A:A,'Compartments_Kawecki&amp;Nowack19'!B:B,_xlfn.XLOOKUP(L143,Compartments_Added!A:A,Compartments_Added!B:B))="Stock","OK stock","OK flow"),IF(_xlfn.XLOOKUP(L143,'Compartments_Kawecki&amp;Nowack19'!A:A,'Compartments_Kawecki&amp;Nowack19'!B:B,_xlfn.XLOOKUP(L143,Compartments_Added!A:A,Compartments_Added!B:B))="Sink","OK, Sink","Missing"))</f>
        <v>OK flow</v>
      </c>
      <c r="N143" s="6"/>
      <c r="O143" s="6">
        <f>Lifetimes_pairs!A141</f>
        <v>0</v>
      </c>
      <c r="P143" s="6">
        <f>Lifetimes_pairs!B141</f>
        <v>0</v>
      </c>
      <c r="Q143">
        <f>Lifetimes!EK1</f>
        <v>0</v>
      </c>
      <c r="R143" t="str">
        <f t="shared" si="6"/>
        <v>OK</v>
      </c>
      <c r="AA143" t="s">
        <v>1966</v>
      </c>
    </row>
    <row r="144" spans="10:27">
      <c r="J144" s="306" t="str">
        <v>Concrete paint (prof) outdoor (discarded)</v>
      </c>
      <c r="K144" s="311" t="str">
        <f>IF(ISBLANK(J144),"",IF(COUNTIF(L:L,J144),IF(_xlfn.XLOOKUP(J144,'Compartments_Kawecki&amp;Nowack19'!A:A,'Compartments_Kawecki&amp;Nowack19'!B:B,_xlfn.XLOOKUP(J144,Compartments_Added!A:A,Compartments_Added!B:B))="Stock","OK stock","OK flow"),IF(COUNTIF($G$4:$G$18,J144),IF(COUNTIF($E$4:$E$18,J144),"OK input","Missing"),"Missing")))</f>
        <v>OK stock</v>
      </c>
      <c r="L144" s="306" t="str">
        <v>Wood stain (prof)</v>
      </c>
      <c r="M144" s="311" t="str">
        <f>IF(COUNTIF(J:J,L144),IF(_xlfn.XLOOKUP(L144,'Compartments_Kawecki&amp;Nowack19'!A:A,'Compartments_Kawecki&amp;Nowack19'!B:B,_xlfn.XLOOKUP(L144,Compartments_Added!A:A,Compartments_Added!B:B))="Stock","OK stock","OK flow"),IF(_xlfn.XLOOKUP(L144,'Compartments_Kawecki&amp;Nowack19'!A:A,'Compartments_Kawecki&amp;Nowack19'!B:B,_xlfn.XLOOKUP(L144,Compartments_Added!A:A,Compartments_Added!B:B))="Sink","OK, Sink","Missing"))</f>
        <v>OK flow</v>
      </c>
      <c r="N144" s="6"/>
      <c r="O144" s="6">
        <f>Lifetimes_pairs!A142</f>
        <v>0</v>
      </c>
      <c r="P144" s="6">
        <f>Lifetimes_pairs!B142</f>
        <v>0</v>
      </c>
      <c r="Q144">
        <f>Lifetimes!EL1</f>
        <v>0</v>
      </c>
      <c r="R144" t="str">
        <f t="shared" si="6"/>
        <v>OK</v>
      </c>
      <c r="AA144" t="s">
        <v>1967</v>
      </c>
    </row>
    <row r="145" spans="10:27">
      <c r="J145" s="306" t="str">
        <v>Concrete paint (prof) indoor (discarded)</v>
      </c>
      <c r="K145" s="311" t="str">
        <f>IF(ISBLANK(J145),"",IF(COUNTIF(L:L,J145),IF(_xlfn.XLOOKUP(J145,'Compartments_Kawecki&amp;Nowack19'!A:A,'Compartments_Kawecki&amp;Nowack19'!B:B,_xlfn.XLOOKUP(J145,Compartments_Added!A:A,Compartments_Added!B:B))="Stock","OK stock","OK flow"),IF(COUNTIF($G$4:$G$18,J145),IF(COUNTIF($E$4:$E$18,J145),"OK input","Missing"),"Missing")))</f>
        <v>OK stock</v>
      </c>
      <c r="L145" s="306" t="str">
        <v>Wall paint (prof)</v>
      </c>
      <c r="M145" s="311" t="str">
        <f>IF(COUNTIF(J:J,L145),IF(_xlfn.XLOOKUP(L145,'Compartments_Kawecki&amp;Nowack19'!A:A,'Compartments_Kawecki&amp;Nowack19'!B:B,_xlfn.XLOOKUP(L145,Compartments_Added!A:A,Compartments_Added!B:B))="Stock","OK stock","OK flow"),IF(_xlfn.XLOOKUP(L145,'Compartments_Kawecki&amp;Nowack19'!A:A,'Compartments_Kawecki&amp;Nowack19'!B:B,_xlfn.XLOOKUP(L145,Compartments_Added!A:A,Compartments_Added!B:B))="Sink","OK, Sink","Missing"))</f>
        <v>OK flow</v>
      </c>
      <c r="N145" s="6"/>
      <c r="O145" s="6">
        <f>Lifetimes_pairs!A143</f>
        <v>0</v>
      </c>
      <c r="P145" s="6">
        <f>Lifetimes_pairs!B143</f>
        <v>0</v>
      </c>
      <c r="Q145">
        <f>Lifetimes!EM1</f>
        <v>0</v>
      </c>
      <c r="R145" t="str">
        <f t="shared" si="6"/>
        <v>OK</v>
      </c>
      <c r="AA145" t="s">
        <v>1968</v>
      </c>
    </row>
    <row r="146" spans="10:27" ht="15" customHeight="1">
      <c r="J146" s="306" t="str">
        <v>Lacquer (prof)</v>
      </c>
      <c r="K146" s="311" t="str">
        <f>IF(ISBLANK(J146),"",IF(COUNTIF(L:L,J146),IF(_xlfn.XLOOKUP(J146,'Compartments_Kawecki&amp;Nowack19'!A:A,'Compartments_Kawecki&amp;Nowack19'!B:B,_xlfn.XLOOKUP(J146,Compartments_Added!A:A,Compartments_Added!B:B))="Stock","OK stock","OK flow"),IF(COUNTIF($G$4:$G$18,J146),IF(COUNTIF($E$4:$E$18,J146),"OK input","Missing"),"Missing")))</f>
        <v>OK flow</v>
      </c>
      <c r="L146" s="306" t="str">
        <v>Plaster (prof)</v>
      </c>
      <c r="M146" s="311" t="str">
        <f>IF(COUNTIF(J:J,L146),IF(_xlfn.XLOOKUP(L146,'Compartments_Kawecki&amp;Nowack19'!A:A,'Compartments_Kawecki&amp;Nowack19'!B:B,_xlfn.XLOOKUP(L146,Compartments_Added!A:A,Compartments_Added!B:B))="Stock","OK stock","OK flow"),IF(_xlfn.XLOOKUP(L146,'Compartments_Kawecki&amp;Nowack19'!A:A,'Compartments_Kawecki&amp;Nowack19'!B:B,_xlfn.XLOOKUP(L146,Compartments_Added!A:A,Compartments_Added!B:B))="Sink","OK, Sink","Missing"))</f>
        <v>OK flow</v>
      </c>
      <c r="N146" s="6"/>
      <c r="O146" s="6">
        <f>Lifetimes_pairs!A144</f>
        <v>0</v>
      </c>
      <c r="P146" s="6">
        <f>Lifetimes_pairs!B144</f>
        <v>0</v>
      </c>
      <c r="Q146">
        <f>Lifetimes!EN1</f>
        <v>0</v>
      </c>
      <c r="R146" t="str">
        <f t="shared" si="6"/>
        <v>OK</v>
      </c>
      <c r="AA146" t="s">
        <v>1969</v>
      </c>
    </row>
    <row r="147" spans="10:27">
      <c r="J147" s="306" t="str">
        <v>Lacquer (prof) outdoor</v>
      </c>
      <c r="K147" s="311" t="str">
        <f>IF(ISBLANK(J147),"",IF(COUNTIF(L:L,J147),IF(_xlfn.XLOOKUP(J147,'Compartments_Kawecki&amp;Nowack19'!A:A,'Compartments_Kawecki&amp;Nowack19'!B:B,_xlfn.XLOOKUP(J147,Compartments_Added!A:A,Compartments_Added!B:B))="Stock","OK stock","OK flow"),IF(COUNTIF($G$4:$G$18,J147),IF(COUNTIF($E$4:$E$18,J147),"OK input","Missing"),"Missing")))</f>
        <v>OK flow</v>
      </c>
      <c r="L147" s="306" t="str">
        <v>Other paint uses (prof)</v>
      </c>
      <c r="M147" s="311" t="str">
        <f>IF(COUNTIF(J:J,L147),IF(_xlfn.XLOOKUP(L147,'Compartments_Kawecki&amp;Nowack19'!A:A,'Compartments_Kawecki&amp;Nowack19'!B:B,_xlfn.XLOOKUP(L147,Compartments_Added!A:A,Compartments_Added!B:B))="Stock","OK stock","OK flow"),IF(_xlfn.XLOOKUP(L147,'Compartments_Kawecki&amp;Nowack19'!A:A,'Compartments_Kawecki&amp;Nowack19'!B:B,_xlfn.XLOOKUP(L147,Compartments_Added!A:A,Compartments_Added!B:B))="Sink","OK, Sink","Missing"))</f>
        <v>OK flow</v>
      </c>
      <c r="N147" s="6"/>
      <c r="O147" s="6">
        <f>Lifetimes_pairs!A145</f>
        <v>0</v>
      </c>
      <c r="P147" s="6">
        <f>Lifetimes_pairs!B145</f>
        <v>0</v>
      </c>
      <c r="Q147">
        <f>Lifetimes!EO1</f>
        <v>0</v>
      </c>
      <c r="R147" t="str">
        <f t="shared" si="6"/>
        <v>OK</v>
      </c>
      <c r="AA147" t="s">
        <v>1970</v>
      </c>
    </row>
    <row r="148" spans="10:27">
      <c r="J148" s="306" t="str">
        <v>Lacquer (prof) outdoor (in use)</v>
      </c>
      <c r="K148" s="311" t="str">
        <f>IF(ISBLANK(J148),"",IF(COUNTIF(L:L,J148),IF(_xlfn.XLOOKUP(J148,'Compartments_Kawecki&amp;Nowack19'!A:A,'Compartments_Kawecki&amp;Nowack19'!B:B,_xlfn.XLOOKUP(J148,Compartments_Added!A:A,Compartments_Added!B:B))="Stock","OK stock","OK flow"),IF(COUNTIF($G$4:$G$18,J148),IF(COUNTIF($E$4:$E$18,J148),"OK input","Missing"),"Missing")))</f>
        <v>OK stock</v>
      </c>
      <c r="L148" s="306" t="str">
        <v>Paints used in pre-made wooden products</v>
      </c>
      <c r="M148" s="311" t="str">
        <f>IF(COUNTIF(J:J,L148),IF(_xlfn.XLOOKUP(L148,'Compartments_Kawecki&amp;Nowack19'!A:A,'Compartments_Kawecki&amp;Nowack19'!B:B,_xlfn.XLOOKUP(L148,Compartments_Added!A:A,Compartments_Added!B:B))="Stock","OK stock","OK flow"),IF(_xlfn.XLOOKUP(L148,'Compartments_Kawecki&amp;Nowack19'!A:A,'Compartments_Kawecki&amp;Nowack19'!B:B,_xlfn.XLOOKUP(L148,Compartments_Added!A:A,Compartments_Added!B:B))="Sink","OK, Sink","Missing"))</f>
        <v>OK flow</v>
      </c>
      <c r="N148" s="6"/>
      <c r="O148" s="6">
        <f>Lifetimes_pairs!A146</f>
        <v>0</v>
      </c>
      <c r="P148" s="6">
        <f>Lifetimes_pairs!B146</f>
        <v>0</v>
      </c>
      <c r="Q148">
        <f>Lifetimes!EP1</f>
        <v>0</v>
      </c>
      <c r="R148" t="str">
        <f t="shared" si="6"/>
        <v>OK</v>
      </c>
      <c r="AA148" t="s">
        <v>1971</v>
      </c>
    </row>
    <row r="149" spans="10:27">
      <c r="J149" s="306" t="str">
        <v>Lacquer (prof) indoor</v>
      </c>
      <c r="K149" s="311" t="str">
        <f>IF(ISBLANK(J149),"",IF(COUNTIF(L:L,J149),IF(_xlfn.XLOOKUP(J149,'Compartments_Kawecki&amp;Nowack19'!A:A,'Compartments_Kawecki&amp;Nowack19'!B:B,_xlfn.XLOOKUP(J149,Compartments_Added!A:A,Compartments_Added!B:B))="Stock","OK stock","OK flow"),IF(COUNTIF($G$4:$G$18,J149),IF(COUNTIF($E$4:$E$18,J149),"OK input","Missing"),"Missing")))</f>
        <v>OK flow</v>
      </c>
      <c r="L149" s="306" t="str">
        <v>Lacquer (DIY)</v>
      </c>
      <c r="M149" s="311" t="str">
        <f>IF(COUNTIF(J:J,L149),IF(_xlfn.XLOOKUP(L149,'Compartments_Kawecki&amp;Nowack19'!A:A,'Compartments_Kawecki&amp;Nowack19'!B:B,_xlfn.XLOOKUP(L149,Compartments_Added!A:A,Compartments_Added!B:B))="Stock","OK stock","OK flow"),IF(_xlfn.XLOOKUP(L149,'Compartments_Kawecki&amp;Nowack19'!A:A,'Compartments_Kawecki&amp;Nowack19'!B:B,_xlfn.XLOOKUP(L149,Compartments_Added!A:A,Compartments_Added!B:B))="Sink","OK, Sink","Missing"))</f>
        <v>OK flow</v>
      </c>
      <c r="N149" s="6"/>
      <c r="O149" s="6">
        <f>Lifetimes_pairs!A147</f>
        <v>0</v>
      </c>
      <c r="P149" s="6">
        <f>Lifetimes_pairs!B147</f>
        <v>0</v>
      </c>
      <c r="Q149">
        <f>Lifetimes!EQ1</f>
        <v>0</v>
      </c>
      <c r="R149" t="str">
        <f t="shared" si="6"/>
        <v>OK</v>
      </c>
      <c r="AA149" t="s">
        <v>1972</v>
      </c>
    </row>
    <row r="150" spans="10:27" ht="15" customHeight="1">
      <c r="J150" s="306" t="str">
        <v>Lacquer (prof) indoor (in use)</v>
      </c>
      <c r="K150" s="311" t="str">
        <f>IF(ISBLANK(J150),"",IF(COUNTIF(L:L,J150),IF(_xlfn.XLOOKUP(J150,'Compartments_Kawecki&amp;Nowack19'!A:A,'Compartments_Kawecki&amp;Nowack19'!B:B,_xlfn.XLOOKUP(J150,Compartments_Added!A:A,Compartments_Added!B:B))="Stock","OK stock","OK flow"),IF(COUNTIF($G$4:$G$18,J150),IF(COUNTIF($E$4:$E$18,J150),"OK input","Missing"),"Missing")))</f>
        <v>OK stock</v>
      </c>
      <c r="L150" s="306" t="str">
        <v>Wood stain (DIY)</v>
      </c>
      <c r="M150" s="311" t="str">
        <f>IF(COUNTIF(J:J,L150),IF(_xlfn.XLOOKUP(L150,'Compartments_Kawecki&amp;Nowack19'!A:A,'Compartments_Kawecki&amp;Nowack19'!B:B,_xlfn.XLOOKUP(L150,Compartments_Added!A:A,Compartments_Added!B:B))="Stock","OK stock","OK flow"),IF(_xlfn.XLOOKUP(L150,'Compartments_Kawecki&amp;Nowack19'!A:A,'Compartments_Kawecki&amp;Nowack19'!B:B,_xlfn.XLOOKUP(L150,Compartments_Added!A:A,Compartments_Added!B:B))="Sink","OK, Sink","Missing"))</f>
        <v>OK flow</v>
      </c>
      <c r="N150" s="6"/>
      <c r="O150" s="6">
        <f>Lifetimes_pairs!A148</f>
        <v>0</v>
      </c>
      <c r="P150" s="6">
        <f>Lifetimes_pairs!B148</f>
        <v>0</v>
      </c>
      <c r="Q150">
        <f>Lifetimes!ER1</f>
        <v>0</v>
      </c>
      <c r="R150" t="str">
        <f t="shared" si="6"/>
        <v>OK</v>
      </c>
      <c r="AA150" t="s">
        <v>1973</v>
      </c>
    </row>
    <row r="151" spans="10:27">
      <c r="J151" s="306" t="str">
        <v>Lacquer (prof) outdoor (discarded)</v>
      </c>
      <c r="K151" s="311" t="str">
        <f>IF(ISBLANK(J151),"",IF(COUNTIF(L:L,J151),IF(_xlfn.XLOOKUP(J151,'Compartments_Kawecki&amp;Nowack19'!A:A,'Compartments_Kawecki&amp;Nowack19'!B:B,_xlfn.XLOOKUP(J151,Compartments_Added!A:A,Compartments_Added!B:B))="Stock","OK stock","OK flow"),IF(COUNTIF($G$4:$G$18,J151),IF(COUNTIF($E$4:$E$18,J151),"OK input","Missing"),"Missing")))</f>
        <v>OK stock</v>
      </c>
      <c r="L151" s="306" t="str">
        <v>Wall paint (DIY)</v>
      </c>
      <c r="M151" s="311" t="str">
        <f>IF(COUNTIF(J:J,L151),IF(_xlfn.XLOOKUP(L151,'Compartments_Kawecki&amp;Nowack19'!A:A,'Compartments_Kawecki&amp;Nowack19'!B:B,_xlfn.XLOOKUP(L151,Compartments_Added!A:A,Compartments_Added!B:B))="Stock","OK stock","OK flow"),IF(_xlfn.XLOOKUP(L151,'Compartments_Kawecki&amp;Nowack19'!A:A,'Compartments_Kawecki&amp;Nowack19'!B:B,_xlfn.XLOOKUP(L151,Compartments_Added!A:A,Compartments_Added!B:B))="Sink","OK, Sink","Missing"))</f>
        <v>OK flow</v>
      </c>
      <c r="N151" s="6"/>
      <c r="O151" s="6"/>
      <c r="P151" s="6"/>
      <c r="Q151">
        <f>Lifetimes!ES1</f>
        <v>0</v>
      </c>
      <c r="R151" t="str">
        <f t="shared" si="6"/>
        <v>OK</v>
      </c>
      <c r="AA151" t="s">
        <v>1974</v>
      </c>
    </row>
    <row r="152" spans="10:27">
      <c r="J152" s="306" t="str">
        <v>Lacquer (prof) indoor (discarded)</v>
      </c>
      <c r="K152" s="311" t="str">
        <f>IF(ISBLANK(J152),"",IF(COUNTIF(L:L,J152),IF(_xlfn.XLOOKUP(J152,'Compartments_Kawecki&amp;Nowack19'!A:A,'Compartments_Kawecki&amp;Nowack19'!B:B,_xlfn.XLOOKUP(J152,Compartments_Added!A:A,Compartments_Added!B:B))="Stock","OK stock","OK flow"),IF(COUNTIF($G$4:$G$18,J152),IF(COUNTIF($E$4:$E$18,J152),"OK input","Missing"),"Missing")))</f>
        <v>OK stock</v>
      </c>
      <c r="L152" s="306" t="str">
        <v>Plaster (DIY)</v>
      </c>
      <c r="M152" s="311" t="str">
        <f>IF(COUNTIF(J:J,L152),IF(_xlfn.XLOOKUP(L152,'Compartments_Kawecki&amp;Nowack19'!A:A,'Compartments_Kawecki&amp;Nowack19'!B:B,_xlfn.XLOOKUP(L152,Compartments_Added!A:A,Compartments_Added!B:B))="Stock","OK stock","OK flow"),IF(_xlfn.XLOOKUP(L152,'Compartments_Kawecki&amp;Nowack19'!A:A,'Compartments_Kawecki&amp;Nowack19'!B:B,_xlfn.XLOOKUP(L152,Compartments_Added!A:A,Compartments_Added!B:B))="Sink","OK, Sink","Missing"))</f>
        <v>OK flow</v>
      </c>
      <c r="N152" s="6"/>
      <c r="O152" s="6"/>
      <c r="P152" s="6"/>
      <c r="Q152">
        <f>Lifetimes!ET1</f>
        <v>0</v>
      </c>
      <c r="R152" t="str">
        <f t="shared" si="6"/>
        <v>OK</v>
      </c>
      <c r="AA152" t="s">
        <v>1975</v>
      </c>
    </row>
    <row r="153" spans="10:27">
      <c r="J153" s="306" t="str">
        <v>Wood stain (prof)</v>
      </c>
      <c r="K153" s="311" t="str">
        <f>IF(ISBLANK(J153),"",IF(COUNTIF(L:L,J153),IF(_xlfn.XLOOKUP(J153,'Compartments_Kawecki&amp;Nowack19'!A:A,'Compartments_Kawecki&amp;Nowack19'!B:B,_xlfn.XLOOKUP(J153,Compartments_Added!A:A,Compartments_Added!B:B))="Stock","OK stock","OK flow"),IF(COUNTIF($G$4:$G$18,J153),IF(COUNTIF($E$4:$E$18,J153),"OK input","Missing"),"Missing")))</f>
        <v>OK flow</v>
      </c>
      <c r="L153" s="306" t="str">
        <v>Other paint uses (DIY)</v>
      </c>
      <c r="M153" s="311" t="str">
        <f>IF(COUNTIF(J:J,L153),IF(_xlfn.XLOOKUP(L153,'Compartments_Kawecki&amp;Nowack19'!A:A,'Compartments_Kawecki&amp;Nowack19'!B:B,_xlfn.XLOOKUP(L153,Compartments_Added!A:A,Compartments_Added!B:B))="Stock","OK stock","OK flow"),IF(_xlfn.XLOOKUP(L153,'Compartments_Kawecki&amp;Nowack19'!A:A,'Compartments_Kawecki&amp;Nowack19'!B:B,_xlfn.XLOOKUP(L153,Compartments_Added!A:A,Compartments_Added!B:B))="Sink","OK, Sink","Missing"))</f>
        <v>OK flow</v>
      </c>
      <c r="N153" s="6"/>
      <c r="O153" s="6"/>
      <c r="P153" s="6"/>
      <c r="Q153">
        <f>Lifetimes!EU1</f>
        <v>0</v>
      </c>
      <c r="R153" t="str">
        <f t="shared" si="6"/>
        <v>OK</v>
      </c>
      <c r="AA153" t="s">
        <v>1976</v>
      </c>
    </row>
    <row r="154" spans="10:27">
      <c r="J154" s="306" t="str">
        <v>Wood stain (prof) outdoor</v>
      </c>
      <c r="K154" s="311" t="str">
        <f>IF(ISBLANK(J154),"",IF(COUNTIF(L:L,J154),IF(_xlfn.XLOOKUP(J154,'Compartments_Kawecki&amp;Nowack19'!A:A,'Compartments_Kawecki&amp;Nowack19'!B:B,_xlfn.XLOOKUP(J154,Compartments_Added!A:A,Compartments_Added!B:B))="Stock","OK stock","OK flow"),IF(COUNTIF($G$4:$G$18,J154),IF(COUNTIF($E$4:$E$18,J154),"OK input","Missing"),"Missing")))</f>
        <v>OK flow</v>
      </c>
      <c r="L154" s="306" t="str">
        <v>Ship paint (prof)</v>
      </c>
      <c r="M154" s="311" t="str">
        <f>IF(COUNTIF(J:J,L154),IF(_xlfn.XLOOKUP(L154,'Compartments_Kawecki&amp;Nowack19'!A:A,'Compartments_Kawecki&amp;Nowack19'!B:B,_xlfn.XLOOKUP(L154,Compartments_Added!A:A,Compartments_Added!B:B))="Stock","OK stock","OK flow"),IF(_xlfn.XLOOKUP(L154,'Compartments_Kawecki&amp;Nowack19'!A:A,'Compartments_Kawecki&amp;Nowack19'!B:B,_xlfn.XLOOKUP(L154,Compartments_Added!A:A,Compartments_Added!B:B))="Sink","OK, Sink","Missing"))</f>
        <v>OK flow</v>
      </c>
      <c r="N154" s="6"/>
      <c r="O154" s="6"/>
      <c r="P154" s="6"/>
      <c r="Q154">
        <f>Lifetimes!EV1</f>
        <v>0</v>
      </c>
      <c r="R154" t="str">
        <f t="shared" si="6"/>
        <v>OK</v>
      </c>
      <c r="AA154" t="s">
        <v>1977</v>
      </c>
    </row>
    <row r="155" spans="10:27">
      <c r="J155" s="306" t="str">
        <v>Wood stain (prof) outdoor (in use)</v>
      </c>
      <c r="K155" s="311" t="str">
        <f>IF(ISBLANK(J155),"",IF(COUNTIF(L:L,J155),IF(_xlfn.XLOOKUP(J155,'Compartments_Kawecki&amp;Nowack19'!A:A,'Compartments_Kawecki&amp;Nowack19'!B:B,_xlfn.XLOOKUP(J155,Compartments_Added!A:A,Compartments_Added!B:B))="Stock","OK stock","OK flow"),IF(COUNTIF($G$4:$G$18,J155),IF(COUNTIF($E$4:$E$18,J155),"OK input","Missing"),"Missing")))</f>
        <v>OK stock</v>
      </c>
      <c r="L155" s="306" t="str">
        <v>Ship paint (recr)</v>
      </c>
      <c r="M155" s="311" t="str">
        <f>IF(COUNTIF(J:J,L155),IF(_xlfn.XLOOKUP(L155,'Compartments_Kawecki&amp;Nowack19'!A:A,'Compartments_Kawecki&amp;Nowack19'!B:B,_xlfn.XLOOKUP(L155,Compartments_Added!A:A,Compartments_Added!B:B))="Stock","OK stock","OK flow"),IF(_xlfn.XLOOKUP(L155,'Compartments_Kawecki&amp;Nowack19'!A:A,'Compartments_Kawecki&amp;Nowack19'!B:B,_xlfn.XLOOKUP(L155,Compartments_Added!A:A,Compartments_Added!B:B))="Sink","OK, Sink","Missing"))</f>
        <v>OK flow</v>
      </c>
      <c r="N155" s="6"/>
      <c r="O155" s="6"/>
      <c r="P155" s="6"/>
      <c r="Q155">
        <f>Lifetimes!EW1</f>
        <v>0</v>
      </c>
      <c r="R155" t="str">
        <f t="shared" si="6"/>
        <v>OK</v>
      </c>
      <c r="AA155" t="s">
        <v>1978</v>
      </c>
    </row>
    <row r="156" spans="10:27">
      <c r="J156" s="306" t="str">
        <v>Wood stain (prof) indoor</v>
      </c>
      <c r="K156" s="311" t="str">
        <f>IF(ISBLANK(J156),"",IF(COUNTIF(L:L,J156),IF(_xlfn.XLOOKUP(J156,'Compartments_Kawecki&amp;Nowack19'!A:A,'Compartments_Kawecki&amp;Nowack19'!B:B,_xlfn.XLOOKUP(J156,Compartments_Added!A:A,Compartments_Added!B:B))="Stock","OK stock","OK flow"),IF(COUNTIF($G$4:$G$18,J156),IF(COUNTIF($E$4:$E$18,J156),"OK input","Missing"),"Missing")))</f>
        <v>OK flow</v>
      </c>
      <c r="L156" s="306" t="str">
        <v>Ship paint (prof) (in use)</v>
      </c>
      <c r="M156" s="311" t="str">
        <f>IF(COUNTIF(J:J,L156),IF(_xlfn.XLOOKUP(L156,'Compartments_Kawecki&amp;Nowack19'!A:A,'Compartments_Kawecki&amp;Nowack19'!B:B,_xlfn.XLOOKUP(L156,Compartments_Added!A:A,Compartments_Added!B:B))="Stock","OK stock","OK flow"),IF(_xlfn.XLOOKUP(L156,'Compartments_Kawecki&amp;Nowack19'!A:A,'Compartments_Kawecki&amp;Nowack19'!B:B,_xlfn.XLOOKUP(L156,Compartments_Added!A:A,Compartments_Added!B:B))="Sink","OK, Sink","Missing"))</f>
        <v>OK stock</v>
      </c>
      <c r="N156" s="6"/>
      <c r="O156" s="6"/>
      <c r="P156" s="6"/>
      <c r="Q156">
        <f>Lifetimes!EX1</f>
        <v>0</v>
      </c>
      <c r="R156" t="str">
        <f t="shared" si="6"/>
        <v>OK</v>
      </c>
      <c r="AA156" t="s">
        <v>1979</v>
      </c>
    </row>
    <row r="157" spans="10:27">
      <c r="J157" s="306" t="str">
        <v>Wood stain (prof) indoor (in use)</v>
      </c>
      <c r="K157" s="311" t="str">
        <f>IF(ISBLANK(J157),"",IF(COUNTIF(L:L,J157),IF(_xlfn.XLOOKUP(J157,'Compartments_Kawecki&amp;Nowack19'!A:A,'Compartments_Kawecki&amp;Nowack19'!B:B,_xlfn.XLOOKUP(J157,Compartments_Added!A:A,Compartments_Added!B:B))="Stock","OK stock","OK flow"),IF(COUNTIF($G$4:$G$18,J157),IF(COUNTIF($E$4:$E$18,J157),"OK input","Missing"),"Missing")))</f>
        <v>OK stock</v>
      </c>
      <c r="L157" s="306" t="str">
        <v>Ship paint (prof) (discarded)</v>
      </c>
      <c r="M157" s="311" t="str">
        <f>IF(COUNTIF(J:J,L157),IF(_xlfn.XLOOKUP(L157,'Compartments_Kawecki&amp;Nowack19'!A:A,'Compartments_Kawecki&amp;Nowack19'!B:B,_xlfn.XLOOKUP(L157,Compartments_Added!A:A,Compartments_Added!B:B))="Stock","OK stock","OK flow"),IF(_xlfn.XLOOKUP(L157,'Compartments_Kawecki&amp;Nowack19'!A:A,'Compartments_Kawecki&amp;Nowack19'!B:B,_xlfn.XLOOKUP(L157,Compartments_Added!A:A,Compartments_Added!B:B))="Sink","OK, Sink","Missing"))</f>
        <v>OK stock</v>
      </c>
      <c r="N157" s="6"/>
      <c r="O157" s="6"/>
      <c r="P157" s="6"/>
      <c r="Q157">
        <f>Lifetimes!EY1</f>
        <v>0</v>
      </c>
      <c r="R157" t="str">
        <f t="shared" si="6"/>
        <v>OK</v>
      </c>
      <c r="AA157" t="s">
        <v>1980</v>
      </c>
    </row>
    <row r="158" spans="10:27">
      <c r="J158" s="306" t="str">
        <v>Wood stain (prof) outdoor (discarded)</v>
      </c>
      <c r="K158" s="311" t="str">
        <f>IF(ISBLANK(J158),"",IF(COUNTIF(L:L,J158),IF(_xlfn.XLOOKUP(J158,'Compartments_Kawecki&amp;Nowack19'!A:A,'Compartments_Kawecki&amp;Nowack19'!B:B,_xlfn.XLOOKUP(J158,Compartments_Added!A:A,Compartments_Added!B:B))="Stock","OK stock","OK flow"),IF(COUNTIF($G$4:$G$18,J158),IF(COUNTIF($E$4:$E$18,J158),"OK input","Missing"),"Missing")))</f>
        <v>OK stock</v>
      </c>
      <c r="L158" s="306" t="str">
        <v>Ship paint (recr) (in use)</v>
      </c>
      <c r="M158" s="311" t="str">
        <f>IF(COUNTIF(J:J,L158),IF(_xlfn.XLOOKUP(L158,'Compartments_Kawecki&amp;Nowack19'!A:A,'Compartments_Kawecki&amp;Nowack19'!B:B,_xlfn.XLOOKUP(L158,Compartments_Added!A:A,Compartments_Added!B:B))="Stock","OK stock","OK flow"),IF(_xlfn.XLOOKUP(L158,'Compartments_Kawecki&amp;Nowack19'!A:A,'Compartments_Kawecki&amp;Nowack19'!B:B,_xlfn.XLOOKUP(L158,Compartments_Added!A:A,Compartments_Added!B:B))="Sink","OK, Sink","Missing"))</f>
        <v>OK stock</v>
      </c>
      <c r="N158" s="6"/>
      <c r="O158" s="6"/>
      <c r="P158" s="6"/>
      <c r="Q158">
        <f>Lifetimes!EZ1</f>
        <v>0</v>
      </c>
      <c r="R158" t="str">
        <f t="shared" si="6"/>
        <v>OK</v>
      </c>
      <c r="AA158" t="s">
        <v>1981</v>
      </c>
    </row>
    <row r="159" spans="10:27">
      <c r="J159" s="306" t="str">
        <v>Wood stain (prof) indoor (discarded)</v>
      </c>
      <c r="K159" s="311" t="str">
        <f>IF(ISBLANK(J159),"",IF(COUNTIF(L:L,J159),IF(_xlfn.XLOOKUP(J159,'Compartments_Kawecki&amp;Nowack19'!A:A,'Compartments_Kawecki&amp;Nowack19'!B:B,_xlfn.XLOOKUP(J159,Compartments_Added!A:A,Compartments_Added!B:B))="Stock","OK stock","OK flow"),IF(COUNTIF($G$4:$G$18,J159),IF(COUNTIF($E$4:$E$18,J159),"OK input","Missing"),"Missing")))</f>
        <v>OK stock</v>
      </c>
      <c r="L159" s="306" t="str">
        <v>Ship paint (recr) (discarded)</v>
      </c>
      <c r="M159" s="311" t="str">
        <f>IF(COUNTIF(J:J,L159),IF(_xlfn.XLOOKUP(L159,'Compartments_Kawecki&amp;Nowack19'!A:A,'Compartments_Kawecki&amp;Nowack19'!B:B,_xlfn.XLOOKUP(L159,Compartments_Added!A:A,Compartments_Added!B:B))="Stock","OK stock","OK flow"),IF(_xlfn.XLOOKUP(L159,'Compartments_Kawecki&amp;Nowack19'!A:A,'Compartments_Kawecki&amp;Nowack19'!B:B,_xlfn.XLOOKUP(L159,Compartments_Added!A:A,Compartments_Added!B:B))="Sink","OK, Sink","Missing"))</f>
        <v>OK stock</v>
      </c>
      <c r="N159" s="6"/>
      <c r="O159" s="6"/>
      <c r="P159" s="6"/>
      <c r="Q159">
        <f>Lifetimes!FA1</f>
        <v>0</v>
      </c>
      <c r="R159" t="str">
        <f t="shared" si="6"/>
        <v>OK</v>
      </c>
      <c r="AA159" t="s">
        <v>1982</v>
      </c>
    </row>
    <row r="160" spans="10:27">
      <c r="J160" s="306" t="str">
        <v>Wall paint (prof)</v>
      </c>
      <c r="K160" s="311" t="str">
        <f>IF(ISBLANK(J160),"",IF(COUNTIF(L:L,J160),IF(_xlfn.XLOOKUP(J160,'Compartments_Kawecki&amp;Nowack19'!A:A,'Compartments_Kawecki&amp;Nowack19'!B:B,_xlfn.XLOOKUP(J160,Compartments_Added!A:A,Compartments_Added!B:B))="Stock","OK stock","OK flow"),IF(COUNTIF($G$4:$G$18,J160),IF(COUNTIF($E$4:$E$18,J160),"OK input","Missing"),"Missing")))</f>
        <v>OK flow</v>
      </c>
      <c r="L160" s="306" t="str">
        <v>Concrete paint (prof) outdoor</v>
      </c>
      <c r="M160" s="311" t="str">
        <f>IF(COUNTIF(J:J,L160),IF(_xlfn.XLOOKUP(L160,'Compartments_Kawecki&amp;Nowack19'!A:A,'Compartments_Kawecki&amp;Nowack19'!B:B,_xlfn.XLOOKUP(L160,Compartments_Added!A:A,Compartments_Added!B:B))="Stock","OK stock","OK flow"),IF(_xlfn.XLOOKUP(L160,'Compartments_Kawecki&amp;Nowack19'!A:A,'Compartments_Kawecki&amp;Nowack19'!B:B,_xlfn.XLOOKUP(L160,Compartments_Added!A:A,Compartments_Added!B:B))="Sink","OK, Sink","Missing"))</f>
        <v>OK flow</v>
      </c>
      <c r="N160" s="6"/>
      <c r="O160" s="6"/>
      <c r="P160" s="6"/>
      <c r="Q160">
        <f>Lifetimes!FB1</f>
        <v>0</v>
      </c>
      <c r="R160" t="str">
        <f t="shared" si="6"/>
        <v>OK</v>
      </c>
      <c r="AA160" t="s">
        <v>1983</v>
      </c>
    </row>
    <row r="161" spans="10:27">
      <c r="J161" s="306" t="str">
        <v>Wall paint (prof) outdoor</v>
      </c>
      <c r="K161" s="311" t="str">
        <f>IF(ISBLANK(J161),"",IF(COUNTIF(L:L,J161),IF(_xlfn.XLOOKUP(J161,'Compartments_Kawecki&amp;Nowack19'!A:A,'Compartments_Kawecki&amp;Nowack19'!B:B,_xlfn.XLOOKUP(J161,Compartments_Added!A:A,Compartments_Added!B:B))="Stock","OK stock","OK flow"),IF(COUNTIF($G$4:$G$18,J161),IF(COUNTIF($E$4:$E$18,J161),"OK input","Missing"),"Missing")))</f>
        <v>OK flow</v>
      </c>
      <c r="L161" s="306" t="str">
        <v>Concrete paint (prof) indoor</v>
      </c>
      <c r="M161" s="311" t="str">
        <f>IF(COUNTIF(J:J,L161),IF(_xlfn.XLOOKUP(L161,'Compartments_Kawecki&amp;Nowack19'!A:A,'Compartments_Kawecki&amp;Nowack19'!B:B,_xlfn.XLOOKUP(L161,Compartments_Added!A:A,Compartments_Added!B:B))="Stock","OK stock","OK flow"),IF(_xlfn.XLOOKUP(L161,'Compartments_Kawecki&amp;Nowack19'!A:A,'Compartments_Kawecki&amp;Nowack19'!B:B,_xlfn.XLOOKUP(L161,Compartments_Added!A:A,Compartments_Added!B:B))="Sink","OK, Sink","Missing"))</f>
        <v>OK flow</v>
      </c>
      <c r="N161" s="6"/>
      <c r="O161" s="6"/>
      <c r="P161" s="6"/>
      <c r="Q161">
        <f>Lifetimes!FC1</f>
        <v>0</v>
      </c>
      <c r="R161" t="str">
        <f t="shared" si="6"/>
        <v>OK</v>
      </c>
      <c r="AA161" t="s">
        <v>1984</v>
      </c>
    </row>
    <row r="162" spans="10:27">
      <c r="J162" s="306" t="str">
        <v>Wall paint (prof) outdoor (in use)</v>
      </c>
      <c r="K162" s="311" t="str">
        <f>IF(ISBLANK(J162),"",IF(COUNTIF(L:L,J162),IF(_xlfn.XLOOKUP(J162,'Compartments_Kawecki&amp;Nowack19'!A:A,'Compartments_Kawecki&amp;Nowack19'!B:B,_xlfn.XLOOKUP(J162,Compartments_Added!A:A,Compartments_Added!B:B))="Stock","OK stock","OK flow"),IF(COUNTIF($G$4:$G$18,J162),IF(COUNTIF($E$4:$E$18,J162),"OK input","Missing"),"Missing")))</f>
        <v>OK stock</v>
      </c>
      <c r="L162" s="306" t="str">
        <v>Concrete paint (prof) outdoor (in use)</v>
      </c>
      <c r="M162" s="311" t="str">
        <f>IF(COUNTIF(J:J,L162),IF(_xlfn.XLOOKUP(L162,'Compartments_Kawecki&amp;Nowack19'!A:A,'Compartments_Kawecki&amp;Nowack19'!B:B,_xlfn.XLOOKUP(L162,Compartments_Added!A:A,Compartments_Added!B:B))="Stock","OK stock","OK flow"),IF(_xlfn.XLOOKUP(L162,'Compartments_Kawecki&amp;Nowack19'!A:A,'Compartments_Kawecki&amp;Nowack19'!B:B,_xlfn.XLOOKUP(L162,Compartments_Added!A:A,Compartments_Added!B:B))="Sink","OK, Sink","Missing"))</f>
        <v>OK stock</v>
      </c>
      <c r="N162" s="6"/>
      <c r="O162" s="6"/>
      <c r="P162" s="6"/>
      <c r="Q162">
        <f>Lifetimes!FD1</f>
        <v>0</v>
      </c>
      <c r="R162" t="str">
        <f t="shared" si="6"/>
        <v>OK</v>
      </c>
      <c r="AA162" t="s">
        <v>1985</v>
      </c>
    </row>
    <row r="163" spans="10:27">
      <c r="J163" s="306" t="str">
        <v>Wall paint (prof) indoor</v>
      </c>
      <c r="K163" s="311" t="str">
        <f>IF(ISBLANK(J163),"",IF(COUNTIF(L:L,J163),IF(_xlfn.XLOOKUP(J163,'Compartments_Kawecki&amp;Nowack19'!A:A,'Compartments_Kawecki&amp;Nowack19'!B:B,_xlfn.XLOOKUP(J163,Compartments_Added!A:A,Compartments_Added!B:B))="Stock","OK stock","OK flow"),IF(COUNTIF($G$4:$G$18,J163),IF(COUNTIF($E$4:$E$18,J163),"OK input","Missing"),"Missing")))</f>
        <v>OK flow</v>
      </c>
      <c r="L163" s="306" t="str">
        <v>Concrete paint (prof) outdoor (discarded)</v>
      </c>
      <c r="M163" s="311" t="str">
        <f>IF(COUNTIF(J:J,L163),IF(_xlfn.XLOOKUP(L163,'Compartments_Kawecki&amp;Nowack19'!A:A,'Compartments_Kawecki&amp;Nowack19'!B:B,_xlfn.XLOOKUP(L163,Compartments_Added!A:A,Compartments_Added!B:B))="Stock","OK stock","OK flow"),IF(_xlfn.XLOOKUP(L163,'Compartments_Kawecki&amp;Nowack19'!A:A,'Compartments_Kawecki&amp;Nowack19'!B:B,_xlfn.XLOOKUP(L163,Compartments_Added!A:A,Compartments_Added!B:B))="Sink","OK, Sink","Missing"))</f>
        <v>OK stock</v>
      </c>
      <c r="N163" s="6"/>
      <c r="O163" s="6"/>
      <c r="P163" s="6"/>
      <c r="Q163">
        <f>Lifetimes!FE1</f>
        <v>0</v>
      </c>
      <c r="R163" t="str">
        <f t="shared" si="6"/>
        <v>OK</v>
      </c>
      <c r="AA163" t="s">
        <v>1986</v>
      </c>
    </row>
    <row r="164" spans="10:27">
      <c r="J164" s="306" t="str">
        <v>Wall paint (prof) indoor (in use)</v>
      </c>
      <c r="K164" s="311" t="str">
        <f>IF(ISBLANK(J164),"",IF(COUNTIF(L:L,J164),IF(_xlfn.XLOOKUP(J164,'Compartments_Kawecki&amp;Nowack19'!A:A,'Compartments_Kawecki&amp;Nowack19'!B:B,_xlfn.XLOOKUP(J164,Compartments_Added!A:A,Compartments_Added!B:B))="Stock","OK stock","OK flow"),IF(COUNTIF($G$4:$G$18,J164),IF(COUNTIF($E$4:$E$18,J164),"OK input","Missing"),"Missing")))</f>
        <v>OK stock</v>
      </c>
      <c r="L164" s="306" t="str">
        <v>Concrete paint (prof) indoor (in use)</v>
      </c>
      <c r="M164" s="311" t="str">
        <f>IF(COUNTIF(J:J,L164),IF(_xlfn.XLOOKUP(L164,'Compartments_Kawecki&amp;Nowack19'!A:A,'Compartments_Kawecki&amp;Nowack19'!B:B,_xlfn.XLOOKUP(L164,Compartments_Added!A:A,Compartments_Added!B:B))="Stock","OK stock","OK flow"),IF(_xlfn.XLOOKUP(L164,'Compartments_Kawecki&amp;Nowack19'!A:A,'Compartments_Kawecki&amp;Nowack19'!B:B,_xlfn.XLOOKUP(L164,Compartments_Added!A:A,Compartments_Added!B:B))="Sink","OK, Sink","Missing"))</f>
        <v>OK stock</v>
      </c>
      <c r="N164" s="6"/>
      <c r="O164" s="6"/>
      <c r="P164" s="6"/>
      <c r="Q164">
        <f>Lifetimes!FF1</f>
        <v>0</v>
      </c>
      <c r="R164" t="str">
        <f t="shared" si="6"/>
        <v>OK</v>
      </c>
      <c r="AA164" t="s">
        <v>1987</v>
      </c>
    </row>
    <row r="165" spans="10:27">
      <c r="J165" s="306" t="str">
        <v>Wall paint (prof) outdoor (discarded)</v>
      </c>
      <c r="K165" s="311" t="str">
        <f>IF(ISBLANK(J165),"",IF(COUNTIF(L:L,J165),IF(_xlfn.XLOOKUP(J165,'Compartments_Kawecki&amp;Nowack19'!A:A,'Compartments_Kawecki&amp;Nowack19'!B:B,_xlfn.XLOOKUP(J165,Compartments_Added!A:A,Compartments_Added!B:B))="Stock","OK stock","OK flow"),IF(COUNTIF($G$4:$G$18,J165),IF(COUNTIF($E$4:$E$18,J165),"OK input","Missing"),"Missing")))</f>
        <v>OK stock</v>
      </c>
      <c r="L165" s="306" t="str">
        <v>Concrete paint (prof) indoor (discarded)</v>
      </c>
      <c r="M165" s="311" t="str">
        <f>IF(COUNTIF(J:J,L165),IF(_xlfn.XLOOKUP(L165,'Compartments_Kawecki&amp;Nowack19'!A:A,'Compartments_Kawecki&amp;Nowack19'!B:B,_xlfn.XLOOKUP(L165,Compartments_Added!A:A,Compartments_Added!B:B))="Stock","OK stock","OK flow"),IF(_xlfn.XLOOKUP(L165,'Compartments_Kawecki&amp;Nowack19'!A:A,'Compartments_Kawecki&amp;Nowack19'!B:B,_xlfn.XLOOKUP(L165,Compartments_Added!A:A,Compartments_Added!B:B))="Sink","OK, Sink","Missing"))</f>
        <v>OK stock</v>
      </c>
      <c r="N165" s="6"/>
      <c r="O165" s="6"/>
      <c r="P165" s="6"/>
      <c r="Q165">
        <f>Lifetimes!FG1</f>
        <v>0</v>
      </c>
      <c r="R165" t="str">
        <f t="shared" si="6"/>
        <v>OK</v>
      </c>
      <c r="AA165" t="s">
        <v>1988</v>
      </c>
    </row>
    <row r="166" spans="10:27">
      <c r="J166" s="306" t="str">
        <v>Wall paint (prof) indoor (discarded)</v>
      </c>
      <c r="K166" s="311" t="str">
        <f>IF(ISBLANK(J166),"",IF(COUNTIF(L:L,J166),IF(_xlfn.XLOOKUP(J166,'Compartments_Kawecki&amp;Nowack19'!A:A,'Compartments_Kawecki&amp;Nowack19'!B:B,_xlfn.XLOOKUP(J166,Compartments_Added!A:A,Compartments_Added!B:B))="Stock","OK stock","OK flow"),IF(COUNTIF($G$4:$G$18,J166),IF(COUNTIF($E$4:$E$18,J166),"OK input","Missing"),"Missing")))</f>
        <v>OK stock</v>
      </c>
      <c r="L166" s="306" t="str">
        <v>Lacquer (prof) outdoor</v>
      </c>
      <c r="M166" s="311" t="str">
        <f>IF(COUNTIF(J:J,L166),IF(_xlfn.XLOOKUP(L166,'Compartments_Kawecki&amp;Nowack19'!A:A,'Compartments_Kawecki&amp;Nowack19'!B:B,_xlfn.XLOOKUP(L166,Compartments_Added!A:A,Compartments_Added!B:B))="Stock","OK stock","OK flow"),IF(_xlfn.XLOOKUP(L166,'Compartments_Kawecki&amp;Nowack19'!A:A,'Compartments_Kawecki&amp;Nowack19'!B:B,_xlfn.XLOOKUP(L166,Compartments_Added!A:A,Compartments_Added!B:B))="Sink","OK, Sink","Missing"))</f>
        <v>OK flow</v>
      </c>
      <c r="N166" s="6"/>
      <c r="O166" s="6"/>
      <c r="P166" s="6"/>
      <c r="Q166">
        <f>Lifetimes!FH1</f>
        <v>0</v>
      </c>
      <c r="R166" t="str">
        <f t="shared" si="6"/>
        <v>OK</v>
      </c>
      <c r="AA166" t="s">
        <v>1989</v>
      </c>
    </row>
    <row r="167" spans="10:27">
      <c r="J167" s="306" t="str">
        <v>Plaster (prof)</v>
      </c>
      <c r="K167" s="311" t="str">
        <f>IF(ISBLANK(J167),"",IF(COUNTIF(L:L,J167),IF(_xlfn.XLOOKUP(J167,'Compartments_Kawecki&amp;Nowack19'!A:A,'Compartments_Kawecki&amp;Nowack19'!B:B,_xlfn.XLOOKUP(J167,Compartments_Added!A:A,Compartments_Added!B:B))="Stock","OK stock","OK flow"),IF(COUNTIF($G$4:$G$18,J167),IF(COUNTIF($E$4:$E$18,J167),"OK input","Missing"),"Missing")))</f>
        <v>OK flow</v>
      </c>
      <c r="L167" s="306" t="str">
        <v>Lacquer (prof) indoor</v>
      </c>
      <c r="M167" s="311" t="str">
        <f>IF(COUNTIF(J:J,L167),IF(_xlfn.XLOOKUP(L167,'Compartments_Kawecki&amp;Nowack19'!A:A,'Compartments_Kawecki&amp;Nowack19'!B:B,_xlfn.XLOOKUP(L167,Compartments_Added!A:A,Compartments_Added!B:B))="Stock","OK stock","OK flow"),IF(_xlfn.XLOOKUP(L167,'Compartments_Kawecki&amp;Nowack19'!A:A,'Compartments_Kawecki&amp;Nowack19'!B:B,_xlfn.XLOOKUP(L167,Compartments_Added!A:A,Compartments_Added!B:B))="Sink","OK, Sink","Missing"))</f>
        <v>OK flow</v>
      </c>
      <c r="N167" s="6"/>
      <c r="O167" s="6"/>
      <c r="P167" s="6"/>
      <c r="Q167">
        <f>Lifetimes!FI1</f>
        <v>0</v>
      </c>
      <c r="R167" t="str">
        <f t="shared" si="6"/>
        <v>OK</v>
      </c>
      <c r="AA167" t="s">
        <v>1990</v>
      </c>
    </row>
    <row r="168" spans="10:27">
      <c r="J168" s="306" t="str">
        <v>Plaster (prof) outdoor</v>
      </c>
      <c r="K168" s="311" t="str">
        <f>IF(ISBLANK(J168),"",IF(COUNTIF(L:L,J168),IF(_xlfn.XLOOKUP(J168,'Compartments_Kawecki&amp;Nowack19'!A:A,'Compartments_Kawecki&amp;Nowack19'!B:B,_xlfn.XLOOKUP(J168,Compartments_Added!A:A,Compartments_Added!B:B))="Stock","OK stock","OK flow"),IF(COUNTIF($G$4:$G$18,J168),IF(COUNTIF($E$4:$E$18,J168),"OK input","Missing"),"Missing")))</f>
        <v>OK flow</v>
      </c>
      <c r="L168" s="306" t="str">
        <v>Lacquer (prof) outdoor (in use)</v>
      </c>
      <c r="M168" s="311" t="str">
        <f>IF(COUNTIF(J:J,L168),IF(_xlfn.XLOOKUP(L168,'Compartments_Kawecki&amp;Nowack19'!A:A,'Compartments_Kawecki&amp;Nowack19'!B:B,_xlfn.XLOOKUP(L168,Compartments_Added!A:A,Compartments_Added!B:B))="Stock","OK stock","OK flow"),IF(_xlfn.XLOOKUP(L168,'Compartments_Kawecki&amp;Nowack19'!A:A,'Compartments_Kawecki&amp;Nowack19'!B:B,_xlfn.XLOOKUP(L168,Compartments_Added!A:A,Compartments_Added!B:B))="Sink","OK, Sink","Missing"))</f>
        <v>OK stock</v>
      </c>
      <c r="N168" s="6"/>
      <c r="O168" s="6"/>
      <c r="P168" s="6"/>
      <c r="Q168">
        <f>Lifetimes!FJ1</f>
        <v>0</v>
      </c>
      <c r="R168" t="str">
        <f t="shared" si="6"/>
        <v>OK</v>
      </c>
      <c r="AA168" t="s">
        <v>1991</v>
      </c>
    </row>
    <row r="169" spans="10:27">
      <c r="J169" s="306" t="str">
        <v>Plaster (prof) outdoor (in use)</v>
      </c>
      <c r="K169" s="311" t="str">
        <f>IF(ISBLANK(J169),"",IF(COUNTIF(L:L,J169),IF(_xlfn.XLOOKUP(J169,'Compartments_Kawecki&amp;Nowack19'!A:A,'Compartments_Kawecki&amp;Nowack19'!B:B,_xlfn.XLOOKUP(J169,Compartments_Added!A:A,Compartments_Added!B:B))="Stock","OK stock","OK flow"),IF(COUNTIF($G$4:$G$18,J169),IF(COUNTIF($E$4:$E$18,J169),"OK input","Missing"),"Missing")))</f>
        <v>OK stock</v>
      </c>
      <c r="L169" s="306" t="str">
        <v>Lacquer (prof) outdoor (discarded)</v>
      </c>
      <c r="M169" s="311" t="str">
        <f>IF(COUNTIF(J:J,L169),IF(_xlfn.XLOOKUP(L169,'Compartments_Kawecki&amp;Nowack19'!A:A,'Compartments_Kawecki&amp;Nowack19'!B:B,_xlfn.XLOOKUP(L169,Compartments_Added!A:A,Compartments_Added!B:B))="Stock","OK stock","OK flow"),IF(_xlfn.XLOOKUP(L169,'Compartments_Kawecki&amp;Nowack19'!A:A,'Compartments_Kawecki&amp;Nowack19'!B:B,_xlfn.XLOOKUP(L169,Compartments_Added!A:A,Compartments_Added!B:B))="Sink","OK, Sink","Missing"))</f>
        <v>OK stock</v>
      </c>
      <c r="N169" s="7"/>
      <c r="O169" s="6"/>
      <c r="P169" s="6"/>
      <c r="Q169">
        <f>Lifetimes!FK1</f>
        <v>0</v>
      </c>
      <c r="R169" t="str">
        <f t="shared" si="6"/>
        <v>OK</v>
      </c>
      <c r="AA169" t="s">
        <v>1992</v>
      </c>
    </row>
    <row r="170" spans="10:27">
      <c r="J170" s="306" t="str">
        <v>Plaster (prof) indoor</v>
      </c>
      <c r="K170" s="311" t="str">
        <f>IF(ISBLANK(J170),"",IF(COUNTIF(L:L,J170),IF(_xlfn.XLOOKUP(J170,'Compartments_Kawecki&amp;Nowack19'!A:A,'Compartments_Kawecki&amp;Nowack19'!B:B,_xlfn.XLOOKUP(J170,Compartments_Added!A:A,Compartments_Added!B:B))="Stock","OK stock","OK flow"),IF(COUNTIF($G$4:$G$18,J170),IF(COUNTIF($E$4:$E$18,J170),"OK input","Missing"),"Missing")))</f>
        <v>OK flow</v>
      </c>
      <c r="L170" s="306" t="str">
        <v>Lacquer (prof) indoor (in use)</v>
      </c>
      <c r="M170" s="311" t="str">
        <f>IF(COUNTIF(J:J,L170),IF(_xlfn.XLOOKUP(L170,'Compartments_Kawecki&amp;Nowack19'!A:A,'Compartments_Kawecki&amp;Nowack19'!B:B,_xlfn.XLOOKUP(L170,Compartments_Added!A:A,Compartments_Added!B:B))="Stock","OK stock","OK flow"),IF(_xlfn.XLOOKUP(L170,'Compartments_Kawecki&amp;Nowack19'!A:A,'Compartments_Kawecki&amp;Nowack19'!B:B,_xlfn.XLOOKUP(L170,Compartments_Added!A:A,Compartments_Added!B:B))="Sink","OK, Sink","Missing"))</f>
        <v>OK stock</v>
      </c>
      <c r="N170" s="7"/>
      <c r="O170" s="6"/>
      <c r="P170" s="6"/>
      <c r="Q170">
        <f>Lifetimes!FL1</f>
        <v>0</v>
      </c>
      <c r="R170" t="str">
        <f t="shared" si="6"/>
        <v>OK</v>
      </c>
      <c r="AA170" t="s">
        <v>1993</v>
      </c>
    </row>
    <row r="171" spans="10:27">
      <c r="J171" s="306" t="str">
        <v>Plaster (prof) indoor (in use)</v>
      </c>
      <c r="K171" s="311" t="str">
        <f>IF(ISBLANK(J171),"",IF(COUNTIF(L:L,J171),IF(_xlfn.XLOOKUP(J171,'Compartments_Kawecki&amp;Nowack19'!A:A,'Compartments_Kawecki&amp;Nowack19'!B:B,_xlfn.XLOOKUP(J171,Compartments_Added!A:A,Compartments_Added!B:B))="Stock","OK stock","OK flow"),IF(COUNTIF($G$4:$G$18,J171),IF(COUNTIF($E$4:$E$18,J171),"OK input","Missing"),"Missing")))</f>
        <v>OK stock</v>
      </c>
      <c r="L171" s="306" t="str">
        <v>Lacquer (prof) indoor (discarded)</v>
      </c>
      <c r="M171" s="311" t="str">
        <f>IF(COUNTIF(J:J,L171),IF(_xlfn.XLOOKUP(L171,'Compartments_Kawecki&amp;Nowack19'!A:A,'Compartments_Kawecki&amp;Nowack19'!B:B,_xlfn.XLOOKUP(L171,Compartments_Added!A:A,Compartments_Added!B:B))="Stock","OK stock","OK flow"),IF(_xlfn.XLOOKUP(L171,'Compartments_Kawecki&amp;Nowack19'!A:A,'Compartments_Kawecki&amp;Nowack19'!B:B,_xlfn.XLOOKUP(L171,Compartments_Added!A:A,Compartments_Added!B:B))="Sink","OK, Sink","Missing"))</f>
        <v>OK stock</v>
      </c>
      <c r="N171" s="7"/>
      <c r="O171" s="6"/>
      <c r="P171" s="6"/>
      <c r="Q171">
        <f>Lifetimes!FM1</f>
        <v>0</v>
      </c>
      <c r="R171" t="str">
        <f t="shared" si="6"/>
        <v>OK</v>
      </c>
      <c r="AA171" t="s">
        <v>1994</v>
      </c>
    </row>
    <row r="172" spans="10:27">
      <c r="J172" s="306" t="str">
        <v>Plaster (prof) outdoor (discarded)</v>
      </c>
      <c r="K172" s="311" t="str">
        <f>IF(ISBLANK(J172),"",IF(COUNTIF(L:L,J172),IF(_xlfn.XLOOKUP(J172,'Compartments_Kawecki&amp;Nowack19'!A:A,'Compartments_Kawecki&amp;Nowack19'!B:B,_xlfn.XLOOKUP(J172,Compartments_Added!A:A,Compartments_Added!B:B))="Stock","OK stock","OK flow"),IF(COUNTIF($G$4:$G$18,J172),IF(COUNTIF($E$4:$E$18,J172),"OK input","Missing"),"Missing")))</f>
        <v>OK stock</v>
      </c>
      <c r="L172" s="306" t="str">
        <v>Wood stain (prof) outdoor</v>
      </c>
      <c r="M172" s="311" t="str">
        <f>IF(COUNTIF(J:J,L172),IF(_xlfn.XLOOKUP(L172,'Compartments_Kawecki&amp;Nowack19'!A:A,'Compartments_Kawecki&amp;Nowack19'!B:B,_xlfn.XLOOKUP(L172,Compartments_Added!A:A,Compartments_Added!B:B))="Stock","OK stock","OK flow"),IF(_xlfn.XLOOKUP(L172,'Compartments_Kawecki&amp;Nowack19'!A:A,'Compartments_Kawecki&amp;Nowack19'!B:B,_xlfn.XLOOKUP(L172,Compartments_Added!A:A,Compartments_Added!B:B))="Sink","OK, Sink","Missing"))</f>
        <v>OK flow</v>
      </c>
      <c r="N172" s="7"/>
      <c r="O172" s="6"/>
      <c r="P172" s="6"/>
      <c r="Q172">
        <f>Lifetimes!FN1</f>
        <v>0</v>
      </c>
      <c r="R172" t="str">
        <f t="shared" si="6"/>
        <v>OK</v>
      </c>
      <c r="AA172" t="s">
        <v>1995</v>
      </c>
    </row>
    <row r="173" spans="10:27">
      <c r="J173" s="306" t="str">
        <v>Plaster (prof) indoor (discarded)</v>
      </c>
      <c r="K173" s="311" t="str">
        <f>IF(ISBLANK(J173),"",IF(COUNTIF(L:L,J173),IF(_xlfn.XLOOKUP(J173,'Compartments_Kawecki&amp;Nowack19'!A:A,'Compartments_Kawecki&amp;Nowack19'!B:B,_xlfn.XLOOKUP(J173,Compartments_Added!A:A,Compartments_Added!B:B))="Stock","OK stock","OK flow"),IF(COUNTIF($G$4:$G$18,J173),IF(COUNTIF($E$4:$E$18,J173),"OK input","Missing"),"Missing")))</f>
        <v>OK stock</v>
      </c>
      <c r="L173" s="306" t="str">
        <v>Wood stain (prof) indoor</v>
      </c>
      <c r="M173" s="311" t="str">
        <f>IF(COUNTIF(J:J,L173),IF(_xlfn.XLOOKUP(L173,'Compartments_Kawecki&amp;Nowack19'!A:A,'Compartments_Kawecki&amp;Nowack19'!B:B,_xlfn.XLOOKUP(L173,Compartments_Added!A:A,Compartments_Added!B:B))="Stock","OK stock","OK flow"),IF(_xlfn.XLOOKUP(L173,'Compartments_Kawecki&amp;Nowack19'!A:A,'Compartments_Kawecki&amp;Nowack19'!B:B,_xlfn.XLOOKUP(L173,Compartments_Added!A:A,Compartments_Added!B:B))="Sink","OK, Sink","Missing"))</f>
        <v>OK flow</v>
      </c>
      <c r="N173" s="7"/>
      <c r="O173" s="6"/>
      <c r="P173" s="6"/>
      <c r="Q173">
        <f>Lifetimes!FO1</f>
        <v>0</v>
      </c>
      <c r="R173" t="str">
        <f t="shared" si="6"/>
        <v>OK</v>
      </c>
      <c r="AA173" t="s">
        <v>1996</v>
      </c>
    </row>
    <row r="174" spans="10:27">
      <c r="J174" s="306" t="str">
        <v>Other paint uses (prof)</v>
      </c>
      <c r="K174" s="311" t="str">
        <f>IF(ISBLANK(J174),"",IF(COUNTIF(L:L,J174),IF(_xlfn.XLOOKUP(J174,'Compartments_Kawecki&amp;Nowack19'!A:A,'Compartments_Kawecki&amp;Nowack19'!B:B,_xlfn.XLOOKUP(J174,Compartments_Added!A:A,Compartments_Added!B:B))="Stock","OK stock","OK flow"),IF(COUNTIF($G$4:$G$18,J174),IF(COUNTIF($E$4:$E$18,J174),"OK input","Missing"),"Missing")))</f>
        <v>OK flow</v>
      </c>
      <c r="L174" s="306" t="str">
        <v>Wood stain (prof) outdoor (in use)</v>
      </c>
      <c r="M174" s="311" t="str">
        <f>IF(COUNTIF(J:J,L174),IF(_xlfn.XLOOKUP(L174,'Compartments_Kawecki&amp;Nowack19'!A:A,'Compartments_Kawecki&amp;Nowack19'!B:B,_xlfn.XLOOKUP(L174,Compartments_Added!A:A,Compartments_Added!B:B))="Stock","OK stock","OK flow"),IF(_xlfn.XLOOKUP(L174,'Compartments_Kawecki&amp;Nowack19'!A:A,'Compartments_Kawecki&amp;Nowack19'!B:B,_xlfn.XLOOKUP(L174,Compartments_Added!A:A,Compartments_Added!B:B))="Sink","OK, Sink","Missing"))</f>
        <v>OK stock</v>
      </c>
      <c r="N174" s="7"/>
      <c r="O174" s="6"/>
      <c r="P174" s="6"/>
      <c r="Q174">
        <f>Lifetimes!FP1</f>
        <v>0</v>
      </c>
      <c r="R174" t="str">
        <f t="shared" si="6"/>
        <v>OK</v>
      </c>
      <c r="AA174" t="s">
        <v>1997</v>
      </c>
    </row>
    <row r="175" spans="10:27">
      <c r="J175" s="306" t="str">
        <v>Other paint uses (prof) outdoor</v>
      </c>
      <c r="K175" s="311" t="str">
        <f>IF(ISBLANK(J175),"",IF(COUNTIF(L:L,J175),IF(_xlfn.XLOOKUP(J175,'Compartments_Kawecki&amp;Nowack19'!A:A,'Compartments_Kawecki&amp;Nowack19'!B:B,_xlfn.XLOOKUP(J175,Compartments_Added!A:A,Compartments_Added!B:B))="Stock","OK stock","OK flow"),IF(COUNTIF($G$4:$G$18,J175),IF(COUNTIF($E$4:$E$18,J175),"OK input","Missing"),"Missing")))</f>
        <v>OK flow</v>
      </c>
      <c r="L175" s="306" t="str">
        <v>Wood stain (prof) outdoor (discarded)</v>
      </c>
      <c r="M175" s="311" t="str">
        <f>IF(COUNTIF(J:J,L175),IF(_xlfn.XLOOKUP(L175,'Compartments_Kawecki&amp;Nowack19'!A:A,'Compartments_Kawecki&amp;Nowack19'!B:B,_xlfn.XLOOKUP(L175,Compartments_Added!A:A,Compartments_Added!B:B))="Stock","OK stock","OK flow"),IF(_xlfn.XLOOKUP(L175,'Compartments_Kawecki&amp;Nowack19'!A:A,'Compartments_Kawecki&amp;Nowack19'!B:B,_xlfn.XLOOKUP(L175,Compartments_Added!A:A,Compartments_Added!B:B))="Sink","OK, Sink","Missing"))</f>
        <v>OK stock</v>
      </c>
      <c r="N175" s="7"/>
      <c r="O175" s="6"/>
      <c r="P175" s="6"/>
      <c r="Q175">
        <f>Lifetimes!FQ1</f>
        <v>0</v>
      </c>
      <c r="R175" t="str">
        <f t="shared" si="6"/>
        <v>OK</v>
      </c>
      <c r="AA175" t="s">
        <v>1998</v>
      </c>
    </row>
    <row r="176" spans="10:27">
      <c r="J176" s="306" t="str">
        <v>Other paint uses (prof) outdoor (in use)</v>
      </c>
      <c r="K176" s="311" t="str">
        <f>IF(ISBLANK(J176),"",IF(COUNTIF(L:L,J176),IF(_xlfn.XLOOKUP(J176,'Compartments_Kawecki&amp;Nowack19'!A:A,'Compartments_Kawecki&amp;Nowack19'!B:B,_xlfn.XLOOKUP(J176,Compartments_Added!A:A,Compartments_Added!B:B))="Stock","OK stock","OK flow"),IF(COUNTIF($G$4:$G$18,J176),IF(COUNTIF($E$4:$E$18,J176),"OK input","Missing"),"Missing")))</f>
        <v>OK stock</v>
      </c>
      <c r="L176" s="306" t="str">
        <v>Wood stain (prof) indoor (in use)</v>
      </c>
      <c r="M176" s="311" t="str">
        <f>IF(COUNTIF(J:J,L176),IF(_xlfn.XLOOKUP(L176,'Compartments_Kawecki&amp;Nowack19'!A:A,'Compartments_Kawecki&amp;Nowack19'!B:B,_xlfn.XLOOKUP(L176,Compartments_Added!A:A,Compartments_Added!B:B))="Stock","OK stock","OK flow"),IF(_xlfn.XLOOKUP(L176,'Compartments_Kawecki&amp;Nowack19'!A:A,'Compartments_Kawecki&amp;Nowack19'!B:B,_xlfn.XLOOKUP(L176,Compartments_Added!A:A,Compartments_Added!B:B))="Sink","OK, Sink","Missing"))</f>
        <v>OK stock</v>
      </c>
      <c r="N176" s="7"/>
      <c r="O176" s="6"/>
      <c r="P176" s="6"/>
      <c r="Q176">
        <f>Lifetimes!FR1</f>
        <v>0</v>
      </c>
      <c r="R176" t="str">
        <f t="shared" si="6"/>
        <v>OK</v>
      </c>
      <c r="AA176" t="s">
        <v>1999</v>
      </c>
    </row>
    <row r="177" spans="10:27">
      <c r="J177" s="306" t="str">
        <v>Other paint uses (prof) indoor</v>
      </c>
      <c r="K177" s="311" t="str">
        <f>IF(ISBLANK(J177),"",IF(COUNTIF(L:L,J177),IF(_xlfn.XLOOKUP(J177,'Compartments_Kawecki&amp;Nowack19'!A:A,'Compartments_Kawecki&amp;Nowack19'!B:B,_xlfn.XLOOKUP(J177,Compartments_Added!A:A,Compartments_Added!B:B))="Stock","OK stock","OK flow"),IF(COUNTIF($G$4:$G$18,J177),IF(COUNTIF($E$4:$E$18,J177),"OK input","Missing"),"Missing")))</f>
        <v>OK flow</v>
      </c>
      <c r="L177" s="306" t="str">
        <v>Wood stain (prof) indoor (discarded)</v>
      </c>
      <c r="M177" s="311" t="str">
        <f>IF(COUNTIF(J:J,L177),IF(_xlfn.XLOOKUP(L177,'Compartments_Kawecki&amp;Nowack19'!A:A,'Compartments_Kawecki&amp;Nowack19'!B:B,_xlfn.XLOOKUP(L177,Compartments_Added!A:A,Compartments_Added!B:B))="Stock","OK stock","OK flow"),IF(_xlfn.XLOOKUP(L177,'Compartments_Kawecki&amp;Nowack19'!A:A,'Compartments_Kawecki&amp;Nowack19'!B:B,_xlfn.XLOOKUP(L177,Compartments_Added!A:A,Compartments_Added!B:B))="Sink","OK, Sink","Missing"))</f>
        <v>OK stock</v>
      </c>
      <c r="N177" s="7"/>
      <c r="O177" s="6"/>
      <c r="P177" s="6"/>
      <c r="Q177">
        <f>Lifetimes!FS1</f>
        <v>0</v>
      </c>
      <c r="R177" t="str">
        <f t="shared" si="6"/>
        <v>OK</v>
      </c>
      <c r="AA177" t="s">
        <v>2000</v>
      </c>
    </row>
    <row r="178" spans="10:27">
      <c r="J178" s="306" t="str">
        <v>Other paint uses (prof) indoor (in use)</v>
      </c>
      <c r="K178" s="311" t="str">
        <f>IF(ISBLANK(J178),"",IF(COUNTIF(L:L,J178),IF(_xlfn.XLOOKUP(J178,'Compartments_Kawecki&amp;Nowack19'!A:A,'Compartments_Kawecki&amp;Nowack19'!B:B,_xlfn.XLOOKUP(J178,Compartments_Added!A:A,Compartments_Added!B:B))="Stock","OK stock","OK flow"),IF(COUNTIF($G$4:$G$18,J178),IF(COUNTIF($E$4:$E$18,J178),"OK input","Missing"),"Missing")))</f>
        <v>OK stock</v>
      </c>
      <c r="L178" s="306" t="str">
        <v>Wall paint (prof) outdoor</v>
      </c>
      <c r="M178" s="311" t="str">
        <f>IF(COUNTIF(J:J,L178),IF(_xlfn.XLOOKUP(L178,'Compartments_Kawecki&amp;Nowack19'!A:A,'Compartments_Kawecki&amp;Nowack19'!B:B,_xlfn.XLOOKUP(L178,Compartments_Added!A:A,Compartments_Added!B:B))="Stock","OK stock","OK flow"),IF(_xlfn.XLOOKUP(L178,'Compartments_Kawecki&amp;Nowack19'!A:A,'Compartments_Kawecki&amp;Nowack19'!B:B,_xlfn.XLOOKUP(L178,Compartments_Added!A:A,Compartments_Added!B:B))="Sink","OK, Sink","Missing"))</f>
        <v>OK flow</v>
      </c>
      <c r="N178" s="7"/>
      <c r="O178" s="6"/>
      <c r="P178" s="6"/>
      <c r="Q178">
        <f>Lifetimes!FT1</f>
        <v>0</v>
      </c>
      <c r="R178" t="str">
        <f t="shared" si="6"/>
        <v>OK</v>
      </c>
      <c r="AA178" t="s">
        <v>2001</v>
      </c>
    </row>
    <row r="179" spans="10:27">
      <c r="J179" s="306" t="str">
        <v>Other paint uses (prof) outdoor (discarded)</v>
      </c>
      <c r="K179" s="311" t="str">
        <f>IF(ISBLANK(J179),"",IF(COUNTIF(L:L,J179),IF(_xlfn.XLOOKUP(J179,'Compartments_Kawecki&amp;Nowack19'!A:A,'Compartments_Kawecki&amp;Nowack19'!B:B,_xlfn.XLOOKUP(J179,Compartments_Added!A:A,Compartments_Added!B:B))="Stock","OK stock","OK flow"),IF(COUNTIF($G$4:$G$18,J179),IF(COUNTIF($E$4:$E$18,J179),"OK input","Missing"),"Missing")))</f>
        <v>OK stock</v>
      </c>
      <c r="L179" s="306" t="str">
        <v>Wall paint (prof) indoor</v>
      </c>
      <c r="M179" s="311" t="str">
        <f>IF(COUNTIF(J:J,L179),IF(_xlfn.XLOOKUP(L179,'Compartments_Kawecki&amp;Nowack19'!A:A,'Compartments_Kawecki&amp;Nowack19'!B:B,_xlfn.XLOOKUP(L179,Compartments_Added!A:A,Compartments_Added!B:B))="Stock","OK stock","OK flow"),IF(_xlfn.XLOOKUP(L179,'Compartments_Kawecki&amp;Nowack19'!A:A,'Compartments_Kawecki&amp;Nowack19'!B:B,_xlfn.XLOOKUP(L179,Compartments_Added!A:A,Compartments_Added!B:B))="Sink","OK, Sink","Missing"))</f>
        <v>OK flow</v>
      </c>
      <c r="N179" s="7"/>
      <c r="O179" s="6"/>
      <c r="P179" s="6"/>
      <c r="Q179">
        <f>Lifetimes!FU1</f>
        <v>0</v>
      </c>
      <c r="R179" t="str">
        <f t="shared" si="6"/>
        <v>OK</v>
      </c>
      <c r="AA179" t="s">
        <v>2002</v>
      </c>
    </row>
    <row r="180" spans="10:27">
      <c r="J180" s="306" t="str">
        <v>Other paint uses (prof) indoor (discarded)</v>
      </c>
      <c r="K180" s="311" t="str">
        <f>IF(ISBLANK(J180),"",IF(COUNTIF(L:L,J180),IF(_xlfn.XLOOKUP(J180,'Compartments_Kawecki&amp;Nowack19'!A:A,'Compartments_Kawecki&amp;Nowack19'!B:B,_xlfn.XLOOKUP(J180,Compartments_Added!A:A,Compartments_Added!B:B))="Stock","OK stock","OK flow"),IF(COUNTIF($G$4:$G$18,J180),IF(COUNTIF($E$4:$E$18,J180),"OK input","Missing"),"Missing")))</f>
        <v>OK stock</v>
      </c>
      <c r="L180" s="306" t="str">
        <v>Wall paint (prof) outdoor (in use)</v>
      </c>
      <c r="M180" s="311" t="str">
        <f>IF(COUNTIF(J:J,L180),IF(_xlfn.XLOOKUP(L180,'Compartments_Kawecki&amp;Nowack19'!A:A,'Compartments_Kawecki&amp;Nowack19'!B:B,_xlfn.XLOOKUP(L180,Compartments_Added!A:A,Compartments_Added!B:B))="Stock","OK stock","OK flow"),IF(_xlfn.XLOOKUP(L180,'Compartments_Kawecki&amp;Nowack19'!A:A,'Compartments_Kawecki&amp;Nowack19'!B:B,_xlfn.XLOOKUP(L180,Compartments_Added!A:A,Compartments_Added!B:B))="Sink","OK, Sink","Missing"))</f>
        <v>OK stock</v>
      </c>
      <c r="N180" s="7"/>
      <c r="O180" s="6"/>
      <c r="P180" s="6"/>
      <c r="Q180">
        <f>Lifetimes!FV1</f>
        <v>0</v>
      </c>
      <c r="R180" t="str">
        <f t="shared" si="6"/>
        <v>OK</v>
      </c>
      <c r="AA180" t="s">
        <v>2003</v>
      </c>
    </row>
    <row r="181" spans="10:27">
      <c r="J181" s="306" t="str">
        <v>Paints used in pre-made wooden products</v>
      </c>
      <c r="K181" s="311" t="str">
        <f>IF(ISBLANK(J181),"",IF(COUNTIF(L:L,J181),IF(_xlfn.XLOOKUP(J181,'Compartments_Kawecki&amp;Nowack19'!A:A,'Compartments_Kawecki&amp;Nowack19'!B:B,_xlfn.XLOOKUP(J181,Compartments_Added!A:A,Compartments_Added!B:B))="Stock","OK stock","OK flow"),IF(COUNTIF($G$4:$G$18,J181),IF(COUNTIF($E$4:$E$18,J181),"OK input","Missing"),"Missing")))</f>
        <v>OK flow</v>
      </c>
      <c r="L181" s="306" t="str">
        <v>Wall paint (prof) outdoor (discarded)</v>
      </c>
      <c r="M181" s="311" t="str">
        <f>IF(COUNTIF(J:J,L181),IF(_xlfn.XLOOKUP(L181,'Compartments_Kawecki&amp;Nowack19'!A:A,'Compartments_Kawecki&amp;Nowack19'!B:B,_xlfn.XLOOKUP(L181,Compartments_Added!A:A,Compartments_Added!B:B))="Stock","OK stock","OK flow"),IF(_xlfn.XLOOKUP(L181,'Compartments_Kawecki&amp;Nowack19'!A:A,'Compartments_Kawecki&amp;Nowack19'!B:B,_xlfn.XLOOKUP(L181,Compartments_Added!A:A,Compartments_Added!B:B))="Sink","OK, Sink","Missing"))</f>
        <v>OK stock</v>
      </c>
      <c r="N181" s="7"/>
      <c r="O181" s="6"/>
      <c r="P181" s="6"/>
      <c r="Q181">
        <f>Lifetimes!FW1</f>
        <v>0</v>
      </c>
      <c r="R181" t="str">
        <f t="shared" si="6"/>
        <v>OK</v>
      </c>
      <c r="AA181" t="s">
        <v>2004</v>
      </c>
    </row>
    <row r="182" spans="10:27">
      <c r="J182" s="306" t="str">
        <v>Paints used in pre-made wooden products outdoor</v>
      </c>
      <c r="K182" s="311" t="str">
        <f>IF(ISBLANK(J182),"",IF(COUNTIF(L:L,J182),IF(_xlfn.XLOOKUP(J182,'Compartments_Kawecki&amp;Nowack19'!A:A,'Compartments_Kawecki&amp;Nowack19'!B:B,_xlfn.XLOOKUP(J182,Compartments_Added!A:A,Compartments_Added!B:B))="Stock","OK stock","OK flow"),IF(COUNTIF($G$4:$G$18,J182),IF(COUNTIF($E$4:$E$18,J182),"OK input","Missing"),"Missing")))</f>
        <v>OK flow</v>
      </c>
      <c r="L182" s="306" t="str">
        <v>Wall paint (prof) indoor (in use)</v>
      </c>
      <c r="M182" s="311" t="str">
        <f>IF(COUNTIF(J:J,L182),IF(_xlfn.XLOOKUP(L182,'Compartments_Kawecki&amp;Nowack19'!A:A,'Compartments_Kawecki&amp;Nowack19'!B:B,_xlfn.XLOOKUP(L182,Compartments_Added!A:A,Compartments_Added!B:B))="Stock","OK stock","OK flow"),IF(_xlfn.XLOOKUP(L182,'Compartments_Kawecki&amp;Nowack19'!A:A,'Compartments_Kawecki&amp;Nowack19'!B:B,_xlfn.XLOOKUP(L182,Compartments_Added!A:A,Compartments_Added!B:B))="Sink","OK, Sink","Missing"))</f>
        <v>OK stock</v>
      </c>
      <c r="N182" s="7"/>
      <c r="O182" s="6"/>
      <c r="P182" s="6"/>
      <c r="Q182">
        <f>Lifetimes!FX1</f>
        <v>0</v>
      </c>
      <c r="R182" t="str">
        <f t="shared" si="6"/>
        <v>OK</v>
      </c>
      <c r="AA182" t="s">
        <v>2005</v>
      </c>
    </row>
    <row r="183" spans="10:27">
      <c r="J183" s="306" t="str">
        <v>Paints used in pre-made wooden products outdoor (in use)</v>
      </c>
      <c r="K183" s="311" t="str">
        <f>IF(ISBLANK(J183),"",IF(COUNTIF(L:L,J183),IF(_xlfn.XLOOKUP(J183,'Compartments_Kawecki&amp;Nowack19'!A:A,'Compartments_Kawecki&amp;Nowack19'!B:B,_xlfn.XLOOKUP(J183,Compartments_Added!A:A,Compartments_Added!B:B))="Stock","OK stock","OK flow"),IF(COUNTIF($G$4:$G$18,J183),IF(COUNTIF($E$4:$E$18,J183),"OK input","Missing"),"Missing")))</f>
        <v>OK stock</v>
      </c>
      <c r="L183" s="306" t="str">
        <v>Wall paint (prof) indoor (discarded)</v>
      </c>
      <c r="M183" s="311" t="str">
        <f>IF(COUNTIF(J:J,L183),IF(_xlfn.XLOOKUP(L183,'Compartments_Kawecki&amp;Nowack19'!A:A,'Compartments_Kawecki&amp;Nowack19'!B:B,_xlfn.XLOOKUP(L183,Compartments_Added!A:A,Compartments_Added!B:B))="Stock","OK stock","OK flow"),IF(_xlfn.XLOOKUP(L183,'Compartments_Kawecki&amp;Nowack19'!A:A,'Compartments_Kawecki&amp;Nowack19'!B:B,_xlfn.XLOOKUP(L183,Compartments_Added!A:A,Compartments_Added!B:B))="Sink","OK, Sink","Missing"))</f>
        <v>OK stock</v>
      </c>
      <c r="N183" s="7"/>
      <c r="O183" s="6"/>
      <c r="P183" s="6"/>
      <c r="Q183">
        <f>Lifetimes!FY1</f>
        <v>0</v>
      </c>
      <c r="R183" t="str">
        <f t="shared" si="6"/>
        <v>OK</v>
      </c>
      <c r="AA183" t="s">
        <v>2006</v>
      </c>
    </row>
    <row r="184" spans="10:27">
      <c r="J184" s="306" t="str">
        <v>Paints used in pre-made wooden products indoor</v>
      </c>
      <c r="K184" s="311" t="str">
        <f>IF(ISBLANK(J184),"",IF(COUNTIF(L:L,J184),IF(_xlfn.XLOOKUP(J184,'Compartments_Kawecki&amp;Nowack19'!A:A,'Compartments_Kawecki&amp;Nowack19'!B:B,_xlfn.XLOOKUP(J184,Compartments_Added!A:A,Compartments_Added!B:B))="Stock","OK stock","OK flow"),IF(COUNTIF($G$4:$G$18,J184),IF(COUNTIF($E$4:$E$18,J184),"OK input","Missing"),"Missing")))</f>
        <v>OK flow</v>
      </c>
      <c r="L184" s="306" t="str">
        <v>Plaster (prof) outdoor</v>
      </c>
      <c r="M184" s="311" t="str">
        <f>IF(COUNTIF(J:J,L184),IF(_xlfn.XLOOKUP(L184,'Compartments_Kawecki&amp;Nowack19'!A:A,'Compartments_Kawecki&amp;Nowack19'!B:B,_xlfn.XLOOKUP(L184,Compartments_Added!A:A,Compartments_Added!B:B))="Stock","OK stock","OK flow"),IF(_xlfn.XLOOKUP(L184,'Compartments_Kawecki&amp;Nowack19'!A:A,'Compartments_Kawecki&amp;Nowack19'!B:B,_xlfn.XLOOKUP(L184,Compartments_Added!A:A,Compartments_Added!B:B))="Sink","OK, Sink","Missing"))</f>
        <v>OK flow</v>
      </c>
      <c r="N184" s="7"/>
      <c r="O184" s="6"/>
      <c r="P184" s="6"/>
      <c r="Q184">
        <f>Lifetimes!FZ1</f>
        <v>0</v>
      </c>
      <c r="R184" t="str">
        <f t="shared" si="6"/>
        <v>OK</v>
      </c>
      <c r="AA184" t="s">
        <v>2007</v>
      </c>
    </row>
    <row r="185" spans="10:27">
      <c r="J185" s="306" t="str">
        <v>Paints used in pre-made wooden products indoor (in use)</v>
      </c>
      <c r="K185" s="311" t="str">
        <f>IF(ISBLANK(J185),"",IF(COUNTIF(L:L,J185),IF(_xlfn.XLOOKUP(J185,'Compartments_Kawecki&amp;Nowack19'!A:A,'Compartments_Kawecki&amp;Nowack19'!B:B,_xlfn.XLOOKUP(J185,Compartments_Added!A:A,Compartments_Added!B:B))="Stock","OK stock","OK flow"),IF(COUNTIF($G$4:$G$18,J185),IF(COUNTIF($E$4:$E$18,J185),"OK input","Missing"),"Missing")))</f>
        <v>OK stock</v>
      </c>
      <c r="L185" s="306" t="str">
        <v>Plaster (prof) indoor</v>
      </c>
      <c r="M185" s="311" t="str">
        <f>IF(COUNTIF(J:J,L185),IF(_xlfn.XLOOKUP(L185,'Compartments_Kawecki&amp;Nowack19'!A:A,'Compartments_Kawecki&amp;Nowack19'!B:B,_xlfn.XLOOKUP(L185,Compartments_Added!A:A,Compartments_Added!B:B))="Stock","OK stock","OK flow"),IF(_xlfn.XLOOKUP(L185,'Compartments_Kawecki&amp;Nowack19'!A:A,'Compartments_Kawecki&amp;Nowack19'!B:B,_xlfn.XLOOKUP(L185,Compartments_Added!A:A,Compartments_Added!B:B))="Sink","OK, Sink","Missing"))</f>
        <v>OK flow</v>
      </c>
      <c r="N185" s="7"/>
      <c r="O185" s="6"/>
      <c r="P185" s="6"/>
      <c r="Q185">
        <f>Lifetimes!GA1</f>
        <v>0</v>
      </c>
      <c r="R185" t="str">
        <f t="shared" si="6"/>
        <v>OK</v>
      </c>
      <c r="AA185" t="s">
        <v>2008</v>
      </c>
    </row>
    <row r="186" spans="10:27">
      <c r="J186" s="306" t="str">
        <v>Paints used in pre-made wooden products outdoor (discarded)</v>
      </c>
      <c r="K186" s="311" t="str">
        <f>IF(ISBLANK(J186),"",IF(COUNTIF(L:L,J186),IF(_xlfn.XLOOKUP(J186,'Compartments_Kawecki&amp;Nowack19'!A:A,'Compartments_Kawecki&amp;Nowack19'!B:B,_xlfn.XLOOKUP(J186,Compartments_Added!A:A,Compartments_Added!B:B))="Stock","OK stock","OK flow"),IF(COUNTIF($G$4:$G$18,J186),IF(COUNTIF($E$4:$E$18,J186),"OK input","Missing"),"Missing")))</f>
        <v>OK stock</v>
      </c>
      <c r="L186" s="306" t="str">
        <v>Plaster (prof) outdoor (in use)</v>
      </c>
      <c r="M186" s="311" t="str">
        <f>IF(COUNTIF(J:J,L186),IF(_xlfn.XLOOKUP(L186,'Compartments_Kawecki&amp;Nowack19'!A:A,'Compartments_Kawecki&amp;Nowack19'!B:B,_xlfn.XLOOKUP(L186,Compartments_Added!A:A,Compartments_Added!B:B))="Stock","OK stock","OK flow"),IF(_xlfn.XLOOKUP(L186,'Compartments_Kawecki&amp;Nowack19'!A:A,'Compartments_Kawecki&amp;Nowack19'!B:B,_xlfn.XLOOKUP(L186,Compartments_Added!A:A,Compartments_Added!B:B))="Sink","OK, Sink","Missing"))</f>
        <v>OK stock</v>
      </c>
      <c r="N186" s="7"/>
      <c r="O186" s="6"/>
      <c r="P186" s="6"/>
      <c r="Q186">
        <f>Lifetimes!GB1</f>
        <v>0</v>
      </c>
      <c r="R186" t="str">
        <f t="shared" si="6"/>
        <v>OK</v>
      </c>
      <c r="AA186" t="s">
        <v>2009</v>
      </c>
    </row>
    <row r="187" spans="10:27">
      <c r="J187" s="306" t="str">
        <v>Paints used in pre-made wooden products indoor (discarded)</v>
      </c>
      <c r="K187" s="311" t="str">
        <f>IF(ISBLANK(J187),"",IF(COUNTIF(L:L,J187),IF(_xlfn.XLOOKUP(J187,'Compartments_Kawecki&amp;Nowack19'!A:A,'Compartments_Kawecki&amp;Nowack19'!B:B,_xlfn.XLOOKUP(J187,Compartments_Added!A:A,Compartments_Added!B:B))="Stock","OK stock","OK flow"),IF(COUNTIF($G$4:$G$18,J187),IF(COUNTIF($E$4:$E$18,J187),"OK input","Missing"),"Missing")))</f>
        <v>OK stock</v>
      </c>
      <c r="L187" s="306" t="str">
        <v>Plaster (prof) outdoor (discarded)</v>
      </c>
      <c r="M187" s="311" t="str">
        <f>IF(COUNTIF(J:J,L187),IF(_xlfn.XLOOKUP(L187,'Compartments_Kawecki&amp;Nowack19'!A:A,'Compartments_Kawecki&amp;Nowack19'!B:B,_xlfn.XLOOKUP(L187,Compartments_Added!A:A,Compartments_Added!B:B))="Stock","OK stock","OK flow"),IF(_xlfn.XLOOKUP(L187,'Compartments_Kawecki&amp;Nowack19'!A:A,'Compartments_Kawecki&amp;Nowack19'!B:B,_xlfn.XLOOKUP(L187,Compartments_Added!A:A,Compartments_Added!B:B))="Sink","OK, Sink","Missing"))</f>
        <v>OK stock</v>
      </c>
      <c r="N187" s="7"/>
      <c r="O187" s="6"/>
      <c r="P187" s="6"/>
      <c r="Q187">
        <f>Lifetimes!GC1</f>
        <v>0</v>
      </c>
      <c r="R187" t="str">
        <f t="shared" si="6"/>
        <v>OK</v>
      </c>
      <c r="AA187" t="s">
        <v>2010</v>
      </c>
    </row>
    <row r="188" spans="10:27">
      <c r="J188" s="306" t="str">
        <v>Lacquer (DIY)</v>
      </c>
      <c r="K188" s="311" t="str">
        <f>IF(ISBLANK(J188),"",IF(COUNTIF(L:L,J188),IF(_xlfn.XLOOKUP(J188,'Compartments_Kawecki&amp;Nowack19'!A:A,'Compartments_Kawecki&amp;Nowack19'!B:B,_xlfn.XLOOKUP(J188,Compartments_Added!A:A,Compartments_Added!B:B))="Stock","OK stock","OK flow"),IF(COUNTIF($G$4:$G$18,J188),IF(COUNTIF($E$4:$E$18,J188),"OK input","Missing"),"Missing")))</f>
        <v>OK flow</v>
      </c>
      <c r="L188" s="306" t="str">
        <v>Plaster (prof) indoor (in use)</v>
      </c>
      <c r="M188" s="311" t="str">
        <f>IF(COUNTIF(J:J,L188),IF(_xlfn.XLOOKUP(L188,'Compartments_Kawecki&amp;Nowack19'!A:A,'Compartments_Kawecki&amp;Nowack19'!B:B,_xlfn.XLOOKUP(L188,Compartments_Added!A:A,Compartments_Added!B:B))="Stock","OK stock","OK flow"),IF(_xlfn.XLOOKUP(L188,'Compartments_Kawecki&amp;Nowack19'!A:A,'Compartments_Kawecki&amp;Nowack19'!B:B,_xlfn.XLOOKUP(L188,Compartments_Added!A:A,Compartments_Added!B:B))="Sink","OK, Sink","Missing"))</f>
        <v>OK stock</v>
      </c>
      <c r="N188" s="7"/>
      <c r="O188" s="6"/>
      <c r="P188" s="6"/>
      <c r="Q188">
        <f>Lifetimes!GD1</f>
        <v>0</v>
      </c>
      <c r="R188" t="str">
        <f t="shared" si="6"/>
        <v>OK</v>
      </c>
      <c r="AA188" t="s">
        <v>2011</v>
      </c>
    </row>
    <row r="189" spans="10:27">
      <c r="J189" s="306" t="str">
        <v>Lacquer (DIY) outdoor</v>
      </c>
      <c r="K189" s="311" t="str">
        <f>IF(ISBLANK(J189),"",IF(COUNTIF(L:L,J189),IF(_xlfn.XLOOKUP(J189,'Compartments_Kawecki&amp;Nowack19'!A:A,'Compartments_Kawecki&amp;Nowack19'!B:B,_xlfn.XLOOKUP(J189,Compartments_Added!A:A,Compartments_Added!B:B))="Stock","OK stock","OK flow"),IF(COUNTIF($G$4:$G$18,J189),IF(COUNTIF($E$4:$E$18,J189),"OK input","Missing"),"Missing")))</f>
        <v>OK flow</v>
      </c>
      <c r="L189" s="306" t="str">
        <v>Plaster (prof) indoor (discarded)</v>
      </c>
      <c r="M189" s="311" t="str">
        <f>IF(COUNTIF(J:J,L189),IF(_xlfn.XLOOKUP(L189,'Compartments_Kawecki&amp;Nowack19'!A:A,'Compartments_Kawecki&amp;Nowack19'!B:B,_xlfn.XLOOKUP(L189,Compartments_Added!A:A,Compartments_Added!B:B))="Stock","OK stock","OK flow"),IF(_xlfn.XLOOKUP(L189,'Compartments_Kawecki&amp;Nowack19'!A:A,'Compartments_Kawecki&amp;Nowack19'!B:B,_xlfn.XLOOKUP(L189,Compartments_Added!A:A,Compartments_Added!B:B))="Sink","OK, Sink","Missing"))</f>
        <v>OK stock</v>
      </c>
      <c r="N189" s="7"/>
      <c r="O189" s="6"/>
      <c r="P189" s="6"/>
      <c r="Q189">
        <f>Lifetimes!GE1</f>
        <v>0</v>
      </c>
      <c r="R189" t="str">
        <f t="shared" si="6"/>
        <v>OK</v>
      </c>
      <c r="AA189" t="s">
        <v>2012</v>
      </c>
    </row>
    <row r="190" spans="10:27">
      <c r="J190" s="340" t="str">
        <v>Lacquer (DIY) outdoor (in use)</v>
      </c>
      <c r="K190" s="311" t="str">
        <f>IF(ISBLANK(J190),"",IF(COUNTIF(L:L,J190),IF(_xlfn.XLOOKUP(J190,'Compartments_Kawecki&amp;Nowack19'!A:A,'Compartments_Kawecki&amp;Nowack19'!B:B,_xlfn.XLOOKUP(J190,Compartments_Added!A:A,Compartments_Added!B:B))="Stock","OK stock","OK flow"),IF(COUNTIF($G$4:$G$18,J190),IF(COUNTIF($E$4:$E$18,J190),"OK input","Missing"),"Missing")))</f>
        <v>OK stock</v>
      </c>
      <c r="L190" s="97" t="str">
        <v>Other paint uses (prof) outdoor</v>
      </c>
      <c r="M190" s="311" t="str">
        <f>IF(COUNTIF(J:J,L190),IF(_xlfn.XLOOKUP(L190,'Compartments_Kawecki&amp;Nowack19'!A:A,'Compartments_Kawecki&amp;Nowack19'!B:B,_xlfn.XLOOKUP(L190,Compartments_Added!A:A,Compartments_Added!B:B))="Stock","OK stock","OK flow"),IF(_xlfn.XLOOKUP(L190,'Compartments_Kawecki&amp;Nowack19'!A:A,'Compartments_Kawecki&amp;Nowack19'!B:B,_xlfn.XLOOKUP(L190,Compartments_Added!A:A,Compartments_Added!B:B))="Sink","OK, Sink","Missing"))</f>
        <v>OK flow</v>
      </c>
      <c r="N190" s="7"/>
      <c r="O190" s="6"/>
      <c r="P190" s="6"/>
      <c r="Q190">
        <f>Lifetimes!GF1</f>
        <v>0</v>
      </c>
      <c r="R190" t="str">
        <f t="shared" si="6"/>
        <v>OK</v>
      </c>
      <c r="AA190" t="s">
        <v>2013</v>
      </c>
    </row>
    <row r="191" spans="10:27">
      <c r="J191" s="340" t="str">
        <v>Lacquer (DIY) indoor</v>
      </c>
      <c r="K191" s="311" t="str">
        <f>IF(ISBLANK(J191),"",IF(COUNTIF(L:L,J191),IF(_xlfn.XLOOKUP(J191,'Compartments_Kawecki&amp;Nowack19'!A:A,'Compartments_Kawecki&amp;Nowack19'!B:B,_xlfn.XLOOKUP(J191,Compartments_Added!A:A,Compartments_Added!B:B))="Stock","OK stock","OK flow"),IF(COUNTIF($G$4:$G$18,J191),IF(COUNTIF($E$4:$E$18,J191),"OK input","Missing"),"Missing")))</f>
        <v>OK flow</v>
      </c>
      <c r="L191" s="97" t="str">
        <v>Other paint uses (prof) indoor</v>
      </c>
      <c r="M191" s="311" t="str">
        <f>IF(COUNTIF(J:J,L191),IF(_xlfn.XLOOKUP(L191,'Compartments_Kawecki&amp;Nowack19'!A:A,'Compartments_Kawecki&amp;Nowack19'!B:B,_xlfn.XLOOKUP(L191,Compartments_Added!A:A,Compartments_Added!B:B))="Stock","OK stock","OK flow"),IF(_xlfn.XLOOKUP(L191,'Compartments_Kawecki&amp;Nowack19'!A:A,'Compartments_Kawecki&amp;Nowack19'!B:B,_xlfn.XLOOKUP(L191,Compartments_Added!A:A,Compartments_Added!B:B))="Sink","OK, Sink","Missing"))</f>
        <v>OK flow</v>
      </c>
      <c r="N191" s="7"/>
      <c r="O191" s="6"/>
      <c r="P191" s="6"/>
      <c r="Q191">
        <f>Lifetimes!GG1</f>
        <v>0</v>
      </c>
      <c r="R191" t="str">
        <f t="shared" si="6"/>
        <v>OK</v>
      </c>
      <c r="AA191" t="s">
        <v>2014</v>
      </c>
    </row>
    <row r="192" spans="10:27">
      <c r="J192" s="341" t="str">
        <v>Lacquer (DIY) indoor (in use)</v>
      </c>
      <c r="K192" s="311" t="str">
        <f>IF(ISBLANK(J192),"",IF(COUNTIF(L:L,J192),IF(_xlfn.XLOOKUP(J192,'Compartments_Kawecki&amp;Nowack19'!A:A,'Compartments_Kawecki&amp;Nowack19'!B:B,_xlfn.XLOOKUP(J192,Compartments_Added!A:A,Compartments_Added!B:B))="Stock","OK stock","OK flow"),IF(COUNTIF($G$4:$G$18,J192),IF(COUNTIF($E$4:$E$18,J192),"OK input","Missing"),"Missing")))</f>
        <v>OK stock</v>
      </c>
      <c r="L192" s="97" t="str">
        <v>Other paint uses (prof) outdoor (in use)</v>
      </c>
      <c r="M192" s="311" t="str">
        <f>IF(COUNTIF(J:J,L192),IF(_xlfn.XLOOKUP(L192,'Compartments_Kawecki&amp;Nowack19'!A:A,'Compartments_Kawecki&amp;Nowack19'!B:B,_xlfn.XLOOKUP(L192,Compartments_Added!A:A,Compartments_Added!B:B))="Stock","OK stock","OK flow"),IF(_xlfn.XLOOKUP(L192,'Compartments_Kawecki&amp;Nowack19'!A:A,'Compartments_Kawecki&amp;Nowack19'!B:B,_xlfn.XLOOKUP(L192,Compartments_Added!A:A,Compartments_Added!B:B))="Sink","OK, Sink","Missing"))</f>
        <v>OK stock</v>
      </c>
      <c r="N192" s="7"/>
      <c r="O192" s="6"/>
      <c r="P192" s="6"/>
      <c r="Q192">
        <f>Lifetimes!GH1</f>
        <v>0</v>
      </c>
      <c r="R192" t="str">
        <f t="shared" si="6"/>
        <v>OK</v>
      </c>
      <c r="AA192" t="s">
        <v>2015</v>
      </c>
    </row>
    <row r="193" spans="10:27">
      <c r="J193" s="340" t="str">
        <v>Lacquer (DIY) outdoor (discarded)</v>
      </c>
      <c r="K193" s="311" t="str">
        <f>IF(ISBLANK(J193),"",IF(COUNTIF(L:L,J193),IF(_xlfn.XLOOKUP(J193,'Compartments_Kawecki&amp;Nowack19'!A:A,'Compartments_Kawecki&amp;Nowack19'!B:B,_xlfn.XLOOKUP(J193,Compartments_Added!A:A,Compartments_Added!B:B))="Stock","OK stock","OK flow"),IF(COUNTIF($G$4:$G$18,J193),IF(COUNTIF($E$4:$E$18,J193),"OK input","Missing"),"Missing")))</f>
        <v>OK stock</v>
      </c>
      <c r="L193" s="97" t="str">
        <v>Other paint uses (prof) outdoor (discarded)</v>
      </c>
      <c r="M193" s="311" t="str">
        <f>IF(COUNTIF(J:J,L193),IF(_xlfn.XLOOKUP(L193,'Compartments_Kawecki&amp;Nowack19'!A:A,'Compartments_Kawecki&amp;Nowack19'!B:B,_xlfn.XLOOKUP(L193,Compartments_Added!A:A,Compartments_Added!B:B))="Stock","OK stock","OK flow"),IF(_xlfn.XLOOKUP(L193,'Compartments_Kawecki&amp;Nowack19'!A:A,'Compartments_Kawecki&amp;Nowack19'!B:B,_xlfn.XLOOKUP(L193,Compartments_Added!A:A,Compartments_Added!B:B))="Sink","OK, Sink","Missing"))</f>
        <v>OK stock</v>
      </c>
      <c r="N193" s="7"/>
      <c r="O193" s="6"/>
      <c r="P193" s="6"/>
      <c r="Q193">
        <f>Lifetimes!GI1</f>
        <v>0</v>
      </c>
      <c r="R193" t="str">
        <f t="shared" si="6"/>
        <v>OK</v>
      </c>
      <c r="AA193" t="s">
        <v>2016</v>
      </c>
    </row>
    <row r="194" spans="10:27">
      <c r="J194" s="340" t="str">
        <v>Lacquer (DIY) indoor (discarded)</v>
      </c>
      <c r="K194" s="311" t="str">
        <f>IF(ISBLANK(J194),"",IF(COUNTIF(L:L,J194),IF(_xlfn.XLOOKUP(J194,'Compartments_Kawecki&amp;Nowack19'!A:A,'Compartments_Kawecki&amp;Nowack19'!B:B,_xlfn.XLOOKUP(J194,Compartments_Added!A:A,Compartments_Added!B:B))="Stock","OK stock","OK flow"),IF(COUNTIF($G$4:$G$18,J194),IF(COUNTIF($E$4:$E$18,J194),"OK input","Missing"),"Missing")))</f>
        <v>OK stock</v>
      </c>
      <c r="L194" s="97" t="str">
        <v>Other paint uses (prof) indoor (in use)</v>
      </c>
      <c r="M194" s="311" t="str">
        <f>IF(COUNTIF(J:J,L194),IF(_xlfn.XLOOKUP(L194,'Compartments_Kawecki&amp;Nowack19'!A:A,'Compartments_Kawecki&amp;Nowack19'!B:B,_xlfn.XLOOKUP(L194,Compartments_Added!A:A,Compartments_Added!B:B))="Stock","OK stock","OK flow"),IF(_xlfn.XLOOKUP(L194,'Compartments_Kawecki&amp;Nowack19'!A:A,'Compartments_Kawecki&amp;Nowack19'!B:B,_xlfn.XLOOKUP(L194,Compartments_Added!A:A,Compartments_Added!B:B))="Sink","OK, Sink","Missing"))</f>
        <v>OK stock</v>
      </c>
      <c r="N194" s="7"/>
      <c r="O194" s="6"/>
      <c r="P194" s="6"/>
      <c r="Q194">
        <f>Lifetimes!GJ1</f>
        <v>0</v>
      </c>
      <c r="R194" t="str">
        <f t="shared" si="6"/>
        <v>OK</v>
      </c>
      <c r="AA194" t="s">
        <v>2017</v>
      </c>
    </row>
    <row r="195" spans="10:27">
      <c r="J195" s="340" t="str">
        <v>Wood stain (DIY)</v>
      </c>
      <c r="K195" s="311" t="str">
        <f>IF(ISBLANK(J195),"",IF(COUNTIF(L:L,J195),IF(_xlfn.XLOOKUP(J195,'Compartments_Kawecki&amp;Nowack19'!A:A,'Compartments_Kawecki&amp;Nowack19'!B:B,_xlfn.XLOOKUP(J195,Compartments_Added!A:A,Compartments_Added!B:B))="Stock","OK stock","OK flow"),IF(COUNTIF($G$4:$G$18,J195),IF(COUNTIF($E$4:$E$18,J195),"OK input","Missing"),"Missing")))</f>
        <v>OK flow</v>
      </c>
      <c r="L195" s="97" t="str">
        <v>Other paint uses (prof) indoor (discarded)</v>
      </c>
      <c r="M195" s="311" t="str">
        <f>IF(COUNTIF(J:J,L195),IF(_xlfn.XLOOKUP(L195,'Compartments_Kawecki&amp;Nowack19'!A:A,'Compartments_Kawecki&amp;Nowack19'!B:B,_xlfn.XLOOKUP(L195,Compartments_Added!A:A,Compartments_Added!B:B))="Stock","OK stock","OK flow"),IF(_xlfn.XLOOKUP(L195,'Compartments_Kawecki&amp;Nowack19'!A:A,'Compartments_Kawecki&amp;Nowack19'!B:B,_xlfn.XLOOKUP(L195,Compartments_Added!A:A,Compartments_Added!B:B))="Sink","OK, Sink","Missing"))</f>
        <v>OK stock</v>
      </c>
      <c r="N195" s="7"/>
      <c r="O195" s="6"/>
      <c r="P195" s="6"/>
      <c r="Q195">
        <f>Lifetimes!GK1</f>
        <v>0</v>
      </c>
      <c r="R195" t="str">
        <f t="shared" si="6"/>
        <v>OK</v>
      </c>
      <c r="AA195" t="s">
        <v>2018</v>
      </c>
    </row>
    <row r="196" spans="10:27">
      <c r="J196" s="340" t="str">
        <v>Wood stain (DIY) outdoor</v>
      </c>
      <c r="K196" s="311" t="str">
        <f>IF(ISBLANK(J196),"",IF(COUNTIF(L:L,J196),IF(_xlfn.XLOOKUP(J196,'Compartments_Kawecki&amp;Nowack19'!A:A,'Compartments_Kawecki&amp;Nowack19'!B:B,_xlfn.XLOOKUP(J196,Compartments_Added!A:A,Compartments_Added!B:B))="Stock","OK stock","OK flow"),IF(COUNTIF($G$4:$G$18,J196),IF(COUNTIF($E$4:$E$18,J196),"OK input","Missing"),"Missing")))</f>
        <v>OK flow</v>
      </c>
      <c r="L196" s="97" t="str">
        <v>Paints used in pre-made wooden products outdoor</v>
      </c>
      <c r="M196" s="311" t="str">
        <f>IF(COUNTIF(J:J,L196),IF(_xlfn.XLOOKUP(L196,'Compartments_Kawecki&amp;Nowack19'!A:A,'Compartments_Kawecki&amp;Nowack19'!B:B,_xlfn.XLOOKUP(L196,Compartments_Added!A:A,Compartments_Added!B:B))="Stock","OK stock","OK flow"),IF(_xlfn.XLOOKUP(L196,'Compartments_Kawecki&amp;Nowack19'!A:A,'Compartments_Kawecki&amp;Nowack19'!B:B,_xlfn.XLOOKUP(L196,Compartments_Added!A:A,Compartments_Added!B:B))="Sink","OK, Sink","Missing"))</f>
        <v>OK flow</v>
      </c>
      <c r="N196" s="7"/>
      <c r="O196" s="6"/>
      <c r="P196" s="6"/>
      <c r="Q196">
        <f>Lifetimes!GL1</f>
        <v>0</v>
      </c>
      <c r="R196" t="str">
        <f t="shared" si="6"/>
        <v>OK</v>
      </c>
      <c r="AA196" t="s">
        <v>2019</v>
      </c>
    </row>
    <row r="197" spans="10:27">
      <c r="J197" s="340" t="str">
        <v>Wood stain (DIY) outdoor (in use)</v>
      </c>
      <c r="K197" s="311" t="str">
        <f>IF(ISBLANK(J197),"",IF(COUNTIF(L:L,J197),IF(_xlfn.XLOOKUP(J197,'Compartments_Kawecki&amp;Nowack19'!A:A,'Compartments_Kawecki&amp;Nowack19'!B:B,_xlfn.XLOOKUP(J197,Compartments_Added!A:A,Compartments_Added!B:B))="Stock","OK stock","OK flow"),IF(COUNTIF($G$4:$G$18,J197),IF(COUNTIF($E$4:$E$18,J197),"OK input","Missing"),"Missing")))</f>
        <v>OK stock</v>
      </c>
      <c r="L197" s="340" t="str">
        <v>Paints used in pre-made wooden products indoor</v>
      </c>
      <c r="M197" s="311" t="str">
        <f>IF(COUNTIF(J:J,L197),IF(_xlfn.XLOOKUP(L197,'Compartments_Kawecki&amp;Nowack19'!A:A,'Compartments_Kawecki&amp;Nowack19'!B:B,_xlfn.XLOOKUP(L197,Compartments_Added!A:A,Compartments_Added!B:B))="Stock","OK stock","OK flow"),IF(_xlfn.XLOOKUP(L197,'Compartments_Kawecki&amp;Nowack19'!A:A,'Compartments_Kawecki&amp;Nowack19'!B:B,_xlfn.XLOOKUP(L197,Compartments_Added!A:A,Compartments_Added!B:B))="Sink","OK, Sink","Missing"))</f>
        <v>OK flow</v>
      </c>
      <c r="N197" s="7"/>
      <c r="O197" s="6"/>
      <c r="P197" s="6"/>
      <c r="Q197">
        <f>Lifetimes!GM1</f>
        <v>0</v>
      </c>
      <c r="R197" t="str">
        <f t="shared" ref="R197:R235" si="7">IF(COUNTIF(P:P,Q197), "OK", "Missing")</f>
        <v>OK</v>
      </c>
      <c r="AA197" t="s">
        <v>2020</v>
      </c>
    </row>
    <row r="198" spans="10:27">
      <c r="J198" s="340" t="str">
        <v>Wood stain (DIY) indoor</v>
      </c>
      <c r="K198" s="311" t="str">
        <f>IF(ISBLANK(J198),"",IF(COUNTIF(L:L,J198),IF(_xlfn.XLOOKUP(J198,'Compartments_Kawecki&amp;Nowack19'!A:A,'Compartments_Kawecki&amp;Nowack19'!B:B,_xlfn.XLOOKUP(J198,Compartments_Added!A:A,Compartments_Added!B:B))="Stock","OK stock","OK flow"),IF(COUNTIF($G$4:$G$18,J198),IF(COUNTIF($E$4:$E$18,J198),"OK input","Missing"),"Missing")))</f>
        <v>OK flow</v>
      </c>
      <c r="L198" s="341" t="str">
        <v>Paints used in pre-made wooden products outdoor (in use)</v>
      </c>
      <c r="M198" s="311" t="str">
        <f>IF(COUNTIF(J:J,L198),IF(_xlfn.XLOOKUP(L198,'Compartments_Kawecki&amp;Nowack19'!A:A,'Compartments_Kawecki&amp;Nowack19'!B:B,_xlfn.XLOOKUP(L198,Compartments_Added!A:A,Compartments_Added!B:B))="Stock","OK stock","OK flow"),IF(_xlfn.XLOOKUP(L198,'Compartments_Kawecki&amp;Nowack19'!A:A,'Compartments_Kawecki&amp;Nowack19'!B:B,_xlfn.XLOOKUP(L198,Compartments_Added!A:A,Compartments_Added!B:B))="Sink","OK, Sink","Missing"))</f>
        <v>OK stock</v>
      </c>
      <c r="N198" s="7"/>
      <c r="O198" s="6"/>
      <c r="P198" s="6"/>
      <c r="Q198">
        <f>Lifetimes!GN1</f>
        <v>0</v>
      </c>
      <c r="R198" t="str">
        <f t="shared" si="7"/>
        <v>OK</v>
      </c>
      <c r="AA198" t="s">
        <v>2021</v>
      </c>
    </row>
    <row r="199" spans="10:27">
      <c r="J199" s="340" t="str">
        <v>Wood stain (DIY) indoor (in use)</v>
      </c>
      <c r="K199" s="311" t="str">
        <f>IF(ISBLANK(J199),"",IF(COUNTIF(L:L,J199),IF(_xlfn.XLOOKUP(J199,'Compartments_Kawecki&amp;Nowack19'!A:A,'Compartments_Kawecki&amp;Nowack19'!B:B,_xlfn.XLOOKUP(J199,Compartments_Added!A:A,Compartments_Added!B:B))="Stock","OK stock","OK flow"),IF(COUNTIF($G$4:$G$18,J199),IF(COUNTIF($E$4:$E$18,J199),"OK input","Missing"),"Missing")))</f>
        <v>OK stock</v>
      </c>
      <c r="L199" s="97" t="str">
        <v>Paints used in pre-made wooden products outdoor (discarded)</v>
      </c>
      <c r="M199" s="311" t="str">
        <f>IF(COUNTIF(J:J,L199),IF(_xlfn.XLOOKUP(L199,'Compartments_Kawecki&amp;Nowack19'!A:A,'Compartments_Kawecki&amp;Nowack19'!B:B,_xlfn.XLOOKUP(L199,Compartments_Added!A:A,Compartments_Added!B:B))="Stock","OK stock","OK flow"),IF(_xlfn.XLOOKUP(L199,'Compartments_Kawecki&amp;Nowack19'!A:A,'Compartments_Kawecki&amp;Nowack19'!B:B,_xlfn.XLOOKUP(L199,Compartments_Added!A:A,Compartments_Added!B:B))="Sink","OK, Sink","Missing"))</f>
        <v>OK stock</v>
      </c>
      <c r="N199" s="7"/>
      <c r="Q199">
        <f>Lifetimes!GO1</f>
        <v>0</v>
      </c>
      <c r="R199" t="str">
        <f t="shared" si="7"/>
        <v>OK</v>
      </c>
      <c r="AA199" t="s">
        <v>2022</v>
      </c>
    </row>
    <row r="200" spans="10:27">
      <c r="J200" s="340" t="str">
        <v>Wood stain (DIY) outdoor (discarded)</v>
      </c>
      <c r="K200" s="311" t="str">
        <f>IF(ISBLANK(J200),"",IF(COUNTIF(L:L,J200),IF(_xlfn.XLOOKUP(J200,'Compartments_Kawecki&amp;Nowack19'!A:A,'Compartments_Kawecki&amp;Nowack19'!B:B,_xlfn.XLOOKUP(J200,Compartments_Added!A:A,Compartments_Added!B:B))="Stock","OK stock","OK flow"),IF(COUNTIF($G$4:$G$18,J200),IF(COUNTIF($E$4:$E$18,J200),"OK input","Missing"),"Missing")))</f>
        <v>OK stock</v>
      </c>
      <c r="L200" s="97" t="str">
        <v>Paints used in pre-made wooden products indoor (in use)</v>
      </c>
      <c r="M200" s="311" t="str">
        <f>IF(COUNTIF(J:J,L200),IF(_xlfn.XLOOKUP(L200,'Compartments_Kawecki&amp;Nowack19'!A:A,'Compartments_Kawecki&amp;Nowack19'!B:B,_xlfn.XLOOKUP(L200,Compartments_Added!A:A,Compartments_Added!B:B))="Stock","OK stock","OK flow"),IF(_xlfn.XLOOKUP(L200,'Compartments_Kawecki&amp;Nowack19'!A:A,'Compartments_Kawecki&amp;Nowack19'!B:B,_xlfn.XLOOKUP(L200,Compartments_Added!A:A,Compartments_Added!B:B))="Sink","OK, Sink","Missing"))</f>
        <v>OK stock</v>
      </c>
      <c r="N200" s="7"/>
      <c r="Q200">
        <f>Lifetimes!GP1</f>
        <v>0</v>
      </c>
      <c r="R200" t="str">
        <f t="shared" si="7"/>
        <v>OK</v>
      </c>
      <c r="AA200" t="s">
        <v>2023</v>
      </c>
    </row>
    <row r="201" spans="10:27">
      <c r="J201" s="340" t="str">
        <v>Wood stain (DIY) indoor (discarded)</v>
      </c>
      <c r="K201" s="311" t="str">
        <f>IF(ISBLANK(J201),"",IF(COUNTIF(L:L,J201),IF(_xlfn.XLOOKUP(J201,'Compartments_Kawecki&amp;Nowack19'!A:A,'Compartments_Kawecki&amp;Nowack19'!B:B,_xlfn.XLOOKUP(J201,Compartments_Added!A:A,Compartments_Added!B:B))="Stock","OK stock","OK flow"),IF(COUNTIF($G$4:$G$18,J201),IF(COUNTIF($E$4:$E$18,J201),"OK input","Missing"),"Missing")))</f>
        <v>OK stock</v>
      </c>
      <c r="L201" s="97" t="str">
        <v>Paints used in pre-made wooden products indoor (discarded)</v>
      </c>
      <c r="M201" s="311" t="str">
        <f>IF(COUNTIF(J:J,L201),IF(_xlfn.XLOOKUP(L201,'Compartments_Kawecki&amp;Nowack19'!A:A,'Compartments_Kawecki&amp;Nowack19'!B:B,_xlfn.XLOOKUP(L201,Compartments_Added!A:A,Compartments_Added!B:B))="Stock","OK stock","OK flow"),IF(_xlfn.XLOOKUP(L201,'Compartments_Kawecki&amp;Nowack19'!A:A,'Compartments_Kawecki&amp;Nowack19'!B:B,_xlfn.XLOOKUP(L201,Compartments_Added!A:A,Compartments_Added!B:B))="Sink","OK, Sink","Missing"))</f>
        <v>OK stock</v>
      </c>
      <c r="N201" s="7"/>
      <c r="Q201">
        <f>Lifetimes!GQ1</f>
        <v>0</v>
      </c>
      <c r="R201" t="str">
        <f t="shared" si="7"/>
        <v>OK</v>
      </c>
      <c r="AA201" t="s">
        <v>2024</v>
      </c>
    </row>
    <row r="202" spans="10:27">
      <c r="J202" s="340" t="str">
        <v>Wall paint (DIY)</v>
      </c>
      <c r="K202" s="311" t="str">
        <f>IF(ISBLANK(J202),"",IF(COUNTIF(L:L,J202),IF(_xlfn.XLOOKUP(J202,'Compartments_Kawecki&amp;Nowack19'!A:A,'Compartments_Kawecki&amp;Nowack19'!B:B,_xlfn.XLOOKUP(J202,Compartments_Added!A:A,Compartments_Added!B:B))="Stock","OK stock","OK flow"),IF(COUNTIF($G$4:$G$18,J202),IF(COUNTIF($E$4:$E$18,J202),"OK input","Missing"),"Missing")))</f>
        <v>OK flow</v>
      </c>
      <c r="L202" s="97" t="str">
        <v>Lacquer (DIY) outdoor</v>
      </c>
      <c r="M202" s="311" t="str">
        <f>IF(COUNTIF(J:J,L202),IF(_xlfn.XLOOKUP(L202,'Compartments_Kawecki&amp;Nowack19'!A:A,'Compartments_Kawecki&amp;Nowack19'!B:B,_xlfn.XLOOKUP(L202,Compartments_Added!A:A,Compartments_Added!B:B))="Stock","OK stock","OK flow"),IF(_xlfn.XLOOKUP(L202,'Compartments_Kawecki&amp;Nowack19'!A:A,'Compartments_Kawecki&amp;Nowack19'!B:B,_xlfn.XLOOKUP(L202,Compartments_Added!A:A,Compartments_Added!B:B))="Sink","OK, Sink","Missing"))</f>
        <v>OK flow</v>
      </c>
      <c r="N202" s="7"/>
      <c r="Q202">
        <f>Lifetimes!GR1</f>
        <v>0</v>
      </c>
      <c r="R202" t="str">
        <f t="shared" si="7"/>
        <v>OK</v>
      </c>
      <c r="AA202" t="s">
        <v>2025</v>
      </c>
    </row>
    <row r="203" spans="10:27">
      <c r="J203" s="340" t="str">
        <v>Wall paint (DIY) outdoor</v>
      </c>
      <c r="K203" s="311" t="str">
        <f>IF(ISBLANK(J203),"",IF(COUNTIF(L:L,J203),IF(_xlfn.XLOOKUP(J203,'Compartments_Kawecki&amp;Nowack19'!A:A,'Compartments_Kawecki&amp;Nowack19'!B:B,_xlfn.XLOOKUP(J203,Compartments_Added!A:A,Compartments_Added!B:B))="Stock","OK stock","OK flow"),IF(COUNTIF($G$4:$G$18,J203),IF(COUNTIF($E$4:$E$18,J203),"OK input","Missing"),"Missing")))</f>
        <v>OK flow</v>
      </c>
      <c r="L203" s="97" t="str">
        <v>Lacquer (DIY) indoor</v>
      </c>
      <c r="M203" s="311" t="str">
        <f>IF(COUNTIF(J:J,L203),IF(_xlfn.XLOOKUP(L203,'Compartments_Kawecki&amp;Nowack19'!A:A,'Compartments_Kawecki&amp;Nowack19'!B:B,_xlfn.XLOOKUP(L203,Compartments_Added!A:A,Compartments_Added!B:B))="Stock","OK stock","OK flow"),IF(_xlfn.XLOOKUP(L203,'Compartments_Kawecki&amp;Nowack19'!A:A,'Compartments_Kawecki&amp;Nowack19'!B:B,_xlfn.XLOOKUP(L203,Compartments_Added!A:A,Compartments_Added!B:B))="Sink","OK, Sink","Missing"))</f>
        <v>OK flow</v>
      </c>
      <c r="N203" s="7"/>
      <c r="Q203">
        <f>Lifetimes!GS1</f>
        <v>0</v>
      </c>
      <c r="R203" t="str">
        <f t="shared" si="7"/>
        <v>OK</v>
      </c>
      <c r="AA203" t="s">
        <v>2026</v>
      </c>
    </row>
    <row r="204" spans="10:27">
      <c r="J204" s="340" t="str">
        <v>Wall paint (DIY) outdoor (in use)</v>
      </c>
      <c r="K204" s="311" t="str">
        <f>IF(ISBLANK(J204),"",IF(COUNTIF(L:L,J204),IF(_xlfn.XLOOKUP(J204,'Compartments_Kawecki&amp;Nowack19'!A:A,'Compartments_Kawecki&amp;Nowack19'!B:B,_xlfn.XLOOKUP(J204,Compartments_Added!A:A,Compartments_Added!B:B))="Stock","OK stock","OK flow"),IF(COUNTIF($G$4:$G$18,J204),IF(COUNTIF($E$4:$E$18,J204),"OK input","Missing"),"Missing")))</f>
        <v>OK stock</v>
      </c>
      <c r="L204" s="97" t="str">
        <v>Lacquer (DIY) outdoor (in use)</v>
      </c>
      <c r="M204" s="311" t="str">
        <f>IF(COUNTIF(J:J,L204),IF(_xlfn.XLOOKUP(L204,'Compartments_Kawecki&amp;Nowack19'!A:A,'Compartments_Kawecki&amp;Nowack19'!B:B,_xlfn.XLOOKUP(L204,Compartments_Added!A:A,Compartments_Added!B:B))="Stock","OK stock","OK flow"),IF(_xlfn.XLOOKUP(L204,'Compartments_Kawecki&amp;Nowack19'!A:A,'Compartments_Kawecki&amp;Nowack19'!B:B,_xlfn.XLOOKUP(L204,Compartments_Added!A:A,Compartments_Added!B:B))="Sink","OK, Sink","Missing"))</f>
        <v>OK stock</v>
      </c>
      <c r="N204" s="7"/>
      <c r="Q204">
        <f>Lifetimes!GT1</f>
        <v>0</v>
      </c>
      <c r="R204" t="str">
        <f t="shared" si="7"/>
        <v>OK</v>
      </c>
      <c r="AA204" t="s">
        <v>2027</v>
      </c>
    </row>
    <row r="205" spans="10:27">
      <c r="J205" s="340" t="str">
        <v>Wall paint (DIY) indoor</v>
      </c>
      <c r="K205" s="311" t="str">
        <f>IF(ISBLANK(J205),"",IF(COUNTIF(L:L,J205),IF(_xlfn.XLOOKUP(J205,'Compartments_Kawecki&amp;Nowack19'!A:A,'Compartments_Kawecki&amp;Nowack19'!B:B,_xlfn.XLOOKUP(J205,Compartments_Added!A:A,Compartments_Added!B:B))="Stock","OK stock","OK flow"),IF(COUNTIF($G$4:$G$18,J205),IF(COUNTIF($E$4:$E$18,J205),"OK input","Missing"),"Missing")))</f>
        <v>OK flow</v>
      </c>
      <c r="L205" s="97" t="str">
        <v>Lacquer (DIY) outdoor (discarded)</v>
      </c>
      <c r="M205" s="311" t="str">
        <f>IF(COUNTIF(J:J,L205),IF(_xlfn.XLOOKUP(L205,'Compartments_Kawecki&amp;Nowack19'!A:A,'Compartments_Kawecki&amp;Nowack19'!B:B,_xlfn.XLOOKUP(L205,Compartments_Added!A:A,Compartments_Added!B:B))="Stock","OK stock","OK flow"),IF(_xlfn.XLOOKUP(L205,'Compartments_Kawecki&amp;Nowack19'!A:A,'Compartments_Kawecki&amp;Nowack19'!B:B,_xlfn.XLOOKUP(L205,Compartments_Added!A:A,Compartments_Added!B:B))="Sink","OK, Sink","Missing"))</f>
        <v>OK stock</v>
      </c>
      <c r="N205" s="7"/>
      <c r="Q205">
        <f>Lifetimes!GU1</f>
        <v>0</v>
      </c>
      <c r="R205" t="str">
        <f t="shared" si="7"/>
        <v>OK</v>
      </c>
      <c r="AA205" t="s">
        <v>2028</v>
      </c>
    </row>
    <row r="206" spans="10:27">
      <c r="J206" s="340" t="str">
        <v>Wall paint (DIY) indoor applied</v>
      </c>
      <c r="K206" s="311" t="str">
        <f>IF(ISBLANK(J206),"",IF(COUNTIF(L:L,J206),IF(_xlfn.XLOOKUP(J206,'Compartments_Kawecki&amp;Nowack19'!A:A,'Compartments_Kawecki&amp;Nowack19'!B:B,_xlfn.XLOOKUP(J206,Compartments_Added!A:A,Compartments_Added!B:B))="Stock","OK stock","OK flow"),IF(COUNTIF($G$4:$G$18,J206),IF(COUNTIF($E$4:$E$18,J206),"OK input","Missing"),"Missing")))</f>
        <v>OK flow</v>
      </c>
      <c r="L206" s="97" t="str">
        <v>Lacquer (DIY) indoor (in use)</v>
      </c>
      <c r="M206" s="311" t="str">
        <f>IF(COUNTIF(J:J,L206),IF(_xlfn.XLOOKUP(L206,'Compartments_Kawecki&amp;Nowack19'!A:A,'Compartments_Kawecki&amp;Nowack19'!B:B,_xlfn.XLOOKUP(L206,Compartments_Added!A:A,Compartments_Added!B:B))="Stock","OK stock","OK flow"),IF(_xlfn.XLOOKUP(L206,'Compartments_Kawecki&amp;Nowack19'!A:A,'Compartments_Kawecki&amp;Nowack19'!B:B,_xlfn.XLOOKUP(L206,Compartments_Added!A:A,Compartments_Added!B:B))="Sink","OK, Sink","Missing"))</f>
        <v>OK stock</v>
      </c>
      <c r="N206" s="7"/>
      <c r="Q206">
        <f>Lifetimes!GV1</f>
        <v>0</v>
      </c>
      <c r="R206" t="str">
        <f t="shared" si="7"/>
        <v>OK</v>
      </c>
      <c r="AA206" t="s">
        <v>2029</v>
      </c>
    </row>
    <row r="207" spans="10:27">
      <c r="J207" s="340" t="str">
        <v>Wall paint (DIY) indoor applied (in use)</v>
      </c>
      <c r="K207" s="311" t="str">
        <f>IF(ISBLANK(J207),"",IF(COUNTIF(L:L,J207),IF(_xlfn.XLOOKUP(J207,'Compartments_Kawecki&amp;Nowack19'!A:A,'Compartments_Kawecki&amp;Nowack19'!B:B,_xlfn.XLOOKUP(J207,Compartments_Added!A:A,Compartments_Added!B:B))="Stock","OK stock","OK flow"),IF(COUNTIF($G$4:$G$18,J207),IF(COUNTIF($E$4:$E$18,J207),"OK input","Missing"),"Missing")))</f>
        <v>OK stock</v>
      </c>
      <c r="L207" s="97" t="str">
        <v>Lacquer (DIY) indoor (discarded)</v>
      </c>
      <c r="M207" s="311" t="str">
        <f>IF(COUNTIF(J:J,L207),IF(_xlfn.XLOOKUP(L207,'Compartments_Kawecki&amp;Nowack19'!A:A,'Compartments_Kawecki&amp;Nowack19'!B:B,_xlfn.XLOOKUP(L207,Compartments_Added!A:A,Compartments_Added!B:B))="Stock","OK stock","OK flow"),IF(_xlfn.XLOOKUP(L207,'Compartments_Kawecki&amp;Nowack19'!A:A,'Compartments_Kawecki&amp;Nowack19'!B:B,_xlfn.XLOOKUP(L207,Compartments_Added!A:A,Compartments_Added!B:B))="Sink","OK, Sink","Missing"))</f>
        <v>OK stock</v>
      </c>
      <c r="N207" s="7"/>
      <c r="Q207">
        <f>Lifetimes!GW1</f>
        <v>0</v>
      </c>
      <c r="R207" t="str">
        <f t="shared" si="7"/>
        <v>OK</v>
      </c>
      <c r="AA207" t="s">
        <v>2030</v>
      </c>
    </row>
    <row r="208" spans="10:27">
      <c r="J208" s="340" t="str">
        <v>Wall paint (DIY) indoor on brush</v>
      </c>
      <c r="K208" s="311" t="str">
        <f>IF(ISBLANK(J208),"",IF(COUNTIF(L:L,J208),IF(_xlfn.XLOOKUP(J208,'Compartments_Kawecki&amp;Nowack19'!A:A,'Compartments_Kawecki&amp;Nowack19'!B:B,_xlfn.XLOOKUP(J208,Compartments_Added!A:A,Compartments_Added!B:B))="Stock","OK stock","OK flow"),IF(COUNTIF($G$4:$G$18,J208),IF(COUNTIF($E$4:$E$18,J208),"OK input","Missing"),"Missing")))</f>
        <v>OK flow</v>
      </c>
      <c r="L208" s="97" t="str">
        <v>Wood stain (DIY) outdoor</v>
      </c>
      <c r="M208" s="311" t="str">
        <f>IF(COUNTIF(J:J,L208),IF(_xlfn.XLOOKUP(L208,'Compartments_Kawecki&amp;Nowack19'!A:A,'Compartments_Kawecki&amp;Nowack19'!B:B,_xlfn.XLOOKUP(L208,Compartments_Added!A:A,Compartments_Added!B:B))="Stock","OK stock","OK flow"),IF(_xlfn.XLOOKUP(L208,'Compartments_Kawecki&amp;Nowack19'!A:A,'Compartments_Kawecki&amp;Nowack19'!B:B,_xlfn.XLOOKUP(L208,Compartments_Added!A:A,Compartments_Added!B:B))="Sink","OK, Sink","Missing"))</f>
        <v>OK flow</v>
      </c>
      <c r="N208" s="7"/>
      <c r="Q208">
        <f>Lifetimes!GX1</f>
        <v>0</v>
      </c>
      <c r="R208" t="str">
        <f t="shared" si="7"/>
        <v>OK</v>
      </c>
      <c r="AA208" t="s">
        <v>2031</v>
      </c>
    </row>
    <row r="209" spans="10:27">
      <c r="J209" s="340" t="str">
        <v>Wall paint (DIY) outdoor (discarded)</v>
      </c>
      <c r="K209" s="311" t="str">
        <f>IF(ISBLANK(J209),"",IF(COUNTIF(L:L,J209),IF(_xlfn.XLOOKUP(J209,'Compartments_Kawecki&amp;Nowack19'!A:A,'Compartments_Kawecki&amp;Nowack19'!B:B,_xlfn.XLOOKUP(J209,Compartments_Added!A:A,Compartments_Added!B:B))="Stock","OK stock","OK flow"),IF(COUNTIF($G$4:$G$18,J209),IF(COUNTIF($E$4:$E$18,J209),"OK input","Missing"),"Missing")))</f>
        <v>OK stock</v>
      </c>
      <c r="L209" s="340" t="str">
        <v>Wood stain (DIY) indoor</v>
      </c>
      <c r="M209" s="311" t="str">
        <f>IF(COUNTIF(J:J,L209),IF(_xlfn.XLOOKUP(L209,'Compartments_Kawecki&amp;Nowack19'!A:A,'Compartments_Kawecki&amp;Nowack19'!B:B,_xlfn.XLOOKUP(L209,Compartments_Added!A:A,Compartments_Added!B:B))="Stock","OK stock","OK flow"),IF(_xlfn.XLOOKUP(L209,'Compartments_Kawecki&amp;Nowack19'!A:A,'Compartments_Kawecki&amp;Nowack19'!B:B,_xlfn.XLOOKUP(L209,Compartments_Added!A:A,Compartments_Added!B:B))="Sink","OK, Sink","Missing"))</f>
        <v>OK flow</v>
      </c>
      <c r="N209" s="7"/>
      <c r="Q209">
        <f>Lifetimes!GY1</f>
        <v>0</v>
      </c>
      <c r="R209" t="str">
        <f t="shared" si="7"/>
        <v>OK</v>
      </c>
      <c r="AA209" t="s">
        <v>2032</v>
      </c>
    </row>
    <row r="210" spans="10:27">
      <c r="J210" s="340" t="str">
        <v>Wall paint (DIY) indoor applied (discarded)</v>
      </c>
      <c r="K210" s="311" t="str">
        <f>IF(ISBLANK(J210),"",IF(COUNTIF(L:L,J210),IF(_xlfn.XLOOKUP(J210,'Compartments_Kawecki&amp;Nowack19'!A:A,'Compartments_Kawecki&amp;Nowack19'!B:B,_xlfn.XLOOKUP(J210,Compartments_Added!A:A,Compartments_Added!B:B))="Stock","OK stock","OK flow"),IF(COUNTIF($G$4:$G$18,J210),IF(COUNTIF($E$4:$E$18,J210),"OK input","Missing"),"Missing")))</f>
        <v>OK stock</v>
      </c>
      <c r="L210" s="97" t="str">
        <v>Wood stain (DIY) outdoor (in use)</v>
      </c>
      <c r="M210" s="311" t="str">
        <f>IF(COUNTIF(J:J,L210),IF(_xlfn.XLOOKUP(L210,'Compartments_Kawecki&amp;Nowack19'!A:A,'Compartments_Kawecki&amp;Nowack19'!B:B,_xlfn.XLOOKUP(L210,Compartments_Added!A:A,Compartments_Added!B:B))="Stock","OK stock","OK flow"),IF(_xlfn.XLOOKUP(L210,'Compartments_Kawecki&amp;Nowack19'!A:A,'Compartments_Kawecki&amp;Nowack19'!B:B,_xlfn.XLOOKUP(L210,Compartments_Added!A:A,Compartments_Added!B:B))="Sink","OK, Sink","Missing"))</f>
        <v>OK stock</v>
      </c>
      <c r="N210" s="7"/>
      <c r="Q210">
        <f>Lifetimes!GZ1</f>
        <v>0</v>
      </c>
      <c r="R210" t="str">
        <f t="shared" si="7"/>
        <v>OK</v>
      </c>
    </row>
    <row r="211" spans="10:27" ht="15.75" thickBot="1">
      <c r="J211" s="309" t="str">
        <v>Plaster (DIY)</v>
      </c>
      <c r="K211" s="311" t="str">
        <f>IF(ISBLANK(J211),"",IF(COUNTIF(L:L,J211),IF(_xlfn.XLOOKUP(J211,'Compartments_Kawecki&amp;Nowack19'!A:A,'Compartments_Kawecki&amp;Nowack19'!B:B,_xlfn.XLOOKUP(J211,Compartments_Added!A:A,Compartments_Added!B:B))="Stock","OK stock","OK flow"),IF(COUNTIF($G$4:$G$18,J211),IF(COUNTIF($E$4:$E$18,J211),"OK input","Missing"),"Missing")))</f>
        <v>OK flow</v>
      </c>
      <c r="L211" s="309" t="str">
        <v>Wood stain (DIY) outdoor (discarded)</v>
      </c>
      <c r="M211" s="311" t="str">
        <f>IF(COUNTIF(J:J,L211),IF(_xlfn.XLOOKUP(L211,'Compartments_Kawecki&amp;Nowack19'!A:A,'Compartments_Kawecki&amp;Nowack19'!B:B,_xlfn.XLOOKUP(L211,Compartments_Added!A:A,Compartments_Added!B:B))="Stock","OK stock","OK flow"),IF(_xlfn.XLOOKUP(L211,'Compartments_Kawecki&amp;Nowack19'!A:A,'Compartments_Kawecki&amp;Nowack19'!B:B,_xlfn.XLOOKUP(L211,Compartments_Added!A:A,Compartments_Added!B:B))="Sink","OK, Sink","Missing"))</f>
        <v>OK stock</v>
      </c>
      <c r="N211" s="7"/>
      <c r="R211" t="str">
        <f t="shared" si="7"/>
        <v>OK</v>
      </c>
    </row>
    <row r="212" spans="10:27">
      <c r="J212" s="16" t="str">
        <v>Plaster (DIY) outdoor</v>
      </c>
      <c r="K212" s="311" t="str">
        <f>IF(ISBLANK(J212),"",IF(COUNTIF(L:L,J212),IF(_xlfn.XLOOKUP(J212,'Compartments_Kawecki&amp;Nowack19'!A:A,'Compartments_Kawecki&amp;Nowack19'!B:B,_xlfn.XLOOKUP(J212,Compartments_Added!A:A,Compartments_Added!B:B))="Stock","OK stock","OK flow"),IF(COUNTIF($G$4:$G$18,J212),IF(COUNTIF($E$4:$E$18,J212),"OK input","Missing"),"Missing")))</f>
        <v>OK flow</v>
      </c>
      <c r="L212" t="str">
        <v>Wood stain (DIY) indoor (in use)</v>
      </c>
      <c r="M212" s="311" t="str">
        <f>IF(COUNTIF(J:J,L212),IF(_xlfn.XLOOKUP(L212,'Compartments_Kawecki&amp;Nowack19'!A:A,'Compartments_Kawecki&amp;Nowack19'!B:B,_xlfn.XLOOKUP(L212,Compartments_Added!A:A,Compartments_Added!B:B))="Stock","OK stock","OK flow"),IF(_xlfn.XLOOKUP(L212,'Compartments_Kawecki&amp;Nowack19'!A:A,'Compartments_Kawecki&amp;Nowack19'!B:B,_xlfn.XLOOKUP(L212,Compartments_Added!A:A,Compartments_Added!B:B))="Sink","OK, Sink","Missing"))</f>
        <v>OK stock</v>
      </c>
      <c r="N212" s="7"/>
      <c r="R212" t="str">
        <f t="shared" si="7"/>
        <v>OK</v>
      </c>
    </row>
    <row r="213" spans="10:27">
      <c r="J213" s="16" t="str">
        <v>Plaster (DIY) outdoor (in use)</v>
      </c>
      <c r="K213" s="311" t="str">
        <f>IF(ISBLANK(J213),"",IF(COUNTIF(L:L,J213),IF(_xlfn.XLOOKUP(J213,'Compartments_Kawecki&amp;Nowack19'!A:A,'Compartments_Kawecki&amp;Nowack19'!B:B,_xlfn.XLOOKUP(J213,Compartments_Added!A:A,Compartments_Added!B:B))="Stock","OK stock","OK flow"),IF(COUNTIF($G$4:$G$18,J213),IF(COUNTIF($E$4:$E$18,J213),"OK input","Missing"),"Missing")))</f>
        <v>OK stock</v>
      </c>
      <c r="L213" t="str">
        <v>Wood stain (DIY) indoor (discarded)</v>
      </c>
      <c r="M213" s="311" t="str">
        <f>IF(COUNTIF(J:J,L213),IF(_xlfn.XLOOKUP(L213,'Compartments_Kawecki&amp;Nowack19'!A:A,'Compartments_Kawecki&amp;Nowack19'!B:B,_xlfn.XLOOKUP(L213,Compartments_Added!A:A,Compartments_Added!B:B))="Stock","OK stock","OK flow"),IF(_xlfn.XLOOKUP(L213,'Compartments_Kawecki&amp;Nowack19'!A:A,'Compartments_Kawecki&amp;Nowack19'!B:B,_xlfn.XLOOKUP(L213,Compartments_Added!A:A,Compartments_Added!B:B))="Sink","OK, Sink","Missing"))</f>
        <v>OK stock</v>
      </c>
      <c r="N213" s="7"/>
      <c r="R213" t="str">
        <f t="shared" si="7"/>
        <v>OK</v>
      </c>
    </row>
    <row r="214" spans="10:27">
      <c r="J214" s="16" t="str">
        <v>Plaster (DIY) indoor</v>
      </c>
      <c r="K214" s="311" t="str">
        <f>IF(ISBLANK(J214),"",IF(COUNTIF(L:L,J214),IF(_xlfn.XLOOKUP(J214,'Compartments_Kawecki&amp;Nowack19'!A:A,'Compartments_Kawecki&amp;Nowack19'!B:B,_xlfn.XLOOKUP(J214,Compartments_Added!A:A,Compartments_Added!B:B))="Stock","OK stock","OK flow"),IF(COUNTIF($G$4:$G$18,J214),IF(COUNTIF($E$4:$E$18,J214),"OK input","Missing"),"Missing")))</f>
        <v>OK flow</v>
      </c>
      <c r="L214" t="str">
        <v>Wall paint (DIY) outdoor</v>
      </c>
      <c r="M214" s="311" t="str">
        <f>IF(COUNTIF(J:J,L214),IF(_xlfn.XLOOKUP(L214,'Compartments_Kawecki&amp;Nowack19'!A:A,'Compartments_Kawecki&amp;Nowack19'!B:B,_xlfn.XLOOKUP(L214,Compartments_Added!A:A,Compartments_Added!B:B))="Stock","OK stock","OK flow"),IF(_xlfn.XLOOKUP(L214,'Compartments_Kawecki&amp;Nowack19'!A:A,'Compartments_Kawecki&amp;Nowack19'!B:B,_xlfn.XLOOKUP(L214,Compartments_Added!A:A,Compartments_Added!B:B))="Sink","OK, Sink","Missing"))</f>
        <v>OK flow</v>
      </c>
      <c r="N214" s="7"/>
      <c r="R214" t="str">
        <f t="shared" si="7"/>
        <v>OK</v>
      </c>
    </row>
    <row r="215" spans="10:27">
      <c r="J215" s="16" t="str">
        <v>Plaster (DIY) indoor (in use)</v>
      </c>
      <c r="K215" s="311" t="str">
        <f>IF(ISBLANK(J215),"",IF(COUNTIF(L:L,J215),IF(_xlfn.XLOOKUP(J215,'Compartments_Kawecki&amp;Nowack19'!A:A,'Compartments_Kawecki&amp;Nowack19'!B:B,_xlfn.XLOOKUP(J215,Compartments_Added!A:A,Compartments_Added!B:B))="Stock","OK stock","OK flow"),IF(COUNTIF($G$4:$G$18,J215),IF(COUNTIF($E$4:$E$18,J215),"OK input","Missing"),"Missing")))</f>
        <v>OK stock</v>
      </c>
      <c r="L215" t="str">
        <v>Wall paint (DIY) indoor</v>
      </c>
      <c r="M215" s="311" t="str">
        <f>IF(COUNTIF(J:J,L215),IF(_xlfn.XLOOKUP(L215,'Compartments_Kawecki&amp;Nowack19'!A:A,'Compartments_Kawecki&amp;Nowack19'!B:B,_xlfn.XLOOKUP(L215,Compartments_Added!A:A,Compartments_Added!B:B))="Stock","OK stock","OK flow"),IF(_xlfn.XLOOKUP(L215,'Compartments_Kawecki&amp;Nowack19'!A:A,'Compartments_Kawecki&amp;Nowack19'!B:B,_xlfn.XLOOKUP(L215,Compartments_Added!A:A,Compartments_Added!B:B))="Sink","OK, Sink","Missing"))</f>
        <v>OK flow</v>
      </c>
      <c r="N215" s="7"/>
      <c r="R215" t="str">
        <f t="shared" si="7"/>
        <v>OK</v>
      </c>
    </row>
    <row r="216" spans="10:27">
      <c r="J216" s="16" t="str">
        <v>Plaster (DIY) outdoor (discarded)</v>
      </c>
      <c r="K216" s="311" t="str">
        <f>IF(ISBLANK(J216),"",IF(COUNTIF(L:L,J216),IF(_xlfn.XLOOKUP(J216,'Compartments_Kawecki&amp;Nowack19'!A:A,'Compartments_Kawecki&amp;Nowack19'!B:B,_xlfn.XLOOKUP(J216,Compartments_Added!A:A,Compartments_Added!B:B))="Stock","OK stock","OK flow"),IF(COUNTIF($G$4:$G$18,J216),IF(COUNTIF($E$4:$E$18,J216),"OK input","Missing"),"Missing")))</f>
        <v>OK stock</v>
      </c>
      <c r="L216" t="str">
        <v>Wall paint (DIY) outdoor (in use)</v>
      </c>
      <c r="M216" s="311" t="str">
        <f>IF(COUNTIF(J:J,L216),IF(_xlfn.XLOOKUP(L216,'Compartments_Kawecki&amp;Nowack19'!A:A,'Compartments_Kawecki&amp;Nowack19'!B:B,_xlfn.XLOOKUP(L216,Compartments_Added!A:A,Compartments_Added!B:B))="Stock","OK stock","OK flow"),IF(_xlfn.XLOOKUP(L216,'Compartments_Kawecki&amp;Nowack19'!A:A,'Compartments_Kawecki&amp;Nowack19'!B:B,_xlfn.XLOOKUP(L216,Compartments_Added!A:A,Compartments_Added!B:B))="Sink","OK, Sink","Missing"))</f>
        <v>OK stock</v>
      </c>
      <c r="N216" s="7"/>
      <c r="R216" t="str">
        <f t="shared" si="7"/>
        <v>OK</v>
      </c>
    </row>
    <row r="217" spans="10:27">
      <c r="J217" s="16" t="str">
        <v>Plaster (DIY) indoor (discarded)</v>
      </c>
      <c r="K217" s="311" t="str">
        <f>IF(ISBLANK(J217),"",IF(COUNTIF(L:L,J217),IF(_xlfn.XLOOKUP(J217,'Compartments_Kawecki&amp;Nowack19'!A:A,'Compartments_Kawecki&amp;Nowack19'!B:B,_xlfn.XLOOKUP(J217,Compartments_Added!A:A,Compartments_Added!B:B))="Stock","OK stock","OK flow"),IF(COUNTIF($G$4:$G$18,J217),IF(COUNTIF($E$4:$E$18,J217),"OK input","Missing"),"Missing")))</f>
        <v>OK stock</v>
      </c>
      <c r="L217" t="str">
        <v>Wall paint (DIY) outdoor (discarded)</v>
      </c>
      <c r="M217" s="311" t="str">
        <f>IF(COUNTIF(J:J,L217),IF(_xlfn.XLOOKUP(L217,'Compartments_Kawecki&amp;Nowack19'!A:A,'Compartments_Kawecki&amp;Nowack19'!B:B,_xlfn.XLOOKUP(L217,Compartments_Added!A:A,Compartments_Added!B:B))="Stock","OK stock","OK flow"),IF(_xlfn.XLOOKUP(L217,'Compartments_Kawecki&amp;Nowack19'!A:A,'Compartments_Kawecki&amp;Nowack19'!B:B,_xlfn.XLOOKUP(L217,Compartments_Added!A:A,Compartments_Added!B:B))="Sink","OK, Sink","Missing"))</f>
        <v>OK stock</v>
      </c>
      <c r="N217" s="7"/>
      <c r="R217" t="str">
        <f t="shared" si="7"/>
        <v>OK</v>
      </c>
    </row>
    <row r="218" spans="10:27">
      <c r="J218" s="16" t="str">
        <v>Other paint uses (DIY)</v>
      </c>
      <c r="K218" s="311" t="str">
        <f>IF(ISBLANK(J218),"",IF(COUNTIF(L:L,J218),IF(_xlfn.XLOOKUP(J218,'Compartments_Kawecki&amp;Nowack19'!A:A,'Compartments_Kawecki&amp;Nowack19'!B:B,_xlfn.XLOOKUP(J218,Compartments_Added!A:A,Compartments_Added!B:B))="Stock","OK stock","OK flow"),IF(COUNTIF($G$4:$G$18,J218),IF(COUNTIF($E$4:$E$18,J218),"OK input","Missing"),"Missing")))</f>
        <v>OK flow</v>
      </c>
      <c r="L218" t="str">
        <v>Wall paint (DIY) indoor applied</v>
      </c>
      <c r="M218" s="311" t="str">
        <f>IF(COUNTIF(J:J,L218),IF(_xlfn.XLOOKUP(L218,'Compartments_Kawecki&amp;Nowack19'!A:A,'Compartments_Kawecki&amp;Nowack19'!B:B,_xlfn.XLOOKUP(L218,Compartments_Added!A:A,Compartments_Added!B:B))="Stock","OK stock","OK flow"),IF(_xlfn.XLOOKUP(L218,'Compartments_Kawecki&amp;Nowack19'!A:A,'Compartments_Kawecki&amp;Nowack19'!B:B,_xlfn.XLOOKUP(L218,Compartments_Added!A:A,Compartments_Added!B:B))="Sink","OK, Sink","Missing"))</f>
        <v>OK flow</v>
      </c>
      <c r="N218" s="7"/>
      <c r="R218" t="str">
        <f t="shared" si="7"/>
        <v>OK</v>
      </c>
    </row>
    <row r="219" spans="10:27">
      <c r="J219" s="16" t="str">
        <v>Other paint uses (DIY) outdoor</v>
      </c>
      <c r="K219" s="311" t="str">
        <f>IF(ISBLANK(J219),"",IF(COUNTIF(L:L,J219),IF(_xlfn.XLOOKUP(J219,'Compartments_Kawecki&amp;Nowack19'!A:A,'Compartments_Kawecki&amp;Nowack19'!B:B,_xlfn.XLOOKUP(J219,Compartments_Added!A:A,Compartments_Added!B:B))="Stock","OK stock","OK flow"),IF(COUNTIF($G$4:$G$18,J219),IF(COUNTIF($E$4:$E$18,J219),"OK input","Missing"),"Missing")))</f>
        <v>OK flow</v>
      </c>
      <c r="L219" t="str">
        <v>Wall paint (DIY) indoor on brush</v>
      </c>
      <c r="M219" s="311" t="str">
        <f>IF(COUNTIF(J:J,L219),IF(_xlfn.XLOOKUP(L219,'Compartments_Kawecki&amp;Nowack19'!A:A,'Compartments_Kawecki&amp;Nowack19'!B:B,_xlfn.XLOOKUP(L219,Compartments_Added!A:A,Compartments_Added!B:B))="Stock","OK stock","OK flow"),IF(_xlfn.XLOOKUP(L219,'Compartments_Kawecki&amp;Nowack19'!A:A,'Compartments_Kawecki&amp;Nowack19'!B:B,_xlfn.XLOOKUP(L219,Compartments_Added!A:A,Compartments_Added!B:B))="Sink","OK, Sink","Missing"))</f>
        <v>OK flow</v>
      </c>
      <c r="N219" s="7"/>
      <c r="R219" t="str">
        <f t="shared" si="7"/>
        <v>OK</v>
      </c>
    </row>
    <row r="220" spans="10:27">
      <c r="J220" s="16" t="str">
        <v>Other paint uses (DIY) outdoor (in use)</v>
      </c>
      <c r="K220" s="311" t="str">
        <f>IF(ISBLANK(J220),"",IF(COUNTIF(L:L,J220),IF(_xlfn.XLOOKUP(J220,'Compartments_Kawecki&amp;Nowack19'!A:A,'Compartments_Kawecki&amp;Nowack19'!B:B,_xlfn.XLOOKUP(J220,Compartments_Added!A:A,Compartments_Added!B:B))="Stock","OK stock","OK flow"),IF(COUNTIF($G$4:$G$18,J220),IF(COUNTIF($E$4:$E$18,J220),"OK input","Missing"),"Missing")))</f>
        <v>OK stock</v>
      </c>
      <c r="L220" t="str">
        <v>Wall paint (DIY) indoor applied (in use)</v>
      </c>
      <c r="M220" s="311" t="str">
        <f>IF(COUNTIF(J:J,L220),IF(_xlfn.XLOOKUP(L220,'Compartments_Kawecki&amp;Nowack19'!A:A,'Compartments_Kawecki&amp;Nowack19'!B:B,_xlfn.XLOOKUP(L220,Compartments_Added!A:A,Compartments_Added!B:B))="Stock","OK stock","OK flow"),IF(_xlfn.XLOOKUP(L220,'Compartments_Kawecki&amp;Nowack19'!A:A,'Compartments_Kawecki&amp;Nowack19'!B:B,_xlfn.XLOOKUP(L220,Compartments_Added!A:A,Compartments_Added!B:B))="Sink","OK, Sink","Missing"))</f>
        <v>OK stock</v>
      </c>
      <c r="N220" s="7"/>
      <c r="R220" t="str">
        <f t="shared" si="7"/>
        <v>OK</v>
      </c>
    </row>
    <row r="221" spans="10:27">
      <c r="J221" s="16" t="str">
        <v>Other paint uses (DIY) indoor</v>
      </c>
      <c r="K221" s="311" t="str">
        <f>IF(ISBLANK(J221),"",IF(COUNTIF(L:L,J221),IF(_xlfn.XLOOKUP(J221,'Compartments_Kawecki&amp;Nowack19'!A:A,'Compartments_Kawecki&amp;Nowack19'!B:B,_xlfn.XLOOKUP(J221,Compartments_Added!A:A,Compartments_Added!B:B))="Stock","OK stock","OK flow"),IF(COUNTIF($G$4:$G$18,J221),IF(COUNTIF($E$4:$E$18,J221),"OK input","Missing"),"Missing")))</f>
        <v>OK flow</v>
      </c>
      <c r="L221" t="str">
        <v>Wall paint (DIY) indoor applied (discarded)</v>
      </c>
      <c r="M221" s="311" t="str">
        <f>IF(COUNTIF(J:J,L221),IF(_xlfn.XLOOKUP(L221,'Compartments_Kawecki&amp;Nowack19'!A:A,'Compartments_Kawecki&amp;Nowack19'!B:B,_xlfn.XLOOKUP(L221,Compartments_Added!A:A,Compartments_Added!B:B))="Stock","OK stock","OK flow"),IF(_xlfn.XLOOKUP(L221,'Compartments_Kawecki&amp;Nowack19'!A:A,'Compartments_Kawecki&amp;Nowack19'!B:B,_xlfn.XLOOKUP(L221,Compartments_Added!A:A,Compartments_Added!B:B))="Sink","OK, Sink","Missing"))</f>
        <v>OK stock</v>
      </c>
      <c r="N221" s="7"/>
      <c r="R221" t="str">
        <f t="shared" si="7"/>
        <v>OK</v>
      </c>
    </row>
    <row r="222" spans="10:27">
      <c r="J222" s="16" t="str">
        <v>Other paint uses (DIY) indoor (in use)</v>
      </c>
      <c r="K222" s="311" t="str">
        <f>IF(ISBLANK(J222),"",IF(COUNTIF(L:L,J222),IF(_xlfn.XLOOKUP(J222,'Compartments_Kawecki&amp;Nowack19'!A:A,'Compartments_Kawecki&amp;Nowack19'!B:B,_xlfn.XLOOKUP(J222,Compartments_Added!A:A,Compartments_Added!B:B))="Stock","OK stock","OK flow"),IF(COUNTIF($G$4:$G$18,J222),IF(COUNTIF($E$4:$E$18,J222),"OK input","Missing"),"Missing")))</f>
        <v>OK stock</v>
      </c>
      <c r="L222" t="str">
        <v>Plaster (DIY) outdoor</v>
      </c>
      <c r="M222" s="311" t="str">
        <f>IF(COUNTIF(J:J,L222),IF(_xlfn.XLOOKUP(L222,'Compartments_Kawecki&amp;Nowack19'!A:A,'Compartments_Kawecki&amp;Nowack19'!B:B,_xlfn.XLOOKUP(L222,Compartments_Added!A:A,Compartments_Added!B:B))="Stock","OK stock","OK flow"),IF(_xlfn.XLOOKUP(L222,'Compartments_Kawecki&amp;Nowack19'!A:A,'Compartments_Kawecki&amp;Nowack19'!B:B,_xlfn.XLOOKUP(L222,Compartments_Added!A:A,Compartments_Added!B:B))="Sink","OK, Sink","Missing"))</f>
        <v>OK flow</v>
      </c>
      <c r="N222" s="7"/>
      <c r="R222" t="str">
        <f t="shared" si="7"/>
        <v>OK</v>
      </c>
    </row>
    <row r="223" spans="10:27">
      <c r="J223" s="16" t="str">
        <v>Other paint uses (DIY) outdoor (discarded)</v>
      </c>
      <c r="K223" s="311" t="str">
        <f>IF(ISBLANK(J223),"",IF(COUNTIF(L:L,J223),IF(_xlfn.XLOOKUP(J223,'Compartments_Kawecki&amp;Nowack19'!A:A,'Compartments_Kawecki&amp;Nowack19'!B:B,_xlfn.XLOOKUP(J223,Compartments_Added!A:A,Compartments_Added!B:B))="Stock","OK stock","OK flow"),IF(COUNTIF($G$4:$G$18,J223),IF(COUNTIF($E$4:$E$18,J223),"OK input","Missing"),"Missing")))</f>
        <v>OK stock</v>
      </c>
      <c r="L223" t="str">
        <v>Plaster (DIY) indoor</v>
      </c>
      <c r="M223" s="311" t="str">
        <f>IF(COUNTIF(J:J,L223),IF(_xlfn.XLOOKUP(L223,'Compartments_Kawecki&amp;Nowack19'!A:A,'Compartments_Kawecki&amp;Nowack19'!B:B,_xlfn.XLOOKUP(L223,Compartments_Added!A:A,Compartments_Added!B:B))="Stock","OK stock","OK flow"),IF(_xlfn.XLOOKUP(L223,'Compartments_Kawecki&amp;Nowack19'!A:A,'Compartments_Kawecki&amp;Nowack19'!B:B,_xlfn.XLOOKUP(L223,Compartments_Added!A:A,Compartments_Added!B:B))="Sink","OK, Sink","Missing"))</f>
        <v>OK flow</v>
      </c>
      <c r="N223" s="7"/>
      <c r="R223" t="str">
        <f t="shared" si="7"/>
        <v>OK</v>
      </c>
    </row>
    <row r="224" spans="10:27">
      <c r="J224" s="16" t="str">
        <v>Other paint uses (DIY) indoor (discarded)</v>
      </c>
      <c r="K224" s="311" t="str">
        <f>IF(ISBLANK(J224),"",IF(COUNTIF(L:L,J224),IF(_xlfn.XLOOKUP(J224,'Compartments_Kawecki&amp;Nowack19'!A:A,'Compartments_Kawecki&amp;Nowack19'!B:B,_xlfn.XLOOKUP(J224,Compartments_Added!A:A,Compartments_Added!B:B))="Stock","OK stock","OK flow"),IF(COUNTIF($G$4:$G$18,J224),IF(COUNTIF($E$4:$E$18,J224),"OK input","Missing"),"Missing")))</f>
        <v>OK stock</v>
      </c>
      <c r="L224" t="str">
        <v>Plaster (DIY) outdoor (in use)</v>
      </c>
      <c r="M224" s="311" t="str">
        <f>IF(COUNTIF(J:J,L224),IF(_xlfn.XLOOKUP(L224,'Compartments_Kawecki&amp;Nowack19'!A:A,'Compartments_Kawecki&amp;Nowack19'!B:B,_xlfn.XLOOKUP(L224,Compartments_Added!A:A,Compartments_Added!B:B))="Stock","OK stock","OK flow"),IF(_xlfn.XLOOKUP(L224,'Compartments_Kawecki&amp;Nowack19'!A:A,'Compartments_Kawecki&amp;Nowack19'!B:B,_xlfn.XLOOKUP(L224,Compartments_Added!A:A,Compartments_Added!B:B))="Sink","OK, Sink","Missing"))</f>
        <v>OK stock</v>
      </c>
      <c r="N224" s="7"/>
      <c r="R224" t="str">
        <f t="shared" si="7"/>
        <v>OK</v>
      </c>
    </row>
    <row r="225" spans="10:18">
      <c r="J225" s="16">
        <v>0</v>
      </c>
      <c r="K225" s="311" t="e">
        <f>IF(ISBLANK(J225),"",IF(COUNTIF(L:L,J225),IF(_xlfn.XLOOKUP(J225,'Compartments_Kawecki&amp;Nowack19'!A:A,'Compartments_Kawecki&amp;Nowack19'!B:B,_xlfn.XLOOKUP(J225,Compartments_Added!A:A,Compartments_Added!B:B))="Stock","OK stock","OK flow"),IF(COUNTIF($G$4:$G$18,J225),IF(COUNTIF($E$4:$E$18,J225),"OK input","Missing"),"Missing")))</f>
        <v>#N/A</v>
      </c>
      <c r="L225" t="str">
        <v>Plaster (DIY) outdoor (discarded)</v>
      </c>
      <c r="M225" s="311" t="str">
        <f>IF(COUNTIF(J:J,L225),IF(_xlfn.XLOOKUP(L225,'Compartments_Kawecki&amp;Nowack19'!A:A,'Compartments_Kawecki&amp;Nowack19'!B:B,_xlfn.XLOOKUP(L225,Compartments_Added!A:A,Compartments_Added!B:B))="Stock","OK stock","OK flow"),IF(_xlfn.XLOOKUP(L225,'Compartments_Kawecki&amp;Nowack19'!A:A,'Compartments_Kawecki&amp;Nowack19'!B:B,_xlfn.XLOOKUP(L225,Compartments_Added!A:A,Compartments_Added!B:B))="Sink","OK, Sink","Missing"))</f>
        <v>OK stock</v>
      </c>
      <c r="N225" s="7"/>
      <c r="R225" t="str">
        <f t="shared" si="7"/>
        <v>OK</v>
      </c>
    </row>
    <row r="226" spans="10:18">
      <c r="K226" s="311" t="str">
        <f>IF(ISBLANK(J226),"",IF(COUNTIF(L:L,J226),IF(_xlfn.XLOOKUP(J226,'Compartments_Kawecki&amp;Nowack19'!A:A,'Compartments_Kawecki&amp;Nowack19'!B:B,_xlfn.XLOOKUP(J226,Compartments_Added!A:A,Compartments_Added!B:B))="Stock","OK stock","OK flow"),IF(COUNTIF($G$4:$G$18,J226),IF(COUNTIF($E$4:$E$18,J226),"OK input","Missing"),"Missing")))</f>
        <v/>
      </c>
      <c r="L226" t="str">
        <v>Plaster (DIY) indoor (in use)</v>
      </c>
      <c r="M226" s="311" t="str">
        <f>IF(COUNTIF(J:J,L226),IF(_xlfn.XLOOKUP(L226,'Compartments_Kawecki&amp;Nowack19'!A:A,'Compartments_Kawecki&amp;Nowack19'!B:B,_xlfn.XLOOKUP(L226,Compartments_Added!A:A,Compartments_Added!B:B))="Stock","OK stock","OK flow"),IF(_xlfn.XLOOKUP(L226,'Compartments_Kawecki&amp;Nowack19'!A:A,'Compartments_Kawecki&amp;Nowack19'!B:B,_xlfn.XLOOKUP(L226,Compartments_Added!A:A,Compartments_Added!B:B))="Sink","OK, Sink","Missing"))</f>
        <v>OK stock</v>
      </c>
      <c r="N226" s="7"/>
      <c r="R226" t="str">
        <f t="shared" si="7"/>
        <v>OK</v>
      </c>
    </row>
    <row r="227" spans="10:18">
      <c r="K227" s="311" t="str">
        <f>IF(ISBLANK(J227),"",IF(COUNTIF(L:L,J227),IF(_xlfn.XLOOKUP(J227,'Compartments_Kawecki&amp;Nowack19'!A:A,'Compartments_Kawecki&amp;Nowack19'!B:B,_xlfn.XLOOKUP(J227,Compartments_Added!A:A,Compartments_Added!B:B))="Stock","OK stock","OK flow"),IF(COUNTIF($G$4:$G$18,J227),IF(COUNTIF($E$4:$E$18,J227),"OK input","Missing"),"Missing")))</f>
        <v/>
      </c>
      <c r="L227" t="str">
        <v>Plaster (DIY) indoor (discarded)</v>
      </c>
      <c r="M227" s="311" t="str">
        <f>IF(COUNTIF(J:J,L227),IF(_xlfn.XLOOKUP(L227,'Compartments_Kawecki&amp;Nowack19'!A:A,'Compartments_Kawecki&amp;Nowack19'!B:B,_xlfn.XLOOKUP(L227,Compartments_Added!A:A,Compartments_Added!B:B))="Stock","OK stock","OK flow"),IF(_xlfn.XLOOKUP(L227,'Compartments_Kawecki&amp;Nowack19'!A:A,'Compartments_Kawecki&amp;Nowack19'!B:B,_xlfn.XLOOKUP(L227,Compartments_Added!A:A,Compartments_Added!B:B))="Sink","OK, Sink","Missing"))</f>
        <v>OK stock</v>
      </c>
      <c r="N227" s="7"/>
      <c r="R227" t="str">
        <f t="shared" si="7"/>
        <v>OK</v>
      </c>
    </row>
    <row r="228" spans="10:18">
      <c r="K228" s="311" t="str">
        <f>IF(ISBLANK(J228),"",IF(COUNTIF(L:L,J228),IF(_xlfn.XLOOKUP(J228,'Compartments_Kawecki&amp;Nowack19'!A:A,'Compartments_Kawecki&amp;Nowack19'!B:B,_xlfn.XLOOKUP(J228,Compartments_Added!A:A,Compartments_Added!B:B))="Stock","OK stock","OK flow"),IF(COUNTIF($G$4:$G$18,J228),IF(COUNTIF($E$4:$E$18,J228),"OK input","Missing"),"Missing")))</f>
        <v/>
      </c>
      <c r="L228" t="str">
        <v>Other paint uses (DIY) outdoor</v>
      </c>
      <c r="M228" s="311" t="str">
        <f>IF(COUNTIF(J:J,L228),IF(_xlfn.XLOOKUP(L228,'Compartments_Kawecki&amp;Nowack19'!A:A,'Compartments_Kawecki&amp;Nowack19'!B:B,_xlfn.XLOOKUP(L228,Compartments_Added!A:A,Compartments_Added!B:B))="Stock","OK stock","OK flow"),IF(_xlfn.XLOOKUP(L228,'Compartments_Kawecki&amp;Nowack19'!A:A,'Compartments_Kawecki&amp;Nowack19'!B:B,_xlfn.XLOOKUP(L228,Compartments_Added!A:A,Compartments_Added!B:B))="Sink","OK, Sink","Missing"))</f>
        <v>OK flow</v>
      </c>
      <c r="N228" s="7"/>
      <c r="R228" t="str">
        <f t="shared" si="7"/>
        <v>OK</v>
      </c>
    </row>
    <row r="229" spans="10:18">
      <c r="K229" s="311" t="str">
        <f>IF(ISBLANK(J229),"",IF(COUNTIF(L:L,J229),IF(_xlfn.XLOOKUP(J229,'Compartments_Kawecki&amp;Nowack19'!A:A,'Compartments_Kawecki&amp;Nowack19'!B:B,_xlfn.XLOOKUP(J229,Compartments_Added!A:A,Compartments_Added!B:B))="Stock","OK stock","OK flow"),IF(COUNTIF($G$4:$G$18,J229),IF(COUNTIF($E$4:$E$18,J229),"OK input","Missing"),"Missing")))</f>
        <v/>
      </c>
      <c r="L229" t="str">
        <v>Other paint uses (DIY) indoor</v>
      </c>
      <c r="M229" s="311" t="str">
        <f>IF(COUNTIF(J:J,L229),IF(_xlfn.XLOOKUP(L229,'Compartments_Kawecki&amp;Nowack19'!A:A,'Compartments_Kawecki&amp;Nowack19'!B:B,_xlfn.XLOOKUP(L229,Compartments_Added!A:A,Compartments_Added!B:B))="Stock","OK stock","OK flow"),IF(_xlfn.XLOOKUP(L229,'Compartments_Kawecki&amp;Nowack19'!A:A,'Compartments_Kawecki&amp;Nowack19'!B:B,_xlfn.XLOOKUP(L229,Compartments_Added!A:A,Compartments_Added!B:B))="Sink","OK, Sink","Missing"))</f>
        <v>OK flow</v>
      </c>
      <c r="N229" s="7"/>
      <c r="R229" t="str">
        <f t="shared" si="7"/>
        <v>OK</v>
      </c>
    </row>
    <row r="230" spans="10:18">
      <c r="K230" s="311" t="str">
        <f>IF(ISBLANK(J230),"",IF(COUNTIF(L:L,J230),IF(_xlfn.XLOOKUP(J230,'Compartments_Kawecki&amp;Nowack19'!A:A,'Compartments_Kawecki&amp;Nowack19'!B:B,_xlfn.XLOOKUP(J230,Compartments_Added!A:A,Compartments_Added!B:B))="Stock","OK stock","OK flow"),IF(COUNTIF($G$4:$G$18,J230),IF(COUNTIF($E$4:$E$18,J230),"OK input","Missing"),"Missing")))</f>
        <v/>
      </c>
      <c r="L230" t="str">
        <v>Other paint uses (DIY) outdoor (in use)</v>
      </c>
      <c r="M230" s="311" t="str">
        <f>IF(COUNTIF(J:J,L230),IF(_xlfn.XLOOKUP(L230,'Compartments_Kawecki&amp;Nowack19'!A:A,'Compartments_Kawecki&amp;Nowack19'!B:B,_xlfn.XLOOKUP(L230,Compartments_Added!A:A,Compartments_Added!B:B))="Stock","OK stock","OK flow"),IF(_xlfn.XLOOKUP(L230,'Compartments_Kawecki&amp;Nowack19'!A:A,'Compartments_Kawecki&amp;Nowack19'!B:B,_xlfn.XLOOKUP(L230,Compartments_Added!A:A,Compartments_Added!B:B))="Sink","OK, Sink","Missing"))</f>
        <v>OK stock</v>
      </c>
      <c r="N230" s="7"/>
      <c r="R230" t="str">
        <f t="shared" si="7"/>
        <v>OK</v>
      </c>
    </row>
    <row r="231" spans="10:18">
      <c r="K231" s="311" t="str">
        <f>IF(ISBLANK(J231),"",IF(COUNTIF(L:L,J231),IF(_xlfn.XLOOKUP(J231,'Compartments_Kawecki&amp;Nowack19'!A:A,'Compartments_Kawecki&amp;Nowack19'!B:B,_xlfn.XLOOKUP(J231,Compartments_Added!A:A,Compartments_Added!B:B))="Stock","OK stock","OK flow"),IF(COUNTIF($G$4:$G$18,J231),IF(COUNTIF($E$4:$E$18,J231),"OK input","Missing"),"Missing")))</f>
        <v/>
      </c>
      <c r="L231" t="str">
        <v>Other paint uses (DIY) outdoor (discarded)</v>
      </c>
      <c r="M231" s="311" t="str">
        <f>IF(COUNTIF(J:J,L231),IF(_xlfn.XLOOKUP(L231,'Compartments_Kawecki&amp;Nowack19'!A:A,'Compartments_Kawecki&amp;Nowack19'!B:B,_xlfn.XLOOKUP(L231,Compartments_Added!A:A,Compartments_Added!B:B))="Stock","OK stock","OK flow"),IF(_xlfn.XLOOKUP(L231,'Compartments_Kawecki&amp;Nowack19'!A:A,'Compartments_Kawecki&amp;Nowack19'!B:B,_xlfn.XLOOKUP(L231,Compartments_Added!A:A,Compartments_Added!B:B))="Sink","OK, Sink","Missing"))</f>
        <v>OK stock</v>
      </c>
      <c r="N231" s="7"/>
      <c r="R231" t="str">
        <f t="shared" si="7"/>
        <v>OK</v>
      </c>
    </row>
    <row r="232" spans="10:18">
      <c r="K232" s="311" t="str">
        <f>IF(ISBLANK(J232),"",IF(COUNTIF(L:L,J232),IF(_xlfn.XLOOKUP(J232,'Compartments_Kawecki&amp;Nowack19'!A:A,'Compartments_Kawecki&amp;Nowack19'!B:B,_xlfn.XLOOKUP(J232,Compartments_Added!A:A,Compartments_Added!B:B))="Stock","OK stock","OK flow"),IF(COUNTIF($G$4:$G$18,J232),IF(COUNTIF($E$4:$E$18,J232),"OK input","Missing"),"Missing")))</f>
        <v/>
      </c>
      <c r="L232" t="str">
        <v>Other paint uses (DIY) indoor (in use)</v>
      </c>
      <c r="M232" s="311" t="str">
        <f>IF(COUNTIF(J:J,L232),IF(_xlfn.XLOOKUP(L232,'Compartments_Kawecki&amp;Nowack19'!A:A,'Compartments_Kawecki&amp;Nowack19'!B:B,_xlfn.XLOOKUP(L232,Compartments_Added!A:A,Compartments_Added!B:B))="Stock","OK stock","OK flow"),IF(_xlfn.XLOOKUP(L232,'Compartments_Kawecki&amp;Nowack19'!A:A,'Compartments_Kawecki&amp;Nowack19'!B:B,_xlfn.XLOOKUP(L232,Compartments_Added!A:A,Compartments_Added!B:B))="Sink","OK, Sink","Missing"))</f>
        <v>OK stock</v>
      </c>
      <c r="N232" s="7"/>
      <c r="R232" t="str">
        <f t="shared" si="7"/>
        <v>OK</v>
      </c>
    </row>
    <row r="233" spans="10:18">
      <c r="K233" s="311" t="str">
        <f>IF(ISBLANK(J233),"",IF(COUNTIF(L:L,J233),IF(_xlfn.XLOOKUP(J233,'Compartments_Kawecki&amp;Nowack19'!A:A,'Compartments_Kawecki&amp;Nowack19'!B:B,_xlfn.XLOOKUP(J233,Compartments_Added!A:A,Compartments_Added!B:B))="Stock","OK stock","OK flow"),IF(COUNTIF($G$4:$G$18,J233),IF(COUNTIF($E$4:$E$18,J233),"OK input","Missing"),"Missing")))</f>
        <v/>
      </c>
      <c r="L233" t="str">
        <v>Other paint uses (DIY) indoor (discarded)</v>
      </c>
      <c r="M233" s="311" t="str">
        <f>IF(COUNTIF(J:J,L233),IF(_xlfn.XLOOKUP(L233,'Compartments_Kawecki&amp;Nowack19'!A:A,'Compartments_Kawecki&amp;Nowack19'!B:B,_xlfn.XLOOKUP(L233,Compartments_Added!A:A,Compartments_Added!B:B))="Stock","OK stock","OK flow"),IF(_xlfn.XLOOKUP(L233,'Compartments_Kawecki&amp;Nowack19'!A:A,'Compartments_Kawecki&amp;Nowack19'!B:B,_xlfn.XLOOKUP(L233,Compartments_Added!A:A,Compartments_Added!B:B))="Sink","OK, Sink","Missing"))</f>
        <v>OK stock</v>
      </c>
      <c r="N233" s="7"/>
      <c r="R233" t="str">
        <f t="shared" si="7"/>
        <v>OK</v>
      </c>
    </row>
    <row r="234" spans="10:18">
      <c r="K234" s="311" t="str">
        <f>IF(ISBLANK(J234),"",IF(COUNTIF(L:L,J234),IF(_xlfn.XLOOKUP(J234,'Compartments_Kawecki&amp;Nowack19'!A:A,'Compartments_Kawecki&amp;Nowack19'!B:B,_xlfn.XLOOKUP(J234,Compartments_Added!A:A,Compartments_Added!B:B))="Stock","OK stock","OK flow"),IF(COUNTIF($G$4:$G$18,J234),IF(COUNTIF($E$4:$E$18,J234),"OK input","Missing"),"Missing")))</f>
        <v/>
      </c>
      <c r="L234">
        <v>0</v>
      </c>
      <c r="M234" s="311" t="e">
        <f>IF(COUNTIF(J:J,L234),IF(_xlfn.XLOOKUP(L234,'Compartments_Kawecki&amp;Nowack19'!A:A,'Compartments_Kawecki&amp;Nowack19'!B:B,_xlfn.XLOOKUP(L234,Compartments_Added!A:A,Compartments_Added!B:B))="Stock","OK stock","OK flow"),IF(_xlfn.XLOOKUP(L234,'Compartments_Kawecki&amp;Nowack19'!A:A,'Compartments_Kawecki&amp;Nowack19'!B:B,_xlfn.XLOOKUP(L234,Compartments_Added!A:A,Compartments_Added!B:B))="Sink","OK, Sink","Missing"))</f>
        <v>#N/A</v>
      </c>
      <c r="N234" s="7"/>
      <c r="R234" t="str">
        <f t="shared" si="7"/>
        <v>OK</v>
      </c>
    </row>
    <row r="235" spans="10:18">
      <c r="K235" s="311" t="str">
        <f>IF(ISBLANK(J235),"",IF(COUNTIF(L:L,J235),IF(_xlfn.XLOOKUP(J235,'Compartments_Kawecki&amp;Nowack19'!A:A,'Compartments_Kawecki&amp;Nowack19'!B:B,_xlfn.XLOOKUP(J235,Compartments_Added!A:A,Compartments_Added!B:B))="Stock","OK stock","OK flow"),IF(COUNTIF($G$4:$G$18,J235),IF(COUNTIF($E$4:$E$18,J235),"OK input","Missing"),"Missing")))</f>
        <v/>
      </c>
      <c r="M235" s="311" t="str">
        <f>IF(COUNTIF(J:J,L235),IF(_xlfn.XLOOKUP(L235,'Compartments_Kawecki&amp;Nowack19'!A:A,'Compartments_Kawecki&amp;Nowack19'!B:B,_xlfn.XLOOKUP(L235,Compartments_Added!A:A,Compartments_Added!B:B))="Stock","OK stock","OK flow"),IF(_xlfn.XLOOKUP(L235,'Compartments_Kawecki&amp;Nowack19'!A:A,'Compartments_Kawecki&amp;Nowack19'!B:B,_xlfn.XLOOKUP(L235,Compartments_Added!A:A,Compartments_Added!B:B))="Sink","OK, Sink","Missing"))</f>
        <v>OK flow</v>
      </c>
      <c r="N235" s="7"/>
      <c r="R235" t="str">
        <f t="shared" si="7"/>
        <v>OK</v>
      </c>
    </row>
    <row r="236" spans="10:18">
      <c r="K236" s="311" t="str">
        <f>IF(ISBLANK(J236),"",IF(COUNTIF(L:L,J236),IF(_xlfn.XLOOKUP(J236,'Compartments_Kawecki&amp;Nowack19'!A:A,'Compartments_Kawecki&amp;Nowack19'!B:B,_xlfn.XLOOKUP(J236,Compartments_Added!A:A,Compartments_Added!B:B))="Stock","OK stock","OK flow"),IF(COUNTIF($G$4:$G$18,J236),IF(COUNTIF($E$4:$E$18,J236),"OK input","Missing"),"Missing")))</f>
        <v/>
      </c>
      <c r="M236" s="311" t="e">
        <f>IF(COUNTIF(J:J,L236),IF(_xlfn.XLOOKUP(L236,'Compartments_Kawecki&amp;Nowack19'!A:A,'Compartments_Kawecki&amp;Nowack19'!B:B,_xlfn.XLOOKUP(L236,Compartments_Added!A:A,Compartments_Added!B:B))="Stock","OK stock","OK flow"),IF(_xlfn.XLOOKUP(L236,'Compartments_Kawecki&amp;Nowack19'!A:A,'Compartments_Kawecki&amp;Nowack19'!B:B,_xlfn.XLOOKUP(L236,Compartments_Added!A:A,Compartments_Added!B:B))="Sink","OK, Sink","Missing"))</f>
        <v>#N/A</v>
      </c>
    </row>
    <row r="237" spans="10:18">
      <c r="K237" s="311" t="str">
        <f>IF(ISBLANK(J237),"",IF(COUNTIF(L:L,J237),IF(_xlfn.XLOOKUP(J237,'Compartments_Kawecki&amp;Nowack19'!A:A,'Compartments_Kawecki&amp;Nowack19'!B:B,_xlfn.XLOOKUP(J237,Compartments_Added!A:A,Compartments_Added!B:B))="Stock","OK stock","OK flow"),IF(COUNTIF($G$4:$G$18,J237),IF(COUNTIF($E$4:$E$18,J237),"OK input","Missing"),"Missing")))</f>
        <v/>
      </c>
      <c r="M237" s="311" t="e">
        <f>IF(COUNTIF(J:J,L237),IF(_xlfn.XLOOKUP(L237,'Compartments_Kawecki&amp;Nowack19'!A:A,'Compartments_Kawecki&amp;Nowack19'!B:B,_xlfn.XLOOKUP(L237,Compartments_Added!A:A,Compartments_Added!B:B))="Stock","OK stock","OK flow"),IF(_xlfn.XLOOKUP(L237,'Compartments_Kawecki&amp;Nowack19'!A:A,'Compartments_Kawecki&amp;Nowack19'!B:B,_xlfn.XLOOKUP(L237,Compartments_Added!A:A,Compartments_Added!B:B))="Sink","OK, Sink","Missing"))</f>
        <v>#N/A</v>
      </c>
    </row>
    <row r="238" spans="10:18">
      <c r="K238" s="311" t="str">
        <f>IF(ISBLANK(J238),"",IF(COUNTIF(L:L,J238),IF(_xlfn.XLOOKUP(J238,'Compartments_Kawecki&amp;Nowack19'!A:A,'Compartments_Kawecki&amp;Nowack19'!B:B,_xlfn.XLOOKUP(J238,Compartments_Added!A:A,Compartments_Added!B:B))="Stock","OK stock","OK flow"),IF(COUNTIF($G$4:$G$18,J238),IF(COUNTIF($E$4:$E$18,J238),"OK input","Missing"),"Missing")))</f>
        <v/>
      </c>
      <c r="M238" s="311" t="e">
        <f>IF(COUNTIF(J:J,L238),IF(_xlfn.XLOOKUP(L238,'Compartments_Kawecki&amp;Nowack19'!A:A,'Compartments_Kawecki&amp;Nowack19'!B:B,_xlfn.XLOOKUP(L238,Compartments_Added!A:A,Compartments_Added!B:B))="Stock","OK stock","OK flow"),IF(_xlfn.XLOOKUP(L238,'Compartments_Kawecki&amp;Nowack19'!A:A,'Compartments_Kawecki&amp;Nowack19'!B:B,_xlfn.XLOOKUP(L238,Compartments_Added!A:A,Compartments_Added!B:B))="Sink","OK, Sink","Missing"))</f>
        <v>#N/A</v>
      </c>
    </row>
    <row r="239" spans="10:18">
      <c r="K239" s="311" t="str">
        <f>IF(ISBLANK(J239),"",IF(COUNTIF(L:L,J239),IF(_xlfn.XLOOKUP(J239,'Compartments_Kawecki&amp;Nowack19'!A:A,'Compartments_Kawecki&amp;Nowack19'!B:B,_xlfn.XLOOKUP(J239,Compartments_Added!A:A,Compartments_Added!B:B))="Stock","OK stock","OK flow"),IF(COUNTIF($G$4:$G$18,J239),IF(COUNTIF($E$4:$E$18,J239),"OK input","Missing"),"Missing")))</f>
        <v/>
      </c>
      <c r="M239" s="311" t="e">
        <f>IF(COUNTIF(J:J,L239),IF(_xlfn.XLOOKUP(L239,'Compartments_Kawecki&amp;Nowack19'!A:A,'Compartments_Kawecki&amp;Nowack19'!B:B,_xlfn.XLOOKUP(L239,Compartments_Added!A:A,Compartments_Added!B:B))="Stock","OK stock","OK flow"),IF(_xlfn.XLOOKUP(L239,'Compartments_Kawecki&amp;Nowack19'!A:A,'Compartments_Kawecki&amp;Nowack19'!B:B,_xlfn.XLOOKUP(L239,Compartments_Added!A:A,Compartments_Added!B:B))="Sink","OK, Sink","Missing"))</f>
        <v>#N/A</v>
      </c>
    </row>
    <row r="240" spans="10:18">
      <c r="K240" s="311" t="str">
        <f>IF(ISBLANK(J240),"",IF(COUNTIF(L:L,J240),IF(_xlfn.XLOOKUP(J240,'Compartments_Kawecki&amp;Nowack19'!A:A,'Compartments_Kawecki&amp;Nowack19'!B:B,_xlfn.XLOOKUP(J240,Compartments_Added!A:A,Compartments_Added!B:B))="Stock","OK stock","OK flow"),IF(COUNTIF($G$4:$G$18,J240),IF(COUNTIF($E$4:$E$18,J240),"OK input","Missing"),"Missing")))</f>
        <v/>
      </c>
      <c r="M240" s="311" t="e">
        <f>IF(COUNTIF(J:J,L240),IF(_xlfn.XLOOKUP(L240,'Compartments_Kawecki&amp;Nowack19'!A:A,'Compartments_Kawecki&amp;Nowack19'!B:B,_xlfn.XLOOKUP(L240,Compartments_Added!A:A,Compartments_Added!B:B))="Stock","OK stock","OK flow"),IF(_xlfn.XLOOKUP(L240,'Compartments_Kawecki&amp;Nowack19'!A:A,'Compartments_Kawecki&amp;Nowack19'!B:B,_xlfn.XLOOKUP(L240,Compartments_Added!A:A,Compartments_Added!B:B))="Sink","OK, Sink","Missing"))</f>
        <v>#N/A</v>
      </c>
    </row>
    <row r="241" spans="11:13">
      <c r="K241" s="311" t="str">
        <f>IF(ISBLANK(J241),"",IF(COUNTIF(L:L,J241),IF(_xlfn.XLOOKUP(J241,'Compartments_Kawecki&amp;Nowack19'!A:A,'Compartments_Kawecki&amp;Nowack19'!B:B,_xlfn.XLOOKUP(J241,Compartments_Added!A:A,Compartments_Added!B:B))="Stock","OK stock","OK flow"),IF(COUNTIF($G$4:$G$18,J241),IF(COUNTIF($E$4:$E$18,J241),"OK input","Missing"),"Missing")))</f>
        <v/>
      </c>
      <c r="M241" s="311" t="e">
        <f>IF(COUNTIF(J:J,L241),IF(_xlfn.XLOOKUP(L241,'Compartments_Kawecki&amp;Nowack19'!A:A,'Compartments_Kawecki&amp;Nowack19'!B:B,_xlfn.XLOOKUP(L241,Compartments_Added!A:A,Compartments_Added!B:B))="Stock","OK stock","OK flow"),IF(_xlfn.XLOOKUP(L241,'Compartments_Kawecki&amp;Nowack19'!A:A,'Compartments_Kawecki&amp;Nowack19'!B:B,_xlfn.XLOOKUP(L241,Compartments_Added!A:A,Compartments_Added!B:B))="Sink","OK, Sink","Missing"))</f>
        <v>#N/A</v>
      </c>
    </row>
    <row r="242" spans="11:13">
      <c r="K242" s="311" t="str">
        <f>IF(ISBLANK(J242),"",IF(COUNTIF(L:L,J242),IF(_xlfn.XLOOKUP(J242,'Compartments_Kawecki&amp;Nowack19'!A:A,'Compartments_Kawecki&amp;Nowack19'!B:B,_xlfn.XLOOKUP(J242,Compartments_Added!A:A,Compartments_Added!B:B))="Stock","OK stock","OK flow"),IF(COUNTIF($G$4:$G$18,J242),IF(COUNTIF($E$4:$E$18,J242),"OK input","Missing"),"Missing")))</f>
        <v/>
      </c>
      <c r="M242" s="311" t="e">
        <f>IF(COUNTIF(J:J,L242),IF(_xlfn.XLOOKUP(L242,'Compartments_Kawecki&amp;Nowack19'!A:A,'Compartments_Kawecki&amp;Nowack19'!B:B,_xlfn.XLOOKUP(L242,Compartments_Added!A:A,Compartments_Added!B:B))="Stock","OK stock","OK flow"),IF(_xlfn.XLOOKUP(L242,'Compartments_Kawecki&amp;Nowack19'!A:A,'Compartments_Kawecki&amp;Nowack19'!B:B,_xlfn.XLOOKUP(L242,Compartments_Added!A:A,Compartments_Added!B:B))="Sink","OK, Sink","Missing"))</f>
        <v>#N/A</v>
      </c>
    </row>
    <row r="243" spans="11:13">
      <c r="K243" s="311" t="str">
        <f>IF(ISBLANK(J243),"",IF(COUNTIF(L:L,J243),IF(_xlfn.XLOOKUP(J243,'Compartments_Kawecki&amp;Nowack19'!A:A,'Compartments_Kawecki&amp;Nowack19'!B:B,_xlfn.XLOOKUP(J243,Compartments_Added!A:A,Compartments_Added!B:B))="Stock","OK stock","OK flow"),IF(COUNTIF($G$4:$G$18,J243),IF(COUNTIF($E$4:$E$18,J243),"OK input","Missing"),"Missing")))</f>
        <v/>
      </c>
      <c r="M243" s="311" t="e">
        <f>IF(COUNTIF(J:J,L243),IF(_xlfn.XLOOKUP(L243,'Compartments_Kawecki&amp;Nowack19'!A:A,'Compartments_Kawecki&amp;Nowack19'!B:B,_xlfn.XLOOKUP(L243,Compartments_Added!A:A,Compartments_Added!B:B))="Stock","OK stock","OK flow"),IF(_xlfn.XLOOKUP(L243,'Compartments_Kawecki&amp;Nowack19'!A:A,'Compartments_Kawecki&amp;Nowack19'!B:B,_xlfn.XLOOKUP(L243,Compartments_Added!A:A,Compartments_Added!B:B))="Sink","OK, Sink","Missing"))</f>
        <v>#N/A</v>
      </c>
    </row>
    <row r="244" spans="11:13">
      <c r="K244" s="311" t="str">
        <f>IF(ISBLANK(J244),"",IF(COUNTIF(L:L,J244),IF(_xlfn.XLOOKUP(J244,'Compartments_Kawecki&amp;Nowack19'!A:A,'Compartments_Kawecki&amp;Nowack19'!B:B,_xlfn.XLOOKUP(J244,Compartments_Added!A:A,Compartments_Added!B:B))="Stock","OK stock","OK flow"),IF(COUNTIF($G$4:$G$18,J244),IF(COUNTIF($E$4:$E$18,J244),"OK input","Missing"),"Missing")))</f>
        <v/>
      </c>
      <c r="M244" s="311" t="e">
        <f>IF(COUNTIF(J:J,L244),IF(_xlfn.XLOOKUP(L244,'Compartments_Kawecki&amp;Nowack19'!A:A,'Compartments_Kawecki&amp;Nowack19'!B:B,_xlfn.XLOOKUP(L244,Compartments_Added!A:A,Compartments_Added!B:B))="Stock","OK stock","OK flow"),IF(_xlfn.XLOOKUP(L244,'Compartments_Kawecki&amp;Nowack19'!A:A,'Compartments_Kawecki&amp;Nowack19'!B:B,_xlfn.XLOOKUP(L244,Compartments_Added!A:A,Compartments_Added!B:B))="Sink","OK, Sink","Missing"))</f>
        <v>#N/A</v>
      </c>
    </row>
    <row r="245" spans="11:13">
      <c r="K245" s="311" t="str">
        <f>IF(ISBLANK(J245),"",IF(COUNTIF(L:L,J245),IF(_xlfn.XLOOKUP(J245,'Compartments_Kawecki&amp;Nowack19'!A:A,'Compartments_Kawecki&amp;Nowack19'!B:B,_xlfn.XLOOKUP(J245,Compartments_Added!A:A,Compartments_Added!B:B))="Stock","OK stock","OK flow"),IF(COUNTIF($G$4:$G$18,J245),IF(COUNTIF($E$4:$E$18,J245),"OK input","Missing"),"Missing")))</f>
        <v/>
      </c>
      <c r="M245" s="311" t="e">
        <f>IF(COUNTIF(J:J,L245),IF(_xlfn.XLOOKUP(L245,'Compartments_Kawecki&amp;Nowack19'!A:A,'Compartments_Kawecki&amp;Nowack19'!B:B,_xlfn.XLOOKUP(L245,Compartments_Added!A:A,Compartments_Added!B:B))="Stock","OK stock","OK flow"),IF(_xlfn.XLOOKUP(L245,'Compartments_Kawecki&amp;Nowack19'!A:A,'Compartments_Kawecki&amp;Nowack19'!B:B,_xlfn.XLOOKUP(L245,Compartments_Added!A:A,Compartments_Added!B:B))="Sink","OK, Sink","Missing"))</f>
        <v>#N/A</v>
      </c>
    </row>
    <row r="246" spans="11:13">
      <c r="K246" s="311" t="str">
        <f>IF(ISBLANK(J246),"",IF(COUNTIF(L:L,J246),IF(_xlfn.XLOOKUP(J246,'Compartments_Kawecki&amp;Nowack19'!A:A,'Compartments_Kawecki&amp;Nowack19'!B:B,_xlfn.XLOOKUP(J246,Compartments_Added!A:A,Compartments_Added!B:B))="Stock","OK stock","OK flow"),IF(COUNTIF($G$4:$G$18,J246),IF(COUNTIF($E$4:$E$18,J246),"OK input","Missing"),"Missing")))</f>
        <v/>
      </c>
      <c r="M246" s="311" t="e">
        <f>IF(COUNTIF(J:J,L246),IF(_xlfn.XLOOKUP(L246,'Compartments_Kawecki&amp;Nowack19'!A:A,'Compartments_Kawecki&amp;Nowack19'!B:B,_xlfn.XLOOKUP(L246,Compartments_Added!A:A,Compartments_Added!B:B))="Stock","OK stock","OK flow"),IF(_xlfn.XLOOKUP(L246,'Compartments_Kawecki&amp;Nowack19'!A:A,'Compartments_Kawecki&amp;Nowack19'!B:B,_xlfn.XLOOKUP(L246,Compartments_Added!A:A,Compartments_Added!B:B))="Sink","OK, Sink","Missing"))</f>
        <v>#N/A</v>
      </c>
    </row>
    <row r="247" spans="11:13">
      <c r="K247" s="311" t="str">
        <f>IF(ISBLANK(J247),"",IF(COUNTIF(L:L,J247),IF(_xlfn.XLOOKUP(J247,'Compartments_Kawecki&amp;Nowack19'!A:A,'Compartments_Kawecki&amp;Nowack19'!B:B,_xlfn.XLOOKUP(J247,Compartments_Added!A:A,Compartments_Added!B:B))="Stock","OK stock","OK flow"),IF(COUNTIF($G$4:$G$18,J247),IF(COUNTIF($E$4:$E$18,J247),"OK input","Missing"),"Missing")))</f>
        <v/>
      </c>
      <c r="M247" s="311" t="e">
        <f>IF(COUNTIF(J:J,L247),IF(_xlfn.XLOOKUP(L247,'Compartments_Kawecki&amp;Nowack19'!A:A,'Compartments_Kawecki&amp;Nowack19'!B:B,_xlfn.XLOOKUP(L247,Compartments_Added!A:A,Compartments_Added!B:B))="Stock","OK stock","OK flow"),IF(_xlfn.XLOOKUP(L247,'Compartments_Kawecki&amp;Nowack19'!A:A,'Compartments_Kawecki&amp;Nowack19'!B:B,_xlfn.XLOOKUP(L247,Compartments_Added!A:A,Compartments_Added!B:B))="Sink","OK, Sink","Missing"))</f>
        <v>#N/A</v>
      </c>
    </row>
    <row r="248" spans="11:13">
      <c r="K248" s="311" t="str">
        <f>IF(ISBLANK(J248),"",IF(COUNTIF(L:L,J248),IF(_xlfn.XLOOKUP(J248,'Compartments_Kawecki&amp;Nowack19'!A:A,'Compartments_Kawecki&amp;Nowack19'!B:B,_xlfn.XLOOKUP(J248,Compartments_Added!A:A,Compartments_Added!B:B))="Stock","OK stock","OK flow"),IF(COUNTIF($G$4:$G$18,J248),IF(COUNTIF($E$4:$E$18,J248),"OK input","Missing"),"Missing")))</f>
        <v/>
      </c>
      <c r="M248" s="311" t="e">
        <f>IF(COUNTIF(J:J,L248),IF(_xlfn.XLOOKUP(L248,'Compartments_Kawecki&amp;Nowack19'!A:A,'Compartments_Kawecki&amp;Nowack19'!B:B,_xlfn.XLOOKUP(L248,Compartments_Added!A:A,Compartments_Added!B:B))="Stock","OK stock","OK flow"),IF(_xlfn.XLOOKUP(L248,'Compartments_Kawecki&amp;Nowack19'!A:A,'Compartments_Kawecki&amp;Nowack19'!B:B,_xlfn.XLOOKUP(L248,Compartments_Added!A:A,Compartments_Added!B:B))="Sink","OK, Sink","Missing"))</f>
        <v>#N/A</v>
      </c>
    </row>
    <row r="249" spans="11:13">
      <c r="K249" s="311" t="str">
        <f>IF(ISBLANK(J249),"",IF(COUNTIF(L:L,J249),IF(_xlfn.XLOOKUP(J249,'Compartments_Kawecki&amp;Nowack19'!A:A,'Compartments_Kawecki&amp;Nowack19'!B:B,_xlfn.XLOOKUP(J249,Compartments_Added!A:A,Compartments_Added!B:B))="Stock","OK stock","OK flow"),IF(COUNTIF($G$4:$G$18,J249),IF(COUNTIF($E$4:$E$18,J249),"OK input","Missing"),"Missing")))</f>
        <v/>
      </c>
      <c r="M249" s="311" t="e">
        <f>IF(COUNTIF(J:J,L249),IF(_xlfn.XLOOKUP(L249,'Compartments_Kawecki&amp;Nowack19'!A:A,'Compartments_Kawecki&amp;Nowack19'!B:B,_xlfn.XLOOKUP(L249,Compartments_Added!A:A,Compartments_Added!B:B))="Stock","OK stock","OK flow"),IF(_xlfn.XLOOKUP(L249,'Compartments_Kawecki&amp;Nowack19'!A:A,'Compartments_Kawecki&amp;Nowack19'!B:B,_xlfn.XLOOKUP(L249,Compartments_Added!A:A,Compartments_Added!B:B))="Sink","OK, Sink","Missing"))</f>
        <v>#N/A</v>
      </c>
    </row>
    <row r="250" spans="11:13">
      <c r="K250" s="311" t="str">
        <f>IF(ISBLANK(J250),"",IF(COUNTIF(L:L,J250),IF(_xlfn.XLOOKUP(J250,'Compartments_Kawecki&amp;Nowack19'!A:A,'Compartments_Kawecki&amp;Nowack19'!B:B,_xlfn.XLOOKUP(J250,Compartments_Added!A:A,Compartments_Added!B:B))="Stock","OK stock","OK flow"),IF(COUNTIF($G$4:$G$18,J250),IF(COUNTIF($E$4:$E$18,J250),"OK input","Missing"),"Missing")))</f>
        <v/>
      </c>
      <c r="M250" s="311" t="e">
        <f>IF(COUNTIF(J:J,L250),IF(_xlfn.XLOOKUP(L250,'Compartments_Kawecki&amp;Nowack19'!A:A,'Compartments_Kawecki&amp;Nowack19'!B:B,_xlfn.XLOOKUP(L250,Compartments_Added!A:A,Compartments_Added!B:B))="Stock","OK stock","OK flow"),IF(_xlfn.XLOOKUP(L250,'Compartments_Kawecki&amp;Nowack19'!A:A,'Compartments_Kawecki&amp;Nowack19'!B:B,_xlfn.XLOOKUP(L250,Compartments_Added!A:A,Compartments_Added!B:B))="Sink","OK, Sink","Missing"))</f>
        <v>#N/A</v>
      </c>
    </row>
    <row r="251" spans="11:13">
      <c r="K251" s="311" t="str">
        <f>IF(ISBLANK(J251),"",IF(COUNTIF(L:L,J251),IF(_xlfn.XLOOKUP(J251,'Compartments_Kawecki&amp;Nowack19'!A:A,'Compartments_Kawecki&amp;Nowack19'!B:B,_xlfn.XLOOKUP(J251,Compartments_Added!A:A,Compartments_Added!B:B))="Stock","OK stock","OK flow"),IF(COUNTIF($G$4:$G$18,J251),IF(COUNTIF($E$4:$E$18,J251),"OK input","Missing"),"Missing")))</f>
        <v/>
      </c>
      <c r="M251" s="311" t="e">
        <f>IF(COUNTIF(J:J,L251),IF(_xlfn.XLOOKUP(L251,'Compartments_Kawecki&amp;Nowack19'!A:A,'Compartments_Kawecki&amp;Nowack19'!B:B,_xlfn.XLOOKUP(L251,Compartments_Added!A:A,Compartments_Added!B:B))="Stock","OK stock","OK flow"),IF(_xlfn.XLOOKUP(L251,'Compartments_Kawecki&amp;Nowack19'!A:A,'Compartments_Kawecki&amp;Nowack19'!B:B,_xlfn.XLOOKUP(L251,Compartments_Added!A:A,Compartments_Added!B:B))="Sink","OK, Sink","Missing"))</f>
        <v>#N/A</v>
      </c>
    </row>
    <row r="252" spans="11:13">
      <c r="K252" s="311" t="str">
        <f>IF(ISBLANK(J252),"",IF(COUNTIF(L:L,J252),IF(_xlfn.XLOOKUP(J252,'Compartments_Kawecki&amp;Nowack19'!A:A,'Compartments_Kawecki&amp;Nowack19'!B:B,_xlfn.XLOOKUP(J252,Compartments_Added!A:A,Compartments_Added!B:B))="Stock","OK stock","OK flow"),IF(COUNTIF($G$4:$G$18,J252),IF(COUNTIF($E$4:$E$18,J252),"OK input","Missing"),"Missing")))</f>
        <v/>
      </c>
      <c r="M252" s="311" t="e">
        <f>IF(COUNTIF(J:J,L252),IF(_xlfn.XLOOKUP(L252,'Compartments_Kawecki&amp;Nowack19'!A:A,'Compartments_Kawecki&amp;Nowack19'!B:B,_xlfn.XLOOKUP(L252,Compartments_Added!A:A,Compartments_Added!B:B))="Stock","OK stock","OK flow"),IF(_xlfn.XLOOKUP(L252,'Compartments_Kawecki&amp;Nowack19'!A:A,'Compartments_Kawecki&amp;Nowack19'!B:B,_xlfn.XLOOKUP(L252,Compartments_Added!A:A,Compartments_Added!B:B))="Sink","OK, Sink","Missing"))</f>
        <v>#N/A</v>
      </c>
    </row>
    <row r="253" spans="11:13">
      <c r="K253" s="311" t="str">
        <f>IF(ISBLANK(J253),"",IF(COUNTIF(L:L,J253),IF(_xlfn.XLOOKUP(J253,'Compartments_Kawecki&amp;Nowack19'!A:A,'Compartments_Kawecki&amp;Nowack19'!B:B,_xlfn.XLOOKUP(J253,Compartments_Added!A:A,Compartments_Added!B:B))="Stock","OK stock","OK flow"),IF(COUNTIF($G$4:$G$18,J253),IF(COUNTIF($E$4:$E$18,J253),"OK input","Missing"),"Missing")))</f>
        <v/>
      </c>
      <c r="M253" s="311" t="e">
        <f>IF(COUNTIF(J:J,L253),IF(_xlfn.XLOOKUP(L253,'Compartments_Kawecki&amp;Nowack19'!A:A,'Compartments_Kawecki&amp;Nowack19'!B:B,_xlfn.XLOOKUP(L253,Compartments_Added!A:A,Compartments_Added!B:B))="Stock","OK stock","OK flow"),IF(_xlfn.XLOOKUP(L253,'Compartments_Kawecki&amp;Nowack19'!A:A,'Compartments_Kawecki&amp;Nowack19'!B:B,_xlfn.XLOOKUP(L253,Compartments_Added!A:A,Compartments_Added!B:B))="Sink","OK, Sink","Missing"))</f>
        <v>#N/A</v>
      </c>
    </row>
    <row r="254" spans="11:13">
      <c r="K254" s="311" t="str">
        <f>IF(ISBLANK(J254),"",IF(COUNTIF(L:L,J254),IF(_xlfn.XLOOKUP(J254,'Compartments_Kawecki&amp;Nowack19'!A:A,'Compartments_Kawecki&amp;Nowack19'!B:B,_xlfn.XLOOKUP(J254,Compartments_Added!A:A,Compartments_Added!B:B))="Stock","OK stock","OK flow"),IF(COUNTIF($G$4:$G$18,J254),IF(COUNTIF($E$4:$E$18,J254),"OK input","Missing"),"Missing")))</f>
        <v/>
      </c>
      <c r="M254" s="311" t="e">
        <f>IF(COUNTIF(J:J,L254),IF(_xlfn.XLOOKUP(L254,'Compartments_Kawecki&amp;Nowack19'!A:A,'Compartments_Kawecki&amp;Nowack19'!B:B,_xlfn.XLOOKUP(L254,Compartments_Added!A:A,Compartments_Added!B:B))="Stock","OK stock","OK flow"),IF(_xlfn.XLOOKUP(L254,'Compartments_Kawecki&amp;Nowack19'!A:A,'Compartments_Kawecki&amp;Nowack19'!B:B,_xlfn.XLOOKUP(L254,Compartments_Added!A:A,Compartments_Added!B:B))="Sink","OK, Sink","Missing"))</f>
        <v>#N/A</v>
      </c>
    </row>
    <row r="255" spans="11:13">
      <c r="K255" s="311" t="str">
        <f>IF(ISBLANK(J255),"",IF(COUNTIF(L:L,J255),IF(_xlfn.XLOOKUP(J255,'Compartments_Kawecki&amp;Nowack19'!A:A,'Compartments_Kawecki&amp;Nowack19'!B:B,_xlfn.XLOOKUP(J255,Compartments_Added!A:A,Compartments_Added!B:B))="Stock","OK stock","OK flow"),IF(COUNTIF($G$4:$G$18,J255),IF(COUNTIF($E$4:$E$18,J255),"OK input","Missing"),"Missing")))</f>
        <v/>
      </c>
      <c r="M255" s="311" t="e">
        <f>IF(COUNTIF(J:J,L255),IF(_xlfn.XLOOKUP(L255,'Compartments_Kawecki&amp;Nowack19'!A:A,'Compartments_Kawecki&amp;Nowack19'!B:B,_xlfn.XLOOKUP(L255,Compartments_Added!A:A,Compartments_Added!B:B))="Stock","OK stock","OK flow"),IF(_xlfn.XLOOKUP(L255,'Compartments_Kawecki&amp;Nowack19'!A:A,'Compartments_Kawecki&amp;Nowack19'!B:B,_xlfn.XLOOKUP(L255,Compartments_Added!A:A,Compartments_Added!B:B))="Sink","OK, Sink","Missing"))</f>
        <v>#N/A</v>
      </c>
    </row>
    <row r="256" spans="11:13">
      <c r="K256" s="311" t="str">
        <f>IF(ISBLANK(J256),"",IF(COUNTIF(L:L,J256),IF(_xlfn.XLOOKUP(J256,'Compartments_Kawecki&amp;Nowack19'!A:A,'Compartments_Kawecki&amp;Nowack19'!B:B,_xlfn.XLOOKUP(J256,Compartments_Added!A:A,Compartments_Added!B:B))="Stock","OK stock","OK flow"),IF(COUNTIF($G$4:$G$18,J256),IF(COUNTIF($E$4:$E$18,J256),"OK input","Missing"),"Missing")))</f>
        <v/>
      </c>
      <c r="M256" s="311" t="e">
        <f>IF(COUNTIF(J:J,L256),IF(_xlfn.XLOOKUP(L256,'Compartments_Kawecki&amp;Nowack19'!A:A,'Compartments_Kawecki&amp;Nowack19'!B:B,_xlfn.XLOOKUP(L256,Compartments_Added!A:A,Compartments_Added!B:B))="Stock","OK stock","OK flow"),IF(_xlfn.XLOOKUP(L256,'Compartments_Kawecki&amp;Nowack19'!A:A,'Compartments_Kawecki&amp;Nowack19'!B:B,_xlfn.XLOOKUP(L256,Compartments_Added!A:A,Compartments_Added!B:B))="Sink","OK, Sink","Missing"))</f>
        <v>#N/A</v>
      </c>
    </row>
    <row r="257" spans="11:13">
      <c r="K257" s="311" t="str">
        <f>IF(ISBLANK(J257),"",IF(COUNTIF(L:L,J257),IF(_xlfn.XLOOKUP(J257,'Compartments_Kawecki&amp;Nowack19'!A:A,'Compartments_Kawecki&amp;Nowack19'!B:B,_xlfn.XLOOKUP(J257,Compartments_Added!A:A,Compartments_Added!B:B))="Stock","OK stock","OK flow"),IF(COUNTIF($G$4:$G$18,J257),IF(COUNTIF($E$4:$E$18,J257),"OK input","Missing"),"Missing")))</f>
        <v/>
      </c>
      <c r="M257" s="311" t="e">
        <f>IF(COUNTIF(J:J,L257),IF(_xlfn.XLOOKUP(L257,'Compartments_Kawecki&amp;Nowack19'!A:A,'Compartments_Kawecki&amp;Nowack19'!B:B,_xlfn.XLOOKUP(L257,Compartments_Added!A:A,Compartments_Added!B:B))="Stock","OK stock","OK flow"),IF(_xlfn.XLOOKUP(L257,'Compartments_Kawecki&amp;Nowack19'!A:A,'Compartments_Kawecki&amp;Nowack19'!B:B,_xlfn.XLOOKUP(L257,Compartments_Added!A:A,Compartments_Added!B:B))="Sink","OK, Sink","Missing"))</f>
        <v>#N/A</v>
      </c>
    </row>
    <row r="258" spans="11:13">
      <c r="K258" s="311" t="str">
        <f>IF(ISBLANK(J258),"",IF(COUNTIF(L:L,J258),IF(_xlfn.XLOOKUP(J258,'Compartments_Kawecki&amp;Nowack19'!A:A,'Compartments_Kawecki&amp;Nowack19'!B:B,_xlfn.XLOOKUP(J258,Compartments_Added!A:A,Compartments_Added!B:B))="Stock","OK stock","OK flow"),IF(COUNTIF($G$4:$G$18,J258),IF(COUNTIF($E$4:$E$18,J258),"OK input","Missing"),"Missing")))</f>
        <v/>
      </c>
      <c r="M258" s="311" t="e">
        <f>IF(COUNTIF(J:J,L258),IF(_xlfn.XLOOKUP(L258,'Compartments_Kawecki&amp;Nowack19'!A:A,'Compartments_Kawecki&amp;Nowack19'!B:B,_xlfn.XLOOKUP(L258,Compartments_Added!A:A,Compartments_Added!B:B))="Stock","OK stock","OK flow"),IF(_xlfn.XLOOKUP(L258,'Compartments_Kawecki&amp;Nowack19'!A:A,'Compartments_Kawecki&amp;Nowack19'!B:B,_xlfn.XLOOKUP(L258,Compartments_Added!A:A,Compartments_Added!B:B))="Sink","OK, Sink","Missing"))</f>
        <v>#N/A</v>
      </c>
    </row>
    <row r="259" spans="11:13">
      <c r="K259" s="311" t="str">
        <f>IF(ISBLANK(J259),"",IF(COUNTIF(L:L,J259),IF(_xlfn.XLOOKUP(J259,'Compartments_Kawecki&amp;Nowack19'!A:A,'Compartments_Kawecki&amp;Nowack19'!B:B,_xlfn.XLOOKUP(J259,Compartments_Added!A:A,Compartments_Added!B:B))="Stock","OK stock","OK flow"),IF(COUNTIF($G$4:$G$18,J259),IF(COUNTIF($E$4:$E$18,J259),"OK input","Missing"),"Missing")))</f>
        <v/>
      </c>
      <c r="M259" s="311" t="e">
        <f>IF(COUNTIF(J:J,L259),IF(_xlfn.XLOOKUP(L259,'Compartments_Kawecki&amp;Nowack19'!A:A,'Compartments_Kawecki&amp;Nowack19'!B:B,_xlfn.XLOOKUP(L259,Compartments_Added!A:A,Compartments_Added!B:B))="Stock","OK stock","OK flow"),IF(_xlfn.XLOOKUP(L259,'Compartments_Kawecki&amp;Nowack19'!A:A,'Compartments_Kawecki&amp;Nowack19'!B:B,_xlfn.XLOOKUP(L259,Compartments_Added!A:A,Compartments_Added!B:B))="Sink","OK, Sink","Missing"))</f>
        <v>#N/A</v>
      </c>
    </row>
    <row r="260" spans="11:13">
      <c r="K260" s="311" t="str">
        <f>IF(ISBLANK(J260),"",IF(COUNTIF(L:L,J260),IF(_xlfn.XLOOKUP(J260,'Compartments_Kawecki&amp;Nowack19'!A:A,'Compartments_Kawecki&amp;Nowack19'!B:B,_xlfn.XLOOKUP(J260,Compartments_Added!A:A,Compartments_Added!B:B))="Stock","OK stock","OK flow"),IF(COUNTIF($G$4:$G$18,J260),IF(COUNTIF($E$4:$E$18,J260),"OK input","Missing"),"Missing")))</f>
        <v/>
      </c>
      <c r="M260" s="311" t="e">
        <f>IF(COUNTIF(J:J,L260),IF(_xlfn.XLOOKUP(L260,'Compartments_Kawecki&amp;Nowack19'!A:A,'Compartments_Kawecki&amp;Nowack19'!B:B,_xlfn.XLOOKUP(L260,Compartments_Added!A:A,Compartments_Added!B:B))="Stock","OK stock","OK flow"),IF(_xlfn.XLOOKUP(L260,'Compartments_Kawecki&amp;Nowack19'!A:A,'Compartments_Kawecki&amp;Nowack19'!B:B,_xlfn.XLOOKUP(L260,Compartments_Added!A:A,Compartments_Added!B:B))="Sink","OK, Sink","Missing"))</f>
        <v>#N/A</v>
      </c>
    </row>
    <row r="261" spans="11:13">
      <c r="K261" s="311" t="str">
        <f>IF(ISBLANK(J261),"",IF(COUNTIF(L:L,J261),IF(_xlfn.XLOOKUP(J261,'Compartments_Kawecki&amp;Nowack19'!A:A,'Compartments_Kawecki&amp;Nowack19'!B:B,_xlfn.XLOOKUP(J261,Compartments_Added!A:A,Compartments_Added!B:B))="Stock","OK stock","OK flow"),IF(COUNTIF($G$4:$G$18,J261),IF(COUNTIF($E$4:$E$18,J261),"OK input","Missing"),"Missing")))</f>
        <v/>
      </c>
      <c r="M261" s="311" t="e">
        <f>IF(COUNTIF(J:J,L261),IF(_xlfn.XLOOKUP(L261,'Compartments_Kawecki&amp;Nowack19'!A:A,'Compartments_Kawecki&amp;Nowack19'!B:B,_xlfn.XLOOKUP(L261,Compartments_Added!A:A,Compartments_Added!B:B))="Stock","OK stock","OK flow"),IF(_xlfn.XLOOKUP(L261,'Compartments_Kawecki&amp;Nowack19'!A:A,'Compartments_Kawecki&amp;Nowack19'!B:B,_xlfn.XLOOKUP(L261,Compartments_Added!A:A,Compartments_Added!B:B))="Sink","OK, Sink","Missing"))</f>
        <v>#N/A</v>
      </c>
    </row>
    <row r="262" spans="11:13">
      <c r="K262" s="311" t="str">
        <f>IF(ISBLANK(J262),"",IF(COUNTIF(L:L,J262),IF(_xlfn.XLOOKUP(J262,'Compartments_Kawecki&amp;Nowack19'!A:A,'Compartments_Kawecki&amp;Nowack19'!B:B,_xlfn.XLOOKUP(J262,Compartments_Added!A:A,Compartments_Added!B:B))="Stock","OK stock","OK flow"),IF(COUNTIF($G$4:$G$18,J262),IF(COUNTIF($E$4:$E$18,J262),"OK input","Missing"),"Missing")))</f>
        <v/>
      </c>
      <c r="M262" s="311" t="e">
        <f>IF(COUNTIF(J:J,L262),IF(_xlfn.XLOOKUP(L262,'Compartments_Kawecki&amp;Nowack19'!A:A,'Compartments_Kawecki&amp;Nowack19'!B:B,_xlfn.XLOOKUP(L262,Compartments_Added!A:A,Compartments_Added!B:B))="Stock","OK stock","OK flow"),IF(_xlfn.XLOOKUP(L262,'Compartments_Kawecki&amp;Nowack19'!A:A,'Compartments_Kawecki&amp;Nowack19'!B:B,_xlfn.XLOOKUP(L262,Compartments_Added!A:A,Compartments_Added!B:B))="Sink","OK, Sink","Missing"))</f>
        <v>#N/A</v>
      </c>
    </row>
    <row r="263" spans="11:13">
      <c r="K263" s="311" t="str">
        <f>IF(ISBLANK(J263),"",IF(COUNTIF(L:L,J263),IF(_xlfn.XLOOKUP(J263,'Compartments_Kawecki&amp;Nowack19'!A:A,'Compartments_Kawecki&amp;Nowack19'!B:B,_xlfn.XLOOKUP(J263,Compartments_Added!A:A,Compartments_Added!B:B))="Stock","OK stock","OK flow"),IF(COUNTIF($G$4:$G$18,J263),IF(COUNTIF($E$4:$E$18,J263),"OK input","Missing"),"Missing")))</f>
        <v/>
      </c>
      <c r="M263" s="311" t="e">
        <f>IF(COUNTIF(J:J,L263),IF(_xlfn.XLOOKUP(L263,'Compartments_Kawecki&amp;Nowack19'!A:A,'Compartments_Kawecki&amp;Nowack19'!B:B,_xlfn.XLOOKUP(L263,Compartments_Added!A:A,Compartments_Added!B:B))="Stock","OK stock","OK flow"),IF(_xlfn.XLOOKUP(L263,'Compartments_Kawecki&amp;Nowack19'!A:A,'Compartments_Kawecki&amp;Nowack19'!B:B,_xlfn.XLOOKUP(L263,Compartments_Added!A:A,Compartments_Added!B:B))="Sink","OK, Sink","Missing"))</f>
        <v>#N/A</v>
      </c>
    </row>
    <row r="264" spans="11:13">
      <c r="K264" s="311" t="str">
        <f>IF(ISBLANK(J264),"",IF(COUNTIF(L:L,J264),IF(_xlfn.XLOOKUP(J264,'Compartments_Kawecki&amp;Nowack19'!A:A,'Compartments_Kawecki&amp;Nowack19'!B:B,_xlfn.XLOOKUP(J264,Compartments_Added!A:A,Compartments_Added!B:B))="Stock","OK stock","OK flow"),IF(COUNTIF($G$4:$G$18,J264),IF(COUNTIF($E$4:$E$18,J264),"OK input","Missing"),"Missing")))</f>
        <v/>
      </c>
      <c r="M264" s="311" t="e">
        <f>IF(COUNTIF(J:J,L264),IF(_xlfn.XLOOKUP(L264,'Compartments_Kawecki&amp;Nowack19'!A:A,'Compartments_Kawecki&amp;Nowack19'!B:B,_xlfn.XLOOKUP(L264,Compartments_Added!A:A,Compartments_Added!B:B))="Stock","OK stock","OK flow"),IF(_xlfn.XLOOKUP(L264,'Compartments_Kawecki&amp;Nowack19'!A:A,'Compartments_Kawecki&amp;Nowack19'!B:B,_xlfn.XLOOKUP(L264,Compartments_Added!A:A,Compartments_Added!B:B))="Sink","OK, Sink","Missing"))</f>
        <v>#N/A</v>
      </c>
    </row>
    <row r="265" spans="11:13">
      <c r="K265" s="311" t="str">
        <f>IF(ISBLANK(J265),"",IF(COUNTIF(L:L,J265),IF(_xlfn.XLOOKUP(J265,'Compartments_Kawecki&amp;Nowack19'!A:A,'Compartments_Kawecki&amp;Nowack19'!B:B,_xlfn.XLOOKUP(J265,Compartments_Added!A:A,Compartments_Added!B:B))="Stock","OK stock","OK flow"),IF(COUNTIF($G$4:$G$18,J265),IF(COUNTIF($E$4:$E$18,J265),"OK input","Missing"),"Missing")))</f>
        <v/>
      </c>
      <c r="M265" s="311" t="e">
        <f>IF(COUNTIF(J:J,L265),IF(_xlfn.XLOOKUP(L265,'Compartments_Kawecki&amp;Nowack19'!A:A,'Compartments_Kawecki&amp;Nowack19'!B:B,_xlfn.XLOOKUP(L265,Compartments_Added!A:A,Compartments_Added!B:B))="Stock","OK stock","OK flow"),IF(_xlfn.XLOOKUP(L265,'Compartments_Kawecki&amp;Nowack19'!A:A,'Compartments_Kawecki&amp;Nowack19'!B:B,_xlfn.XLOOKUP(L265,Compartments_Added!A:A,Compartments_Added!B:B))="Sink","OK, Sink","Missing"))</f>
        <v>#N/A</v>
      </c>
    </row>
    <row r="266" spans="11:13">
      <c r="K266" s="311" t="str">
        <f>IF(ISBLANK(J266),"",IF(COUNTIF(L:L,J266),IF(_xlfn.XLOOKUP(J266,'Compartments_Kawecki&amp;Nowack19'!A:A,'Compartments_Kawecki&amp;Nowack19'!B:B,_xlfn.XLOOKUP(J266,Compartments_Added!A:A,Compartments_Added!B:B))="Stock","OK stock","OK flow"),IF(COUNTIF($G$4:$G$18,J266),IF(COUNTIF($E$4:$E$18,J266),"OK input","Missing"),"Missing")))</f>
        <v/>
      </c>
      <c r="M266" s="311" t="e">
        <f>IF(COUNTIF(J:J,L266),IF(_xlfn.XLOOKUP(L266,'Compartments_Kawecki&amp;Nowack19'!A:A,'Compartments_Kawecki&amp;Nowack19'!B:B,_xlfn.XLOOKUP(L266,Compartments_Added!A:A,Compartments_Added!B:B))="Stock","OK stock","OK flow"),IF(_xlfn.XLOOKUP(L266,'Compartments_Kawecki&amp;Nowack19'!A:A,'Compartments_Kawecki&amp;Nowack19'!B:B,_xlfn.XLOOKUP(L266,Compartments_Added!A:A,Compartments_Added!B:B))="Sink","OK, Sink","Missing"))</f>
        <v>#N/A</v>
      </c>
    </row>
    <row r="267" spans="11:13">
      <c r="K267" s="311" t="str">
        <f>IF(ISBLANK(J267),"",IF(COUNTIF(L:L,J267),IF(_xlfn.XLOOKUP(J267,'Compartments_Kawecki&amp;Nowack19'!A:A,'Compartments_Kawecki&amp;Nowack19'!B:B,_xlfn.XLOOKUP(J267,Compartments_Added!A:A,Compartments_Added!B:B))="Stock","OK stock","OK flow"),IF(COUNTIF($G$4:$G$18,J267),IF(COUNTIF($E$4:$E$18,J267),"OK input","Missing"),"Missing")))</f>
        <v/>
      </c>
      <c r="M267" s="311" t="e">
        <f>IF(COUNTIF(J:J,L267),IF(_xlfn.XLOOKUP(L267,'Compartments_Kawecki&amp;Nowack19'!A:A,'Compartments_Kawecki&amp;Nowack19'!B:B,_xlfn.XLOOKUP(L267,Compartments_Added!A:A,Compartments_Added!B:B))="Stock","OK stock","OK flow"),IF(_xlfn.XLOOKUP(L267,'Compartments_Kawecki&amp;Nowack19'!A:A,'Compartments_Kawecki&amp;Nowack19'!B:B,_xlfn.XLOOKUP(L267,Compartments_Added!A:A,Compartments_Added!B:B))="Sink","OK, Sink","Missing"))</f>
        <v>#N/A</v>
      </c>
    </row>
    <row r="268" spans="11:13">
      <c r="K268" s="311" t="str">
        <f>IF(ISBLANK(J268),"",IF(COUNTIF(L:L,J268),IF(_xlfn.XLOOKUP(J268,'Compartments_Kawecki&amp;Nowack19'!A:A,'Compartments_Kawecki&amp;Nowack19'!B:B,_xlfn.XLOOKUP(J268,Compartments_Added!A:A,Compartments_Added!B:B))="Stock","OK stock","OK flow"),IF(COUNTIF($G$4:$G$18,J268),IF(COUNTIF($E$4:$E$18,J268),"OK input","Missing"),"Missing")))</f>
        <v/>
      </c>
      <c r="M268" s="311" t="e">
        <f>IF(COUNTIF(J:J,L268),IF(_xlfn.XLOOKUP(L268,'Compartments_Kawecki&amp;Nowack19'!A:A,'Compartments_Kawecki&amp;Nowack19'!B:B,_xlfn.XLOOKUP(L268,Compartments_Added!A:A,Compartments_Added!B:B))="Stock","OK stock","OK flow"),IF(_xlfn.XLOOKUP(L268,'Compartments_Kawecki&amp;Nowack19'!A:A,'Compartments_Kawecki&amp;Nowack19'!B:B,_xlfn.XLOOKUP(L268,Compartments_Added!A:A,Compartments_Added!B:B))="Sink","OK, Sink","Missing"))</f>
        <v>#N/A</v>
      </c>
    </row>
    <row r="269" spans="11:13">
      <c r="K269" s="311" t="str">
        <f>IF(ISBLANK(J269),"",IF(COUNTIF(L:L,J269),IF(_xlfn.XLOOKUP(J269,'Compartments_Kawecki&amp;Nowack19'!A:A,'Compartments_Kawecki&amp;Nowack19'!B:B,_xlfn.XLOOKUP(J269,Compartments_Added!A:A,Compartments_Added!B:B))="Stock","OK stock","OK flow"),IF(COUNTIF($G$4:$G$18,J269),IF(COUNTIF($E$4:$E$18,J269),"OK input","Missing"),"Missing")))</f>
        <v/>
      </c>
      <c r="M269" s="311" t="e">
        <f>IF(COUNTIF(J:J,L269),IF(_xlfn.XLOOKUP(L269,'Compartments_Kawecki&amp;Nowack19'!A:A,'Compartments_Kawecki&amp;Nowack19'!B:B,_xlfn.XLOOKUP(L269,Compartments_Added!A:A,Compartments_Added!B:B))="Stock","OK stock","OK flow"),IF(_xlfn.XLOOKUP(L269,'Compartments_Kawecki&amp;Nowack19'!A:A,'Compartments_Kawecki&amp;Nowack19'!B:B,_xlfn.XLOOKUP(L269,Compartments_Added!A:A,Compartments_Added!B:B))="Sink","OK, Sink","Missing"))</f>
        <v>#N/A</v>
      </c>
    </row>
    <row r="270" spans="11:13">
      <c r="K270" s="311" t="str">
        <f>IF(ISBLANK(J270),"",IF(COUNTIF(L:L,J270),IF(_xlfn.XLOOKUP(J270,'Compartments_Kawecki&amp;Nowack19'!A:A,'Compartments_Kawecki&amp;Nowack19'!B:B,_xlfn.XLOOKUP(J270,Compartments_Added!A:A,Compartments_Added!B:B))="Stock","OK stock","OK flow"),IF(COUNTIF($G$4:$G$18,J270),IF(COUNTIF($E$4:$E$18,J270),"OK input","Missing"),"Missing")))</f>
        <v/>
      </c>
      <c r="M270" s="311" t="e">
        <f>IF(COUNTIF(J:J,L270),IF(_xlfn.XLOOKUP(L270,'Compartments_Kawecki&amp;Nowack19'!A:A,'Compartments_Kawecki&amp;Nowack19'!B:B,_xlfn.XLOOKUP(L270,Compartments_Added!A:A,Compartments_Added!B:B))="Stock","OK stock","OK flow"),IF(_xlfn.XLOOKUP(L270,'Compartments_Kawecki&amp;Nowack19'!A:A,'Compartments_Kawecki&amp;Nowack19'!B:B,_xlfn.XLOOKUP(L270,Compartments_Added!A:A,Compartments_Added!B:B))="Sink","OK, Sink","Missing"))</f>
        <v>#N/A</v>
      </c>
    </row>
    <row r="271" spans="11:13">
      <c r="K271" s="311" t="str">
        <f>IF(ISBLANK(J271),"",IF(COUNTIF(L:L,J271),IF(_xlfn.XLOOKUP(J271,'Compartments_Kawecki&amp;Nowack19'!A:A,'Compartments_Kawecki&amp;Nowack19'!B:B,_xlfn.XLOOKUP(J271,Compartments_Added!A:A,Compartments_Added!B:B))="Stock","OK stock","OK flow"),IF(COUNTIF($G$4:$G$18,J271),IF(COUNTIF($E$4:$E$18,J271),"OK input","Missing"),"Missing")))</f>
        <v/>
      </c>
      <c r="M271" s="311" t="e">
        <f>IF(COUNTIF(J:J,L271),IF(_xlfn.XLOOKUP(L271,'Compartments_Kawecki&amp;Nowack19'!A:A,'Compartments_Kawecki&amp;Nowack19'!B:B,_xlfn.XLOOKUP(L271,Compartments_Added!A:A,Compartments_Added!B:B))="Stock","OK stock","OK flow"),IF(_xlfn.XLOOKUP(L271,'Compartments_Kawecki&amp;Nowack19'!A:A,'Compartments_Kawecki&amp;Nowack19'!B:B,_xlfn.XLOOKUP(L271,Compartments_Added!A:A,Compartments_Added!B:B))="Sink","OK, Sink","Missing"))</f>
        <v>#N/A</v>
      </c>
    </row>
  </sheetData>
  <mergeCells count="3">
    <mergeCell ref="A1:C1"/>
    <mergeCell ref="E1:H1"/>
    <mergeCell ref="J1:M1"/>
  </mergeCells>
  <conditionalFormatting sqref="K4:K271">
    <cfRule type="containsText" dxfId="11" priority="4" operator="containsText" text="Stock">
      <formula>NOT(ISERROR(SEARCH("Stock",K4)))</formula>
    </cfRule>
    <cfRule type="containsText" dxfId="10" priority="5" operator="containsText" text="Sink">
      <formula>NOT(ISERROR(SEARCH("Sink",K4)))</formula>
    </cfRule>
    <cfRule type="containsText" dxfId="9" priority="6" operator="containsText" text="flow">
      <formula>NOT(ISERROR(SEARCH("flow",K4)))</formula>
    </cfRule>
    <cfRule type="containsText" dxfId="8" priority="7" operator="containsText" text="missing">
      <formula>NOT(ISERROR(SEARCH("missing",K4)))</formula>
    </cfRule>
    <cfRule type="containsErrors" dxfId="7" priority="10">
      <formula>ISERROR(K4)</formula>
    </cfRule>
  </conditionalFormatting>
  <conditionalFormatting sqref="M1:M1048576">
    <cfRule type="containsText" dxfId="6" priority="8" operator="containsText" text="Stock">
      <formula>NOT(ISERROR(SEARCH("Stock",M1)))</formula>
    </cfRule>
    <cfRule type="containsText" dxfId="5" priority="9" operator="containsText" text="Sink">
      <formula>NOT(ISERROR(SEARCH("Sink",M1)))</formula>
    </cfRule>
    <cfRule type="containsText" dxfId="4" priority="11" operator="containsText" text="flow">
      <formula>NOT(ISERROR(SEARCH("flow",M1)))</formula>
    </cfRule>
    <cfRule type="containsText" dxfId="3" priority="11" operator="containsText" text="missing">
      <formula>NOT(ISERROR(SEARCH("missing",M1)))</formula>
    </cfRule>
    <cfRule type="containsErrors" dxfId="2" priority="11">
      <formula>ISERROR(M1)</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0577e6a0-5f74-4659-a81a-c7bdc984432d">
      <Terms xmlns="http://schemas.microsoft.com/office/infopath/2007/PartnerControls"/>
    </lcf76f155ced4ddcb4097134ff3c332f>
    <TaxCatchAll xmlns="f5c8fe0e-f8db-4fac-9fd3-e69469f9c90b"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F634CA3F5682C418397C6E4414BCDE3" ma:contentTypeVersion="19" ma:contentTypeDescription="Een nieuw document maken." ma:contentTypeScope="" ma:versionID="cd864e38cd6bbc6c7e0427721adcc1d0">
  <xsd:schema xmlns:xsd="http://www.w3.org/2001/XMLSchema" xmlns:xs="http://www.w3.org/2001/XMLSchema" xmlns:p="http://schemas.microsoft.com/office/2006/metadata/properties" xmlns:ns1="http://schemas.microsoft.com/sharepoint/v3" xmlns:ns2="0577e6a0-5f74-4659-a81a-c7bdc984432d" xmlns:ns3="f5c8fe0e-f8db-4fac-9fd3-e69469f9c90b" targetNamespace="http://schemas.microsoft.com/office/2006/metadata/properties" ma:root="true" ma:fieldsID="fa37df3857ed3652683061e5b337c961" ns1:_="" ns2:_="" ns3:_="">
    <xsd:import namespace="http://schemas.microsoft.com/sharepoint/v3"/>
    <xsd:import namespace="0577e6a0-5f74-4659-a81a-c7bdc984432d"/>
    <xsd:import namespace="f5c8fe0e-f8db-4fac-9fd3-e69469f9c90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Eigenschappen van het geïntegreerd beleid voor naleving" ma:hidden="true" ma:internalName="_ip_UnifiedCompliancePolicyProperties">
      <xsd:simpleType>
        <xsd:restriction base="dms:Note"/>
      </xsd:simpleType>
    </xsd:element>
    <xsd:element name="_ip_UnifiedCompliancePolicyUIAction" ma:index="21" nillable="true" ma:displayName="Actie van de gebruikersinterface van het geïntegreerd beleid voor naleving"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77e6a0-5f74-4659-a81a-c7bdc98443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Afbeeldingtags" ma:readOnly="false" ma:fieldId="{5cf76f15-5ced-4ddc-b409-7134ff3c332f}" ma:taxonomyMulti="true" ma:sspId="9f1f8003-3544-4801-a0bb-558fc8ffc21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5c8fe0e-f8db-4fac-9fd3-e69469f9c90b" elementFormDefault="qualified">
    <xsd:import namespace="http://schemas.microsoft.com/office/2006/documentManagement/types"/>
    <xsd:import namespace="http://schemas.microsoft.com/office/infopath/2007/PartnerControls"/>
    <xsd:element name="SharedWithUsers" ma:index="12"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Gedeeld met details" ma:internalName="SharedWithDetails" ma:readOnly="true">
      <xsd:simpleType>
        <xsd:restriction base="dms:Note">
          <xsd:maxLength value="255"/>
        </xsd:restriction>
      </xsd:simpleType>
    </xsd:element>
    <xsd:element name="TaxCatchAll" ma:index="24" nillable="true" ma:displayName="Taxonomy Catch All Column" ma:hidden="true" ma:list="{706ad47a-586d-4bb3-9d51-fb8cf7aa47ff}" ma:internalName="TaxCatchAll" ma:showField="CatchAllData" ma:web="f5c8fe0e-f8db-4fac-9fd3-e69469f9c9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BAA9A91-9069-4C15-AB5C-252119AC4B56}">
  <ds:schemaRefs>
    <ds:schemaRef ds:uri="http://schemas.microsoft.com/sharepoint/v3"/>
    <ds:schemaRef ds:uri="http://www.w3.org/XML/1998/namespace"/>
    <ds:schemaRef ds:uri="http://schemas.microsoft.com/office/infopath/2007/PartnerControls"/>
    <ds:schemaRef ds:uri="http://purl.org/dc/terms/"/>
    <ds:schemaRef ds:uri="http://schemas.microsoft.com/office/2006/metadata/properties"/>
    <ds:schemaRef ds:uri="http://schemas.microsoft.com/office/2006/documentManagement/types"/>
    <ds:schemaRef ds:uri="http://purl.org/dc/dcmitype/"/>
    <ds:schemaRef ds:uri="http://purl.org/dc/elements/1.1/"/>
    <ds:schemaRef ds:uri="http://schemas.openxmlformats.org/package/2006/metadata/core-properties"/>
    <ds:schemaRef ds:uri="f5c8fe0e-f8db-4fac-9fd3-e69469f9c90b"/>
    <ds:schemaRef ds:uri="0577e6a0-5f74-4659-a81a-c7bdc984432d"/>
  </ds:schemaRefs>
</ds:datastoreItem>
</file>

<file path=customXml/itemProps2.xml><?xml version="1.0" encoding="utf-8"?>
<ds:datastoreItem xmlns:ds="http://schemas.openxmlformats.org/officeDocument/2006/customXml" ds:itemID="{4182E278-8B8E-4029-93A8-ABF083DBF1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577e6a0-5f74-4659-a81a-c7bdc984432d"/>
    <ds:schemaRef ds:uri="f5c8fe0e-f8db-4fac-9fd3-e69469f9c9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7E114B7-F0FD-40A9-8E25-2C852D16B3D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27</vt:i4>
      </vt:variant>
      <vt:variant>
        <vt:lpstr>Benoemde bereiken</vt:lpstr>
      </vt:variant>
      <vt:variant>
        <vt:i4>13</vt:i4>
      </vt:variant>
    </vt:vector>
  </HeadingPairs>
  <TitlesOfParts>
    <vt:vector size="40" baseType="lpstr">
      <vt:lpstr>README</vt:lpstr>
      <vt:lpstr>Version</vt:lpstr>
      <vt:lpstr>Data Quality Indicators</vt:lpstr>
      <vt:lpstr>Materials</vt:lpstr>
      <vt:lpstr>Input_NL</vt:lpstr>
      <vt:lpstr>Input_EU</vt:lpstr>
      <vt:lpstr>Transfer coefficients</vt:lpstr>
      <vt:lpstr>Input_compartment_order</vt:lpstr>
      <vt:lpstr>Clothing_update</vt:lpstr>
      <vt:lpstr>Pellets</vt:lpstr>
      <vt:lpstr>Tyre wear</vt:lpstr>
      <vt:lpstr>Paints and Coatings</vt:lpstr>
      <vt:lpstr>Textiles</vt:lpstr>
      <vt:lpstr>Agriculture</vt:lpstr>
      <vt:lpstr>Intentionally_produced_MPs</vt:lpstr>
      <vt:lpstr>Packaging</vt:lpstr>
      <vt:lpstr>Recycling TCs</vt:lpstr>
      <vt:lpstr>Compost TCs</vt:lpstr>
      <vt:lpstr>Scaling tables</vt:lpstr>
      <vt:lpstr>Input projections</vt:lpstr>
      <vt:lpstr>Lifetimes</vt:lpstr>
      <vt:lpstr>Lifetimes_pairs</vt:lpstr>
      <vt:lpstr>Lifetimes_references</vt:lpstr>
      <vt:lpstr>Compartments</vt:lpstr>
      <vt:lpstr>Compartments_Kawecki&amp;Nowack19</vt:lpstr>
      <vt:lpstr>Compartments_Added</vt:lpstr>
      <vt:lpstr>Check_Compartments</vt:lpstr>
      <vt:lpstr>Aggr_2021</vt:lpstr>
      <vt:lpstr>In_EU_2018</vt:lpstr>
      <vt:lpstr>In_EU_2019</vt:lpstr>
      <vt:lpstr>IN_NL_2018_high</vt:lpstr>
      <vt:lpstr>In_NL_2018_low</vt:lpstr>
      <vt:lpstr>IN_NL_2019_high</vt:lpstr>
      <vt:lpstr>IN_NL_2019_low</vt:lpstr>
      <vt:lpstr>Intentional_Agr_EU_2020</vt:lpstr>
      <vt:lpstr>Intentional_Agr_NL_2020</vt:lpstr>
      <vt:lpstr>OECD_ref_2018</vt:lpstr>
      <vt:lpstr>OECD_ref_2019</vt:lpstr>
      <vt:lpstr>OIL_GAS_2020</vt:lpstr>
      <vt:lpstr>POP_coef_2020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2024-06-27T12:04:47Z</dcterms:created>
  <dcterms:modified xsi:type="dcterms:W3CDTF">2025-03-20T12:09:33Z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0x010100FF634CA3F5682C418397C6E4414BCDE3</vt:lpwstr>
  </property>
  <property fmtid="{D5CDD505-2E9C-101B-9397-08002B2CF9AE}" pid="3" name="MediaServiceImageTags">
    <vt:lpwstr/>
  </property>
</Properties>
</file>